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\\pmpa-fs3\smap-Celic$\CPRE\_PREGÃO ELETRÔNICO\2024\PE 318_2024 - Manutenção Predial SMDES\"/>
    </mc:Choice>
  </mc:AlternateContent>
  <xr:revisionPtr revIDLastSave="0" documentId="13_ncr:1_{A27109E4-4CFB-4B69-8FCD-F4E1A0DF5F1F}" xr6:coauthVersionLast="47" xr6:coauthVersionMax="47" xr10:uidLastSave="{00000000-0000-0000-0000-000000000000}"/>
  <bookViews>
    <workbookView xWindow="-21720" yWindow="-120" windowWidth="21840" windowHeight="13020" tabRatio="705" activeTab="5" xr2:uid="{00000000-000D-0000-FFFF-FFFF00000000}"/>
  </bookViews>
  <sheets>
    <sheet name="Mão de Obra" sheetId="25" r:id="rId1"/>
    <sheet name="Produtividade" sheetId="24" state="hidden" r:id="rId2"/>
    <sheet name="Veículos" sheetId="6" r:id="rId3"/>
    <sheet name="Mat Individual e Uniformes func" sheetId="3" r:id="rId4"/>
    <sheet name="Mat Coletivo e Equipamentos" sheetId="9" r:id="rId5"/>
    <sheet name="Proposta" sheetId="5" r:id="rId6"/>
    <sheet name="Apoio - Regime de Trabalho" sheetId="1" state="hidden" r:id="rId7"/>
    <sheet name="Apoio - Notas Explicativas" sheetId="8" state="hidden" r:id="rId8"/>
    <sheet name="Apoio - Posto" sheetId="18" state="hidden" r:id="rId9"/>
    <sheet name="Apoio - Dados" sheetId="16" state="hidden" r:id="rId10"/>
  </sheets>
  <externalReferences>
    <externalReference r:id="rId11"/>
    <externalReference r:id="rId12"/>
    <externalReference r:id="rId13"/>
  </externalReferences>
  <definedNames>
    <definedName name="_xlnm._FilterDatabase" localSheetId="8" hidden="1">'Apoio - Posto'!$A$1:$S$634</definedName>
    <definedName name="_xlnm.Print_Area" localSheetId="0">'Mão de Obra'!$B$16:$B$156</definedName>
    <definedName name="_xlnm.Print_Area" localSheetId="1">Produtividade!$B$16:$B$156</definedName>
    <definedName name="familias_equipamentos" localSheetId="7">'Apoio - Notas Explicativas'!#REF!</definedName>
    <definedName name="familias_equipamentos" localSheetId="0">'[1]Base Apoio - etapa 1'!#REF!</definedName>
    <definedName name="familias_equipamentos" localSheetId="1">'[1]Base Apoio - etapa 1'!#REF!</definedName>
    <definedName name="familias_equipamentos" localSheetId="2">'[2]Base Apoio - etapa 1'!#REF!</definedName>
    <definedName name="familias_equipamentos">'[1]Base Apoio - etapa 1'!#REF!</definedName>
    <definedName name="materiais">[1]Fontes!$F$3:$F$9</definedName>
    <definedName name="percentuais" localSheetId="7">[3]Fontes!$C$1:$C$3</definedName>
    <definedName name="percentuais" localSheetId="2">[2]Fontes!$C$1:$C$3</definedName>
    <definedName name="percentuais">[1]Fontes!$C$1:$C$3</definedName>
    <definedName name="Sim_não" localSheetId="7">[3]Fontes!$A$1:$A$2</definedName>
    <definedName name="Sim_não" localSheetId="2">[2]Fontes!$A$1:$A$2</definedName>
    <definedName name="Sim_não">[1]Fontes!$A$1:$A$2</definedName>
    <definedName name="tributaçao" localSheetId="7">'Apoio - Notas Explicativas'!#REF!</definedName>
    <definedName name="tributaçao" localSheetId="2">'[2]Base Apoio - etapa 1'!$F$20:$H$20</definedName>
    <definedName name="tributaçao">'[1]Base Apoio - etapa 1'!$F$20:$H$20</definedName>
    <definedName name="Tributação" localSheetId="7">#REF!</definedName>
    <definedName name="Tributação" localSheetId="0">#REF!</definedName>
    <definedName name="Tributação" localSheetId="1">#REF!</definedName>
    <definedName name="Tributação" localSheetId="2">#REF!</definedName>
    <definedName name="Tributaçã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5" i="9" l="1"/>
  <c r="K95" i="9" s="1"/>
  <c r="L96" i="9"/>
  <c r="K96" i="9" s="1"/>
  <c r="L97" i="9"/>
  <c r="K97" i="9" s="1"/>
  <c r="L98" i="9"/>
  <c r="K98" i="9" s="1"/>
  <c r="L99" i="9"/>
  <c r="K99" i="9" s="1"/>
  <c r="L100" i="9"/>
  <c r="K100" i="9" s="1"/>
  <c r="L101" i="9"/>
  <c r="K101" i="9" s="1"/>
  <c r="L102" i="9"/>
  <c r="K102" i="9" s="1"/>
  <c r="L103" i="9"/>
  <c r="K103" i="9" s="1"/>
  <c r="L104" i="9"/>
  <c r="K104" i="9" s="1"/>
  <c r="L105" i="9"/>
  <c r="K105" i="9" s="1"/>
  <c r="L106" i="9"/>
  <c r="K106" i="9" s="1"/>
  <c r="L107" i="9"/>
  <c r="K107" i="9" s="1"/>
  <c r="L88" i="9"/>
  <c r="K88" i="9" s="1"/>
  <c r="L89" i="9"/>
  <c r="K89" i="9" s="1"/>
  <c r="L90" i="9"/>
  <c r="K90" i="9" s="1"/>
  <c r="L91" i="9"/>
  <c r="K91" i="9" s="1"/>
  <c r="L92" i="9"/>
  <c r="K92" i="9" s="1"/>
  <c r="L93" i="9"/>
  <c r="K93" i="9" s="1"/>
  <c r="L94" i="9"/>
  <c r="K94" i="9" s="1"/>
  <c r="L87" i="9"/>
  <c r="K87" i="9" s="1"/>
  <c r="L86" i="9"/>
  <c r="K86" i="9" s="1"/>
  <c r="L85" i="9"/>
  <c r="K85" i="9" s="1"/>
  <c r="L84" i="9"/>
  <c r="K84" i="9" s="1"/>
  <c r="L82" i="9"/>
  <c r="K82" i="9" s="1"/>
  <c r="L83" i="9"/>
  <c r="K83" i="9" s="1"/>
  <c r="L81" i="9"/>
  <c r="K81" i="9" s="1"/>
  <c r="L80" i="9"/>
  <c r="K80" i="9" s="1"/>
  <c r="L79" i="9"/>
  <c r="K79" i="9" s="1"/>
  <c r="L78" i="9"/>
  <c r="K78" i="9" s="1"/>
  <c r="L77" i="9"/>
  <c r="K77" i="9" s="1"/>
  <c r="L75" i="9"/>
  <c r="K75" i="9" s="1"/>
  <c r="L76" i="9"/>
  <c r="K76" i="9" s="1"/>
  <c r="L74" i="9"/>
  <c r="K74" i="9" s="1"/>
  <c r="L73" i="9"/>
  <c r="K73" i="9" s="1"/>
  <c r="L72" i="9"/>
  <c r="K72" i="9" s="1"/>
  <c r="L71" i="9" l="1"/>
  <c r="K71" i="9" s="1"/>
  <c r="L70" i="9"/>
  <c r="K70" i="9" s="1"/>
  <c r="L69" i="9"/>
  <c r="K69" i="9" s="1"/>
  <c r="L68" i="9"/>
  <c r="K68" i="9" s="1"/>
  <c r="L67" i="9"/>
  <c r="K67" i="9" s="1"/>
  <c r="L66" i="9"/>
  <c r="K66" i="9" s="1"/>
  <c r="L65" i="9"/>
  <c r="K65" i="9" s="1"/>
  <c r="L64" i="9"/>
  <c r="K64" i="9" s="1"/>
  <c r="L63" i="9"/>
  <c r="K63" i="9" s="1"/>
  <c r="L62" i="9"/>
  <c r="K62" i="9" s="1"/>
  <c r="L61" i="9"/>
  <c r="K61" i="9" s="1"/>
  <c r="L60" i="9"/>
  <c r="K60" i="9" s="1"/>
  <c r="L59" i="9"/>
  <c r="K59" i="9" s="1"/>
  <c r="L58" i="9"/>
  <c r="K58" i="9" s="1"/>
  <c r="L57" i="9"/>
  <c r="K57" i="9" s="1"/>
  <c r="L56" i="9"/>
  <c r="K56" i="9" s="1"/>
  <c r="L55" i="9"/>
  <c r="K55" i="9" s="1"/>
  <c r="L54" i="9"/>
  <c r="K54" i="9" s="1"/>
  <c r="L53" i="9"/>
  <c r="K53" i="9" s="1"/>
  <c r="L52" i="9"/>
  <c r="K52" i="9" s="1"/>
  <c r="L51" i="9"/>
  <c r="K51" i="9" s="1"/>
  <c r="L50" i="9"/>
  <c r="K50" i="9" s="1"/>
  <c r="L49" i="9"/>
  <c r="K49" i="9" s="1"/>
  <c r="L48" i="9"/>
  <c r="K48" i="9" s="1"/>
  <c r="L47" i="9"/>
  <c r="K47" i="9" s="1"/>
  <c r="L46" i="9"/>
  <c r="K46" i="9" s="1"/>
  <c r="L45" i="9"/>
  <c r="K45" i="9" s="1"/>
  <c r="L44" i="9"/>
  <c r="K44" i="9" s="1"/>
  <c r="L43" i="9"/>
  <c r="K43" i="9" s="1"/>
  <c r="L42" i="9"/>
  <c r="K42" i="9" s="1"/>
  <c r="L41" i="9"/>
  <c r="K41" i="9" s="1"/>
  <c r="L40" i="9"/>
  <c r="K40" i="9" s="1"/>
  <c r="L39" i="9"/>
  <c r="K39" i="9" s="1"/>
  <c r="L38" i="9"/>
  <c r="K38" i="9" s="1"/>
  <c r="L37" i="9"/>
  <c r="K37" i="9" s="1"/>
  <c r="L36" i="9"/>
  <c r="K36" i="9" s="1"/>
  <c r="L35" i="9"/>
  <c r="K35" i="9" s="1"/>
  <c r="L34" i="9"/>
  <c r="K34" i="9" s="1"/>
  <c r="L33" i="9"/>
  <c r="K33" i="9" s="1"/>
  <c r="L32" i="9"/>
  <c r="K32" i="9" s="1"/>
  <c r="L31" i="9"/>
  <c r="K31" i="9" s="1"/>
  <c r="L30" i="9"/>
  <c r="K30" i="9" s="1"/>
  <c r="L29" i="9"/>
  <c r="K29" i="9" s="1"/>
  <c r="L28" i="9"/>
  <c r="K28" i="9" s="1"/>
  <c r="L27" i="9"/>
  <c r="K27" i="9" s="1"/>
  <c r="L26" i="9"/>
  <c r="K26" i="9" s="1"/>
  <c r="I12" i="1"/>
  <c r="H9" i="1"/>
  <c r="H8" i="1"/>
  <c r="G9" i="1"/>
  <c r="G8" i="1"/>
  <c r="G7" i="1"/>
  <c r="G6" i="1"/>
  <c r="G5" i="1"/>
  <c r="I9" i="1"/>
  <c r="I8" i="1"/>
  <c r="F84" i="6"/>
  <c r="G84" i="6"/>
  <c r="H84" i="6"/>
  <c r="I84" i="6"/>
  <c r="L17" i="18"/>
  <c r="H5" i="1"/>
  <c r="H6" i="1"/>
  <c r="H7" i="1"/>
  <c r="H14" i="1"/>
  <c r="H15" i="1"/>
  <c r="H16" i="1"/>
  <c r="I5" i="1"/>
  <c r="I6" i="1"/>
  <c r="I7" i="1"/>
  <c r="I10" i="1"/>
  <c r="I11" i="1"/>
  <c r="I13" i="1"/>
  <c r="I15" i="1"/>
  <c r="I14" i="1"/>
  <c r="I16" i="1"/>
  <c r="G10" i="1"/>
  <c r="G16" i="1" l="1"/>
  <c r="G15" i="1"/>
  <c r="G14" i="1"/>
  <c r="G13" i="1"/>
  <c r="G11" i="1"/>
  <c r="G12" i="1"/>
  <c r="F142" i="24" l="1"/>
  <c r="G142" i="24"/>
  <c r="H142" i="24"/>
  <c r="F142" i="25"/>
  <c r="G142" i="25"/>
  <c r="H142" i="25"/>
  <c r="I142" i="25"/>
  <c r="J142" i="25"/>
  <c r="K142" i="25"/>
  <c r="L142" i="25"/>
  <c r="M142" i="25"/>
  <c r="N142" i="25"/>
  <c r="F90" i="24"/>
  <c r="G90" i="24"/>
  <c r="H90" i="24"/>
  <c r="E90" i="24"/>
  <c r="F90" i="25"/>
  <c r="G90" i="25"/>
  <c r="H90" i="25"/>
  <c r="I90" i="25"/>
  <c r="J90" i="25"/>
  <c r="K90" i="25"/>
  <c r="L90" i="25"/>
  <c r="M90" i="25"/>
  <c r="N90" i="25"/>
  <c r="E90" i="25"/>
  <c r="Q15" i="8"/>
  <c r="Q16" i="8" s="1"/>
  <c r="F21" i="6"/>
  <c r="G21" i="6"/>
  <c r="H21" i="6"/>
  <c r="I21" i="6"/>
  <c r="E21" i="6"/>
  <c r="H98" i="8"/>
  <c r="H149" i="25"/>
  <c r="I149" i="25"/>
  <c r="J149" i="25"/>
  <c r="K149" i="25"/>
  <c r="L149" i="25"/>
  <c r="M149" i="25"/>
  <c r="N149" i="25"/>
  <c r="G64" i="6"/>
  <c r="H64" i="6"/>
  <c r="I64" i="6"/>
  <c r="F65" i="6"/>
  <c r="G65" i="6"/>
  <c r="H65" i="6"/>
  <c r="I65" i="6"/>
  <c r="G66" i="6"/>
  <c r="H66" i="6"/>
  <c r="I66" i="6"/>
  <c r="G69" i="6"/>
  <c r="H69" i="6"/>
  <c r="I69" i="6"/>
  <c r="G70" i="6"/>
  <c r="H70" i="6"/>
  <c r="I70" i="6"/>
  <c r="G73" i="6"/>
  <c r="H73" i="6"/>
  <c r="I73" i="6"/>
  <c r="G74" i="6"/>
  <c r="H74" i="6"/>
  <c r="I74" i="6"/>
  <c r="J15" i="18"/>
  <c r="J14" i="18"/>
  <c r="J13" i="18"/>
  <c r="J12" i="18"/>
  <c r="J11" i="18"/>
  <c r="J10" i="18"/>
  <c r="J9" i="18"/>
  <c r="J8" i="18"/>
  <c r="J7" i="18"/>
  <c r="J6" i="18"/>
  <c r="J5" i="18"/>
  <c r="J4" i="18"/>
  <c r="J3" i="18"/>
  <c r="G37" i="6"/>
  <c r="H37" i="6"/>
  <c r="I37" i="6"/>
  <c r="F38" i="6"/>
  <c r="G38" i="6"/>
  <c r="H38" i="6"/>
  <c r="I38" i="6"/>
  <c r="F41" i="6"/>
  <c r="F42" i="6" s="1"/>
  <c r="G41" i="6"/>
  <c r="H41" i="6"/>
  <c r="I41" i="6"/>
  <c r="G42" i="6"/>
  <c r="H42" i="6"/>
  <c r="I42" i="6"/>
  <c r="G43" i="6"/>
  <c r="H43" i="6"/>
  <c r="I43" i="6"/>
  <c r="G47" i="6"/>
  <c r="H47" i="6"/>
  <c r="I47" i="6"/>
  <c r="J6" i="5"/>
  <c r="E38" i="6" s="1"/>
  <c r="J7" i="5"/>
  <c r="J9" i="5"/>
  <c r="J10" i="5"/>
  <c r="P144" i="8" s="1"/>
  <c r="B8" i="5"/>
  <c r="C7" i="5"/>
  <c r="C6" i="5"/>
  <c r="D149" i="24"/>
  <c r="F47" i="6" l="1"/>
  <c r="F37" i="6"/>
  <c r="E37" i="6"/>
  <c r="I3" i="3"/>
  <c r="J3" i="3"/>
  <c r="K3" i="3"/>
  <c r="L3" i="3"/>
  <c r="H3" i="3"/>
  <c r="B3" i="5" l="1"/>
  <c r="D74" i="6" l="1"/>
  <c r="D15" i="24"/>
  <c r="I19" i="25"/>
  <c r="I51" i="25" s="1"/>
  <c r="J19" i="25"/>
  <c r="J44" i="25" s="1"/>
  <c r="J48" i="25" s="1"/>
  <c r="K19" i="25"/>
  <c r="K51" i="25" s="1"/>
  <c r="L19" i="25"/>
  <c r="L51" i="25" s="1"/>
  <c r="M19" i="25"/>
  <c r="M52" i="25" s="1"/>
  <c r="N19" i="25"/>
  <c r="N52" i="25" s="1"/>
  <c r="I20" i="25"/>
  <c r="I57" i="25" s="1"/>
  <c r="J20" i="25"/>
  <c r="J61" i="25" s="1"/>
  <c r="K20" i="25"/>
  <c r="K61" i="25" s="1"/>
  <c r="L20" i="25"/>
  <c r="L106" i="25" s="1"/>
  <c r="M20" i="25"/>
  <c r="M57" i="25" s="1"/>
  <c r="N20" i="25"/>
  <c r="N61" i="25" s="1"/>
  <c r="I21" i="25"/>
  <c r="I165" i="25" s="1"/>
  <c r="J21" i="25"/>
  <c r="J165" i="25" s="1"/>
  <c r="K21" i="25"/>
  <c r="K165" i="25" s="1"/>
  <c r="L21" i="25"/>
  <c r="L165" i="25" s="1"/>
  <c r="M21" i="25"/>
  <c r="N21" i="25"/>
  <c r="N165" i="25" s="1"/>
  <c r="I22" i="25"/>
  <c r="J22" i="25"/>
  <c r="K22" i="25"/>
  <c r="L22" i="25"/>
  <c r="M22" i="25"/>
  <c r="N22" i="25"/>
  <c r="I23" i="25"/>
  <c r="J23" i="25"/>
  <c r="K23" i="25"/>
  <c r="L23" i="25"/>
  <c r="M23" i="25"/>
  <c r="N23" i="25"/>
  <c r="I24" i="25"/>
  <c r="J24" i="25"/>
  <c r="K24" i="25"/>
  <c r="L24" i="25"/>
  <c r="M24" i="25"/>
  <c r="N24" i="25"/>
  <c r="I28" i="25"/>
  <c r="J28" i="25"/>
  <c r="K28" i="25"/>
  <c r="L28" i="25"/>
  <c r="M28" i="25"/>
  <c r="N28" i="25"/>
  <c r="I29" i="25"/>
  <c r="J29" i="25"/>
  <c r="K29" i="25"/>
  <c r="L29" i="25"/>
  <c r="M29" i="25"/>
  <c r="N29" i="25"/>
  <c r="I34" i="25"/>
  <c r="J34" i="25"/>
  <c r="K34" i="25"/>
  <c r="L34" i="25"/>
  <c r="M34" i="25"/>
  <c r="N34" i="25"/>
  <c r="I37" i="25"/>
  <c r="J37" i="25"/>
  <c r="K37" i="25"/>
  <c r="L37" i="25"/>
  <c r="M37" i="25"/>
  <c r="N37" i="25"/>
  <c r="I55" i="25"/>
  <c r="J55" i="25"/>
  <c r="K55" i="25"/>
  <c r="L55" i="25"/>
  <c r="M55" i="25"/>
  <c r="N55" i="25"/>
  <c r="I56" i="25"/>
  <c r="J56" i="25"/>
  <c r="K56" i="25"/>
  <c r="L56" i="25"/>
  <c r="M56" i="25"/>
  <c r="N56" i="25"/>
  <c r="I59" i="25"/>
  <c r="J59" i="25"/>
  <c r="K59" i="25"/>
  <c r="L59" i="25"/>
  <c r="M59" i="25"/>
  <c r="N59" i="25"/>
  <c r="I87" i="25"/>
  <c r="J87" i="25"/>
  <c r="K87" i="25"/>
  <c r="L87" i="25"/>
  <c r="M87" i="25"/>
  <c r="N87" i="25"/>
  <c r="I88" i="25"/>
  <c r="J88" i="25"/>
  <c r="K88" i="25"/>
  <c r="L88" i="25"/>
  <c r="M88" i="25"/>
  <c r="N88" i="25"/>
  <c r="I89" i="25"/>
  <c r="J89" i="25"/>
  <c r="K89" i="25"/>
  <c r="L89" i="25"/>
  <c r="M89" i="25"/>
  <c r="N89" i="25"/>
  <c r="I93" i="25"/>
  <c r="J93" i="25"/>
  <c r="K93" i="25"/>
  <c r="L93" i="25"/>
  <c r="M93" i="25"/>
  <c r="N93" i="25"/>
  <c r="I94" i="25"/>
  <c r="J94" i="25"/>
  <c r="K94" i="25"/>
  <c r="L94" i="25"/>
  <c r="M94" i="25"/>
  <c r="N94" i="25"/>
  <c r="I95" i="25"/>
  <c r="J95" i="25"/>
  <c r="K95" i="25"/>
  <c r="L95" i="25"/>
  <c r="M95" i="25"/>
  <c r="N95" i="25"/>
  <c r="M100" i="25"/>
  <c r="I101" i="25"/>
  <c r="J101" i="25"/>
  <c r="K101" i="25"/>
  <c r="L101" i="25"/>
  <c r="M101" i="25"/>
  <c r="N101" i="25"/>
  <c r="I107" i="25"/>
  <c r="J107" i="25"/>
  <c r="K107" i="25"/>
  <c r="L107" i="25"/>
  <c r="M107" i="25"/>
  <c r="N107" i="25"/>
  <c r="I111" i="25"/>
  <c r="J111" i="25"/>
  <c r="K111" i="25"/>
  <c r="L111" i="25"/>
  <c r="M111" i="25"/>
  <c r="N111" i="25"/>
  <c r="N112" i="25"/>
  <c r="M114" i="25"/>
  <c r="M128" i="25"/>
  <c r="I134" i="25"/>
  <c r="J134" i="25"/>
  <c r="K134" i="25"/>
  <c r="L134" i="25"/>
  <c r="M134" i="25"/>
  <c r="N134" i="25"/>
  <c r="I143" i="25"/>
  <c r="J143" i="25"/>
  <c r="K143" i="25"/>
  <c r="L143" i="25"/>
  <c r="M143" i="25"/>
  <c r="N143" i="25"/>
  <c r="I148" i="25"/>
  <c r="J148" i="25"/>
  <c r="K148" i="25"/>
  <c r="L148" i="25"/>
  <c r="M148" i="25"/>
  <c r="N148" i="25"/>
  <c r="I150" i="25"/>
  <c r="J150" i="25"/>
  <c r="K150" i="25"/>
  <c r="L150" i="25"/>
  <c r="M150" i="25"/>
  <c r="N150" i="25"/>
  <c r="I155" i="25"/>
  <c r="J155" i="25"/>
  <c r="K155" i="25"/>
  <c r="L155" i="25"/>
  <c r="M155" i="25"/>
  <c r="N155" i="25"/>
  <c r="I156" i="25"/>
  <c r="J156" i="25"/>
  <c r="K156" i="25"/>
  <c r="L156" i="25"/>
  <c r="M156" i="25"/>
  <c r="N156" i="25"/>
  <c r="I157" i="25"/>
  <c r="J157" i="25"/>
  <c r="K157" i="25"/>
  <c r="L157" i="25"/>
  <c r="M157" i="25"/>
  <c r="N157" i="25"/>
  <c r="I160" i="25"/>
  <c r="J160" i="25"/>
  <c r="K160" i="25"/>
  <c r="L160" i="25"/>
  <c r="M160" i="25"/>
  <c r="N160" i="25"/>
  <c r="I163" i="25"/>
  <c r="J163" i="25"/>
  <c r="K163" i="25"/>
  <c r="L163" i="25"/>
  <c r="M163" i="25"/>
  <c r="N163" i="25"/>
  <c r="I166" i="25"/>
  <c r="J166" i="25"/>
  <c r="K166" i="25"/>
  <c r="L166" i="25"/>
  <c r="M166" i="25"/>
  <c r="N166" i="25"/>
  <c r="I168" i="25"/>
  <c r="J168" i="25"/>
  <c r="K168" i="25"/>
  <c r="L168" i="25"/>
  <c r="M168" i="25"/>
  <c r="N168" i="25"/>
  <c r="I173" i="25"/>
  <c r="J173" i="25"/>
  <c r="K173" i="25"/>
  <c r="L173" i="25"/>
  <c r="M173" i="25"/>
  <c r="N173" i="25"/>
  <c r="I174" i="25"/>
  <c r="J174" i="25"/>
  <c r="K174" i="25"/>
  <c r="L174" i="25"/>
  <c r="M174" i="25"/>
  <c r="N174" i="25"/>
  <c r="I175" i="25"/>
  <c r="J175" i="25"/>
  <c r="K175" i="25"/>
  <c r="L175" i="25"/>
  <c r="M175" i="25"/>
  <c r="N175" i="25"/>
  <c r="I185" i="25"/>
  <c r="I186" i="25" s="1"/>
  <c r="J185" i="25"/>
  <c r="J186" i="25" s="1"/>
  <c r="K185" i="25"/>
  <c r="K186" i="25" s="1"/>
  <c r="L185" i="25"/>
  <c r="L186" i="25" s="1"/>
  <c r="M185" i="25"/>
  <c r="M186" i="25" s="1"/>
  <c r="N185" i="25"/>
  <c r="N186" i="25" s="1"/>
  <c r="B18" i="5"/>
  <c r="C18" i="5"/>
  <c r="D18" i="5"/>
  <c r="E18" i="5"/>
  <c r="B19" i="5"/>
  <c r="C19" i="5"/>
  <c r="D19" i="5"/>
  <c r="E19" i="5"/>
  <c r="E17" i="5"/>
  <c r="D17" i="5"/>
  <c r="C17" i="5"/>
  <c r="B17" i="5"/>
  <c r="H185" i="25"/>
  <c r="H186" i="25" s="1"/>
  <c r="G185" i="25"/>
  <c r="G186" i="25" s="1"/>
  <c r="F185" i="25"/>
  <c r="F186" i="25" s="1"/>
  <c r="E185" i="25"/>
  <c r="E186" i="25" s="1"/>
  <c r="H163" i="25"/>
  <c r="H143" i="25"/>
  <c r="G143" i="25"/>
  <c r="F143" i="25"/>
  <c r="E142" i="25"/>
  <c r="E143" i="25" s="1"/>
  <c r="H111" i="25"/>
  <c r="G111" i="25"/>
  <c r="F111" i="25"/>
  <c r="E111" i="25"/>
  <c r="H107" i="25"/>
  <c r="G107" i="25"/>
  <c r="F107" i="25"/>
  <c r="E107" i="25"/>
  <c r="D107" i="25"/>
  <c r="H101" i="25"/>
  <c r="H95" i="25"/>
  <c r="H94" i="25"/>
  <c r="G94" i="25"/>
  <c r="F94" i="25"/>
  <c r="E94" i="25"/>
  <c r="H93" i="25"/>
  <c r="H89" i="25"/>
  <c r="G89" i="25"/>
  <c r="F89" i="25"/>
  <c r="E89" i="25"/>
  <c r="H88" i="25"/>
  <c r="G88" i="25"/>
  <c r="F88" i="25"/>
  <c r="E88" i="25"/>
  <c r="H87" i="25"/>
  <c r="G87" i="25"/>
  <c r="F87" i="25"/>
  <c r="E87" i="25"/>
  <c r="H59" i="25"/>
  <c r="G59" i="25"/>
  <c r="F59" i="25"/>
  <c r="E59" i="25"/>
  <c r="H37" i="25"/>
  <c r="E37" i="25"/>
  <c r="H34" i="25"/>
  <c r="G34" i="25"/>
  <c r="F34" i="25"/>
  <c r="H28" i="25"/>
  <c r="G28" i="25"/>
  <c r="G29" i="25" s="1"/>
  <c r="F28" i="25"/>
  <c r="E28" i="25"/>
  <c r="H24" i="25"/>
  <c r="H23" i="25"/>
  <c r="H22" i="25"/>
  <c r="H21" i="25"/>
  <c r="H20" i="25"/>
  <c r="H57" i="25" s="1"/>
  <c r="H19" i="25"/>
  <c r="H44" i="25" s="1"/>
  <c r="H48" i="25" s="1"/>
  <c r="G44" i="25"/>
  <c r="G48" i="25" s="1"/>
  <c r="F44" i="25"/>
  <c r="F48" i="25" s="1"/>
  <c r="A2" i="25"/>
  <c r="G58" i="6"/>
  <c r="H58" i="6"/>
  <c r="I58" i="6"/>
  <c r="G59" i="6"/>
  <c r="H59" i="6"/>
  <c r="I59" i="6"/>
  <c r="D57" i="6"/>
  <c r="F19" i="5" l="1"/>
  <c r="M181" i="25"/>
  <c r="M189" i="25" s="1"/>
  <c r="I176" i="25"/>
  <c r="N181" i="25"/>
  <c r="N189" i="25" s="1"/>
  <c r="M180" i="25"/>
  <c r="M188" i="25" s="1"/>
  <c r="N180" i="25"/>
  <c r="N188" i="25" s="1"/>
  <c r="N176" i="25"/>
  <c r="J181" i="25"/>
  <c r="J189" i="25" s="1"/>
  <c r="M176" i="25"/>
  <c r="L180" i="25"/>
  <c r="L188" i="25" s="1"/>
  <c r="K180" i="25"/>
  <c r="K188" i="25" s="1"/>
  <c r="M96" i="25"/>
  <c r="L176" i="25"/>
  <c r="K176" i="25"/>
  <c r="I180" i="25"/>
  <c r="I188" i="25" s="1"/>
  <c r="L181" i="25"/>
  <c r="L189" i="25" s="1"/>
  <c r="K181" i="25"/>
  <c r="K189" i="25" s="1"/>
  <c r="J176" i="25"/>
  <c r="J180" i="25"/>
  <c r="J188" i="25" s="1"/>
  <c r="M112" i="25"/>
  <c r="J161" i="25"/>
  <c r="J52" i="25"/>
  <c r="J51" i="25"/>
  <c r="M44" i="25"/>
  <c r="M48" i="25" s="1"/>
  <c r="M161" i="25"/>
  <c r="I161" i="25"/>
  <c r="I44" i="25"/>
  <c r="I48" i="25" s="1"/>
  <c r="K161" i="25"/>
  <c r="M32" i="25"/>
  <c r="M42" i="25" s="1"/>
  <c r="M106" i="25"/>
  <c r="M61" i="25"/>
  <c r="M165" i="25"/>
  <c r="K114" i="25"/>
  <c r="K112" i="25"/>
  <c r="J112" i="25"/>
  <c r="I112" i="25"/>
  <c r="I106" i="25"/>
  <c r="K164" i="25"/>
  <c r="I164" i="25"/>
  <c r="I128" i="25"/>
  <c r="K106" i="25"/>
  <c r="K57" i="25"/>
  <c r="K58" i="25" s="1"/>
  <c r="E32" i="25"/>
  <c r="E42" i="25" s="1"/>
  <c r="K128" i="25"/>
  <c r="K44" i="25"/>
  <c r="K45" i="25" s="1"/>
  <c r="I32" i="25"/>
  <c r="I35" i="25" s="1"/>
  <c r="I100" i="25"/>
  <c r="N44" i="25"/>
  <c r="N48" i="25" s="1"/>
  <c r="L114" i="25"/>
  <c r="L44" i="25"/>
  <c r="L48" i="25" s="1"/>
  <c r="I96" i="25"/>
  <c r="L57" i="25"/>
  <c r="L58" i="25" s="1"/>
  <c r="N161" i="25"/>
  <c r="J96" i="25"/>
  <c r="N96" i="25"/>
  <c r="L39" i="25"/>
  <c r="L164" i="25"/>
  <c r="K39" i="25"/>
  <c r="K32" i="25"/>
  <c r="K42" i="25" s="1"/>
  <c r="F32" i="25"/>
  <c r="F42" i="25" s="1"/>
  <c r="N51" i="25"/>
  <c r="L100" i="25"/>
  <c r="L61" i="25"/>
  <c r="M51" i="25"/>
  <c r="L112" i="25"/>
  <c r="L128" i="25"/>
  <c r="K100" i="25"/>
  <c r="J45" i="25"/>
  <c r="I181" i="25"/>
  <c r="I189" i="25" s="1"/>
  <c r="M164" i="25"/>
  <c r="L161" i="25"/>
  <c r="I61" i="25"/>
  <c r="M39" i="25"/>
  <c r="L52" i="25"/>
  <c r="K96" i="25"/>
  <c r="K52" i="25"/>
  <c r="I39" i="25"/>
  <c r="I52" i="25"/>
  <c r="I114" i="25"/>
  <c r="I58" i="25"/>
  <c r="M58" i="25"/>
  <c r="N32" i="25"/>
  <c r="N39" i="25"/>
  <c r="N57" i="25"/>
  <c r="N58" i="25" s="1"/>
  <c r="N100" i="25"/>
  <c r="N106" i="25"/>
  <c r="N114" i="25"/>
  <c r="N128" i="25"/>
  <c r="N164" i="25"/>
  <c r="J32" i="25"/>
  <c r="J39" i="25"/>
  <c r="J57" i="25"/>
  <c r="J58" i="25" s="1"/>
  <c r="J100" i="25"/>
  <c r="J106" i="25"/>
  <c r="J114" i="25"/>
  <c r="J128" i="25"/>
  <c r="J164" i="25"/>
  <c r="L32" i="25"/>
  <c r="L96" i="25"/>
  <c r="F57" i="25"/>
  <c r="G32" i="25"/>
  <c r="G35" i="25" s="1"/>
  <c r="H96" i="25"/>
  <c r="F96" i="25"/>
  <c r="G57" i="25"/>
  <c r="G96" i="25"/>
  <c r="H148" i="25"/>
  <c r="H29" i="25"/>
  <c r="H45" i="25"/>
  <c r="E51" i="25"/>
  <c r="E100" i="25"/>
  <c r="F51" i="25"/>
  <c r="E106" i="25"/>
  <c r="F100" i="25"/>
  <c r="F106" i="25"/>
  <c r="F39" i="25"/>
  <c r="G45" i="25"/>
  <c r="G51" i="25"/>
  <c r="G52" i="25"/>
  <c r="H106" i="25"/>
  <c r="H100" i="25"/>
  <c r="E52" i="25"/>
  <c r="E39" i="25"/>
  <c r="F45" i="25"/>
  <c r="F52" i="25"/>
  <c r="G106" i="25"/>
  <c r="H32" i="25"/>
  <c r="G39" i="25"/>
  <c r="E44" i="25"/>
  <c r="E48" i="25" s="1"/>
  <c r="H51" i="25"/>
  <c r="H52" i="25"/>
  <c r="E57" i="25"/>
  <c r="E96" i="25"/>
  <c r="G100" i="25"/>
  <c r="I45" i="25" l="1"/>
  <c r="I46" i="25" s="1"/>
  <c r="I53" i="25" s="1"/>
  <c r="M45" i="25"/>
  <c r="M35" i="25"/>
  <c r="M49" i="25" s="1"/>
  <c r="M91" i="25"/>
  <c r="L45" i="25"/>
  <c r="I42" i="25"/>
  <c r="I49" i="25"/>
  <c r="E35" i="25"/>
  <c r="E49" i="25" s="1"/>
  <c r="N45" i="25"/>
  <c r="I91" i="25"/>
  <c r="K48" i="25"/>
  <c r="F35" i="25"/>
  <c r="F46" i="25" s="1"/>
  <c r="E91" i="25"/>
  <c r="E112" i="25" s="1"/>
  <c r="F91" i="25"/>
  <c r="F112" i="25" s="1"/>
  <c r="K35" i="25"/>
  <c r="K46" i="25" s="1"/>
  <c r="K53" i="25" s="1"/>
  <c r="K91" i="25"/>
  <c r="G42" i="25"/>
  <c r="N35" i="25"/>
  <c r="N42" i="25"/>
  <c r="N91" i="25"/>
  <c r="L42" i="25"/>
  <c r="L35" i="25"/>
  <c r="J35" i="25"/>
  <c r="J49" i="25" s="1"/>
  <c r="J42" i="25"/>
  <c r="J91" i="25"/>
  <c r="L91" i="25"/>
  <c r="G91" i="25"/>
  <c r="G112" i="25" s="1"/>
  <c r="G49" i="25"/>
  <c r="G46" i="25"/>
  <c r="G53" i="25" s="1"/>
  <c r="H91" i="25"/>
  <c r="H112" i="25" s="1"/>
  <c r="E29" i="25"/>
  <c r="F29" i="25"/>
  <c r="H42" i="25"/>
  <c r="H35" i="25"/>
  <c r="E45" i="25"/>
  <c r="H39" i="25"/>
  <c r="E142" i="24"/>
  <c r="G55" i="25" l="1"/>
  <c r="F18" i="5"/>
  <c r="F17" i="5"/>
  <c r="N46" i="25"/>
  <c r="N53" i="25" s="1"/>
  <c r="M46" i="25"/>
  <c r="M53" i="25" s="1"/>
  <c r="E46" i="25"/>
  <c r="E53" i="25" s="1"/>
  <c r="E56" i="25" s="1"/>
  <c r="F49" i="25"/>
  <c r="F55" i="25" s="1"/>
  <c r="J46" i="25"/>
  <c r="J53" i="25" s="1"/>
  <c r="K49" i="25"/>
  <c r="N49" i="25"/>
  <c r="L49" i="25"/>
  <c r="L46" i="25"/>
  <c r="L53" i="25" s="1"/>
  <c r="H46" i="25"/>
  <c r="H53" i="25" s="1"/>
  <c r="F53" i="25"/>
  <c r="H49" i="25"/>
  <c r="H55" i="25" s="1"/>
  <c r="F56" i="25" l="1"/>
  <c r="G56" i="25" s="1"/>
  <c r="E55" i="25"/>
  <c r="E58" i="25" s="1"/>
  <c r="E61" i="25" s="1"/>
  <c r="K34" i="8"/>
  <c r="P34" i="8"/>
  <c r="L34" i="8"/>
  <c r="M34" i="8"/>
  <c r="N34" i="8"/>
  <c r="O34" i="8"/>
  <c r="K35" i="8"/>
  <c r="P35" i="8"/>
  <c r="F6" i="8"/>
  <c r="F58" i="25" l="1"/>
  <c r="F61" i="25" s="1"/>
  <c r="H56" i="25"/>
  <c r="H58" i="25" s="1"/>
  <c r="H61" i="25" s="1"/>
  <c r="G58" i="25"/>
  <c r="G61" i="25" s="1"/>
  <c r="H48" i="6"/>
  <c r="G48" i="6"/>
  <c r="I48" i="6"/>
  <c r="G27" i="24"/>
  <c r="H128" i="25" l="1"/>
  <c r="H163" i="24"/>
  <c r="H134" i="25" l="1"/>
  <c r="Q147" i="8" l="1"/>
  <c r="Q141" i="8"/>
  <c r="Q90" i="8"/>
  <c r="Q86" i="8"/>
  <c r="Q82" i="8"/>
  <c r="Q68" i="8"/>
  <c r="Q64" i="8"/>
  <c r="Q46" i="8"/>
  <c r="Q42" i="8"/>
  <c r="D75" i="25" s="1"/>
  <c r="Q92" i="8"/>
  <c r="Q84" i="8"/>
  <c r="Q48" i="8"/>
  <c r="Q40" i="8"/>
  <c r="D73" i="25" s="1"/>
  <c r="Q105" i="8"/>
  <c r="Q91" i="8"/>
  <c r="Q83" i="8"/>
  <c r="Q69" i="8"/>
  <c r="Q47" i="8"/>
  <c r="Q39" i="8"/>
  <c r="D72" i="25" s="1"/>
  <c r="Q140" i="8"/>
  <c r="Q85" i="8"/>
  <c r="Q77" i="8"/>
  <c r="Q67" i="8"/>
  <c r="Q41" i="8"/>
  <c r="D74" i="25" s="1"/>
  <c r="Q106" i="8"/>
  <c r="Q88" i="8"/>
  <c r="Q66" i="8"/>
  <c r="Q44" i="8"/>
  <c r="D77" i="25" s="1"/>
  <c r="Q87" i="8"/>
  <c r="Q65" i="8"/>
  <c r="Q43" i="8"/>
  <c r="D76" i="25" s="1"/>
  <c r="J75" i="25" l="1"/>
  <c r="N75" i="25"/>
  <c r="K75" i="25"/>
  <c r="L75" i="25"/>
  <c r="I75" i="25"/>
  <c r="M75" i="25"/>
  <c r="F75" i="25"/>
  <c r="E75" i="25"/>
  <c r="H75" i="25"/>
  <c r="G75" i="25"/>
  <c r="J73" i="25"/>
  <c r="N73" i="25"/>
  <c r="K73" i="25"/>
  <c r="L73" i="25"/>
  <c r="I73" i="25"/>
  <c r="M73" i="25"/>
  <c r="F73" i="25"/>
  <c r="E73" i="25"/>
  <c r="H73" i="25"/>
  <c r="G73" i="25"/>
  <c r="J77" i="25"/>
  <c r="N77" i="25"/>
  <c r="K77" i="25"/>
  <c r="L77" i="25"/>
  <c r="I77" i="25"/>
  <c r="M77" i="25"/>
  <c r="E77" i="25"/>
  <c r="F77" i="25"/>
  <c r="H77" i="25"/>
  <c r="G77" i="25"/>
  <c r="K72" i="25"/>
  <c r="L72" i="25"/>
  <c r="I72" i="25"/>
  <c r="J72" i="25"/>
  <c r="N72" i="25"/>
  <c r="M72" i="25"/>
  <c r="F72" i="25"/>
  <c r="E72" i="25"/>
  <c r="H72" i="25"/>
  <c r="G72" i="25"/>
  <c r="K74" i="25"/>
  <c r="L74" i="25"/>
  <c r="N74" i="25"/>
  <c r="M74" i="25"/>
  <c r="J74" i="25"/>
  <c r="I74" i="25"/>
  <c r="E74" i="25"/>
  <c r="F74" i="25"/>
  <c r="H74" i="25"/>
  <c r="G74" i="25"/>
  <c r="K76" i="25"/>
  <c r="L76" i="25"/>
  <c r="J76" i="25"/>
  <c r="I76" i="25"/>
  <c r="M76" i="25"/>
  <c r="N76" i="25"/>
  <c r="E76" i="25"/>
  <c r="F76" i="25"/>
  <c r="H76" i="25"/>
  <c r="G76" i="25"/>
  <c r="H150" i="25"/>
  <c r="H180" i="25" s="1"/>
  <c r="H155" i="25"/>
  <c r="F24" i="5"/>
  <c r="D24" i="5"/>
  <c r="E84" i="6"/>
  <c r="E24" i="5" s="1"/>
  <c r="H188" i="25" l="1"/>
  <c r="H156" i="25"/>
  <c r="H157" i="25" s="1"/>
  <c r="E41" i="6"/>
  <c r="E42" i="6" s="1"/>
  <c r="G88" i="6"/>
  <c r="H88" i="6"/>
  <c r="I88" i="6"/>
  <c r="G90" i="6"/>
  <c r="H90" i="6"/>
  <c r="I90" i="6"/>
  <c r="G93" i="6"/>
  <c r="H93" i="6"/>
  <c r="I93" i="6"/>
  <c r="G94" i="6"/>
  <c r="H94" i="6"/>
  <c r="I94" i="6"/>
  <c r="G95" i="6"/>
  <c r="H95" i="6"/>
  <c r="I95" i="6"/>
  <c r="G96" i="6"/>
  <c r="H96" i="6"/>
  <c r="I96" i="6"/>
  <c r="G53" i="6"/>
  <c r="H53" i="6"/>
  <c r="I53" i="6"/>
  <c r="G54" i="6"/>
  <c r="H54" i="6"/>
  <c r="I54" i="6"/>
  <c r="F12" i="6"/>
  <c r="G12" i="6"/>
  <c r="H12" i="6"/>
  <c r="I12" i="6"/>
  <c r="F17" i="6"/>
  <c r="G17" i="6"/>
  <c r="H17" i="6"/>
  <c r="I17" i="6"/>
  <c r="F26" i="6"/>
  <c r="G26" i="6"/>
  <c r="H26" i="6"/>
  <c r="I26" i="6"/>
  <c r="F32" i="6"/>
  <c r="G32" i="6"/>
  <c r="H32" i="6"/>
  <c r="I32" i="6"/>
  <c r="G33" i="6"/>
  <c r="H33" i="6"/>
  <c r="I33" i="6"/>
  <c r="E26" i="6"/>
  <c r="E12" i="6"/>
  <c r="F185" i="24"/>
  <c r="F186" i="24" s="1"/>
  <c r="G185" i="24"/>
  <c r="G186" i="24" s="1"/>
  <c r="H185" i="24"/>
  <c r="H186" i="24" s="1"/>
  <c r="E185" i="24"/>
  <c r="E186" i="24" s="1"/>
  <c r="F87" i="24"/>
  <c r="G87" i="24"/>
  <c r="H87" i="24"/>
  <c r="F88" i="24"/>
  <c r="G88" i="24"/>
  <c r="H88" i="24"/>
  <c r="F89" i="24"/>
  <c r="G89" i="24"/>
  <c r="H89" i="24"/>
  <c r="F94" i="24"/>
  <c r="G94" i="24"/>
  <c r="H94" i="24"/>
  <c r="H95" i="24"/>
  <c r="H101" i="24"/>
  <c r="F107" i="24"/>
  <c r="G107" i="24"/>
  <c r="H107" i="24"/>
  <c r="F111" i="24"/>
  <c r="G111" i="24"/>
  <c r="H111" i="24"/>
  <c r="F143" i="24"/>
  <c r="G143" i="24"/>
  <c r="H143" i="24"/>
  <c r="H59" i="24"/>
  <c r="G59" i="24"/>
  <c r="F59" i="24"/>
  <c r="H37" i="24"/>
  <c r="H34" i="24"/>
  <c r="G34" i="24"/>
  <c r="F34" i="24"/>
  <c r="F43" i="6" l="1"/>
  <c r="F48" i="6" s="1"/>
  <c r="F58" i="6"/>
  <c r="F53" i="6"/>
  <c r="F33" i="6"/>
  <c r="H160" i="25"/>
  <c r="H161" i="25"/>
  <c r="H164" i="25"/>
  <c r="H165" i="25"/>
  <c r="H166" i="25" l="1"/>
  <c r="H168" i="25" s="1"/>
  <c r="I4" i="1"/>
  <c r="I3" i="1"/>
  <c r="H181" i="25" l="1"/>
  <c r="H174" i="25"/>
  <c r="H175" i="25"/>
  <c r="K202" i="24"/>
  <c r="K203" i="24"/>
  <c r="K204" i="24"/>
  <c r="K205" i="24"/>
  <c r="K206" i="24"/>
  <c r="K207" i="24"/>
  <c r="K208" i="24"/>
  <c r="K209" i="24"/>
  <c r="K210" i="24"/>
  <c r="K211" i="24"/>
  <c r="K212" i="24"/>
  <c r="K213" i="24"/>
  <c r="K214" i="24"/>
  <c r="K215" i="24"/>
  <c r="K216" i="24"/>
  <c r="K217" i="24"/>
  <c r="K218" i="24"/>
  <c r="K219" i="24"/>
  <c r="K220" i="24"/>
  <c r="K196" i="24"/>
  <c r="K197" i="24"/>
  <c r="K198" i="24"/>
  <c r="K199" i="24"/>
  <c r="K200" i="24"/>
  <c r="K201" i="24"/>
  <c r="K195" i="24"/>
  <c r="E27" i="24" s="1"/>
  <c r="H173" i="25" l="1"/>
  <c r="H176" i="25"/>
  <c r="H189" i="25"/>
  <c r="I185" i="24"/>
  <c r="I186" i="24" s="1"/>
  <c r="I175" i="24"/>
  <c r="I174" i="24"/>
  <c r="I173" i="24"/>
  <c r="H13" i="1" l="1"/>
  <c r="H11" i="1"/>
  <c r="H10" i="1"/>
  <c r="F28" i="24"/>
  <c r="G28" i="24"/>
  <c r="H28" i="24"/>
  <c r="E28" i="24"/>
  <c r="F96" i="24" l="1"/>
  <c r="G96" i="24"/>
  <c r="H93" i="24"/>
  <c r="H96" i="24" s="1"/>
  <c r="J35" i="8" l="1"/>
  <c r="J34" i="8"/>
  <c r="D51" i="6" l="1"/>
  <c r="F54" i="6" s="1"/>
  <c r="F59" i="6" s="1"/>
  <c r="E47" i="6" l="1"/>
  <c r="I149" i="24" l="1"/>
  <c r="I17" i="24" l="1"/>
  <c r="I19" i="24"/>
  <c r="I20" i="24"/>
  <c r="I21" i="24"/>
  <c r="I22" i="24"/>
  <c r="I23" i="24"/>
  <c r="I24" i="24"/>
  <c r="B24" i="5" l="1"/>
  <c r="G77" i="6" l="1"/>
  <c r="H77" i="6"/>
  <c r="I77" i="6"/>
  <c r="G75" i="6"/>
  <c r="H75" i="6"/>
  <c r="I75" i="6"/>
  <c r="I89" i="6" l="1"/>
  <c r="H89" i="6"/>
  <c r="G89" i="6"/>
  <c r="H82" i="6" l="1"/>
  <c r="H85" i="6"/>
  <c r="G82" i="6"/>
  <c r="G85" i="6"/>
  <c r="I82" i="6"/>
  <c r="I85" i="6"/>
  <c r="E20" i="5"/>
  <c r="L6" i="9" l="1"/>
  <c r="K6" i="9" s="1"/>
  <c r="L28" i="3" l="1"/>
  <c r="I28" i="3"/>
  <c r="H28" i="3"/>
  <c r="J28" i="3"/>
  <c r="K28" i="3"/>
  <c r="H148" i="24" s="1"/>
  <c r="G148" i="24" l="1"/>
  <c r="G148" i="25"/>
  <c r="F148" i="24"/>
  <c r="F148" i="25"/>
  <c r="E148" i="24"/>
  <c r="E148" i="25"/>
  <c r="H75" i="8"/>
  <c r="D6" i="8"/>
  <c r="G44" i="24" l="1"/>
  <c r="G48" i="24" s="1"/>
  <c r="G52" i="24"/>
  <c r="G51" i="24"/>
  <c r="F44" i="24"/>
  <c r="F48" i="24" s="1"/>
  <c r="F51" i="24"/>
  <c r="F52" i="24"/>
  <c r="E52" i="24"/>
  <c r="E51" i="24"/>
  <c r="G45" i="24"/>
  <c r="I148" i="24"/>
  <c r="E20" i="16"/>
  <c r="E21" i="16"/>
  <c r="E22" i="16"/>
  <c r="E23" i="16"/>
  <c r="E24" i="16"/>
  <c r="E25" i="16"/>
  <c r="E26" i="16"/>
  <c r="E27" i="16"/>
  <c r="E28" i="16"/>
  <c r="E29" i="16"/>
  <c r="E3" i="16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" i="16"/>
  <c r="F45" i="24" l="1"/>
  <c r="I163" i="24"/>
  <c r="I150" i="24"/>
  <c r="I142" i="24"/>
  <c r="I143" i="24" s="1"/>
  <c r="E143" i="24"/>
  <c r="I111" i="24"/>
  <c r="E111" i="24"/>
  <c r="I107" i="24"/>
  <c r="E107" i="24"/>
  <c r="D107" i="24"/>
  <c r="I101" i="24"/>
  <c r="I95" i="24"/>
  <c r="I94" i="24"/>
  <c r="E94" i="24"/>
  <c r="I93" i="24"/>
  <c r="I90" i="24"/>
  <c r="I89" i="24"/>
  <c r="E89" i="24"/>
  <c r="I88" i="24"/>
  <c r="E88" i="24"/>
  <c r="I87" i="24"/>
  <c r="E87" i="24"/>
  <c r="I59" i="24"/>
  <c r="E59" i="24"/>
  <c r="E44" i="24"/>
  <c r="E48" i="24" s="1"/>
  <c r="I38" i="24"/>
  <c r="I37" i="24"/>
  <c r="E37" i="24"/>
  <c r="I34" i="24"/>
  <c r="I29" i="24"/>
  <c r="I28" i="24"/>
  <c r="I44" i="24"/>
  <c r="I48" i="24" s="1"/>
  <c r="A2" i="24"/>
  <c r="H44" i="24" l="1"/>
  <c r="H48" i="24" s="1"/>
  <c r="H51" i="24"/>
  <c r="H52" i="24"/>
  <c r="H32" i="24"/>
  <c r="H39" i="24" s="1"/>
  <c r="H100" i="24"/>
  <c r="H106" i="24"/>
  <c r="H57" i="24"/>
  <c r="E100" i="24"/>
  <c r="E106" i="24"/>
  <c r="E32" i="24"/>
  <c r="E91" i="24" s="1"/>
  <c r="E57" i="24"/>
  <c r="F100" i="24"/>
  <c r="F106" i="24"/>
  <c r="F32" i="24"/>
  <c r="F57" i="24"/>
  <c r="G100" i="24"/>
  <c r="G32" i="24"/>
  <c r="G106" i="24"/>
  <c r="G57" i="24"/>
  <c r="I180" i="24"/>
  <c r="I188" i="24" s="1"/>
  <c r="I176" i="24"/>
  <c r="I32" i="24"/>
  <c r="I91" i="24" s="1"/>
  <c r="I112" i="24" s="1"/>
  <c r="I57" i="24"/>
  <c r="I96" i="24"/>
  <c r="I100" i="24"/>
  <c r="I106" i="24"/>
  <c r="E45" i="24"/>
  <c r="I45" i="24"/>
  <c r="H45" i="24" l="1"/>
  <c r="E39" i="24"/>
  <c r="G39" i="24"/>
  <c r="F39" i="24"/>
  <c r="F91" i="24"/>
  <c r="F112" i="24" s="1"/>
  <c r="F35" i="24"/>
  <c r="F42" i="24"/>
  <c r="G42" i="24"/>
  <c r="G35" i="24"/>
  <c r="G91" i="24"/>
  <c r="G112" i="24" s="1"/>
  <c r="E35" i="24"/>
  <c r="E42" i="24"/>
  <c r="H35" i="24"/>
  <c r="H49" i="24" s="1"/>
  <c r="H91" i="24"/>
  <c r="H112" i="24" s="1"/>
  <c r="H42" i="24"/>
  <c r="I39" i="24"/>
  <c r="I35" i="24"/>
  <c r="I42" i="24"/>
  <c r="E46" i="24" l="1"/>
  <c r="E53" i="24" s="1"/>
  <c r="E56" i="24" s="1"/>
  <c r="G49" i="24"/>
  <c r="F46" i="24"/>
  <c r="G46" i="24"/>
  <c r="F49" i="24"/>
  <c r="E49" i="24"/>
  <c r="H46" i="24"/>
  <c r="H53" i="24" s="1"/>
  <c r="I49" i="24"/>
  <c r="I46" i="24"/>
  <c r="E55" i="24" l="1"/>
  <c r="G55" i="24"/>
  <c r="F55" i="24"/>
  <c r="H55" i="24"/>
  <c r="F53" i="24"/>
  <c r="F56" i="24" s="1"/>
  <c r="G53" i="24"/>
  <c r="I53" i="24"/>
  <c r="I56" i="24" s="1"/>
  <c r="I55" i="24"/>
  <c r="F58" i="24" l="1"/>
  <c r="F61" i="24" s="1"/>
  <c r="G56" i="24"/>
  <c r="H56" i="24" s="1"/>
  <c r="H58" i="24" s="1"/>
  <c r="H61" i="24" s="1"/>
  <c r="I58" i="24"/>
  <c r="I61" i="24" s="1"/>
  <c r="G58" i="24" l="1"/>
  <c r="G61" i="24" s="1"/>
  <c r="I128" i="24"/>
  <c r="G34" i="6" l="1"/>
  <c r="H34" i="6"/>
  <c r="I34" i="6"/>
  <c r="F34" i="6" l="1"/>
  <c r="F88" i="6" s="1"/>
  <c r="L7" i="9"/>
  <c r="K7" i="9" s="1"/>
  <c r="L8" i="9"/>
  <c r="K8" i="9" s="1"/>
  <c r="L9" i="9"/>
  <c r="K9" i="9" s="1"/>
  <c r="L10" i="9"/>
  <c r="K10" i="9" s="1"/>
  <c r="L11" i="9"/>
  <c r="K11" i="9" s="1"/>
  <c r="L12" i="9"/>
  <c r="K12" i="9" s="1"/>
  <c r="L13" i="9"/>
  <c r="K13" i="9" s="1"/>
  <c r="L14" i="9"/>
  <c r="K14" i="9" s="1"/>
  <c r="L15" i="9"/>
  <c r="K15" i="9" s="1"/>
  <c r="L16" i="9"/>
  <c r="K16" i="9" s="1"/>
  <c r="L17" i="9"/>
  <c r="K17" i="9" s="1"/>
  <c r="L18" i="9"/>
  <c r="K18" i="9" s="1"/>
  <c r="L19" i="9"/>
  <c r="K19" i="9" s="1"/>
  <c r="L20" i="9"/>
  <c r="K20" i="9" s="1"/>
  <c r="L21" i="9"/>
  <c r="K21" i="9" s="1"/>
  <c r="L22" i="9"/>
  <c r="K22" i="9" s="1"/>
  <c r="L23" i="9"/>
  <c r="K23" i="9" s="1"/>
  <c r="L24" i="9"/>
  <c r="K24" i="9" s="1"/>
  <c r="L25" i="9"/>
  <c r="K25" i="9" s="1"/>
  <c r="G149" i="25" l="1"/>
  <c r="G150" i="25" s="1"/>
  <c r="G180" i="25" s="1"/>
  <c r="G188" i="25" s="1"/>
  <c r="E149" i="25"/>
  <c r="F149" i="25"/>
  <c r="F150" i="25" s="1"/>
  <c r="F180" i="25" s="1"/>
  <c r="F188" i="25" s="1"/>
  <c r="F93" i="6"/>
  <c r="L4" i="9"/>
  <c r="E17" i="6" l="1"/>
  <c r="C45" i="8" l="1"/>
  <c r="I106" i="8"/>
  <c r="I105" i="8"/>
  <c r="H102" i="8"/>
  <c r="H101" i="8"/>
  <c r="H100" i="8"/>
  <c r="H99" i="8"/>
  <c r="I83" i="8"/>
  <c r="I84" i="8"/>
  <c r="I85" i="8"/>
  <c r="I86" i="8"/>
  <c r="I87" i="8"/>
  <c r="I88" i="8"/>
  <c r="I90" i="8"/>
  <c r="I91" i="8"/>
  <c r="I92" i="8"/>
  <c r="I82" i="8"/>
  <c r="H94" i="8"/>
  <c r="H93" i="8"/>
  <c r="H89" i="8"/>
  <c r="Q89" i="8" s="1"/>
  <c r="I77" i="8"/>
  <c r="H73" i="8"/>
  <c r="H72" i="8"/>
  <c r="I69" i="8"/>
  <c r="I68" i="8"/>
  <c r="I67" i="8"/>
  <c r="I66" i="8"/>
  <c r="I65" i="8"/>
  <c r="I64" i="8"/>
  <c r="H45" i="8"/>
  <c r="Q45" i="8" s="1"/>
  <c r="D135" i="25" l="1"/>
  <c r="D136" i="25"/>
  <c r="D156" i="25"/>
  <c r="D65" i="6" s="1"/>
  <c r="D82" i="25"/>
  <c r="D122" i="25"/>
  <c r="D155" i="25"/>
  <c r="D64" i="6" s="1"/>
  <c r="F64" i="6" s="1"/>
  <c r="F66" i="6" s="1"/>
  <c r="K85" i="8"/>
  <c r="L85" i="8" s="1"/>
  <c r="M85" i="8" s="1"/>
  <c r="N85" i="8" s="1"/>
  <c r="O85" i="8" s="1"/>
  <c r="P85" i="8" s="1"/>
  <c r="J85" i="8"/>
  <c r="I99" i="8"/>
  <c r="Q99" i="8"/>
  <c r="D129" i="25" s="1"/>
  <c r="I73" i="8"/>
  <c r="Q73" i="8"/>
  <c r="D118" i="25" s="1"/>
  <c r="K77" i="8"/>
  <c r="L77" i="8" s="1"/>
  <c r="M77" i="8" s="1"/>
  <c r="N77" i="8" s="1"/>
  <c r="O77" i="8" s="1"/>
  <c r="P77" i="8" s="1"/>
  <c r="J77" i="8"/>
  <c r="I100" i="8"/>
  <c r="Q100" i="8"/>
  <c r="D130" i="25" s="1"/>
  <c r="K83" i="8"/>
  <c r="L83" i="8" s="1"/>
  <c r="M83" i="8" s="1"/>
  <c r="N83" i="8" s="1"/>
  <c r="O83" i="8" s="1"/>
  <c r="P83" i="8" s="1"/>
  <c r="J83" i="8"/>
  <c r="I94" i="8"/>
  <c r="Q94" i="8"/>
  <c r="I101" i="8"/>
  <c r="Q101" i="8"/>
  <c r="D131" i="25" s="1"/>
  <c r="K86" i="8"/>
  <c r="L86" i="8" s="1"/>
  <c r="M86" i="8" s="1"/>
  <c r="N86" i="8" s="1"/>
  <c r="O86" i="8" s="1"/>
  <c r="P86" i="8" s="1"/>
  <c r="J86" i="8"/>
  <c r="I98" i="8"/>
  <c r="Q98" i="8"/>
  <c r="D128" i="25" s="1"/>
  <c r="K65" i="8"/>
  <c r="L65" i="8" s="1"/>
  <c r="M65" i="8" s="1"/>
  <c r="N65" i="8" s="1"/>
  <c r="O65" i="8" s="1"/>
  <c r="P65" i="8" s="1"/>
  <c r="J65" i="8"/>
  <c r="K67" i="8"/>
  <c r="L67" i="8" s="1"/>
  <c r="M67" i="8" s="1"/>
  <c r="N67" i="8" s="1"/>
  <c r="O67" i="8" s="1"/>
  <c r="P67" i="8" s="1"/>
  <c r="J67" i="8"/>
  <c r="K91" i="8"/>
  <c r="L91" i="8" s="1"/>
  <c r="M91" i="8" s="1"/>
  <c r="N91" i="8" s="1"/>
  <c r="O91" i="8" s="1"/>
  <c r="P91" i="8" s="1"/>
  <c r="J91" i="8"/>
  <c r="I102" i="8"/>
  <c r="Q102" i="8"/>
  <c r="D132" i="25" s="1"/>
  <c r="I75" i="8"/>
  <c r="Q75" i="8"/>
  <c r="D120" i="25" s="1"/>
  <c r="K84" i="8"/>
  <c r="L84" i="8" s="1"/>
  <c r="M84" i="8" s="1"/>
  <c r="N84" i="8" s="1"/>
  <c r="O84" i="8" s="1"/>
  <c r="P84" i="8" s="1"/>
  <c r="J84" i="8"/>
  <c r="I93" i="8"/>
  <c r="Q93" i="8"/>
  <c r="K82" i="8"/>
  <c r="L82" i="8" s="1"/>
  <c r="M82" i="8" s="1"/>
  <c r="N82" i="8" s="1"/>
  <c r="O82" i="8" s="1"/>
  <c r="P82" i="8" s="1"/>
  <c r="J82" i="8"/>
  <c r="K66" i="8"/>
  <c r="L66" i="8" s="1"/>
  <c r="M66" i="8" s="1"/>
  <c r="N66" i="8" s="1"/>
  <c r="O66" i="8" s="1"/>
  <c r="P66" i="8" s="1"/>
  <c r="J66" i="8"/>
  <c r="K90" i="8"/>
  <c r="L90" i="8" s="1"/>
  <c r="M90" i="8" s="1"/>
  <c r="N90" i="8" s="1"/>
  <c r="O90" i="8" s="1"/>
  <c r="P90" i="8" s="1"/>
  <c r="J90" i="8"/>
  <c r="K105" i="8"/>
  <c r="L105" i="8" s="1"/>
  <c r="M105" i="8" s="1"/>
  <c r="N105" i="8" s="1"/>
  <c r="O105" i="8" s="1"/>
  <c r="P105" i="8" s="1"/>
  <c r="J105" i="8"/>
  <c r="K64" i="8"/>
  <c r="L64" i="8" s="1"/>
  <c r="M64" i="8" s="1"/>
  <c r="N64" i="8" s="1"/>
  <c r="O64" i="8" s="1"/>
  <c r="P64" i="8" s="1"/>
  <c r="J64" i="8"/>
  <c r="K92" i="8"/>
  <c r="L92" i="8" s="1"/>
  <c r="M92" i="8" s="1"/>
  <c r="N92" i="8" s="1"/>
  <c r="O92" i="8" s="1"/>
  <c r="P92" i="8" s="1"/>
  <c r="J92" i="8"/>
  <c r="K68" i="8"/>
  <c r="L68" i="8" s="1"/>
  <c r="M68" i="8" s="1"/>
  <c r="N68" i="8" s="1"/>
  <c r="O68" i="8" s="1"/>
  <c r="P68" i="8" s="1"/>
  <c r="J68" i="8"/>
  <c r="K69" i="8"/>
  <c r="L69" i="8" s="1"/>
  <c r="M69" i="8" s="1"/>
  <c r="N69" i="8" s="1"/>
  <c r="O69" i="8" s="1"/>
  <c r="P69" i="8" s="1"/>
  <c r="J69" i="8"/>
  <c r="K88" i="8"/>
  <c r="L88" i="8" s="1"/>
  <c r="M88" i="8" s="1"/>
  <c r="N88" i="8" s="1"/>
  <c r="O88" i="8" s="1"/>
  <c r="P88" i="8" s="1"/>
  <c r="J88" i="8"/>
  <c r="K106" i="8"/>
  <c r="L106" i="8" s="1"/>
  <c r="M106" i="8" s="1"/>
  <c r="N106" i="8" s="1"/>
  <c r="O106" i="8" s="1"/>
  <c r="P106" i="8" s="1"/>
  <c r="J106" i="8"/>
  <c r="H74" i="8"/>
  <c r="Q72" i="8"/>
  <c r="D117" i="25" s="1"/>
  <c r="K87" i="8"/>
  <c r="L87" i="8" s="1"/>
  <c r="M87" i="8" s="1"/>
  <c r="N87" i="8" s="1"/>
  <c r="O87" i="8" s="1"/>
  <c r="P87" i="8" s="1"/>
  <c r="J87" i="8"/>
  <c r="I72" i="8"/>
  <c r="I89" i="8"/>
  <c r="H95" i="8"/>
  <c r="Q95" i="8" s="1"/>
  <c r="E128" i="25" l="1"/>
  <c r="F128" i="25"/>
  <c r="G128" i="25"/>
  <c r="F69" i="6"/>
  <c r="F70" i="6"/>
  <c r="F73" i="6"/>
  <c r="F74" i="6"/>
  <c r="I122" i="25"/>
  <c r="K122" i="25"/>
  <c r="J122" i="25"/>
  <c r="N122" i="25"/>
  <c r="F122" i="25"/>
  <c r="E122" i="25"/>
  <c r="G122" i="25"/>
  <c r="H122" i="25"/>
  <c r="L122" i="25"/>
  <c r="M122" i="25"/>
  <c r="N82" i="25"/>
  <c r="K82" i="25"/>
  <c r="F82" i="25"/>
  <c r="E82" i="25"/>
  <c r="G82" i="25"/>
  <c r="H82" i="25"/>
  <c r="L82" i="25"/>
  <c r="I82" i="25"/>
  <c r="M82" i="25"/>
  <c r="J82" i="25"/>
  <c r="I135" i="25"/>
  <c r="N135" i="25"/>
  <c r="M135" i="25"/>
  <c r="K135" i="25"/>
  <c r="F135" i="25"/>
  <c r="E135" i="25"/>
  <c r="G135" i="25"/>
  <c r="L135" i="25"/>
  <c r="J135" i="25"/>
  <c r="H135" i="25"/>
  <c r="I117" i="25"/>
  <c r="M117" i="25"/>
  <c r="J117" i="25"/>
  <c r="N117" i="25"/>
  <c r="K117" i="25"/>
  <c r="L117" i="25"/>
  <c r="F117" i="25"/>
  <c r="E117" i="25"/>
  <c r="G117" i="25"/>
  <c r="H117" i="25"/>
  <c r="I120" i="25"/>
  <c r="K120" i="25"/>
  <c r="L120" i="25"/>
  <c r="M120" i="25"/>
  <c r="N120" i="25"/>
  <c r="J120" i="25"/>
  <c r="E120" i="25"/>
  <c r="F120" i="25"/>
  <c r="H120" i="25"/>
  <c r="G120" i="25"/>
  <c r="L118" i="25"/>
  <c r="M118" i="25"/>
  <c r="I118" i="25"/>
  <c r="K118" i="25"/>
  <c r="J118" i="25"/>
  <c r="N118" i="25"/>
  <c r="E118" i="25"/>
  <c r="F118" i="25"/>
  <c r="G118" i="25"/>
  <c r="H118" i="25"/>
  <c r="K89" i="8"/>
  <c r="L89" i="8" s="1"/>
  <c r="M89" i="8" s="1"/>
  <c r="N89" i="8" s="1"/>
  <c r="O89" i="8" s="1"/>
  <c r="P89" i="8" s="1"/>
  <c r="J89" i="8"/>
  <c r="K93" i="8"/>
  <c r="L93" i="8" s="1"/>
  <c r="M93" i="8" s="1"/>
  <c r="N93" i="8" s="1"/>
  <c r="O93" i="8" s="1"/>
  <c r="P93" i="8" s="1"/>
  <c r="J93" i="8"/>
  <c r="K100" i="8"/>
  <c r="L100" i="8" s="1"/>
  <c r="M100" i="8" s="1"/>
  <c r="N100" i="8" s="1"/>
  <c r="O100" i="8" s="1"/>
  <c r="P100" i="8" s="1"/>
  <c r="J100" i="8"/>
  <c r="K98" i="8"/>
  <c r="L98" i="8" s="1"/>
  <c r="M98" i="8" s="1"/>
  <c r="N98" i="8" s="1"/>
  <c r="O98" i="8" s="1"/>
  <c r="P98" i="8" s="1"/>
  <c r="J98" i="8"/>
  <c r="K75" i="8"/>
  <c r="L75" i="8" s="1"/>
  <c r="M75" i="8" s="1"/>
  <c r="N75" i="8" s="1"/>
  <c r="O75" i="8" s="1"/>
  <c r="P75" i="8" s="1"/>
  <c r="J75" i="8"/>
  <c r="K73" i="8"/>
  <c r="L73" i="8" s="1"/>
  <c r="M73" i="8" s="1"/>
  <c r="N73" i="8" s="1"/>
  <c r="O73" i="8" s="1"/>
  <c r="P73" i="8" s="1"/>
  <c r="J73" i="8"/>
  <c r="K72" i="8"/>
  <c r="L72" i="8" s="1"/>
  <c r="M72" i="8" s="1"/>
  <c r="N72" i="8" s="1"/>
  <c r="O72" i="8" s="1"/>
  <c r="P72" i="8" s="1"/>
  <c r="J72" i="8"/>
  <c r="K102" i="8"/>
  <c r="L102" i="8" s="1"/>
  <c r="M102" i="8" s="1"/>
  <c r="N102" i="8" s="1"/>
  <c r="O102" i="8" s="1"/>
  <c r="P102" i="8" s="1"/>
  <c r="J102" i="8"/>
  <c r="K101" i="8"/>
  <c r="L101" i="8" s="1"/>
  <c r="M101" i="8" s="1"/>
  <c r="N101" i="8" s="1"/>
  <c r="O101" i="8" s="1"/>
  <c r="P101" i="8" s="1"/>
  <c r="J101" i="8"/>
  <c r="K99" i="8"/>
  <c r="L99" i="8" s="1"/>
  <c r="M99" i="8" s="1"/>
  <c r="N99" i="8" s="1"/>
  <c r="O99" i="8" s="1"/>
  <c r="P99" i="8" s="1"/>
  <c r="J99" i="8"/>
  <c r="I74" i="8"/>
  <c r="Q74" i="8"/>
  <c r="D119" i="25" s="1"/>
  <c r="K94" i="8"/>
  <c r="L94" i="8" s="1"/>
  <c r="M94" i="8" s="1"/>
  <c r="N94" i="8" s="1"/>
  <c r="O94" i="8" s="1"/>
  <c r="P94" i="8" s="1"/>
  <c r="J94" i="8"/>
  <c r="H103" i="8"/>
  <c r="Q103" i="8" s="1"/>
  <c r="D133" i="25" s="1"/>
  <c r="I95" i="8"/>
  <c r="I21" i="18"/>
  <c r="I20" i="18"/>
  <c r="I19" i="18"/>
  <c r="I18" i="18"/>
  <c r="G21" i="18"/>
  <c r="G20" i="18"/>
  <c r="G19" i="18"/>
  <c r="G18" i="18"/>
  <c r="K119" i="25" l="1"/>
  <c r="L119" i="25"/>
  <c r="I119" i="25"/>
  <c r="M119" i="25"/>
  <c r="J119" i="25"/>
  <c r="N119" i="25"/>
  <c r="F119" i="25"/>
  <c r="E119" i="25"/>
  <c r="G119" i="25"/>
  <c r="H119" i="25"/>
  <c r="K95" i="8"/>
  <c r="L95" i="8" s="1"/>
  <c r="M95" i="8" s="1"/>
  <c r="N95" i="8" s="1"/>
  <c r="O95" i="8" s="1"/>
  <c r="P95" i="8" s="1"/>
  <c r="J95" i="8"/>
  <c r="K74" i="8"/>
  <c r="L74" i="8" s="1"/>
  <c r="M74" i="8" s="1"/>
  <c r="N74" i="8" s="1"/>
  <c r="O74" i="8" s="1"/>
  <c r="P74" i="8" s="1"/>
  <c r="J74" i="8"/>
  <c r="I103" i="8"/>
  <c r="K103" i="8" l="1"/>
  <c r="L103" i="8" s="1"/>
  <c r="M103" i="8" s="1"/>
  <c r="N103" i="8" s="1"/>
  <c r="O103" i="8" s="1"/>
  <c r="P103" i="8" s="1"/>
  <c r="J103" i="8"/>
  <c r="F20" i="5" l="1"/>
  <c r="I140" i="8" l="1"/>
  <c r="K140" i="8" l="1"/>
  <c r="L140" i="8" s="1"/>
  <c r="M140" i="8" s="1"/>
  <c r="N140" i="8" s="1"/>
  <c r="O140" i="8" s="1"/>
  <c r="P140" i="8" s="1"/>
  <c r="J140" i="8"/>
  <c r="I141" i="8"/>
  <c r="K141" i="8" l="1"/>
  <c r="L141" i="8" s="1"/>
  <c r="M141" i="8" s="1"/>
  <c r="N141" i="8" s="1"/>
  <c r="O141" i="8" s="1"/>
  <c r="P141" i="8" s="1"/>
  <c r="J141" i="8"/>
  <c r="E96" i="24"/>
  <c r="O35" i="8"/>
  <c r="N35" i="8"/>
  <c r="M35" i="8"/>
  <c r="L35" i="8"/>
  <c r="P146" i="8"/>
  <c r="O146" i="8"/>
  <c r="N146" i="8"/>
  <c r="M146" i="8"/>
  <c r="L146" i="8"/>
  <c r="P145" i="8"/>
  <c r="O145" i="8"/>
  <c r="N145" i="8"/>
  <c r="M145" i="8"/>
  <c r="L145" i="8"/>
  <c r="N144" i="8"/>
  <c r="M144" i="8"/>
  <c r="L144" i="8"/>
  <c r="O144" i="8"/>
  <c r="K146" i="8"/>
  <c r="Q146" i="8" s="1"/>
  <c r="K145" i="8"/>
  <c r="Q145" i="8" s="1"/>
  <c r="D161" i="25" s="1"/>
  <c r="D70" i="6" s="1"/>
  <c r="K144" i="8"/>
  <c r="F163" i="24" l="1"/>
  <c r="G163" i="24"/>
  <c r="E163" i="24"/>
  <c r="F163" i="25"/>
  <c r="E163" i="25"/>
  <c r="G163" i="25"/>
  <c r="Q144" i="8"/>
  <c r="D160" i="25" s="1"/>
  <c r="D69" i="6" s="1"/>
  <c r="E112" i="24"/>
  <c r="H35" i="8" l="1"/>
  <c r="Q35" i="8" s="1"/>
  <c r="D67" i="25" s="1"/>
  <c r="L67" i="25" l="1"/>
  <c r="L133" i="25" s="1"/>
  <c r="I67" i="25"/>
  <c r="I133" i="25" s="1"/>
  <c r="M67" i="25"/>
  <c r="M133" i="25" s="1"/>
  <c r="J67" i="25"/>
  <c r="J133" i="25" s="1"/>
  <c r="N67" i="25"/>
  <c r="N133" i="25" s="1"/>
  <c r="K67" i="25"/>
  <c r="K133" i="25" s="1"/>
  <c r="F67" i="25"/>
  <c r="F133" i="25" s="1"/>
  <c r="E67" i="25"/>
  <c r="E133" i="25" s="1"/>
  <c r="G67" i="25"/>
  <c r="G133" i="25" s="1"/>
  <c r="H67" i="25"/>
  <c r="H133" i="25" s="1"/>
  <c r="E58" i="24"/>
  <c r="E61" i="24" s="1"/>
  <c r="I35" i="8"/>
  <c r="I34" i="8"/>
  <c r="H34" i="8"/>
  <c r="Q34" i="8" s="1"/>
  <c r="D66" i="25" s="1"/>
  <c r="L66" i="25" l="1"/>
  <c r="K66" i="25"/>
  <c r="I66" i="25"/>
  <c r="J66" i="25"/>
  <c r="N66" i="25"/>
  <c r="M66" i="25"/>
  <c r="E66" i="25"/>
  <c r="F66" i="25"/>
  <c r="G66" i="25"/>
  <c r="H66" i="25"/>
  <c r="I47" i="8"/>
  <c r="I46" i="8"/>
  <c r="J46" i="8" s="1"/>
  <c r="I131" i="25" l="1"/>
  <c r="I130" i="25"/>
  <c r="I132" i="25"/>
  <c r="I129" i="25"/>
  <c r="E131" i="25"/>
  <c r="E132" i="25"/>
  <c r="E130" i="25"/>
  <c r="E129" i="25"/>
  <c r="K129" i="25"/>
  <c r="K130" i="25"/>
  <c r="K131" i="25"/>
  <c r="K132" i="25"/>
  <c r="F130" i="25"/>
  <c r="F131" i="25"/>
  <c r="F132" i="25"/>
  <c r="F129" i="25"/>
  <c r="J129" i="25"/>
  <c r="J132" i="25"/>
  <c r="J130" i="25"/>
  <c r="J131" i="25"/>
  <c r="H132" i="25"/>
  <c r="H129" i="25"/>
  <c r="H130" i="25"/>
  <c r="H131" i="25"/>
  <c r="M129" i="25"/>
  <c r="M132" i="25"/>
  <c r="M130" i="25"/>
  <c r="M131" i="25"/>
  <c r="G130" i="25"/>
  <c r="G129" i="25"/>
  <c r="G131" i="25"/>
  <c r="G132" i="25"/>
  <c r="N129" i="25"/>
  <c r="N130" i="25"/>
  <c r="N131" i="25"/>
  <c r="N132" i="25"/>
  <c r="L130" i="25"/>
  <c r="L132" i="25"/>
  <c r="L131" i="25"/>
  <c r="L129" i="25"/>
  <c r="K47" i="8"/>
  <c r="L47" i="8" s="1"/>
  <c r="J47" i="8"/>
  <c r="J45" i="8" s="1"/>
  <c r="K46" i="8"/>
  <c r="K45" i="8" s="1"/>
  <c r="K49" i="8" s="1"/>
  <c r="I45" i="8"/>
  <c r="M47" i="8"/>
  <c r="N47" i="8" s="1"/>
  <c r="O47" i="8" s="1"/>
  <c r="P47" i="8" s="1"/>
  <c r="D80" i="25" s="1"/>
  <c r="H49" i="8"/>
  <c r="H104" i="8" l="1"/>
  <c r="Q104" i="8" s="1"/>
  <c r="Q49" i="8"/>
  <c r="J49" i="8"/>
  <c r="J36" i="8" s="1"/>
  <c r="H76" i="8"/>
  <c r="H36" i="8"/>
  <c r="Q36" i="8" s="1"/>
  <c r="D68" i="25" s="1"/>
  <c r="L46" i="8"/>
  <c r="L45" i="8" s="1"/>
  <c r="I104" i="8" l="1"/>
  <c r="L68" i="25"/>
  <c r="L69" i="25" s="1"/>
  <c r="K68" i="25"/>
  <c r="K69" i="25" s="1"/>
  <c r="J68" i="25"/>
  <c r="J69" i="25" s="1"/>
  <c r="M68" i="25"/>
  <c r="M69" i="25" s="1"/>
  <c r="N68" i="25"/>
  <c r="N69" i="25" s="1"/>
  <c r="I68" i="25"/>
  <c r="I69" i="25" s="1"/>
  <c r="F68" i="25"/>
  <c r="F69" i="25" s="1"/>
  <c r="E68" i="25"/>
  <c r="E69" i="25" s="1"/>
  <c r="H68" i="25"/>
  <c r="H69" i="25" s="1"/>
  <c r="G68" i="25"/>
  <c r="G69" i="25" s="1"/>
  <c r="I76" i="8"/>
  <c r="Q76" i="8"/>
  <c r="D121" i="25" s="1"/>
  <c r="K104" i="8"/>
  <c r="L104" i="8" s="1"/>
  <c r="M104" i="8" s="1"/>
  <c r="N104" i="8" s="1"/>
  <c r="O104" i="8" s="1"/>
  <c r="P104" i="8" s="1"/>
  <c r="J104" i="8"/>
  <c r="M46" i="8"/>
  <c r="M45" i="8" s="1"/>
  <c r="L49" i="8"/>
  <c r="I121" i="25" l="1"/>
  <c r="I123" i="25" s="1"/>
  <c r="I136" i="25" s="1"/>
  <c r="I137" i="25" s="1"/>
  <c r="I145" i="25" s="1"/>
  <c r="I179" i="25" s="1"/>
  <c r="M121" i="25"/>
  <c r="M123" i="25" s="1"/>
  <c r="M136" i="25" s="1"/>
  <c r="M137" i="25" s="1"/>
  <c r="M145" i="25" s="1"/>
  <c r="M179" i="25" s="1"/>
  <c r="J121" i="25"/>
  <c r="J123" i="25" s="1"/>
  <c r="N121" i="25"/>
  <c r="N123" i="25" s="1"/>
  <c r="K121" i="25"/>
  <c r="K123" i="25" s="1"/>
  <c r="K136" i="25" s="1"/>
  <c r="K137" i="25" s="1"/>
  <c r="K145" i="25" s="1"/>
  <c r="K179" i="25" s="1"/>
  <c r="L121" i="25"/>
  <c r="L123" i="25" s="1"/>
  <c r="L136" i="25" s="1"/>
  <c r="L137" i="25" s="1"/>
  <c r="L145" i="25" s="1"/>
  <c r="L179" i="25" s="1"/>
  <c r="F121" i="25"/>
  <c r="F123" i="25" s="1"/>
  <c r="E121" i="25"/>
  <c r="E123" i="25" s="1"/>
  <c r="E136" i="25" s="1"/>
  <c r="G121" i="25"/>
  <c r="G123" i="25" s="1"/>
  <c r="H121" i="25"/>
  <c r="H123" i="25" s="1"/>
  <c r="K76" i="8"/>
  <c r="L76" i="8" s="1"/>
  <c r="M76" i="8" s="1"/>
  <c r="N76" i="8" s="1"/>
  <c r="O76" i="8" s="1"/>
  <c r="P76" i="8" s="1"/>
  <c r="J76" i="8"/>
  <c r="L36" i="8"/>
  <c r="N46" i="8"/>
  <c r="N45" i="8" s="1"/>
  <c r="M49" i="8"/>
  <c r="F136" i="25" l="1"/>
  <c r="E150" i="25"/>
  <c r="E180" i="25" s="1"/>
  <c r="E188" i="25" s="1"/>
  <c r="N136" i="25"/>
  <c r="N137" i="25" s="1"/>
  <c r="N145" i="25" s="1"/>
  <c r="N179" i="25" s="1"/>
  <c r="J136" i="25"/>
  <c r="J137" i="25" s="1"/>
  <c r="J145" i="25" s="1"/>
  <c r="J179" i="25" s="1"/>
  <c r="H136" i="25"/>
  <c r="H137" i="25" s="1"/>
  <c r="H145" i="25" s="1"/>
  <c r="M187" i="25"/>
  <c r="M182" i="25"/>
  <c r="L187" i="25"/>
  <c r="L182" i="25"/>
  <c r="G136" i="25"/>
  <c r="K187" i="25"/>
  <c r="K182" i="25"/>
  <c r="I187" i="25"/>
  <c r="I182" i="25"/>
  <c r="N49" i="8"/>
  <c r="O46" i="8"/>
  <c r="O45" i="8" s="1"/>
  <c r="M36" i="8"/>
  <c r="J187" i="25" l="1"/>
  <c r="J182" i="25"/>
  <c r="K190" i="25"/>
  <c r="L190" i="25"/>
  <c r="M190" i="25"/>
  <c r="I190" i="25"/>
  <c r="N182" i="25"/>
  <c r="N187" i="25"/>
  <c r="O49" i="8"/>
  <c r="P46" i="8"/>
  <c r="D79" i="25" s="1"/>
  <c r="N36" i="8"/>
  <c r="C78" i="25" l="1"/>
  <c r="D81" i="25"/>
  <c r="J190" i="25"/>
  <c r="N190" i="25"/>
  <c r="P45" i="8"/>
  <c r="P49" i="8" s="1"/>
  <c r="P36" i="8" s="1"/>
  <c r="O36" i="8"/>
  <c r="E134" i="25" l="1"/>
  <c r="E137" i="25" s="1"/>
  <c r="E145" i="25" s="1"/>
  <c r="F134" i="25"/>
  <c r="F137" i="25" s="1"/>
  <c r="F145" i="25" s="1"/>
  <c r="G134" i="25"/>
  <c r="G137" i="25" s="1"/>
  <c r="G145" i="25" s="1"/>
  <c r="N81" i="25"/>
  <c r="N83" i="25" s="1"/>
  <c r="L81" i="25"/>
  <c r="L83" i="25" s="1"/>
  <c r="J81" i="25"/>
  <c r="J83" i="25" s="1"/>
  <c r="K81" i="25"/>
  <c r="K83" i="25" s="1"/>
  <c r="M81" i="25"/>
  <c r="M83" i="25" s="1"/>
  <c r="I81" i="25"/>
  <c r="I83" i="25" s="1"/>
  <c r="E81" i="25"/>
  <c r="E83" i="25" s="1"/>
  <c r="E114" i="25" s="1"/>
  <c r="F81" i="25"/>
  <c r="F83" i="25" s="1"/>
  <c r="F114" i="25" s="1"/>
  <c r="H81" i="25"/>
  <c r="H83" i="25" s="1"/>
  <c r="H114" i="25" s="1"/>
  <c r="H179" i="25" s="1"/>
  <c r="G81" i="25"/>
  <c r="G83" i="25" s="1"/>
  <c r="G114" i="25" s="1"/>
  <c r="D134" i="25"/>
  <c r="D160" i="24"/>
  <c r="D161" i="24"/>
  <c r="D117" i="24"/>
  <c r="D74" i="24"/>
  <c r="D75" i="24"/>
  <c r="D136" i="24"/>
  <c r="D77" i="24"/>
  <c r="D121" i="24"/>
  <c r="D118" i="24"/>
  <c r="D66" i="24"/>
  <c r="D80" i="24"/>
  <c r="D130" i="24"/>
  <c r="D132" i="24"/>
  <c r="D72" i="24"/>
  <c r="D73" i="24"/>
  <c r="D79" i="24"/>
  <c r="D156" i="24"/>
  <c r="D122" i="24"/>
  <c r="D128" i="24"/>
  <c r="D120" i="24"/>
  <c r="D119" i="24"/>
  <c r="D67" i="24"/>
  <c r="D76" i="24"/>
  <c r="D82" i="24"/>
  <c r="D135" i="24"/>
  <c r="D155" i="24"/>
  <c r="D129" i="24"/>
  <c r="D133" i="24"/>
  <c r="D131" i="24"/>
  <c r="F155" i="25" l="1"/>
  <c r="F179" i="25"/>
  <c r="F187" i="25" s="1"/>
  <c r="G179" i="25"/>
  <c r="G187" i="25" s="1"/>
  <c r="G155" i="25"/>
  <c r="G156" i="25" s="1"/>
  <c r="G157" i="25" s="1"/>
  <c r="E179" i="25"/>
  <c r="E187" i="25" s="1"/>
  <c r="E155" i="25"/>
  <c r="E156" i="25" s="1"/>
  <c r="E157" i="25" s="1"/>
  <c r="H187" i="25"/>
  <c r="H182" i="25"/>
  <c r="H67" i="24"/>
  <c r="H133" i="24" s="1"/>
  <c r="E67" i="24"/>
  <c r="E133" i="24" s="1"/>
  <c r="G67" i="24"/>
  <c r="G133" i="24" s="1"/>
  <c r="F67" i="24"/>
  <c r="G66" i="24"/>
  <c r="F66" i="24"/>
  <c r="H66" i="24"/>
  <c r="E66" i="24"/>
  <c r="F77" i="24"/>
  <c r="G77" i="24"/>
  <c r="H77" i="24"/>
  <c r="E77" i="24"/>
  <c r="H75" i="24"/>
  <c r="E75" i="24"/>
  <c r="G75" i="24"/>
  <c r="F75" i="24"/>
  <c r="G117" i="24"/>
  <c r="H117" i="24"/>
  <c r="F117" i="24"/>
  <c r="E117" i="24"/>
  <c r="H82" i="24"/>
  <c r="E82" i="24"/>
  <c r="G82" i="24"/>
  <c r="F82" i="24"/>
  <c r="H122" i="24"/>
  <c r="G122" i="24"/>
  <c r="F122" i="24"/>
  <c r="E122" i="24"/>
  <c r="H72" i="24"/>
  <c r="F72" i="24"/>
  <c r="G72" i="24"/>
  <c r="E72" i="24"/>
  <c r="E135" i="24"/>
  <c r="F135" i="24"/>
  <c r="G135" i="24"/>
  <c r="H135" i="24"/>
  <c r="E76" i="24"/>
  <c r="F76" i="24"/>
  <c r="H76" i="24"/>
  <c r="G76" i="24"/>
  <c r="H118" i="24"/>
  <c r="G118" i="24"/>
  <c r="F118" i="24"/>
  <c r="E118" i="24"/>
  <c r="G121" i="24"/>
  <c r="E121" i="24"/>
  <c r="H121" i="24"/>
  <c r="F121" i="24"/>
  <c r="G74" i="24"/>
  <c r="H74" i="24"/>
  <c r="E74" i="24"/>
  <c r="F74" i="24"/>
  <c r="F120" i="24"/>
  <c r="E120" i="24"/>
  <c r="G120" i="24"/>
  <c r="H120" i="24"/>
  <c r="H119" i="24"/>
  <c r="F119" i="24"/>
  <c r="E119" i="24"/>
  <c r="G119" i="24"/>
  <c r="H128" i="24"/>
  <c r="E128" i="24"/>
  <c r="F128" i="24"/>
  <c r="G128" i="24"/>
  <c r="F73" i="24"/>
  <c r="G73" i="24"/>
  <c r="H73" i="24"/>
  <c r="E73" i="24"/>
  <c r="I67" i="24"/>
  <c r="I66" i="24"/>
  <c r="D81" i="24"/>
  <c r="I76" i="24"/>
  <c r="I118" i="24"/>
  <c r="I74" i="24"/>
  <c r="I82" i="24"/>
  <c r="I120" i="24"/>
  <c r="I122" i="24"/>
  <c r="C78" i="24"/>
  <c r="I72" i="24"/>
  <c r="I77" i="24"/>
  <c r="I75" i="24"/>
  <c r="I117" i="24"/>
  <c r="I135" i="24"/>
  <c r="I119" i="24"/>
  <c r="I73" i="24"/>
  <c r="I121" i="24"/>
  <c r="I49" i="8"/>
  <c r="K36" i="8"/>
  <c r="G164" i="25" l="1"/>
  <c r="G165" i="25"/>
  <c r="F156" i="25"/>
  <c r="F157" i="25" s="1"/>
  <c r="F165" i="25" s="1"/>
  <c r="G160" i="25"/>
  <c r="G161" i="25"/>
  <c r="E165" i="25"/>
  <c r="E160" i="25"/>
  <c r="E161" i="25"/>
  <c r="E164" i="25"/>
  <c r="H190" i="25"/>
  <c r="D68" i="24"/>
  <c r="E131" i="24"/>
  <c r="F129" i="24"/>
  <c r="G132" i="24"/>
  <c r="H132" i="24"/>
  <c r="H130" i="24"/>
  <c r="G129" i="24"/>
  <c r="H129" i="24"/>
  <c r="G131" i="24"/>
  <c r="H131" i="24"/>
  <c r="E132" i="24"/>
  <c r="F131" i="24"/>
  <c r="F130" i="24"/>
  <c r="F133" i="24"/>
  <c r="G81" i="24"/>
  <c r="G83" i="24" s="1"/>
  <c r="F81" i="24"/>
  <c r="F83" i="24" s="1"/>
  <c r="H81" i="24"/>
  <c r="H83" i="24" s="1"/>
  <c r="E81" i="24"/>
  <c r="E83" i="24" s="1"/>
  <c r="E129" i="24"/>
  <c r="F132" i="24"/>
  <c r="F123" i="24"/>
  <c r="F136" i="24" s="1"/>
  <c r="E130" i="24"/>
  <c r="H123" i="24"/>
  <c r="H136" i="24" s="1"/>
  <c r="G123" i="24"/>
  <c r="G136" i="24" s="1"/>
  <c r="G130" i="24"/>
  <c r="G14" i="16"/>
  <c r="D14" i="16" s="1"/>
  <c r="G8" i="16"/>
  <c r="D8" i="16" s="1"/>
  <c r="G19" i="16"/>
  <c r="D19" i="16" s="1"/>
  <c r="G3" i="16"/>
  <c r="D3" i="16" s="1"/>
  <c r="G10" i="16"/>
  <c r="D10" i="16" s="1"/>
  <c r="G21" i="16"/>
  <c r="D21" i="16" s="1"/>
  <c r="G5" i="16"/>
  <c r="D5" i="16" s="1"/>
  <c r="G27" i="16"/>
  <c r="D27" i="16" s="1"/>
  <c r="G22" i="16"/>
  <c r="D22" i="16" s="1"/>
  <c r="G13" i="16"/>
  <c r="D13" i="16" s="1"/>
  <c r="G12" i="16"/>
  <c r="D12" i="16" s="1"/>
  <c r="G18" i="16"/>
  <c r="D18" i="16" s="1"/>
  <c r="G25" i="16"/>
  <c r="D25" i="16" s="1"/>
  <c r="G20" i="16"/>
  <c r="D20" i="16" s="1"/>
  <c r="G2" i="16"/>
  <c r="D2" i="16" s="1"/>
  <c r="G4" i="16"/>
  <c r="D4" i="16" s="1"/>
  <c r="G15" i="16"/>
  <c r="D15" i="16" s="1"/>
  <c r="G26" i="16"/>
  <c r="D26" i="16" s="1"/>
  <c r="G6" i="16"/>
  <c r="D6" i="16" s="1"/>
  <c r="G17" i="16"/>
  <c r="D17" i="16" s="1"/>
  <c r="G28" i="16"/>
  <c r="D28" i="16" s="1"/>
  <c r="G16" i="16"/>
  <c r="D16" i="16" s="1"/>
  <c r="G11" i="16"/>
  <c r="D11" i="16" s="1"/>
  <c r="G29" i="16"/>
  <c r="D29" i="16" s="1"/>
  <c r="G24" i="16"/>
  <c r="D24" i="16" s="1"/>
  <c r="G23" i="16"/>
  <c r="D23" i="16" s="1"/>
  <c r="G7" i="16"/>
  <c r="D7" i="16" s="1"/>
  <c r="G9" i="16"/>
  <c r="D9" i="16" s="1"/>
  <c r="D134" i="24"/>
  <c r="I131" i="24"/>
  <c r="E123" i="24"/>
  <c r="E136" i="24" s="1"/>
  <c r="I81" i="24"/>
  <c r="I83" i="24" s="1"/>
  <c r="I123" i="24"/>
  <c r="I136" i="24" s="1"/>
  <c r="I130" i="24"/>
  <c r="I129" i="24"/>
  <c r="I133" i="24"/>
  <c r="I132" i="24"/>
  <c r="I36" i="8"/>
  <c r="F164" i="25" l="1"/>
  <c r="F160" i="25"/>
  <c r="F161" i="25"/>
  <c r="G166" i="25"/>
  <c r="G168" i="25" s="1"/>
  <c r="E166" i="25"/>
  <c r="E168" i="25" s="1"/>
  <c r="G68" i="24"/>
  <c r="G69" i="24" s="1"/>
  <c r="G114" i="24" s="1"/>
  <c r="E68" i="24"/>
  <c r="E69" i="24" s="1"/>
  <c r="E114" i="24" s="1"/>
  <c r="I68" i="24"/>
  <c r="I69" i="24" s="1"/>
  <c r="H68" i="24"/>
  <c r="H69" i="24" s="1"/>
  <c r="H114" i="24" s="1"/>
  <c r="F68" i="24"/>
  <c r="F69" i="24" s="1"/>
  <c r="F114" i="24" s="1"/>
  <c r="H134" i="24"/>
  <c r="H137" i="24" s="1"/>
  <c r="H145" i="24" s="1"/>
  <c r="G134" i="24"/>
  <c r="G137" i="24" s="1"/>
  <c r="G145" i="24" s="1"/>
  <c r="F134" i="24"/>
  <c r="F137" i="24" s="1"/>
  <c r="F145" i="24" s="1"/>
  <c r="E134" i="24"/>
  <c r="E137" i="24" s="1"/>
  <c r="E145" i="24" s="1"/>
  <c r="I114" i="24"/>
  <c r="I134" i="24"/>
  <c r="I137" i="24" s="1"/>
  <c r="I145" i="24" s="1"/>
  <c r="I25" i="16"/>
  <c r="J25" i="16" s="1"/>
  <c r="I28" i="16"/>
  <c r="J28" i="16" s="1"/>
  <c r="I21" i="16"/>
  <c r="J21" i="16" s="1"/>
  <c r="I26" i="16"/>
  <c r="J26" i="16" s="1"/>
  <c r="I29" i="16"/>
  <c r="J29" i="16" s="1"/>
  <c r="I22" i="16"/>
  <c r="J22" i="16" s="1"/>
  <c r="I24" i="16"/>
  <c r="J24" i="16" s="1"/>
  <c r="I27" i="16"/>
  <c r="J27" i="16" s="1"/>
  <c r="I20" i="16"/>
  <c r="J20" i="16" s="1"/>
  <c r="I23" i="16"/>
  <c r="J23" i="16" s="1"/>
  <c r="I4" i="16"/>
  <c r="J4" i="16" s="1"/>
  <c r="B31" i="5" s="1"/>
  <c r="I8" i="16"/>
  <c r="J8" i="16" s="1"/>
  <c r="B35" i="5" s="1"/>
  <c r="I12" i="16"/>
  <c r="J12" i="16" s="1"/>
  <c r="I16" i="16"/>
  <c r="J16" i="16" s="1"/>
  <c r="I2" i="16"/>
  <c r="J2" i="16" s="1"/>
  <c r="B29" i="5" s="1"/>
  <c r="I5" i="16"/>
  <c r="J5" i="16" s="1"/>
  <c r="B32" i="5" s="1"/>
  <c r="I9" i="16"/>
  <c r="J9" i="16" s="1"/>
  <c r="B36" i="5" s="1"/>
  <c r="I13" i="16"/>
  <c r="J13" i="16" s="1"/>
  <c r="I17" i="16"/>
  <c r="J17" i="16" s="1"/>
  <c r="I6" i="16"/>
  <c r="J6" i="16" s="1"/>
  <c r="B33" i="5" s="1"/>
  <c r="I10" i="16"/>
  <c r="J10" i="16" s="1"/>
  <c r="B37" i="5" s="1"/>
  <c r="I14" i="16"/>
  <c r="J14" i="16" s="1"/>
  <c r="I18" i="16"/>
  <c r="J18" i="16" s="1"/>
  <c r="I3" i="16"/>
  <c r="J3" i="16" s="1"/>
  <c r="B30" i="5" s="1"/>
  <c r="I7" i="16"/>
  <c r="J7" i="16" s="1"/>
  <c r="B34" i="5" s="1"/>
  <c r="I11" i="16"/>
  <c r="J11" i="16" s="1"/>
  <c r="B38" i="5" s="1"/>
  <c r="I15" i="16"/>
  <c r="J15" i="16" s="1"/>
  <c r="I19" i="16"/>
  <c r="J19" i="16" s="1"/>
  <c r="F166" i="25" l="1"/>
  <c r="F168" i="25" s="1"/>
  <c r="F175" i="25" s="1"/>
  <c r="G181" i="25"/>
  <c r="G175" i="25"/>
  <c r="G174" i="25"/>
  <c r="H19" i="5" s="1"/>
  <c r="E174" i="25"/>
  <c r="H17" i="5" s="1"/>
  <c r="E181" i="25"/>
  <c r="E175" i="25"/>
  <c r="F32" i="5"/>
  <c r="J32" i="5"/>
  <c r="I32" i="5"/>
  <c r="G32" i="5"/>
  <c r="K32" i="5"/>
  <c r="H32" i="5"/>
  <c r="I179" i="24"/>
  <c r="I187" i="24" s="1"/>
  <c r="F33" i="5"/>
  <c r="H33" i="5"/>
  <c r="G33" i="5"/>
  <c r="G31" i="5"/>
  <c r="F31" i="5"/>
  <c r="H31" i="5"/>
  <c r="F30" i="5"/>
  <c r="G30" i="5"/>
  <c r="H30" i="5"/>
  <c r="G35" i="5"/>
  <c r="F35" i="5"/>
  <c r="H35" i="5"/>
  <c r="F38" i="5"/>
  <c r="G38" i="5"/>
  <c r="H38" i="5"/>
  <c r="F34" i="5"/>
  <c r="G34" i="5"/>
  <c r="H34" i="5"/>
  <c r="F37" i="5"/>
  <c r="G37" i="5"/>
  <c r="H37" i="5"/>
  <c r="F36" i="5"/>
  <c r="H36" i="5"/>
  <c r="G36" i="5"/>
  <c r="I155" i="24"/>
  <c r="H29" i="5"/>
  <c r="G29" i="5"/>
  <c r="F29" i="5"/>
  <c r="F181" i="25" l="1"/>
  <c r="F182" i="25" s="1"/>
  <c r="F174" i="25"/>
  <c r="H18" i="5" s="1"/>
  <c r="F173" i="25"/>
  <c r="G18" i="5" s="1"/>
  <c r="F176" i="25"/>
  <c r="I18" i="5" s="1"/>
  <c r="G173" i="25"/>
  <c r="G19" i="5" s="1"/>
  <c r="G176" i="25"/>
  <c r="I19" i="5" s="1"/>
  <c r="G189" i="25"/>
  <c r="G182" i="25"/>
  <c r="E173" i="25"/>
  <c r="G17" i="5" s="1"/>
  <c r="E176" i="25"/>
  <c r="I17" i="5" s="1"/>
  <c r="E182" i="25"/>
  <c r="E189" i="25"/>
  <c r="I156" i="24"/>
  <c r="I157" i="24" s="1"/>
  <c r="H39" i="5"/>
  <c r="F75" i="6"/>
  <c r="F77" i="6" s="1"/>
  <c r="F189" i="25" l="1"/>
  <c r="F190" i="25"/>
  <c r="K18" i="5" s="1"/>
  <c r="J18" i="5"/>
  <c r="G190" i="25"/>
  <c r="K19" i="5" s="1"/>
  <c r="J19" i="5"/>
  <c r="E190" i="25"/>
  <c r="K17" i="5" s="1"/>
  <c r="J17" i="5"/>
  <c r="F89" i="6"/>
  <c r="I165" i="24"/>
  <c r="I160" i="24"/>
  <c r="I161" i="24"/>
  <c r="I164" i="24"/>
  <c r="F82" i="6" l="1"/>
  <c r="F85" i="6"/>
  <c r="F94" i="6"/>
  <c r="F90" i="6"/>
  <c r="I166" i="24"/>
  <c r="I168" i="24" s="1"/>
  <c r="I181" i="24" s="1"/>
  <c r="F95" i="6" l="1"/>
  <c r="I189" i="24"/>
  <c r="I182" i="24"/>
  <c r="F96" i="6" l="1"/>
  <c r="K4" i="9"/>
  <c r="J20" i="5" l="1"/>
  <c r="K20" i="5"/>
  <c r="F27" i="24"/>
  <c r="F29" i="24" s="1"/>
  <c r="E29" i="24"/>
  <c r="F179" i="24" l="1"/>
  <c r="F149" i="24" s="1"/>
  <c r="E179" i="24"/>
  <c r="E149" i="24" s="1"/>
  <c r="E150" i="24" l="1"/>
  <c r="E155" i="24" s="1"/>
  <c r="E156" i="24" s="1"/>
  <c r="F187" i="24"/>
  <c r="F150" i="24"/>
  <c r="F155" i="24" s="1"/>
  <c r="E187" i="24"/>
  <c r="E157" i="24" l="1"/>
  <c r="E164" i="24" s="1"/>
  <c r="F156" i="24"/>
  <c r="F157" i="24" s="1"/>
  <c r="F180" i="24"/>
  <c r="F188" i="24" s="1"/>
  <c r="E180" i="24"/>
  <c r="E160" i="24" l="1"/>
  <c r="E165" i="24"/>
  <c r="E161" i="24"/>
  <c r="F164" i="24"/>
  <c r="F161" i="24"/>
  <c r="F160" i="24"/>
  <c r="F165" i="24"/>
  <c r="E188" i="24"/>
  <c r="E166" i="24" l="1"/>
  <c r="E168" i="24" s="1"/>
  <c r="F166" i="24"/>
  <c r="F168" i="24" s="1"/>
  <c r="F174" i="24" s="1"/>
  <c r="F181" i="24" l="1"/>
  <c r="F182" i="24" s="1"/>
  <c r="F190" i="24" s="1"/>
  <c r="F175" i="24"/>
  <c r="F173" i="24" s="1"/>
  <c r="E181" i="24"/>
  <c r="E182" i="24" s="1"/>
  <c r="E190" i="24" s="1"/>
  <c r="E175" i="24"/>
  <c r="E173" i="24" s="1"/>
  <c r="E174" i="24"/>
  <c r="F189" i="24" l="1"/>
  <c r="F176" i="24"/>
  <c r="F213" i="24" s="1"/>
  <c r="E189" i="24"/>
  <c r="E176" i="24"/>
  <c r="E206" i="24" s="1"/>
  <c r="I37" i="5"/>
  <c r="I36" i="5"/>
  <c r="I33" i="5"/>
  <c r="I34" i="5"/>
  <c r="I31" i="5"/>
  <c r="I30" i="5"/>
  <c r="F207" i="24" l="1"/>
  <c r="F206" i="24"/>
  <c r="M206" i="24" s="1"/>
  <c r="N206" i="24" s="1"/>
  <c r="O206" i="24" s="1"/>
  <c r="F214" i="24"/>
  <c r="F205" i="24"/>
  <c r="F197" i="24"/>
  <c r="F209" i="24"/>
  <c r="F208" i="24"/>
  <c r="F198" i="24"/>
  <c r="F200" i="24"/>
  <c r="F196" i="24"/>
  <c r="F195" i="24"/>
  <c r="F204" i="24"/>
  <c r="F201" i="24"/>
  <c r="F220" i="24"/>
  <c r="F199" i="24"/>
  <c r="E207" i="24"/>
  <c r="E205" i="24"/>
  <c r="E201" i="24"/>
  <c r="E213" i="24"/>
  <c r="M213" i="24" s="1"/>
  <c r="N213" i="24" s="1"/>
  <c r="O213" i="24" s="1"/>
  <c r="E198" i="24"/>
  <c r="E199" i="24"/>
  <c r="E204" i="24"/>
  <c r="E196" i="24"/>
  <c r="E209" i="24"/>
  <c r="E208" i="24"/>
  <c r="E197" i="24"/>
  <c r="E200" i="24"/>
  <c r="E220" i="24"/>
  <c r="E195" i="24"/>
  <c r="E214" i="24"/>
  <c r="E202" i="24"/>
  <c r="K37" i="5"/>
  <c r="J37" i="5"/>
  <c r="K36" i="5"/>
  <c r="J36" i="5"/>
  <c r="K34" i="5"/>
  <c r="J34" i="5"/>
  <c r="K33" i="5"/>
  <c r="J33" i="5"/>
  <c r="K31" i="5"/>
  <c r="J31" i="5"/>
  <c r="K30" i="5"/>
  <c r="J30" i="5"/>
  <c r="G29" i="24"/>
  <c r="J44" i="5" s="1"/>
  <c r="H27" i="24"/>
  <c r="H29" i="24" s="1"/>
  <c r="M198" i="24" l="1"/>
  <c r="N198" i="24" s="1"/>
  <c r="O198" i="24" s="1"/>
  <c r="K44" i="5"/>
  <c r="M214" i="24"/>
  <c r="N214" i="24" s="1"/>
  <c r="O214" i="24" s="1"/>
  <c r="M207" i="24"/>
  <c r="N207" i="24" s="1"/>
  <c r="O207" i="24" s="1"/>
  <c r="M205" i="24"/>
  <c r="N205" i="24" s="1"/>
  <c r="O205" i="24" s="1"/>
  <c r="M196" i="24"/>
  <c r="N196" i="24" s="1"/>
  <c r="O196" i="24" s="1"/>
  <c r="M197" i="24"/>
  <c r="N197" i="24" s="1"/>
  <c r="O197" i="24" s="1"/>
  <c r="M201" i="24"/>
  <c r="N201" i="24" s="1"/>
  <c r="O201" i="24" s="1"/>
  <c r="M204" i="24"/>
  <c r="N204" i="24" s="1"/>
  <c r="O204" i="24" s="1"/>
  <c r="M220" i="24"/>
  <c r="N220" i="24" s="1"/>
  <c r="O220" i="24" s="1"/>
  <c r="M209" i="24"/>
  <c r="N209" i="24" s="1"/>
  <c r="O209" i="24" s="1"/>
  <c r="M199" i="24"/>
  <c r="N199" i="24" s="1"/>
  <c r="O199" i="24" s="1"/>
  <c r="M200" i="24"/>
  <c r="N200" i="24" s="1"/>
  <c r="O200" i="24" s="1"/>
  <c r="M195" i="24"/>
  <c r="N195" i="24" s="1"/>
  <c r="O195" i="24" s="1"/>
  <c r="M208" i="24"/>
  <c r="N208" i="24" s="1"/>
  <c r="O208" i="24" s="1"/>
  <c r="H179" i="24"/>
  <c r="H149" i="24" s="1"/>
  <c r="G179" i="24"/>
  <c r="G149" i="24" s="1"/>
  <c r="G187" i="24" l="1"/>
  <c r="H187" i="24"/>
  <c r="H150" i="24"/>
  <c r="H155" i="24" s="1"/>
  <c r="J45" i="5" l="1"/>
  <c r="G150" i="24"/>
  <c r="G155" i="24" s="1"/>
  <c r="G156" i="24" s="1"/>
  <c r="K45" i="5"/>
  <c r="J43" i="5"/>
  <c r="K43" i="5"/>
  <c r="H156" i="24"/>
  <c r="H157" i="24" s="1"/>
  <c r="H180" i="24"/>
  <c r="H188" i="24" s="1"/>
  <c r="G180" i="24" l="1"/>
  <c r="G188" i="24" s="1"/>
  <c r="G157" i="24"/>
  <c r="G165" i="24" s="1"/>
  <c r="H160" i="24"/>
  <c r="H165" i="24"/>
  <c r="H164" i="24"/>
  <c r="H161" i="24"/>
  <c r="G161" i="24" l="1"/>
  <c r="G160" i="24"/>
  <c r="G164" i="24"/>
  <c r="H166" i="24"/>
  <c r="H168" i="24" s="1"/>
  <c r="G166" i="24" l="1"/>
  <c r="G168" i="24" s="1"/>
  <c r="G175" i="24" s="1"/>
  <c r="G173" i="24" s="1"/>
  <c r="H181" i="24"/>
  <c r="H174" i="24"/>
  <c r="H175" i="24"/>
  <c r="I38" i="5"/>
  <c r="I35" i="5"/>
  <c r="G176" i="24" l="1"/>
  <c r="G212" i="24" s="1"/>
  <c r="G174" i="24"/>
  <c r="G181" i="24"/>
  <c r="G189" i="24" s="1"/>
  <c r="H173" i="24"/>
  <c r="H176" i="24"/>
  <c r="H189" i="24"/>
  <c r="H182" i="24"/>
  <c r="H190" i="24" s="1"/>
  <c r="J35" i="5"/>
  <c r="J38" i="5"/>
  <c r="G217" i="24" l="1"/>
  <c r="G182" i="24"/>
  <c r="G190" i="24" s="1"/>
  <c r="H217" i="24"/>
  <c r="H212" i="24"/>
  <c r="M212" i="24" s="1"/>
  <c r="N212" i="24" s="1"/>
  <c r="O212" i="24" s="1"/>
  <c r="I29" i="5"/>
  <c r="K38" i="5"/>
  <c r="K35" i="5"/>
  <c r="K29" i="5"/>
  <c r="M217" i="24" l="1"/>
  <c r="N217" i="24" s="1"/>
  <c r="O217" i="24" s="1"/>
  <c r="J29" i="5"/>
  <c r="K39" i="5"/>
  <c r="J39" i="5" l="1"/>
  <c r="E32" i="6"/>
  <c r="E43" i="6" s="1"/>
  <c r="E53" i="6" l="1"/>
  <c r="E33" i="6"/>
  <c r="E34" i="6" s="1"/>
  <c r="E54" i="6"/>
  <c r="E58" i="6"/>
  <c r="E48" i="6"/>
  <c r="E59" i="6" l="1"/>
  <c r="E88" i="6" s="1"/>
  <c r="E64" i="6" s="1"/>
  <c r="E65" i="6" l="1"/>
  <c r="E66" i="6" s="1"/>
  <c r="E93" i="6"/>
  <c r="J46" i="5" s="1"/>
  <c r="K46" i="5" s="1"/>
  <c r="K47" i="5" s="1"/>
  <c r="J49" i="5"/>
  <c r="K49" i="5"/>
  <c r="E74" i="6" l="1"/>
  <c r="E69" i="6"/>
  <c r="E70" i="6"/>
  <c r="E73" i="6"/>
  <c r="J47" i="5"/>
  <c r="K50" i="5"/>
  <c r="J50" i="5"/>
  <c r="J52" i="5" l="1"/>
  <c r="K55" i="5"/>
  <c r="J55" i="5"/>
  <c r="K52" i="5"/>
  <c r="K54" i="5"/>
  <c r="J54" i="5"/>
  <c r="K53" i="5"/>
  <c r="J53" i="5"/>
  <c r="E75" i="6"/>
  <c r="E77" i="6" s="1"/>
  <c r="J56" i="5" l="1"/>
  <c r="J57" i="5" s="1"/>
  <c r="K56" i="5"/>
  <c r="K57" i="5" s="1"/>
  <c r="E89" i="6"/>
  <c r="E85" i="6" l="1"/>
  <c r="G24" i="5" s="1"/>
  <c r="E82" i="6"/>
  <c r="H24" i="5" s="1"/>
  <c r="E94" i="6"/>
  <c r="E90" i="6"/>
  <c r="I24" i="5" s="1"/>
  <c r="E95" i="6" l="1"/>
  <c r="E96" i="6" l="1"/>
  <c r="K24" i="5" s="1"/>
  <c r="K25" i="5" s="1"/>
  <c r="J24" i="5"/>
  <c r="J25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Machry</author>
  </authors>
  <commentList>
    <comment ref="D56" authorId="0" shapeId="0" xr:uid="{00000000-0006-0000-0200-000001000000}">
      <text>
        <r>
          <rPr>
            <sz val="9"/>
            <color indexed="81"/>
            <rFont val="Segoe UI"/>
            <family val="2"/>
          </rPr>
          <t>Meta da Taxa Selic</t>
        </r>
      </text>
    </comment>
  </commentList>
</comments>
</file>

<file path=xl/sharedStrings.xml><?xml version="1.0" encoding="utf-8"?>
<sst xmlns="http://schemas.openxmlformats.org/spreadsheetml/2006/main" count="1716" uniqueCount="847">
  <si>
    <t>C</t>
  </si>
  <si>
    <t>B</t>
  </si>
  <si>
    <t>A</t>
  </si>
  <si>
    <t>D</t>
  </si>
  <si>
    <t>H</t>
  </si>
  <si>
    <t>G</t>
  </si>
  <si>
    <t>F</t>
  </si>
  <si>
    <t>E</t>
  </si>
  <si>
    <t>Remuneração mensal de capital</t>
  </si>
  <si>
    <t>Rastreador GPS</t>
  </si>
  <si>
    <t>Seguro contra terceiros</t>
  </si>
  <si>
    <t>Vistoria EPTC</t>
  </si>
  <si>
    <t>Licenciamento</t>
  </si>
  <si>
    <t>IPVA</t>
  </si>
  <si>
    <t>Custo estimado com manutenção</t>
  </si>
  <si>
    <t>Quantidade</t>
  </si>
  <si>
    <t>Preço por Litro - Óleo Motor</t>
  </si>
  <si>
    <t xml:space="preserve">Valor do Piso normativo da Categoria </t>
  </si>
  <si>
    <t xml:space="preserve">Sindicato representativo da categoria profissional </t>
  </si>
  <si>
    <t xml:space="preserve">Quantidade de horas noturnas reduzidas por mês  </t>
  </si>
  <si>
    <t xml:space="preserve">Quantidade de Horas Extras mensal  </t>
  </si>
  <si>
    <t xml:space="preserve">Férias e Adicional de Férias </t>
  </si>
  <si>
    <t xml:space="preserve">Participação do empregado no custo  </t>
  </si>
  <si>
    <t xml:space="preserve">Auxílio-Refeição/Alimentação   </t>
  </si>
  <si>
    <t xml:space="preserve">Valor do Auxílio-Alimentação   </t>
  </si>
  <si>
    <t xml:space="preserve">Assistência Médica e Familiar </t>
  </si>
  <si>
    <t xml:space="preserve">Valor previsto em CCT/ACT  </t>
  </si>
  <si>
    <t xml:space="preserve">Seguro de vida em grupo  </t>
  </si>
  <si>
    <t xml:space="preserve">Auxílio-Funeral    </t>
  </si>
  <si>
    <t xml:space="preserve">Cesta Básica  </t>
  </si>
  <si>
    <t xml:space="preserve">Plano de Benefício Social Familiar </t>
  </si>
  <si>
    <t xml:space="preserve">Incidência do FGTS sobre Aviso Prévio indenizado </t>
  </si>
  <si>
    <t xml:space="preserve">Incidência da Multa e CS s/ FGTS incidente no API </t>
  </si>
  <si>
    <t xml:space="preserve">Aviso prévio trabalhado  </t>
  </si>
  <si>
    <t xml:space="preserve">Incidência dos encargos do submódulo 2.2 sobre item D  </t>
  </si>
  <si>
    <t xml:space="preserve">Multa sobre FGTS e contribuições sociais incidentes </t>
  </si>
  <si>
    <t xml:space="preserve">Substituto na cobertura de férias  </t>
  </si>
  <si>
    <t xml:space="preserve">Substituto na cobertura de licença paternidade </t>
  </si>
  <si>
    <t xml:space="preserve">Substituto na cobertura das ausências legais </t>
  </si>
  <si>
    <t xml:space="preserve">Substituto na cobertura de afastamento maternidade </t>
  </si>
  <si>
    <t xml:space="preserve">Inclusão custo M3 (Provisão para Rescisão) para substitutos  </t>
  </si>
  <si>
    <t>Código</t>
  </si>
  <si>
    <t>Material</t>
  </si>
  <si>
    <t>Valor (R$)</t>
  </si>
  <si>
    <t>FAP</t>
  </si>
  <si>
    <t>COFINS</t>
  </si>
  <si>
    <t>ISSQN</t>
  </si>
  <si>
    <t>12x36 Diurno</t>
  </si>
  <si>
    <t>12x36 Noturno</t>
  </si>
  <si>
    <t>RAT</t>
  </si>
  <si>
    <t>Considerado</t>
  </si>
  <si>
    <t>INSS</t>
  </si>
  <si>
    <t>SESI OU SESC</t>
  </si>
  <si>
    <t>SENAI OU SENAC</t>
  </si>
  <si>
    <t>INCRA</t>
  </si>
  <si>
    <t>Salário educação</t>
  </si>
  <si>
    <t>FGTS</t>
  </si>
  <si>
    <t>SEBRAE</t>
  </si>
  <si>
    <t>13º salário</t>
  </si>
  <si>
    <t>Tempo de depreciação</t>
  </si>
  <si>
    <t>Lucro Real</t>
  </si>
  <si>
    <t>Lucro Presumido</t>
  </si>
  <si>
    <t>Adicional Noturno</t>
  </si>
  <si>
    <t>Dias Mês</t>
  </si>
  <si>
    <t>Dias Semana</t>
  </si>
  <si>
    <t>Horas Semana</t>
  </si>
  <si>
    <t xml:space="preserve">Nome da Empresa: </t>
  </si>
  <si>
    <t>Endereço da Empresa:</t>
  </si>
  <si>
    <t>Nome do Responsável:</t>
  </si>
  <si>
    <t>Dados Bancários:</t>
  </si>
  <si>
    <t>Horas noturnas Máximas</t>
  </si>
  <si>
    <t>Regime</t>
  </si>
  <si>
    <t>Posto</t>
  </si>
  <si>
    <t>Tempo de Duração do Contrato:</t>
  </si>
  <si>
    <t>Regime Tributário</t>
  </si>
  <si>
    <t xml:space="preserve">CNPJ Matriz: </t>
  </si>
  <si>
    <t>Endereço eletrônico:</t>
  </si>
  <si>
    <t xml:space="preserve">Pregão Eletrônico Nº: </t>
  </si>
  <si>
    <t>Telefone:</t>
  </si>
  <si>
    <t>PREFEITURA MUNICIPAL DE PORTO ALEGRE</t>
  </si>
  <si>
    <t>Data base da categoria</t>
  </si>
  <si>
    <t xml:space="preserve">Registro no MTE </t>
  </si>
  <si>
    <t>Classificação Brasileira de Ocupações (CBO)</t>
  </si>
  <si>
    <t>Incidência no Submódulo 2.2 sobre 13º salário e Férias</t>
  </si>
  <si>
    <t>Gratificação de Função</t>
  </si>
  <si>
    <t>Descanso Semanal Remunerado</t>
  </si>
  <si>
    <t xml:space="preserve">Sobre Horas Extras  </t>
  </si>
  <si>
    <t xml:space="preserve">Sobre Adicional Noturno e Hora Noturna Reduzida </t>
  </si>
  <si>
    <t>Número de horas noturnas por dia</t>
  </si>
  <si>
    <t xml:space="preserve">Auxílio Transporte                                                   </t>
  </si>
  <si>
    <t>Valor da passagem do transporte coletivo</t>
  </si>
  <si>
    <t>Quantidade de dias do mês de recebimento</t>
  </si>
  <si>
    <t>Inclusão benefícios Mensais e Diários</t>
  </si>
  <si>
    <t>Base de incindência</t>
  </si>
  <si>
    <t>Percentual de incidência</t>
  </si>
  <si>
    <t>Incidência dos encargos do submódulo 2.2</t>
  </si>
  <si>
    <t>Artigo 457 e 458 da CLT.</t>
  </si>
  <si>
    <t>Salário Base x 30%</t>
  </si>
  <si>
    <t>Súmula 132 TST. Artigo 193 a 197 da CLT. Artigo 7º, inciso XXIII da CF. NR 16 do MTE.</t>
  </si>
  <si>
    <t>Regras do instrumento coletivo da categoria, se houver. Artigo 189 a 192 da CLT (10%, 20% ou 40%). NR 15 do MTE. Súmula nº. 139 do TST.</t>
  </si>
  <si>
    <t xml:space="preserve">Adicional Noturno </t>
  </si>
  <si>
    <t>Artigo 73 da CLT e artigo 7º, inciso IX da CF. Súmula nº 60 do TST e OJ-SDI1-259 do TST.</t>
  </si>
  <si>
    <t>Artigo 7º, inciso XVI, da CF/88. Artigo 59 da CLT. Súmulas 60 e 132 TST.</t>
  </si>
  <si>
    <t>Art. 7º, VIII, CF/88. Decreto n. 57.155, de 3/11/1965</t>
  </si>
  <si>
    <t xml:space="preserve">Art. 7º, XVII, CF/88; </t>
  </si>
  <si>
    <r>
      <t>Art. 22, Inciso I, da Lei nº 8.212/91.</t>
    </r>
    <r>
      <rPr>
        <b/>
        <sz val="11"/>
        <rFont val="Calibri"/>
        <family val="2"/>
        <scheme val="minor"/>
      </rPr>
      <t xml:space="preserve"> (3) Lei 13.161/2015 - Contribuição Previdenciária sobre a Receita Bruta (CPRB)</t>
    </r>
  </si>
  <si>
    <t>Anexo II da IN RFB n. 971/09; art. 30 da Lei n° 8.036/90; art. 1°da Lei n° 8.154/90; art. 240 da Constituição Federal.</t>
  </si>
  <si>
    <t>Anexo II da IN RFB n. 971/09; Decreto n.º 2.318/86</t>
  </si>
  <si>
    <t>Anexo II da IN RFB n. 971/09; Lei n.º 7.787/89; DL n.º 1.146/70; Lei Complementar nº 11/71.</t>
  </si>
  <si>
    <t>Anexo II da IN RFB n. 971/09; art. 3°, inciso I do Decreto n° 87.043/1982; art. 15 – Lei nº 9.424/96; art. 1º § 1º - Decreto Nº 6.003/2006; art. 212 § 5º da Constituição Federal; Súmula Nº 732 do STF.</t>
  </si>
  <si>
    <t>Anexo V do Regulamento da Previdência Social – RPS (Decreto n. 3.048/1999) e regras de enquadramento dispostas na Instrução Normativa RFB n. 971/2009 e/ou legislação superveniente. Súmula 351 do STJ.</t>
  </si>
  <si>
    <t>Anexo II da IN RFB n. 971/09. Art. 8º, Lei n.º 8.029/90 e Lei n.º 8154/90</t>
  </si>
  <si>
    <t>Artigo 4º, § único, da Lei nº 7.418/85 e art. 9º do Decreto nº 95.247/87.</t>
  </si>
  <si>
    <t>Artigo 458, §§ 2º e 3º, da CLT, Lei nº 6.321/76, Decreto nº 5/91 e CCT.</t>
  </si>
  <si>
    <t>Artigo 458, inciso IV da CLT e CCT</t>
  </si>
  <si>
    <t>Art. 7º, XXI, CF/88. Art. 477, 487 e 491 da CLT. Lei n. 12.506/2011.</t>
  </si>
  <si>
    <t>Súmula 305 TST.</t>
  </si>
  <si>
    <t>Art. 18 da Lei 8.036/90. Art. 12 da Lei 13.932/2019.</t>
  </si>
  <si>
    <t xml:space="preserve">Art. 7º, XXI, CF/88, 477,487 e 491 CLT. Acórdãos n. 1904/2007-TCU-Plenário e n. 3006/2010-TCU-Plenário </t>
  </si>
  <si>
    <t>((0,3680 x 0,0198) x 100) ≅  0,73%</t>
  </si>
  <si>
    <t xml:space="preserve">Acórdãos n. 1904/2007-TCU-Plenário e n. 3006/2010-TCU-Plenário </t>
  </si>
  <si>
    <t xml:space="preserve">Art. 12 da Lei 13.932/2019. Acórdãos n. 1904/2007-TCU-Plenário e n. 3006/2010-TCU-Plenário </t>
  </si>
  <si>
    <t>Art. 129 e 130 CLT.</t>
  </si>
  <si>
    <t>Art.131 , inciso III, da CLT. Art. 476 da CLT, art. 6º, §1º, alínea "f", da Lei n. 605, de 1949, e  art. 12, alínea "f", do Decreto n. 27.048, de 1949.</t>
  </si>
  <si>
    <t>Art. 7º, inciso XIX da CF. §1º do artigo 10 do ADCT. Lei n. 13.527/2016</t>
  </si>
  <si>
    <t>Art. 82 e 473 da CLT</t>
  </si>
  <si>
    <t>Art. 27 do Dec. 89312/84, Art. 131 da CLT e MP. 664/2014</t>
  </si>
  <si>
    <t>Art. 7º inc. XVIII, CF, Lei 8.213/91, art. 72 e Lei 11770/2008. Lei n. 13.527/2016.</t>
  </si>
  <si>
    <t>Intervalo para repouso ou alimentação</t>
  </si>
  <si>
    <t>Se não houver previsão de jantista/almocista e, assim, o empregado não usufruir de seu intervalo intrajornada em razão de trabalhar em período destinado a repouso e alimentação, o valor a ser pago é da hora trabalhada acrescida de 50%, considerada a natureza indenizatória da parcela.</t>
  </si>
  <si>
    <t>Rendição no Intervalo Intrajornada</t>
  </si>
  <si>
    <t>Esta rubrica somente será calculada se houver reposição por um substituto durante a ausência do empregado, no período de intervalo para repouso/alimentação. Para o cálculo dessa forma, o valor aportado será o correspondente ao período trabalhado no intervalo, com as incidências legais, por se tratar de salário pago ao substituto</t>
  </si>
  <si>
    <t>Regras do instrumento coletivo da categoria, se houver (conforme incs. III e VIII do art. 611-A da CLT, o instrumento coletivo de trabalho tem prevalência sobre a lei). Artigo 71 da CLT. Lei 8.121/1991.</t>
  </si>
  <si>
    <t>Incidência</t>
  </si>
  <si>
    <t>Valor a Deduzir</t>
  </si>
  <si>
    <t>PIS/PASEP</t>
  </si>
  <si>
    <t>Quantidade de passagens por dia</t>
  </si>
  <si>
    <t>Participação do empregado no custo</t>
  </si>
  <si>
    <t>Local</t>
  </si>
  <si>
    <t>Forma de Pagamento do Contrato:</t>
  </si>
  <si>
    <t>(Salário base+adicionais previstos em lei ou CCT, se houver) ÷ total nº horas trabalhadas) x 1,5 x quantidade de dias trabalhados</t>
  </si>
  <si>
    <t xml:space="preserve">((Salário base+adicionais previstos em lei ou CCT, se houver)+ Submódulo 2.2 + submódulo 2.3 + Uniformes e EPI) x quantidade de dias trabalhados </t>
  </si>
  <si>
    <t>I</t>
  </si>
  <si>
    <t>Outros (especificar)</t>
  </si>
  <si>
    <t>TOTAL MÓDULO 2</t>
  </si>
  <si>
    <t>TOTAL MÓDULO 3</t>
  </si>
  <si>
    <t>TOTAL SUBMÓDULO 2.3</t>
  </si>
  <si>
    <t>TOTAL SUBMÓDULO 2.2</t>
  </si>
  <si>
    <t>TOTAL SUBMÓDULO 2.1</t>
  </si>
  <si>
    <t>TOTAL SUBMÓDULO 4.1</t>
  </si>
  <si>
    <t>TOTAL SUBMÓDULO 4.2</t>
  </si>
  <si>
    <t>TOTAL MÓDULO 4</t>
  </si>
  <si>
    <t>SINDASSEIO</t>
  </si>
  <si>
    <t>MÓDULO 2 - ENCARGOS E BENEFÍCIOS ANUAIS, MENSAIS E DIÁRIOS</t>
  </si>
  <si>
    <t>SUBMÓDULO 2.1 - 13º Salário, Férias e Adicional de Férias</t>
  </si>
  <si>
    <t>SUBMÓDULO 2.3 - Encargos e Benefícios Anuais, Mensais e Diários</t>
  </si>
  <si>
    <t>MÓDULO 3 - PROVISÃO PARA RESCISÃO</t>
  </si>
  <si>
    <t>MÓDULO 4 - CUSTO DE REPOSIÇÃO DO PROFISSIONAL AUSENTE</t>
  </si>
  <si>
    <t>SUBMÓDULO 4.2- Intervalo intrajornada</t>
  </si>
  <si>
    <t>Regime tributário</t>
  </si>
  <si>
    <t>Faixa 1</t>
  </si>
  <si>
    <t>Faixa 6</t>
  </si>
  <si>
    <t>Faixa 5</t>
  </si>
  <si>
    <t>Faixa 4</t>
  </si>
  <si>
    <t>Faixa 3</t>
  </si>
  <si>
    <t>Faixa 2</t>
  </si>
  <si>
    <t>Adicional de Troca de Uniforme</t>
  </si>
  <si>
    <t>Sobre Adicional de Troca de Uniforme</t>
  </si>
  <si>
    <t>Adicional de Hora Noturna Reduzida</t>
  </si>
  <si>
    <t>J</t>
  </si>
  <si>
    <t>Número de dias laborados a noite</t>
  </si>
  <si>
    <t>FUNDAMENTO</t>
  </si>
  <si>
    <t xml:space="preserve">Salário Base Mensal </t>
  </si>
  <si>
    <t xml:space="preserve">Adicional Periculosidade </t>
  </si>
  <si>
    <t>O percentual definido pelo art. 193 da CLT, deve ser calculados sobre salário base  sem os acréscimos resultantes de gratificações, prêmios ou participações nos lucros da empresa, com exceção à categoria dos eletricitários, em que o cálculo deverá ser feito sobre a totalidade das parcelas de natureza salarial.  A caracterização e a classificação da periculosidade far-se-ão por meio de perícia a cargo de Médico do Trabalho ou Engenheiro do Trabalho registrados no Ministério do Trabalho. A Norma Regulamentadora nº 16 estabelece em seus anexos as atividades e as operações perigosas que acarretam ao recebimento do adicional de periculosidade pelo empregado. As Leis Lei nºs 12.740/2012 e 12.997/2014 estenderam o adicional de periculosidade, respectivamente, às atividades profissionais de segurança pessoal ou patrimonial e trabalhador em motocicleta.</t>
  </si>
  <si>
    <t xml:space="preserve">Adicional Insalubridade </t>
  </si>
  <si>
    <r>
      <t xml:space="preserve">Salário </t>
    </r>
    <r>
      <rPr>
        <b/>
        <sz val="11"/>
        <rFont val="Calibri"/>
        <family val="2"/>
        <scheme val="minor"/>
      </rPr>
      <t xml:space="preserve">Mínimo ou Base estipulado em instrumento coletivo </t>
    </r>
    <r>
      <rPr>
        <sz val="11"/>
        <rFont val="Calibri"/>
        <family val="2"/>
        <scheme val="minor"/>
      </rPr>
      <t xml:space="preserve"> x (10%, 20% ou 40%)</t>
    </r>
  </si>
  <si>
    <t xml:space="preserve">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</si>
  <si>
    <t>Salário Base x % de incidência</t>
  </si>
  <si>
    <t>Informada na Convenção Coletiva de Trabalho da categoria profissional a ser contratada.</t>
  </si>
  <si>
    <t>(Salário base + adicionais periculosidade/insalubridade) ÷ total de horas mensais (conforme jornada de trabalho da categoria) x 20% x qtde. de horas noturnas x qtde de dias laborados a noite).</t>
  </si>
  <si>
    <t>Qtde. de horas noturnas x qtde de dias laborados a noite x 0,142857 x (Salário base + adicionais periculosidade/insalubridade) ÷ total de horas mensais x 120%</t>
  </si>
  <si>
    <t>Horas Extras (com adicionais)</t>
  </si>
  <si>
    <t>(Salário base + adicionais periculosidade/insalubridade/noturno ) ÷ total de horas mensais (conforme jornada de trabalho da categoria) x %de incidência x qtde. de horas extras mensal).</t>
  </si>
  <si>
    <t>(Adicional noturmo + Adicional de hora reduzida+Horas extras+ Adicional de troca de uniforme) x 20%</t>
  </si>
  <si>
    <t>Artigos 1º e 6º Lei nº 605/1949</t>
  </si>
  <si>
    <t xml:space="preserve">Adicional de Troca de Uniforme </t>
  </si>
  <si>
    <t>(Salário base + adicionais periculosidade) ÷ (total de horas mensais (conforme jornada de trabalho da categoria) ÷ 6) x  qtde de dias</t>
  </si>
  <si>
    <t>Súmula nº 366 do TST</t>
  </si>
  <si>
    <t>Gratificação de Natal, instituída pela Lei nº 4.090, de 13 de julho de 1962. O percentual dessa rubrica pode ser obtido pelo cálculo: ((1/12) x 100) = 8,33%.</t>
  </si>
  <si>
    <t>A Constituição Federal, em seu art. 7º, inciso XVII, prevê que as férias sejam pagas com adicional de, pelo menos, 1/3 (um terço) da remuneração do mês. Assim, a provisão para atender as despesas relativas as férias e adicional de férias corresponde a: ((1/12) x 100) + ((1/3) x (1/12) x 100) ≅ 11,11%</t>
  </si>
  <si>
    <t>SUBMÓDULO  2.2 - Encargos Previdenciários e FGTS e Outras Contribuições</t>
  </si>
  <si>
    <t>Art. 15, Lei nº 8.036/90 e Art. 7º, III</t>
  </si>
  <si>
    <r>
      <rPr>
        <b/>
        <sz val="11"/>
        <color theme="1"/>
        <rFont val="Calibri"/>
        <family val="2"/>
        <scheme val="minor"/>
      </rPr>
      <t xml:space="preserve">GILL/RAT </t>
    </r>
    <r>
      <rPr>
        <sz val="11"/>
        <color theme="1"/>
        <rFont val="Calibri"/>
        <family val="2"/>
        <scheme val="minor"/>
      </rPr>
      <t xml:space="preserve">é a sigla correspondente à Contribuição do Grau de Incidência de Incapacidade Laborativa decorrente dos Riscos Ambientais do Trabalho (o antigo Seguro de Acidente de Trabalho - SAT). A contribuição GILL/RAT é apurada por meio de um indicador criado pela Receita Federal: o RAT Ajustado. Sendo assim, em regra, considera-se para fins de definição da planilha modelo que GILL/RAT = SAT = RAT Ajustado.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
</t>
    </r>
    <r>
      <rPr>
        <b/>
        <sz val="11"/>
        <color theme="1"/>
        <rFont val="Calibri"/>
        <family val="2"/>
        <scheme val="minor"/>
      </rPr>
      <t xml:space="preserve">RAT </t>
    </r>
    <r>
      <rPr>
        <sz val="11"/>
        <color theme="1"/>
        <rFont val="Calibri"/>
        <family val="2"/>
        <scheme val="minor"/>
      </rPr>
      <t xml:space="preserve">(Riscos Ambientais do Trabalho) 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
</t>
    </r>
    <r>
      <rPr>
        <b/>
        <sz val="11"/>
        <color theme="1"/>
        <rFont val="Calibri"/>
        <family val="2"/>
        <scheme val="minor"/>
      </rPr>
      <t>FAP</t>
    </r>
    <r>
      <rPr>
        <sz val="11"/>
        <color theme="1"/>
        <rFont val="Calibri"/>
        <family val="2"/>
        <scheme val="minor"/>
      </rPr>
      <t xml:space="preserve"> (Fator Acidentário de Prevenção) 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</si>
  <si>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 xml:space="preserve">(Valor do Auxílio-Alimentação  x Quantidade de dias do mês de recebimento de auxílio-alimentação) - (Valor do Auxílio-Alimentação  x Quantidade de dias do mês de recebimento de auxílio-alimentação x Participação do empregado no custo ) </t>
  </si>
  <si>
    <t>Valor previsto em CCT/ACT/TR</t>
  </si>
  <si>
    <t xml:space="preserve">(Valor da passagem  x Quantidade de passagens por dia por empregado x Quantidade de dias trabalhados) - (Participação do empregado no custo x Salário base ) </t>
  </si>
  <si>
    <t>(Valor previsto em CCT/ACT x Participação do empregado no custo)</t>
  </si>
  <si>
    <t xml:space="preserve"> Deve ser observado o instrumento coletivo para a fixação do percentual de desconto do empregado.</t>
  </si>
  <si>
    <t>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0,42%.</t>
  </si>
  <si>
    <t>Considera-se que será pago ao final do contrato aviso prévio a 100% dos empregados alocados e que 2% do pessoal é demitido pelo empregador antes do final do contrato (acórdão TCU 6.777/2099 - 2ª Câmara). Assim sendo, há redução de 7 dias ou de 2h por dia {[(7/30)/12]* 0,02} + [(7/30)/12] ≅ 1,98 % para 30 dias de aviso prévio no primeiro ano. (7 dias custo do APT ÷ 30 Dias do mês÷ 12 meses) x indicador  demissões antes término contrato(2%) + (7 dias custo do APT ÷ 30 Dias do mês÷ 12 meses) x indicador  demissões antes término contrato(2%)</t>
  </si>
  <si>
    <t>O custo do aviso prévio trabalhado é acrescido da multa do FGTS (40%) que incide sobre a alíquota do FGTS (8%) aplicada sobre o custo de referência para o aviso trabalhado.
 O art. 12 da Lei n. 13.932/2019 extiguiu a cobraça da contribuição de 10% devida pelos empregadores em caso de despedida sem justa causa (art. 1º da Lei Complementar 110/2001). Sendo assim, o adicional que era previsto nos itens "C" e "F" com o título "Multa do FGTS e contribuição social sobre Aviso Prévio [...]" passou a ser denominado somente de "Multa do FGTS sobre Aviso Prévio [..]"</t>
  </si>
  <si>
    <t>(0,08 x 0,0042)  ≅ 0,03%</t>
  </si>
  <si>
    <t>(0,08 x 0,0042) x 0,40 ≅ 0,0134</t>
  </si>
  <si>
    <t xml:space="preserve"> Considera-se como média de dias de substituição o somatório dos 30 dias de férias, 2,96 dias de ausências legais e 5 dias de axílio doença.</t>
  </si>
  <si>
    <t xml:space="preserve"> (A+B.+C+D+E+F) x submódulo 2.2</t>
  </si>
  <si>
    <t>Total Remuneração (módulo 1) X 0,04</t>
  </si>
  <si>
    <t>((30÷30)÷12)X0,05 ≅ 0,42%</t>
  </si>
  <si>
    <t>((1÷12) x 100) ≅ 8,33%</t>
  </si>
  <si>
    <t>((1÷12) x 100) + ((1÷3) x (1÷12) x 100) ≅ 11,11%</t>
  </si>
  <si>
    <t>((1÷12) x 100)  + ((1÷12) x 100) + ((1÷3) x (1÷12) x 100) x Submódulo 2.2</t>
  </si>
  <si>
    <t>((5÷30) ÷12) x 100) ≅ 1,39%</t>
  </si>
  <si>
    <t>(((5÷30) ÷12) x 0,015 x 100) ≅ 0,02%</t>
  </si>
  <si>
    <t>(((2,96÷30) ÷12) x 100) ≅ 0,82%</t>
  </si>
  <si>
    <t>(((15÷30) ÷12) x 0,0078 x 100) ≅ 0,03%</t>
  </si>
  <si>
    <t>((1÷12)+((1÷3)x(1÷12)))x(4÷12)x0,01854033 ≅ 0,07%</t>
  </si>
  <si>
    <t>(Módulo 3 )÷12 x média de dias de substituição ÷ 30)</t>
  </si>
  <si>
    <t xml:space="preserve">Submódulo 4.1 - Substituto nas Ausências Legais - Base de cálculo para o custo do profissional ausente (substituto): BCCPA = (Rem + 13º sal + Férias + 1/3)x Item Reposição . Conforme item 89 do Relatório do Acórdão TCU nº 1.753/2008 do Plenário e orientações SEGES/MP </t>
  </si>
  <si>
    <t>Pagamento de 20% sobre as variáveis, conforme Cláusula 32ª da CCT 2018/2020 (adicional noturno, adicional de hora noturna reduzida e adicional para troca de uniforme).</t>
  </si>
  <si>
    <t>O tempo despreendido para a troca de uniforme será remunerado (5 minutos para colocar e 5 minutos para retirar) na proporção de 1/6 do valor da hora normal de trabalho.</t>
  </si>
  <si>
    <t xml:space="preserve">A jornada noturna é compreendida entre 22h da noite e 05h da manhã seguinte (considerando que a hora noturna corresponde a 52,5min) , com remuneração adicional de 20%, de acordo com  o Art.73 da CLT. </t>
  </si>
  <si>
    <t xml:space="preserve"> Deve ser observado o instrumento coletivo.</t>
  </si>
  <si>
    <t>Esse item corresponde ao valor da multa do FGTS (40%) que incide sobre o saldo dos depósitos efetuados na conta vinculada ao FGTS do trabalhador.  Logo o pagamento da multa para os valores depositados relativos a salários, férias e 13º salário corresponde a:((0,08 x 0,0042) x 100) x 0,40 ≅ 0,0134</t>
  </si>
  <si>
    <t>Outras remunerações  (especificar)</t>
  </si>
  <si>
    <t xml:space="preserve"> Considera-se como média de dias de substituição o somatório dos 30 dias de férias, 2,96 dias de ausências legais e 5 dias de auxílio doença.</t>
  </si>
  <si>
    <t>Custos Indiretos</t>
  </si>
  <si>
    <t>Os tributos (ISS, COFINS e PIS) foram definidos utilizando o regime de tributação de Lucro Presumido A licitante deve elaborar sua proposta e, por conseguinte, sua planilha com base no regime de tributação ao qual estará submetida durante a execução do contrato.</t>
  </si>
  <si>
    <t>Considerando os estudos realizados, o presente modelo utiliza o percentual máximo de 10,00% para margem de lucro. NOTA TÉCNICA Nº 1/2007 – SCI, da Secretaria de Controle Interno do Supremo Tribunal Federal.</t>
  </si>
  <si>
    <t xml:space="preserve">Considerando os estudos realizados, o presente modelo utiliza o percentual máximo de 5,00% para custos indiretos. NOTA TÉCNICA Nº 1/2007 – SCI, da Secretaria de Controle Interno do Supremo Tribunal Federal </t>
  </si>
  <si>
    <t>MÓDULO 1: COMPOSIÇÃO DA REMUNERAÇÃO</t>
  </si>
  <si>
    <t>Composição da Remuneração</t>
  </si>
  <si>
    <t>SUBMÓDULO 4.1 - Substituto nas Ausências Legais
 BCCPA: Base de cálculo para o custo do profissional ausente</t>
  </si>
  <si>
    <t>DADOS REFERENTES À CONTRATAÇÃO</t>
  </si>
  <si>
    <t>Objeto:</t>
  </si>
  <si>
    <t>Processo SEI nº:</t>
  </si>
  <si>
    <t xml:space="preserve">Pregão Eletrônico nº: </t>
  </si>
  <si>
    <t>Nº</t>
  </si>
  <si>
    <t>Adicional de Periculosidade</t>
  </si>
  <si>
    <t>Adicional de Insalubridade</t>
  </si>
  <si>
    <t xml:space="preserve">Substituto na cobertura das ausências por doença </t>
  </si>
  <si>
    <t xml:space="preserve">Substituto na cobertura nas ausências por acidente de trabalho </t>
  </si>
  <si>
    <t>Salário-Base</t>
  </si>
  <si>
    <t>Dias na Semana</t>
  </si>
  <si>
    <t>Dias no Ano</t>
  </si>
  <si>
    <t>Dias no Mês</t>
  </si>
  <si>
    <t xml:space="preserve">Meses no Ano </t>
  </si>
  <si>
    <t>Hora Normal (em minutos)</t>
  </si>
  <si>
    <t>Hora Noturna (em minutos)</t>
  </si>
  <si>
    <t>Faturamento máximo</t>
  </si>
  <si>
    <t xml:space="preserve">Percentual da faixa </t>
  </si>
  <si>
    <t>Dados Estatísticos</t>
  </si>
  <si>
    <t>Funcionários demitidos sem justa causa / Total de desligamentos (em %)</t>
  </si>
  <si>
    <t>Multa do FGTS (em %)</t>
  </si>
  <si>
    <t>Empregados que recebem aviso prévio trabalhado durante o contrato (em %)</t>
  </si>
  <si>
    <t>Empregados que recebem aviso prévio trabalhadono final  do contrato (em %)</t>
  </si>
  <si>
    <t>Dias APT pagos</t>
  </si>
  <si>
    <t>Dias de Ausências por Doença</t>
  </si>
  <si>
    <t>Dias de Licença-Paternidade</t>
  </si>
  <si>
    <t>Trabalhadores com direito a  Licença-Paternidade (%)</t>
  </si>
  <si>
    <t>Dias de Ausências Legais</t>
  </si>
  <si>
    <t>Empregados afastados por acidente de trabalho (em %)</t>
  </si>
  <si>
    <t>Dias pagos pela empresa em acidentes de trabalho</t>
  </si>
  <si>
    <t>Tempo de Licença-Maternidade</t>
  </si>
  <si>
    <t>Rateio do Custo  da Licença-Maternidade durante Vigência Contratual</t>
  </si>
  <si>
    <t>Total de empregos RS (2020)</t>
  </si>
  <si>
    <t>Mulheres empregadas RS (2020)</t>
  </si>
  <si>
    <t>Quantidade de licenças maternidade concedidas (2020)</t>
  </si>
  <si>
    <t>% Licenças maternidade concedidas</t>
  </si>
  <si>
    <t>% Mulheres empregadas RS (2020)</t>
  </si>
  <si>
    <t>MÓDULO 6 - CUSTOS INDIRETOS, LUCRO E TRIBUTOS</t>
  </si>
  <si>
    <t xml:space="preserve">Custo estimado do afastamento maternidade </t>
  </si>
  <si>
    <t>TOTAL MÓDULO 5</t>
  </si>
  <si>
    <t>TOTAL MÓDULO 6</t>
  </si>
  <si>
    <t>Aviso prévio indenizado</t>
  </si>
  <si>
    <t>VALOR TOTAL ESTIMADO DO CONTRATO</t>
  </si>
  <si>
    <t xml:space="preserve">SUBMÓDULO 2.2- Encargos Previdenciários (GPS) e FGTS </t>
  </si>
  <si>
    <t>Material Individual e Uniformes</t>
  </si>
  <si>
    <t>Material Coletivo e Equipamentos</t>
  </si>
  <si>
    <t>MÓDULO 6 - CUSTOS INDIRETOS</t>
  </si>
  <si>
    <t>Custos administrativos</t>
  </si>
  <si>
    <t>Lucros</t>
  </si>
  <si>
    <t>K</t>
  </si>
  <si>
    <t>SUBMÓDULO 6.1 - Custos administrativos e lucros</t>
  </si>
  <si>
    <t>TOTAL SUBMÓDULO 6.1</t>
  </si>
  <si>
    <t>TOTAL SUBMÓDULO 6.2</t>
  </si>
  <si>
    <t>Custos com mão de obra</t>
  </si>
  <si>
    <t>SECRETARIA DE PLANEJAMENTO E ASSUNTOS ESTRATÉGICOS</t>
  </si>
  <si>
    <t>SECRETARIA DE ADMINISTRAÇÃO E PATRIMÔNIO</t>
  </si>
  <si>
    <t>SECRETARIA DA TRANSPARÊNCIA E CONTROLADORIA</t>
  </si>
  <si>
    <t>SECRETARIA DE GOVERNANÇA LOCAL E COORDENAÇÃO POLÍTICA</t>
  </si>
  <si>
    <t>SECRETARIA DA FAZENDA</t>
  </si>
  <si>
    <t>SECRETARIA DE PARCERIAS</t>
  </si>
  <si>
    <t>PROCURADORIA-GERAL DO MUNICÍPIO</t>
  </si>
  <si>
    <t>SECRETARIA DE SERVIÇOS URBANOS</t>
  </si>
  <si>
    <t>SECRETARIA DE OBRAS E INFRAESTRUTURA</t>
  </si>
  <si>
    <t>SECRETARIA DE MOBILIDADE URBANA</t>
  </si>
  <si>
    <t>SECRETARIA DE DESENVOLVIMENTO ECONÔMICO E TURISMO</t>
  </si>
  <si>
    <t>SECRETARIA DE MEIO AMBIENTE, URBANISMO E SUSTENTABILIDADE</t>
  </si>
  <si>
    <t>SECRETARIA DA CULTURA</t>
  </si>
  <si>
    <t>SECRETARIA DE SAÚDE</t>
  </si>
  <si>
    <t>SECRETARIA DE SEGURANÇA</t>
  </si>
  <si>
    <t>SECRETARIA DE EDUCAÇÃO</t>
  </si>
  <si>
    <t>SECRETARIA DE DESENVOLVIMENTO SOCIAL</t>
  </si>
  <si>
    <t>SECRETARIA DE ESPORTE, LAZER E JUVENTUDE</t>
  </si>
  <si>
    <t>SECRETARIA DE HABITAÇÃO E REGULARIZAÇÃO FUNDIÁRIA</t>
  </si>
  <si>
    <t>SECRETARIA EXTRAORDINÁRIA DE ENFRENTAMENTO AO CORONAVÍRUS</t>
  </si>
  <si>
    <t>SECRETARIA EXTRAORDINÁRIA DOS 250 ANOS</t>
  </si>
  <si>
    <t>CARRIS</t>
  </si>
  <si>
    <t>DMAE</t>
  </si>
  <si>
    <t>DEMHAB</t>
  </si>
  <si>
    <t>DMLU</t>
  </si>
  <si>
    <t>DEFESA CIVIL</t>
  </si>
  <si>
    <t>EPTC</t>
  </si>
  <si>
    <t>FASC</t>
  </si>
  <si>
    <t>PREVIMPA</t>
  </si>
  <si>
    <t>PROCEMPA</t>
  </si>
  <si>
    <t>PROCON</t>
  </si>
  <si>
    <t>Quilometragem/litro</t>
  </si>
  <si>
    <t>Tipo de Combustível</t>
  </si>
  <si>
    <t>Preço por litro</t>
  </si>
  <si>
    <t>Custos com Óleo</t>
  </si>
  <si>
    <t>Custos com Combustível</t>
  </si>
  <si>
    <t>Custo com Pneu jogo de pneus</t>
  </si>
  <si>
    <t>Custo do pneu</t>
  </si>
  <si>
    <t>Depreciação mensal</t>
  </si>
  <si>
    <t>Quantidade de veículos</t>
  </si>
  <si>
    <t>Custo de aquisição do veículo (total)</t>
  </si>
  <si>
    <t>Custos de mensalidade</t>
  </si>
  <si>
    <t>Custos de instalação (informar custo total)</t>
  </si>
  <si>
    <t>Quilômetros por mês</t>
  </si>
  <si>
    <t>Custo de aquisição do veículo</t>
  </si>
  <si>
    <t>Órgão Demandante</t>
  </si>
  <si>
    <t>MATERIAIS NÃO DEPRECIÁVEIS DE USO COLETIVO E EQUIPAMENTOS DEPRECIÁVEIS</t>
  </si>
  <si>
    <t>Litros por troca</t>
  </si>
  <si>
    <t>Frequência da troca</t>
  </si>
  <si>
    <t>Processo SEI Nº:</t>
  </si>
  <si>
    <t>Tipo de Veículo</t>
  </si>
  <si>
    <t>Porteiro</t>
  </si>
  <si>
    <t>Subtotal</t>
  </si>
  <si>
    <t>Custos Diretos</t>
  </si>
  <si>
    <t>Tributos</t>
  </si>
  <si>
    <t>Custos Administrativos</t>
  </si>
  <si>
    <t>Carimbo com CNPJ da empresa abaixo</t>
  </si>
  <si>
    <t>NOME DO REPRESENTANTE</t>
  </si>
  <si>
    <t>POSTO</t>
  </si>
  <si>
    <t>CBO</t>
  </si>
  <si>
    <t>SINDICATO</t>
  </si>
  <si>
    <t>REGIME MENSAL CONVENÇÃO</t>
  </si>
  <si>
    <t>VIGÊNCA CCT</t>
  </si>
  <si>
    <t>REGISTRO M.T.E.</t>
  </si>
  <si>
    <t>AUXÍLIO ALIMENTAÇÃO (DIA)</t>
  </si>
  <si>
    <t>AUXÍLIO LANCHE</t>
  </si>
  <si>
    <t>Auxiliar de Almoxarifado</t>
  </si>
  <si>
    <t>Cozinheiro</t>
  </si>
  <si>
    <t>Auxiliar de Cozinha</t>
  </si>
  <si>
    <t>Receita Bruta</t>
  </si>
  <si>
    <t>DATA BASE</t>
  </si>
  <si>
    <t>Funcionários por posto</t>
  </si>
  <si>
    <t>Função do Posto</t>
  </si>
  <si>
    <t>L</t>
  </si>
  <si>
    <t>Valor do benefício</t>
  </si>
  <si>
    <t>Participação do empregado no custo (%)</t>
  </si>
  <si>
    <t>Mês</t>
  </si>
  <si>
    <t>Custos material e equipamentos de uso coletivo</t>
  </si>
  <si>
    <t>Custos com uniformes e material individuais</t>
  </si>
  <si>
    <t>Quantidade de vales recebidos por funcionário</t>
  </si>
  <si>
    <t>Forma de substituição intrajornada</t>
  </si>
  <si>
    <t>RAT 3% x FAP 1</t>
  </si>
  <si>
    <t>ACÓRDÃO 1753/2008 - PLENÁRIO - 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(8,33/12)+(8,33/12)+(1/3x(8,33/12)) ≅ 1,62%
Para fins de cálculo a base a ser utilizada é o total da remuneração para que não haja dupla incidência de férias. adicional de férias e décimo-terceiro.</t>
  </si>
  <si>
    <t>ACÓRDÃO 6771/2009 - PRIMEIRA CÂMARA -  Estimativa de 5 (cinco) dias de licença por ano.</t>
  </si>
  <si>
    <t>ACÓRDÃO 6771/2009 - PRIMEIRA CÂMARA -  Estimativa de 1,5% (um inteiro e cinco décimos por cento) dos empregados usufruindo 5 (cinco) dias da licença por ano.</t>
  </si>
  <si>
    <t xml:space="preserve">ACÓRDÃO 1753/2008 - PLENÁRIO - Estimativa de 2,96 ausências por ano. </t>
  </si>
  <si>
    <t>ACÓRDÃO 6771/2009 - PRIMEIRA CÂMARA - Estimativa de 1 (uma) licença de 30 (trinta) dias por ano para 0,78% (setenta e oito décimos por cento) dos empregados.</t>
  </si>
  <si>
    <t xml:space="preserve"> Anuário RAIS do Ministério do Trabalho - Durante a licença, o salário maternidade e a parcela do décimo terceiro salário correspondente ao período da licença é custeado pelo INSS (Art. 86 da IN RFB 971/2009). Cabe à empresa a provisão relativa a férias (1/12) e adicional de férias (1/3 x 1/12) e as contribuições previdenciárias sobre o período de licença . A remuneração do substituto, acrescida de todos os encargos, é justamente a remuneração da trabalhadora substituída no período (vide Módulo 1 e Submódulo 2.2). Portanto o custo do afastamento é dado pela seguinte fórmula aplicada sobre a remuneração: [(1/12) + (1/3 x 1/12)] x 100  ≅ 11,11%
Rateio do Custo durante Vigência Contratual: Divisão proporcional do custo de 4 (quatro) meses de licença por ano (base do % de ocorrências): (4 meses de licença) ÷ (12 meses) x 100 = 33,33%
Número Estimado de Ocorrências: Conforme Anuário Estatístico da RAIS, elaborado pelo Ministério do Trabalho, as mulheres representaram cerca de 46,2122% do total de empregos no Rio Grande do Sul (1.303.632 do total de 2.820.968). Já o Anuário Estatístico da Previdência Social dispõe que foi concedida a quantidade de 52.313 salários-maternidade no âmbito do Rio Grande do Sul em 2020. Essa quantidade representa cerca de 4,0129% do total de mulheres empregadas noRio Grande do Sul no mesmo período. Portanto, a estimativa de uma determinada empregada usurfruir 4 (quatro) meses de licença a cada ano de execução contratual é de 0,462122 x 0,04012 x 100  ≅ 1,854033% de empregadas afastadas
  Selecione "Empregos em 31/12", depois "Por Área Geográfica e Sexo" e depois os atributos "Ano igual a 2020"; "Região Natural igual a 4 -SUL"; "UF igual a RIO GRANDE DO SUL".  Anuário Estatístico da Previdência Social   Anuário Estatístico da Previdência Social  Clicar em 2020: "Download tabelas". No arquivo que abrir, clique na pasta "AEPS 2020 - SECAO I - Benefícios ", depois em "Concedidos", depois em "20C4_01" </t>
  </si>
  <si>
    <t>((Total submódulo 2.3 - VA - VT) x média de dias de substituição ÷ 30 ÷ 12)</t>
  </si>
  <si>
    <t>Salário mensal definido em acordo, dissídio ou convenção coletiva de trabalho no momento da publicação do edital; quando houver necessidade de afastar o risco de selecionar colaboradores com capacitação inferior à necessária para a execução dos serviços, por meio de pesquisas de mercado, de dados obtidos junto a associações e sindicatos de cada categoria profissional e de informações divulgadas por outros órgãos públicos que tenham recentemente contratado o mesmo tipo de serviço. De acordo com o TCU, a fixação de remuneração mínima no edital somente é cabível, com restrições,  nos casos de terceirização de mão de obra com alocação de postos de trabalho. Importante ainda que, como a planilha de custos é baseada em empregados mensalistas, consideram-se já remunerados os dias de repouso semanal no salário mensal nos termos do § 2º do art. 7º da Lei 605/1949.</t>
  </si>
  <si>
    <t>Adicional Troca Uniformes</t>
  </si>
  <si>
    <t>% Incidência = 50%</t>
  </si>
  <si>
    <t>Motorista Van</t>
  </si>
  <si>
    <t>Motorista Veículos Leves</t>
  </si>
  <si>
    <t>SINDIELV</t>
  </si>
  <si>
    <t>Seguro de Vida</t>
  </si>
  <si>
    <t>Periculosidade Adic. 30%</t>
  </si>
  <si>
    <t>Vigilante</t>
  </si>
  <si>
    <t>SINDIVIGILANTES</t>
  </si>
  <si>
    <t>Plano Benefício Familiar</t>
  </si>
  <si>
    <t>Varredor - Limpeza Urbana</t>
  </si>
  <si>
    <t>Recepcionista</t>
  </si>
  <si>
    <t>Insalubridade sobre Piso</t>
  </si>
  <si>
    <t>Aux. Limpeza, Serv. Gerais</t>
  </si>
  <si>
    <t>Copeiro</t>
  </si>
  <si>
    <t>Coletor, lixeiro</t>
  </si>
  <si>
    <t>Auxiliar de Manutenção Predial</t>
  </si>
  <si>
    <t>Auxiliar de Escritório</t>
  </si>
  <si>
    <t>Outros</t>
  </si>
  <si>
    <t>TOTAL MÓDULO 1</t>
  </si>
  <si>
    <t>Limpador Alpinista</t>
  </si>
  <si>
    <t>Operador de Rádio Chamada</t>
  </si>
  <si>
    <t>Telefonista terceirizada 180hs </t>
  </si>
  <si>
    <t>PISO NORMATIVO</t>
  </si>
  <si>
    <t>SUBMÓDULO 6.2 - Tributos</t>
  </si>
  <si>
    <t>Quantidade contratual</t>
  </si>
  <si>
    <t>RS003831/2021</t>
  </si>
  <si>
    <t>Intervalo Intrajornada</t>
  </si>
  <si>
    <t>OBSERVAÇÕES</t>
  </si>
  <si>
    <t>Simples</t>
  </si>
  <si>
    <t>PROVISÃO PARA RESCISÃO</t>
  </si>
  <si>
    <t>MEMÓRIA DE CÁLCULO</t>
  </si>
  <si>
    <t>Salário Mínimo</t>
  </si>
  <si>
    <t>Salário Base</t>
  </si>
  <si>
    <t>Regime Tributário:</t>
  </si>
  <si>
    <t>Receita Bruta Anual:</t>
  </si>
  <si>
    <t>Taxa de manutenção anual</t>
  </si>
  <si>
    <t>CPF Responsável:</t>
  </si>
  <si>
    <t>Custo mensal</t>
  </si>
  <si>
    <t>Sim</t>
  </si>
  <si>
    <t>Participação do empregado no custo Vale transporte</t>
  </si>
  <si>
    <t>Participação do empregado no custo Vale refeição</t>
  </si>
  <si>
    <t>MÓDULO 5 - UNIFORMES, MATERIAIS, EQUIPAMENTOS E VEÍCULOS</t>
  </si>
  <si>
    <t>SUBMÓDULO 5.1 - Uniformes, materiais e equipamentos</t>
  </si>
  <si>
    <t>DETALHAMENTO ITEM A SUBMOD 5.2 - MANUTENÇÃO MENSAL DO VEÍCULO</t>
  </si>
  <si>
    <t>DETALHAMENTO ITEM B SUBMOD 5.2 - CUSTOS OBRIGATÓRIOS MENSAIS DO VEÍCULO</t>
  </si>
  <si>
    <t>DETALHAMENTO ITEM C SUBMOD 5.2 - REMUNERAÇÃO DO CAPITAL E DEPRECIAÇÃO MENSAL DO VEÍCULO</t>
  </si>
  <si>
    <t>Custos com Filtro Óleo</t>
  </si>
  <si>
    <t>A.1</t>
  </si>
  <si>
    <t>A.2</t>
  </si>
  <si>
    <t>A.3</t>
  </si>
  <si>
    <t>A.4</t>
  </si>
  <si>
    <t>A.5</t>
  </si>
  <si>
    <t>Preço Filtro de óleo</t>
  </si>
  <si>
    <t>B.1</t>
  </si>
  <si>
    <t>B.2</t>
  </si>
  <si>
    <t>B.3</t>
  </si>
  <si>
    <t>B.4</t>
  </si>
  <si>
    <t>B.5</t>
  </si>
  <si>
    <t>C.1</t>
  </si>
  <si>
    <t>C.2</t>
  </si>
  <si>
    <t>Custo total</t>
  </si>
  <si>
    <t>SUBMÓDULO 4.2 - Intervalo intrajornada</t>
  </si>
  <si>
    <t>Veículo A</t>
  </si>
  <si>
    <t>Veículo B</t>
  </si>
  <si>
    <t>Veículo C</t>
  </si>
  <si>
    <t>Veículo D</t>
  </si>
  <si>
    <t>Veículo E</t>
  </si>
  <si>
    <t>UNIFORMES, MATERIAIS DE USO INDIVIDUAL, CURSOS E TREINAMENTOS</t>
  </si>
  <si>
    <t>Unidade de fornecimento</t>
  </si>
  <si>
    <t>Taxa de depreciação mensal</t>
  </si>
  <si>
    <t>Valor de Aquisição</t>
  </si>
  <si>
    <t>Custo contratual</t>
  </si>
  <si>
    <t>Alíquota</t>
  </si>
  <si>
    <t>Interna</t>
  </si>
  <si>
    <t>Externa</t>
  </si>
  <si>
    <t>Oficinas</t>
  </si>
  <si>
    <t>Varrição de passeios e arruamentos</t>
  </si>
  <si>
    <t>Pisos acarpetados</t>
  </si>
  <si>
    <t>Pisos Frios</t>
  </si>
  <si>
    <t>Laboratoriais</t>
  </si>
  <si>
    <t>Almoxarifados/galpões</t>
  </si>
  <si>
    <t>Pisos pavimentados adjacentes/contíguos às edificações</t>
  </si>
  <si>
    <t>Pátios e áreas verdes com alta frequência</t>
  </si>
  <si>
    <t>Pátios e áreas verdes com média frequência</t>
  </si>
  <si>
    <t>Pátios e áreas verdes com baixa frequência</t>
  </si>
  <si>
    <t>Coleta de detritos em pátios e áreas verdes com frequência diária</t>
  </si>
  <si>
    <t xml:space="preserve">Custo do m² </t>
  </si>
  <si>
    <t>Fachadas Envidraçadas</t>
  </si>
  <si>
    <t>Áreas Hospitalares e assemelhadas</t>
  </si>
  <si>
    <t>Área mensal</t>
  </si>
  <si>
    <t>Produtividade</t>
  </si>
  <si>
    <t>QUADRO 1 - RESUMO DO CUSTO</t>
  </si>
  <si>
    <t>Custo por hora</t>
  </si>
  <si>
    <t>Custos com remuneração, encargos e benefícios</t>
  </si>
  <si>
    <t>Custos Indiretos por mês</t>
  </si>
  <si>
    <t>Custos por mês</t>
  </si>
  <si>
    <t>Custo por dia</t>
  </si>
  <si>
    <t>QUADRO 2 - PRODUTIVIDADE</t>
  </si>
  <si>
    <t>Custos contratual</t>
  </si>
  <si>
    <t>Esquadrias</t>
  </si>
  <si>
    <t>Fachada</t>
  </si>
  <si>
    <t>Hospitalar</t>
  </si>
  <si>
    <t>Face externa com exposição a situação de risco</t>
  </si>
  <si>
    <t>Face externa sem exposição a situação de risco</t>
  </si>
  <si>
    <t>Face interna</t>
  </si>
  <si>
    <t>-</t>
  </si>
  <si>
    <t>Áreas com espaços livres - saguão, hall e salão</t>
  </si>
  <si>
    <t>Banheiros</t>
  </si>
  <si>
    <t>C.3</t>
  </si>
  <si>
    <t>GMAT</t>
  </si>
  <si>
    <t>Und Medida</t>
  </si>
  <si>
    <t>Item 6.7 do Caderno Técnico - Prestação de Serviços de Limpeza, Asseio e Conservação Predial, do Estado de São Paulo (www.cadterc.sp.gov.br)</t>
  </si>
  <si>
    <t>Item 6.8 do Caderno Técnico - Prestação de Serviços de Limpeza, Asseio e Conservação Predial, do Estado de São Paulo (www.cadterc.sp.gov.br)</t>
  </si>
  <si>
    <t>A.6</t>
  </si>
  <si>
    <t>A.7</t>
  </si>
  <si>
    <t>B.6</t>
  </si>
  <si>
    <t>2.A - Áreas internas</t>
  </si>
  <si>
    <t>2.B - Áreas externas</t>
  </si>
  <si>
    <t>2.C - Esquadrias externas</t>
  </si>
  <si>
    <t>2.D - Fachadas</t>
  </si>
  <si>
    <t>2.E - Áreas Hospitalares</t>
  </si>
  <si>
    <t>Total contratual</t>
  </si>
  <si>
    <t>Semanas no Mês</t>
  </si>
  <si>
    <t>Semanas no Ano</t>
  </si>
  <si>
    <t>D.1</t>
  </si>
  <si>
    <t>E.1</t>
  </si>
  <si>
    <t>Incidência salário</t>
  </si>
  <si>
    <t>Duração do Contrato em meses:</t>
  </si>
  <si>
    <t>QUANTIDADE CONTRATUAL POR PROFISSIONAL</t>
  </si>
  <si>
    <t>Posto A</t>
  </si>
  <si>
    <t>Posto B</t>
  </si>
  <si>
    <t>Posto C</t>
  </si>
  <si>
    <t>Posto D</t>
  </si>
  <si>
    <t>Posto E</t>
  </si>
  <si>
    <t>Qnt. de Postos</t>
  </si>
  <si>
    <t>Qnt. de Profissionais</t>
  </si>
  <si>
    <t>Tipo de Piso</t>
  </si>
  <si>
    <t>Tipo de Área</t>
  </si>
  <si>
    <t>Área (m²)</t>
  </si>
  <si>
    <t>Custo por m²</t>
  </si>
  <si>
    <t>Veículo</t>
  </si>
  <si>
    <t>Km/mês</t>
  </si>
  <si>
    <t>Qnt.</t>
  </si>
  <si>
    <t>DEMONSTRATIVO DOS CUSTOS DIRETOS E INDIRETOS</t>
  </si>
  <si>
    <t>DEMONSTRATIVO DE CUSTOS COM MÃO DE OBRA POR POSTO</t>
  </si>
  <si>
    <t>DEMONSTRATIVO DE CUSTOS COM MÃO DE OBRA POR PRODUTIVIDADE</t>
  </si>
  <si>
    <t>DEMONSTRATIVO DE CUSTOS COM LOCAÇÃO DE VEÍCULOS</t>
  </si>
  <si>
    <t>1.C - Total por veículo</t>
  </si>
  <si>
    <t>1.B - Custos por veículo</t>
  </si>
  <si>
    <t>Custos diretos por mês</t>
  </si>
  <si>
    <t>QUADRO 1 - RESUMO DOS CUSTOS</t>
  </si>
  <si>
    <t>Custos com veículos</t>
  </si>
  <si>
    <t>Motorista Caminhão</t>
  </si>
  <si>
    <t>Motorista Operador Caminhão</t>
  </si>
  <si>
    <t>Cooperativa</t>
  </si>
  <si>
    <t>TOTAL CONTRATUAL</t>
  </si>
  <si>
    <t>Valor a depreciar</t>
  </si>
  <si>
    <t>Custo hora</t>
  </si>
  <si>
    <t>Custo dia</t>
  </si>
  <si>
    <t>Custo mês</t>
  </si>
  <si>
    <t>PLANILHA DE CUSTOS E FORMAÇÃO DE PREÇOS</t>
  </si>
  <si>
    <t>Contratação</t>
  </si>
  <si>
    <t>Mensal</t>
  </si>
  <si>
    <t>Custos com uniformes, materiais e equipamentos</t>
  </si>
  <si>
    <t>Custos por posto</t>
  </si>
  <si>
    <t>Horas mês trabalhadas</t>
  </si>
  <si>
    <t>1.A - Custos unitários</t>
  </si>
  <si>
    <t>1.C - Total Contratual</t>
  </si>
  <si>
    <t>Custo mensal do posto</t>
  </si>
  <si>
    <t>Custo mensal do profissional</t>
  </si>
  <si>
    <t>Horas mês remuneradas</t>
  </si>
  <si>
    <t>Total mensal</t>
  </si>
  <si>
    <t>Pagamento do Contrato:</t>
  </si>
  <si>
    <t>Quantidade de vistorias no período contratual</t>
  </si>
  <si>
    <t>Valor da vistoria</t>
  </si>
  <si>
    <t>Custo km rodado</t>
  </si>
  <si>
    <t>1.A - Custos por hora e quilômetro</t>
  </si>
  <si>
    <t>Custo variável por quilômetro</t>
  </si>
  <si>
    <t>Horas consideradas</t>
  </si>
  <si>
    <t>Qnt Horas</t>
  </si>
  <si>
    <t>Posto F</t>
  </si>
  <si>
    <t>Posto G</t>
  </si>
  <si>
    <t>Posto H</t>
  </si>
  <si>
    <t>Posto I</t>
  </si>
  <si>
    <t>Posto J</t>
  </si>
  <si>
    <t>Durabilidade (em Km)</t>
  </si>
  <si>
    <t xml:space="preserve">     </t>
  </si>
  <si>
    <t>Quantidade de profissional por posto</t>
  </si>
  <si>
    <t xml:space="preserve">Quantidade total de profissionais/diárias </t>
  </si>
  <si>
    <t>Quantidade de postos/diárias</t>
  </si>
  <si>
    <t>Local de trabalho</t>
  </si>
  <si>
    <t>(((7÷30,44)÷12)X 0,02) + ((7÷30,44)÷12) ≅ 1,98 %</t>
  </si>
  <si>
    <t>Responsável</t>
  </si>
  <si>
    <t>Data de conclusão</t>
  </si>
  <si>
    <t>Taxa anual</t>
  </si>
  <si>
    <t>RS004917/2023</t>
  </si>
  <si>
    <t>.................................., ...... de ................ de 2024.</t>
  </si>
  <si>
    <t>((1÷12)÷12)+((1÷12)÷12)+(1÷3x((1÷12)÷12)) ≅ 1,62%</t>
  </si>
  <si>
    <t>Regime de trabalho da convenção coletiva (mensal)</t>
  </si>
  <si>
    <t>Regime de trabalho do Contrato (semanal)</t>
  </si>
  <si>
    <t>Taxa mensal</t>
  </si>
  <si>
    <t>DETALHAMENTO ITEM A SUBMOD 5.2.1 - MANUTENÇÃO MENSAL DO VEÍCULO</t>
  </si>
  <si>
    <t>SUBTOTAL ITEM A SUBMOD 5.2.1</t>
  </si>
  <si>
    <t>DETALHAMENTO ITEM B SUBMOD 5.2.2 - CUSTOS OBRIGATÓRIOS MENSAIS DO VEÍCULO</t>
  </si>
  <si>
    <t>SUBTOTAL ITEM B SUBMOD 5.2.2</t>
  </si>
  <si>
    <t>DETALHAMENTO ITEM C SUBMOD 5.2.3 - REMUNERAÇÃO DO CAPITAL E DEPRECIAÇÃO MENSAL DO VEÍCULO</t>
  </si>
  <si>
    <t>SUBTOTAL ITEM C SUBMOD 5.2.3</t>
  </si>
  <si>
    <t>SUBMÓDULO 5.2.4 - CUSTOS INDIRETOS</t>
  </si>
  <si>
    <t>SUBMÓDULO 5.2.4.1 - Custos administrativos e lucros</t>
  </si>
  <si>
    <t>TOTAL SUBMÓDULO 5.2.4.1</t>
  </si>
  <si>
    <t>SUBMÓDULO 5.2.4.2 - Tributos</t>
  </si>
  <si>
    <t>TOTAL SUBMÓDULO 5.2.4.2</t>
  </si>
  <si>
    <t>TOTAL MÓDULO 5.2.4</t>
  </si>
  <si>
    <t>Outros custos (especificar)</t>
  </si>
  <si>
    <t>Custos por tipo de posto</t>
  </si>
  <si>
    <t>1.B - Total do tipo de posto (posto X quantidade)</t>
  </si>
  <si>
    <t>4h (1 dia/sem)</t>
  </si>
  <si>
    <t>6h (1 dia/sem)</t>
  </si>
  <si>
    <t>8h (1 dia/sem)</t>
  </si>
  <si>
    <t>20h (5 dia/sem)</t>
  </si>
  <si>
    <t>30h (5 dia/sem)</t>
  </si>
  <si>
    <t>35h (5 dia/sem)</t>
  </si>
  <si>
    <t>36h (6 dia/sem)</t>
  </si>
  <si>
    <t>40h (5 dia/sem)</t>
  </si>
  <si>
    <t>44h (5 dia/sem)</t>
  </si>
  <si>
    <t>44h (6 dia/sem)</t>
  </si>
  <si>
    <t>RS000303/2024</t>
  </si>
  <si>
    <t>12h (2 dia/sem)</t>
  </si>
  <si>
    <t>16h (2 dia/sem)</t>
  </si>
  <si>
    <t>24.0.000061841-8</t>
  </si>
  <si>
    <t>Contratação de empresa para fornecimento de mão-de-obra para prestação de serviços de manutenção predial com transporte, equipamentos, ferramentas e EPI´s para atender instalações prediais de responsabilidade da Secretaria Municipal de Desenvolvimento</t>
  </si>
  <si>
    <t>Luciano do Valle</t>
  </si>
  <si>
    <t>Oficial - Eletricista (manutenção predial)</t>
  </si>
  <si>
    <t>Oficial - Manutenção Predial</t>
  </si>
  <si>
    <t>Meio Oficial - Manutenção Predial</t>
  </si>
  <si>
    <t>SINDELETRI</t>
  </si>
  <si>
    <t>SINDUSCON</t>
  </si>
  <si>
    <t>RS003360/2023</t>
  </si>
  <si>
    <t>RS003085/2023</t>
  </si>
  <si>
    <t>SMDS</t>
  </si>
  <si>
    <t>Não</t>
  </si>
  <si>
    <t>Pick up cabine dupla</t>
  </si>
  <si>
    <t>Diesel</t>
  </si>
  <si>
    <t>Botina de segurança (par)</t>
  </si>
  <si>
    <t>unidade</t>
  </si>
  <si>
    <t>Calça comprida</t>
  </si>
  <si>
    <t>Crachá de identificação</t>
  </si>
  <si>
    <t>Camiseta manga curta, com identificação da empresa</t>
  </si>
  <si>
    <t>Camiseta manga longa, com identificação da empresa</t>
  </si>
  <si>
    <t>Protetor auricular tipo concha</t>
  </si>
  <si>
    <t>Moletom, com identificação da empresa</t>
  </si>
  <si>
    <t>Jaqueta cor preta, em tecido nylon, 100% poliéster, forrada, impermeável, com fecho central, com identificação da empresa</t>
  </si>
  <si>
    <t>Cinturão de segurança com talabarte para trabalho em altura</t>
  </si>
  <si>
    <t>Respirador semifacial (máscara) com filtro combinado para poeiras de madeira oriundas de corte e lixamento, e vapores de hidrocarbonetos aromáticos (colas e solventes)</t>
  </si>
  <si>
    <t>Luva de vaqueta (par)</t>
  </si>
  <si>
    <t>Alicate bomba d'água 10"</t>
  </si>
  <si>
    <t>Alicate de bico reto 8"</t>
  </si>
  <si>
    <t>Alicate de pressão 11" para solda, tipo C</t>
  </si>
  <si>
    <t>Alicate descascador (para terminais)</t>
  </si>
  <si>
    <t>Alicate para terminal pré isolado 0,5 a 0,6mm</t>
  </si>
  <si>
    <t>Alicate universal 8"</t>
  </si>
  <si>
    <t>Alicate voltímetro - amperímetro digital 750/1000V, ref. Minipa et-3200 digital</t>
  </si>
  <si>
    <t>Aplicador manual de silicone tipo pistola</t>
  </si>
  <si>
    <t>Arco de serra com regulagem 12"</t>
  </si>
  <si>
    <t>Caixa metálica para ferramentas, sanfonada, com cadeado</t>
  </si>
  <si>
    <t>Cabo rolo de pintura tipo extensor 2,7m</t>
  </si>
  <si>
    <t>Chave allen 9 peças (1,5 a 10mm)</t>
  </si>
  <si>
    <t>Chave inglesa 10"</t>
  </si>
  <si>
    <t>Chave catraca - 22 peças</t>
  </si>
  <si>
    <t>Chave de fenda - 6 peças</t>
  </si>
  <si>
    <t>Chave para válvula de descarga</t>
  </si>
  <si>
    <t>Chave de fenda philips - 5 peças</t>
  </si>
  <si>
    <t>Cinto de ferramentas</t>
  </si>
  <si>
    <t>Colher de pedreiro 10"</t>
  </si>
  <si>
    <t>Conjunto de brocas chatas para furos 3/8" até 1"</t>
  </si>
  <si>
    <t>Conjunto de broca de aço - saque rápido</t>
  </si>
  <si>
    <t>Cortador de fórmica</t>
  </si>
  <si>
    <t>Desempenadeira de aço dentada 12x25cm, dentes 8x8mm, cabo fechado de madeira</t>
  </si>
  <si>
    <t>Desempenadeira de aço lisa, feltro com esponja</t>
  </si>
  <si>
    <t>Desempenadeira de poliuretano</t>
  </si>
  <si>
    <t>Desempenadeira para rejunte</t>
  </si>
  <si>
    <t>Espátula de plástico lisa, largura 10cm</t>
  </si>
  <si>
    <t>Espátula de aço inox com cabo de madeira, largura 8cm</t>
  </si>
  <si>
    <t>Esquadro de aço 12" (30mm), cabo de alumínio</t>
  </si>
  <si>
    <t>Estilete de metal, lâmina 18mm</t>
  </si>
  <si>
    <t>Garfo de rolo, 23cm</t>
  </si>
  <si>
    <t>Lâmina para arco de serra 12"</t>
  </si>
  <si>
    <t>Jogo de lima chata</t>
  </si>
  <si>
    <t xml:space="preserve">Jogo de grampo sargento </t>
  </si>
  <si>
    <t>Lanterna carregável</t>
  </si>
  <si>
    <t>Marreta 2kg</t>
  </si>
  <si>
    <t>Martelo de borracha</t>
  </si>
  <si>
    <t>Martelo unha 25mm</t>
  </si>
  <si>
    <t>Nível de alumínio 50mm</t>
  </si>
  <si>
    <t>Passador de fios 10m</t>
  </si>
  <si>
    <t>Pé de cabra 3/4 x 60cm</t>
  </si>
  <si>
    <t>Ponteiro 10"</t>
  </si>
  <si>
    <t>Régua de alumínio para pedreiro 2x1"</t>
  </si>
  <si>
    <t>Rebitador manual 2,4 a 4,8mm</t>
  </si>
  <si>
    <t>Serrote 22"</t>
  </si>
  <si>
    <t xml:space="preserve">Serrote de gesso </t>
  </si>
  <si>
    <t>Talhadeira com punho de proteção 20x250mm</t>
  </si>
  <si>
    <t>Tesoura corta tubo</t>
  </si>
  <si>
    <t>Tesoura de cortar perfil</t>
  </si>
  <si>
    <t>Testador cabos energizados com detecção de tensão sem contato elétrico</t>
  </si>
  <si>
    <t>Trena 10m</t>
  </si>
  <si>
    <t>Conjunto de serra copos para madeira - 12 unidades</t>
  </si>
  <si>
    <t>Livro ponto</t>
  </si>
  <si>
    <t>Trava-quedas em aço para corda 12mm, extensor de 25x300mm, com mosquetão tipo gancho trava dupla</t>
  </si>
  <si>
    <t>Carro de mão extraforte 65l, com pneu maciço</t>
  </si>
  <si>
    <t>Escada de abrir em fibra de vidro tipo tesoura, duplo acesso, 6 degraus</t>
  </si>
  <si>
    <t>Escada extensível em alumínio, 6m estendida</t>
  </si>
  <si>
    <t>Tupia elétrica 1650QW, 220V</t>
  </si>
  <si>
    <t xml:space="preserve">Torno de bancada, nº 6 </t>
  </si>
  <si>
    <t>Transformador 127/220V, 500VA</t>
  </si>
  <si>
    <t>Serra mármore, disco 5", 1400W, 220V</t>
  </si>
  <si>
    <t>Luvas de poliamida com banho nitrílico (par)</t>
  </si>
  <si>
    <t>Óculos de segurança contra impactos com lente incolor, armação nylon, com proteção UVA  e UVB</t>
  </si>
  <si>
    <t>Capacete de segurança, aba frontal com supensão em polietileno (classe B)</t>
  </si>
  <si>
    <t>Luva de PVC forrada (par)</t>
  </si>
  <si>
    <t>Luva de borracha alta tensão 2,5KV (par)</t>
  </si>
  <si>
    <t>Protetor facial - faceshiel</t>
  </si>
  <si>
    <t>Balde caçamba 15l</t>
  </si>
  <si>
    <t>Broxa para pintura, retangular, 15cm</t>
  </si>
  <si>
    <t>Conjunto chave de boca 6 a 32mm</t>
  </si>
  <si>
    <t>Conjunto chave canhão, 3 a 14mm</t>
  </si>
  <si>
    <t>Chave grifo 11"</t>
  </si>
  <si>
    <t>Descascador de fios</t>
  </si>
  <si>
    <t>Disco de corte 4 1/2" x 1/16" x 7/8" para aço inox</t>
  </si>
  <si>
    <t>Disco de corte para esmerilhadeira - 180mm</t>
  </si>
  <si>
    <t>Disco de serra circular para madeira 300mm x 30mm, 60 dentes</t>
  </si>
  <si>
    <t>Escova circular em aço latonado, 6 x 1"</t>
  </si>
  <si>
    <t>Extensão elétrica 10m</t>
  </si>
  <si>
    <t>Fita isolante de borracha</t>
  </si>
  <si>
    <t>Fita veda rosca em rolos de 18mm x 25m</t>
  </si>
  <si>
    <t>Lixa em folha para ferro, número 150</t>
  </si>
  <si>
    <t>Lixa massa grão, 220</t>
  </si>
  <si>
    <t>Lona plástica extra forte preta, e= 200micra</t>
  </si>
  <si>
    <t>metro quadrado</t>
  </si>
  <si>
    <t>Pincel largura 4"</t>
  </si>
  <si>
    <t>Andaime módulo 1,0 x 1,5m</t>
  </si>
  <si>
    <t>Cortador de cerâmica 90cm</t>
  </si>
  <si>
    <t>Furadeira de impacto, 750W</t>
  </si>
  <si>
    <t>Lavadora lava jato 220V, 1400 - 1900lbs</t>
  </si>
  <si>
    <t>Martelete perfurador/rompedor, 800W, 220V</t>
  </si>
  <si>
    <t>Máquina de solda inversora 170A, compacta, bivolt</t>
  </si>
  <si>
    <t>Parafusadeira bateria, 18W, 220V</t>
  </si>
  <si>
    <t>COT 18</t>
  </si>
  <si>
    <t>COT 28</t>
  </si>
  <si>
    <t>COT 48</t>
  </si>
  <si>
    <t>COT 58</t>
  </si>
  <si>
    <t>COT 68</t>
  </si>
  <si>
    <t>COT 88</t>
  </si>
  <si>
    <t>COT 98</t>
  </si>
  <si>
    <t>COT 108</t>
  </si>
  <si>
    <t>COT 118</t>
  </si>
  <si>
    <t>COT 19</t>
  </si>
  <si>
    <t>Alicate de corte com alívio de esforço 6,5"</t>
  </si>
  <si>
    <t>COT 20</t>
  </si>
  <si>
    <t>COT 21</t>
  </si>
  <si>
    <t>COT 22</t>
  </si>
  <si>
    <t>COT 23</t>
  </si>
  <si>
    <t>COT 24</t>
  </si>
  <si>
    <t>COT 25</t>
  </si>
  <si>
    <t>COT 26</t>
  </si>
  <si>
    <t>COT 27</t>
  </si>
  <si>
    <t>COT 31</t>
  </si>
  <si>
    <t>COT 32</t>
  </si>
  <si>
    <t>COT 34</t>
  </si>
  <si>
    <t>COT 40</t>
  </si>
  <si>
    <t>COT 41</t>
  </si>
  <si>
    <t>COT 42</t>
  </si>
  <si>
    <t>COT 43</t>
  </si>
  <si>
    <t>COT 44</t>
  </si>
  <si>
    <t>COT 45</t>
  </si>
  <si>
    <t>COT 47</t>
  </si>
  <si>
    <t>COT 50</t>
  </si>
  <si>
    <t>COT 51</t>
  </si>
  <si>
    <t>COT 53</t>
  </si>
  <si>
    <t>COT 54</t>
  </si>
  <si>
    <t>COT 56</t>
  </si>
  <si>
    <t>COT 59</t>
  </si>
  <si>
    <t>COT 61</t>
  </si>
  <si>
    <t>COT 71</t>
  </si>
  <si>
    <t>COT 72</t>
  </si>
  <si>
    <t>COT 73</t>
  </si>
  <si>
    <t>COT 74</t>
  </si>
  <si>
    <t>COT 84</t>
  </si>
  <si>
    <t>COT 85</t>
  </si>
  <si>
    <t>COT 87</t>
  </si>
  <si>
    <t>COT 89</t>
  </si>
  <si>
    <t>COT 100</t>
  </si>
  <si>
    <t>COT 101</t>
  </si>
  <si>
    <t>COT 102</t>
  </si>
  <si>
    <t>COT 103</t>
  </si>
  <si>
    <t>COT 104</t>
  </si>
  <si>
    <t>COT 110</t>
  </si>
  <si>
    <t>COT 113</t>
  </si>
  <si>
    <t>COT 114</t>
  </si>
  <si>
    <t>COT 119</t>
  </si>
  <si>
    <t>Bandeja de pintura para rolo 23cm</t>
  </si>
  <si>
    <t>COT 30</t>
  </si>
  <si>
    <t>COT 36</t>
  </si>
  <si>
    <t>COT 37</t>
  </si>
  <si>
    <t>COT 39</t>
  </si>
  <si>
    <t>COT 55</t>
  </si>
  <si>
    <t>COT 63</t>
  </si>
  <si>
    <t>COT 64</t>
  </si>
  <si>
    <t>COT 65</t>
  </si>
  <si>
    <t>COT 76</t>
  </si>
  <si>
    <t>COT 82</t>
  </si>
  <si>
    <t>COT 83</t>
  </si>
  <si>
    <t>COT 92</t>
  </si>
  <si>
    <t>COT 93</t>
  </si>
  <si>
    <t>COT 107</t>
  </si>
  <si>
    <t>Cortador de vidro de diamante</t>
  </si>
  <si>
    <t>NR-12
Segurança no trabalho em máquinas e equipamentos - treinamento mínimo de 08 (oito) horas</t>
  </si>
  <si>
    <t>NR-18
Condições e meio ambiente de trabalho na indústria da construção - treinamento mínimo de  (oito) horas</t>
  </si>
  <si>
    <t>NR-10 Segurança em instalações e serviços em eletricidade (somente posto A) - treinamento mínimo de 40 (quarenta) horas</t>
  </si>
  <si>
    <t>NR-35 Trabalho em altura - treinamento mínimo de 8 (oito) horas</t>
  </si>
  <si>
    <t>Corda de poliamida 12mm tipo bombeiro, para trabalho em altura (100m)</t>
  </si>
  <si>
    <t>COT 29</t>
  </si>
  <si>
    <t>COT 33</t>
  </si>
  <si>
    <t>COT 35</t>
  </si>
  <si>
    <t>COT 38</t>
  </si>
  <si>
    <t>COT 46</t>
  </si>
  <si>
    <t>COT 49</t>
  </si>
  <si>
    <t>COT 52</t>
  </si>
  <si>
    <t>COT 57</t>
  </si>
  <si>
    <t>COT 60</t>
  </si>
  <si>
    <t>COT 62</t>
  </si>
  <si>
    <t>COT 66</t>
  </si>
  <si>
    <t>COT 67</t>
  </si>
  <si>
    <t>COT 69</t>
  </si>
  <si>
    <t>COT 70</t>
  </si>
  <si>
    <t>COT 75</t>
  </si>
  <si>
    <t>COT 77</t>
  </si>
  <si>
    <t>COT 78</t>
  </si>
  <si>
    <t>COT 79</t>
  </si>
  <si>
    <t>COT 80</t>
  </si>
  <si>
    <t>COT 81</t>
  </si>
  <si>
    <t>COT 86</t>
  </si>
  <si>
    <t>COT 90</t>
  </si>
  <si>
    <t>COT 91</t>
  </si>
  <si>
    <t>COT 94</t>
  </si>
  <si>
    <t>COT 95</t>
  </si>
  <si>
    <t>COT 96</t>
  </si>
  <si>
    <t>COT 97</t>
  </si>
  <si>
    <t>COT 99</t>
  </si>
  <si>
    <t>COT 105</t>
  </si>
  <si>
    <t>COT 106</t>
  </si>
  <si>
    <t>Desempenadeira de aço lisa 12x25cm com cabo fechado de madeira</t>
  </si>
  <si>
    <t>COT 109</t>
  </si>
  <si>
    <t>COT 111</t>
  </si>
  <si>
    <t>COT 112</t>
  </si>
  <si>
    <t>COT 115</t>
  </si>
  <si>
    <t>COT 116</t>
  </si>
  <si>
    <t>COT 117</t>
  </si>
  <si>
    <t>Esmerilhadeira angular 2400W</t>
  </si>
  <si>
    <t>Enxada estreita 25x23cm com cabo</t>
  </si>
  <si>
    <t>Jogo de ponteiras - 10 peças</t>
  </si>
  <si>
    <t>Lixadeira angular, disco 7", 220W, 220V</t>
  </si>
  <si>
    <t>Lixadeira de cinta 3x21", 900W, 220V</t>
  </si>
  <si>
    <t>Nível laser - 10m</t>
  </si>
  <si>
    <t>Plaina manual elétrica 550W (220V)</t>
  </si>
  <si>
    <t>Serra circular, 1500W, disco 7" 1/4", 220V</t>
  </si>
  <si>
    <t>Serra meia esquadria, bancada, 850W, 7 1/4", 220V</t>
  </si>
  <si>
    <t>Serra para corte em metal policorte, bancada, disco 12", 2hp</t>
  </si>
  <si>
    <t>Serra tico-tico, 650W, 220V</t>
  </si>
  <si>
    <t>Torno para tubos nº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</si>
</sst>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0.000%"/>
    <numFmt numFmtId="167" formatCode="00\ &quot;meses&quot;"/>
    <numFmt numFmtId="168" formatCode="0\ &quot;horas&quot;"/>
    <numFmt numFmtId="169" formatCode="0\ &quot;dias&quot;"/>
    <numFmt numFmtId="170" formatCode="_(&quot;R$ &quot;* #,##0.00_);_(&quot;R$ &quot;* \(#,##0.00\);_(&quot;R$ &quot;* &quot;-&quot;??_);_(@_)"/>
    <numFmt numFmtId="171" formatCode="_([$€-2]* #,##0.00_);_([$€-2]* \(#,##0.00\);_([$€-2]* &quot;-&quot;??_)"/>
    <numFmt numFmtId="172" formatCode="_-&quot;R$&quot;* #,##0.00_-;\-&quot;R$&quot;* #,##0.00_-;_-&quot;R$&quot;* &quot;-&quot;??_-;_-@_-"/>
    <numFmt numFmtId="173" formatCode="_(* #,##0.00_);_(* \(#,##0.00\);_(* \-??_);_(@_)"/>
    <numFmt numFmtId="174" formatCode="[$-416]General"/>
    <numFmt numFmtId="175" formatCode="[$-416]0%"/>
    <numFmt numFmtId="176" formatCode="#,##0.00&quot; &quot;;&quot; (&quot;#,##0.00&quot;)&quot;;&quot; -&quot;#&quot; &quot;;@&quot; &quot;"/>
    <numFmt numFmtId="177" formatCode="[$R$-416]&quot; &quot;#,##0.00;[Red]&quot;-&quot;[$R$-416]&quot; &quot;#,##0.00"/>
    <numFmt numFmtId="178" formatCode="0\ &quot;dias&quot;\ "/>
    <numFmt numFmtId="179" formatCode="0\ &quot;meses&quot;\ "/>
    <numFmt numFmtId="180" formatCode="0.00\ &quot;dias&quot;\ "/>
    <numFmt numFmtId="181" formatCode="_-* #,##0_-;\-* #,##0_-;_-* &quot;-&quot;??_-;_-@_-"/>
    <numFmt numFmtId="182" formatCode="#,##0\ &quot;Km&quot;"/>
    <numFmt numFmtId="183" formatCode="#,##0\ &quot;meses&quot;"/>
    <numFmt numFmtId="184" formatCode="#,##0&quot;h&quot;"/>
    <numFmt numFmtId="185" formatCode="0.00\ &quot;horas&quot;"/>
    <numFmt numFmtId="186" formatCode="0%\ &quot;anual&quot;"/>
    <numFmt numFmtId="187" formatCode="#,##0.0\ &quot;Km/L&quot;"/>
    <numFmt numFmtId="188" formatCode="0&quot;h&quot;"/>
    <numFmt numFmtId="189" formatCode="0.00\ &quot;L&quot;"/>
    <numFmt numFmtId="190" formatCode="0.0%"/>
    <numFmt numFmtId="191" formatCode="#,##0.0\ &quot;m²&quot;"/>
    <numFmt numFmtId="192" formatCode="0.0000"/>
    <numFmt numFmtId="193" formatCode="0.00000"/>
    <numFmt numFmtId="194" formatCode="#,##0.00\ &quot;m²&quot;"/>
    <numFmt numFmtId="195" formatCode="_-&quot;R$&quot;\ * #,##0.00000000_-;\-&quot;R$&quot;\ * #,##0.00000000_-;_-&quot;R$&quot;\ * &quot;-&quot;??_-;_-@_-"/>
    <numFmt numFmtId="196" formatCode="#\ &quot;h&quot;"/>
    <numFmt numFmtId="197" formatCode="#,##0.00\ &quot;km&quot;"/>
    <numFmt numFmtId="198" formatCode="0\ &quot;h&quot;"/>
    <numFmt numFmtId="199" formatCode="0.000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</font>
    <font>
      <b/>
      <sz val="16"/>
      <color theme="1"/>
      <name val="Calibri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sz val="10"/>
      <color theme="1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4"/>
      <color theme="9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Segoe UI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</fills>
  <borders count="8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/>
      <bottom style="hair">
        <color indexed="64"/>
      </bottom>
      <diagonal/>
    </border>
    <border>
      <left style="thin">
        <color theme="0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hair">
        <color indexed="64"/>
      </bottom>
      <diagonal/>
    </border>
    <border>
      <left/>
      <right style="thin">
        <color indexed="64"/>
      </right>
      <top style="thin">
        <color theme="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7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5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" fillId="10" borderId="0" applyNumberFormat="0" applyBorder="0" applyAlignment="0" applyProtection="0"/>
    <xf numFmtId="0" fontId="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17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5" fillId="0" borderId="0"/>
    <xf numFmtId="173" fontId="15" fillId="0" borderId="0" applyBorder="0" applyProtection="0"/>
    <xf numFmtId="0" fontId="15" fillId="0" borderId="0" applyBorder="0" applyProtection="0"/>
    <xf numFmtId="9" fontId="15" fillId="0" borderId="0" applyBorder="0" applyProtection="0"/>
    <xf numFmtId="0" fontId="12" fillId="0" borderId="0"/>
    <xf numFmtId="0" fontId="17" fillId="0" borderId="0"/>
    <xf numFmtId="176" fontId="16" fillId="0" borderId="0" applyBorder="0" applyProtection="0"/>
    <xf numFmtId="174" fontId="16" fillId="0" borderId="0" applyBorder="0" applyProtection="0"/>
    <xf numFmtId="174" fontId="16" fillId="0" borderId="0" applyBorder="0" applyProtection="0"/>
    <xf numFmtId="175" fontId="16" fillId="0" borderId="0" applyBorder="0" applyProtection="0"/>
    <xf numFmtId="0" fontId="18" fillId="0" borderId="0" applyNumberFormat="0" applyBorder="0" applyProtection="0">
      <alignment horizontal="center"/>
    </xf>
    <xf numFmtId="0" fontId="18" fillId="0" borderId="0" applyNumberFormat="0" applyBorder="0" applyProtection="0">
      <alignment horizontal="center" textRotation="90"/>
    </xf>
    <xf numFmtId="174" fontId="16" fillId="0" borderId="0" applyBorder="0" applyProtection="0"/>
    <xf numFmtId="0" fontId="19" fillId="0" borderId="0" applyNumberFormat="0" applyBorder="0" applyProtection="0"/>
    <xf numFmtId="177" fontId="19" fillId="0" borderId="0" applyBorder="0" applyProtection="0"/>
    <xf numFmtId="0" fontId="12" fillId="0" borderId="0"/>
    <xf numFmtId="22" fontId="12" fillId="0" borderId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/>
    <xf numFmtId="0" fontId="3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34" applyNumberFormat="0" applyFill="0" applyAlignment="0" applyProtection="0"/>
    <xf numFmtId="0" fontId="21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72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164" fontId="3" fillId="0" borderId="0" applyFill="0" applyBorder="0" applyAlignment="0" applyProtection="0"/>
    <xf numFmtId="9" fontId="3" fillId="0" borderId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0" fillId="0" borderId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7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4" fillId="16" borderId="0" applyNumberFormat="0" applyBorder="0" applyAlignment="0" applyProtection="0"/>
    <xf numFmtId="0" fontId="25" fillId="28" borderId="35" applyNumberFormat="0" applyAlignment="0" applyProtection="0"/>
    <xf numFmtId="0" fontId="26" fillId="29" borderId="36" applyNumberFormat="0" applyAlignment="0" applyProtection="0"/>
    <xf numFmtId="0" fontId="27" fillId="0" borderId="37" applyNumberFormat="0" applyFill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33" borderId="0" applyNumberFormat="0" applyBorder="0" applyAlignment="0" applyProtection="0"/>
    <xf numFmtId="0" fontId="28" fillId="19" borderId="35" applyNumberFormat="0" applyAlignment="0" applyProtection="0"/>
    <xf numFmtId="0" fontId="29" fillId="15" borderId="0" applyNumberFormat="0" applyBorder="0" applyAlignment="0" applyProtection="0"/>
    <xf numFmtId="0" fontId="30" fillId="34" borderId="0" applyNumberFormat="0" applyBorder="0" applyAlignment="0" applyProtection="0"/>
    <xf numFmtId="0" fontId="3" fillId="35" borderId="38" applyNumberFormat="0" applyAlignment="0" applyProtection="0"/>
    <xf numFmtId="0" fontId="31" fillId="28" borderId="39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40" applyNumberFormat="0" applyFill="0" applyAlignment="0" applyProtection="0"/>
    <xf numFmtId="0" fontId="35" fillId="0" borderId="41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42" applyNumberFormat="0" applyFill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4" borderId="0" applyNumberFormat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36" borderId="0" applyNumberFormat="0" applyBorder="0" applyAlignment="0" applyProtection="0"/>
    <xf numFmtId="0" fontId="2" fillId="37" borderId="0" applyNumberFormat="0" applyBorder="0" applyAlignment="0" applyProtection="0"/>
    <xf numFmtId="170" fontId="3" fillId="0" borderId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38" borderId="0" applyNumberFormat="0" applyBorder="0" applyAlignment="0" applyProtection="0"/>
    <xf numFmtId="0" fontId="2" fillId="39" borderId="0" applyNumberFormat="0" applyBorder="0" applyAlignment="0" applyProtection="0"/>
    <xf numFmtId="0" fontId="43" fillId="0" borderId="0" applyNumberFormat="0" applyFill="0" applyBorder="0" applyAlignment="0" applyProtection="0"/>
  </cellStyleXfs>
  <cellXfs count="80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6" fillId="0" borderId="0" xfId="0" applyFont="1"/>
    <xf numFmtId="0" fontId="0" fillId="0" borderId="0" xfId="0" applyAlignment="1">
      <alignment horizontal="left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4" fontId="11" fillId="0" borderId="0" xfId="13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0" fontId="7" fillId="0" borderId="0" xfId="0" applyNumberFormat="1" applyFont="1" applyAlignment="1">
      <alignment horizontal="right" vertical="center"/>
    </xf>
    <xf numFmtId="0" fontId="37" fillId="5" borderId="0" xfId="93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vertical="center"/>
    </xf>
    <xf numFmtId="0" fontId="39" fillId="5" borderId="0" xfId="93" applyFont="1" applyFill="1" applyAlignment="1">
      <alignment horizontal="left" vertical="center"/>
    </xf>
    <xf numFmtId="0" fontId="8" fillId="0" borderId="0" xfId="0" applyFont="1" applyAlignment="1">
      <alignment vertical="center"/>
    </xf>
    <xf numFmtId="10" fontId="8" fillId="0" borderId="0" xfId="0" applyNumberFormat="1" applyFont="1" applyAlignment="1">
      <alignment horizontal="right" vertical="center"/>
    </xf>
    <xf numFmtId="0" fontId="39" fillId="0" borderId="0" xfId="0" applyFont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44" fontId="39" fillId="0" borderId="24" xfId="15" applyNumberFormat="1" applyFont="1" applyFill="1" applyBorder="1" applyAlignment="1">
      <alignment vertical="center"/>
    </xf>
    <xf numFmtId="0" fontId="39" fillId="0" borderId="29" xfId="0" applyFont="1" applyBorder="1" applyAlignment="1">
      <alignment horizontal="center" vertical="center"/>
    </xf>
    <xf numFmtId="44" fontId="39" fillId="0" borderId="0" xfId="5" applyNumberFormat="1" applyFont="1" applyFill="1" applyBorder="1" applyAlignment="1">
      <alignment vertical="center"/>
    </xf>
    <xf numFmtId="0" fontId="0" fillId="0" borderId="33" xfId="0" applyBorder="1" applyAlignment="1">
      <alignment vertical="center"/>
    </xf>
    <xf numFmtId="0" fontId="38" fillId="0" borderId="0" xfId="6" applyFont="1" applyAlignment="1">
      <alignment horizontal="center" vertical="center" wrapText="1"/>
    </xf>
    <xf numFmtId="0" fontId="0" fillId="0" borderId="20" xfId="0" applyBorder="1" applyAlignment="1" applyProtection="1">
      <alignment vertical="center"/>
      <protection locked="0"/>
    </xf>
    <xf numFmtId="0" fontId="0" fillId="5" borderId="0" xfId="0" applyFill="1" applyAlignment="1">
      <alignment horizontal="center" vertical="top"/>
    </xf>
    <xf numFmtId="0" fontId="8" fillId="0" borderId="0" xfId="0" applyFont="1" applyAlignment="1">
      <alignment horizontal="justify" vertical="center" wrapText="1"/>
    </xf>
    <xf numFmtId="0" fontId="6" fillId="0" borderId="17" xfId="0" applyFont="1" applyBorder="1"/>
    <xf numFmtId="0" fontId="6" fillId="0" borderId="18" xfId="0" applyFont="1" applyBorder="1"/>
    <xf numFmtId="44" fontId="0" fillId="0" borderId="0" xfId="2" applyFont="1" applyBorder="1" applyProtection="1"/>
    <xf numFmtId="44" fontId="0" fillId="0" borderId="1" xfId="2" applyFont="1" applyBorder="1" applyProtection="1"/>
    <xf numFmtId="44" fontId="6" fillId="0" borderId="18" xfId="2" applyFont="1" applyBorder="1" applyProtection="1"/>
    <xf numFmtId="44" fontId="6" fillId="0" borderId="19" xfId="2" applyFont="1" applyBorder="1" applyProtection="1"/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44" fontId="1" fillId="0" borderId="0" xfId="2" applyFont="1" applyBorder="1" applyProtection="1"/>
    <xf numFmtId="166" fontId="0" fillId="0" borderId="0" xfId="3" applyNumberFormat="1" applyFont="1" applyBorder="1" applyProtection="1"/>
    <xf numFmtId="9" fontId="0" fillId="0" borderId="0" xfId="0" applyNumberFormat="1"/>
    <xf numFmtId="0" fontId="7" fillId="0" borderId="0" xfId="0" applyFont="1"/>
    <xf numFmtId="43" fontId="7" fillId="0" borderId="0" xfId="1" applyFont="1" applyProtection="1"/>
    <xf numFmtId="0" fontId="7" fillId="0" borderId="0" xfId="6" applyFont="1"/>
    <xf numFmtId="44" fontId="7" fillId="0" borderId="0" xfId="2" applyFont="1" applyFill="1" applyBorder="1" applyAlignment="1"/>
    <xf numFmtId="0" fontId="8" fillId="0" borderId="0" xfId="6" applyFont="1"/>
    <xf numFmtId="4" fontId="7" fillId="0" borderId="0" xfId="6" applyNumberFormat="1" applyFont="1"/>
    <xf numFmtId="0" fontId="0" fillId="0" borderId="33" xfId="0" applyBorder="1"/>
    <xf numFmtId="44" fontId="6" fillId="0" borderId="0" xfId="2" applyFont="1" applyBorder="1" applyProtection="1"/>
    <xf numFmtId="44" fontId="0" fillId="0" borderId="0" xfId="2" applyFont="1"/>
    <xf numFmtId="0" fontId="0" fillId="0" borderId="0" xfId="0" applyProtection="1">
      <protection locked="0"/>
    </xf>
    <xf numFmtId="184" fontId="0" fillId="0" borderId="0" xfId="0" applyNumberFormat="1" applyAlignment="1">
      <alignment horizontal="center"/>
    </xf>
    <xf numFmtId="0" fontId="0" fillId="0" borderId="31" xfId="0" applyBorder="1" applyAlignment="1">
      <alignment vertical="center"/>
    </xf>
    <xf numFmtId="0" fontId="7" fillId="0" borderId="31" xfId="6" applyFont="1" applyBorder="1"/>
    <xf numFmtId="44" fontId="7" fillId="0" borderId="31" xfId="2" applyFont="1" applyFill="1" applyBorder="1" applyAlignment="1"/>
    <xf numFmtId="0" fontId="0" fillId="0" borderId="26" xfId="0" applyBorder="1" applyAlignment="1">
      <alignment horizontal="left" vertical="center"/>
    </xf>
    <xf numFmtId="0" fontId="0" fillId="0" borderId="23" xfId="0" applyBorder="1" applyAlignment="1">
      <alignment vertical="center"/>
    </xf>
    <xf numFmtId="0" fontId="0" fillId="0" borderId="27" xfId="0" applyBorder="1" applyAlignment="1">
      <alignment vertical="center"/>
    </xf>
    <xf numFmtId="0" fontId="38" fillId="5" borderId="0" xfId="93" applyFont="1" applyFill="1" applyAlignment="1" applyProtection="1">
      <alignment horizontal="left" vertical="center"/>
      <protection locked="0" hidden="1"/>
    </xf>
    <xf numFmtId="0" fontId="0" fillId="0" borderId="7" xfId="0" applyBorder="1" applyAlignment="1">
      <alignment horizontal="left" indent="1"/>
    </xf>
    <xf numFmtId="0" fontId="6" fillId="0" borderId="2" xfId="0" applyFont="1" applyBorder="1"/>
    <xf numFmtId="0" fontId="6" fillId="0" borderId="2" xfId="0" applyFont="1" applyBorder="1" applyAlignment="1">
      <alignment horizontal="center"/>
    </xf>
    <xf numFmtId="44" fontId="6" fillId="0" borderId="2" xfId="2" applyFont="1" applyBorder="1" applyProtection="1"/>
    <xf numFmtId="44" fontId="6" fillId="0" borderId="16" xfId="2" applyFont="1" applyBorder="1" applyProtection="1"/>
    <xf numFmtId="0" fontId="6" fillId="0" borderId="6" xfId="0" applyFont="1" applyBorder="1" applyAlignment="1">
      <alignment horizontal="left" indent="1"/>
    </xf>
    <xf numFmtId="0" fontId="6" fillId="0" borderId="43" xfId="0" applyFont="1" applyBorder="1" applyAlignment="1">
      <alignment horizontal="left" indent="1"/>
    </xf>
    <xf numFmtId="0" fontId="6" fillId="0" borderId="44" xfId="0" applyFont="1" applyBorder="1"/>
    <xf numFmtId="44" fontId="6" fillId="0" borderId="44" xfId="2" applyFont="1" applyBorder="1" applyProtection="1"/>
    <xf numFmtId="44" fontId="6" fillId="0" borderId="45" xfId="2" applyFont="1" applyBorder="1" applyProtection="1"/>
    <xf numFmtId="0" fontId="0" fillId="0" borderId="7" xfId="0" applyBorder="1" applyAlignment="1">
      <alignment horizontal="left" indent="3"/>
    </xf>
    <xf numFmtId="0" fontId="6" fillId="0" borderId="17" xfId="0" applyFont="1" applyBorder="1" applyAlignment="1">
      <alignment horizontal="left" inden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188" fontId="0" fillId="0" borderId="0" xfId="2" applyNumberFormat="1" applyFont="1" applyAlignment="1">
      <alignment horizontal="center"/>
    </xf>
    <xf numFmtId="44" fontId="0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8" fontId="0" fillId="0" borderId="0" xfId="0" applyNumberFormat="1" applyAlignment="1">
      <alignment horizontal="center"/>
    </xf>
    <xf numFmtId="44" fontId="0" fillId="0" borderId="0" xfId="2" applyFont="1" applyBorder="1"/>
    <xf numFmtId="44" fontId="0" fillId="0" borderId="0" xfId="2" applyFont="1" applyBorder="1" applyAlignment="1">
      <alignment horizontal="center"/>
    </xf>
    <xf numFmtId="44" fontId="0" fillId="0" borderId="1" xfId="2" applyFont="1" applyBorder="1" applyAlignment="1">
      <alignment horizontal="center"/>
    </xf>
    <xf numFmtId="0" fontId="6" fillId="0" borderId="29" xfId="0" applyFont="1" applyBorder="1" applyAlignment="1">
      <alignment vertical="center"/>
    </xf>
    <xf numFmtId="0" fontId="0" fillId="0" borderId="28" xfId="0" applyBorder="1" applyAlignment="1">
      <alignment vertical="center"/>
    </xf>
    <xf numFmtId="0" fontId="11" fillId="5" borderId="0" xfId="19" applyFont="1" applyFill="1" applyBorder="1" applyAlignment="1">
      <alignment horizontal="left" vertical="center"/>
    </xf>
    <xf numFmtId="0" fontId="11" fillId="5" borderId="26" xfId="5" applyFont="1" applyFill="1" applyBorder="1" applyAlignment="1">
      <alignment vertical="center"/>
    </xf>
    <xf numFmtId="0" fontId="11" fillId="5" borderId="31" xfId="5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1" fillId="0" borderId="32" xfId="5" applyFont="1" applyFill="1" applyBorder="1" applyAlignment="1">
      <alignment vertical="center"/>
    </xf>
    <xf numFmtId="0" fontId="11" fillId="0" borderId="33" xfId="5" applyFont="1" applyFill="1" applyBorder="1" applyAlignment="1">
      <alignment vertical="center"/>
    </xf>
    <xf numFmtId="0" fontId="11" fillId="0" borderId="32" xfId="14" applyFont="1" applyFill="1" applyBorder="1" applyAlignment="1">
      <alignment vertical="center"/>
    </xf>
    <xf numFmtId="0" fontId="11" fillId="0" borderId="33" xfId="14" applyFont="1" applyFill="1" applyBorder="1" applyAlignment="1">
      <alignment vertical="center"/>
    </xf>
    <xf numFmtId="0" fontId="11" fillId="0" borderId="0" xfId="14" applyFont="1" applyFill="1" applyBorder="1" applyAlignment="1">
      <alignment vertical="center"/>
    </xf>
    <xf numFmtId="0" fontId="11" fillId="0" borderId="33" xfId="13" applyFont="1" applyFill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9" fillId="5" borderId="0" xfId="93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5" borderId="0" xfId="5" applyFont="1" applyFill="1" applyBorder="1" applyAlignment="1">
      <alignment vertical="center"/>
    </xf>
    <xf numFmtId="0" fontId="6" fillId="0" borderId="6" xfId="18" applyFont="1" applyFill="1" applyBorder="1" applyAlignment="1">
      <alignment horizontal="center" vertical="center"/>
    </xf>
    <xf numFmtId="0" fontId="6" fillId="0" borderId="51" xfId="18" applyFont="1" applyFill="1" applyBorder="1" applyAlignment="1">
      <alignment vertical="center"/>
    </xf>
    <xf numFmtId="0" fontId="11" fillId="37" borderId="17" xfId="165" applyFont="1" applyBorder="1" applyAlignment="1">
      <alignment horizontal="center" vertical="center"/>
    </xf>
    <xf numFmtId="0" fontId="11" fillId="37" borderId="18" xfId="165" applyFont="1" applyBorder="1" applyAlignment="1">
      <alignment horizontal="left" vertical="center"/>
    </xf>
    <xf numFmtId="0" fontId="11" fillId="37" borderId="18" xfId="165" applyFont="1" applyBorder="1" applyAlignment="1">
      <alignment vertical="center"/>
    </xf>
    <xf numFmtId="0" fontId="14" fillId="0" borderId="45" xfId="18" applyFont="1" applyFill="1" applyBorder="1" applyAlignment="1">
      <alignment horizontal="center" vertical="center"/>
    </xf>
    <xf numFmtId="0" fontId="14" fillId="0" borderId="55" xfId="4" applyFont="1" applyFill="1" applyBorder="1" applyAlignment="1">
      <alignment horizontal="center" vertical="center"/>
    </xf>
    <xf numFmtId="0" fontId="6" fillId="0" borderId="16" xfId="4" applyFont="1" applyFill="1" applyBorder="1" applyAlignment="1">
      <alignment horizontal="center" vertical="center"/>
    </xf>
    <xf numFmtId="9" fontId="0" fillId="0" borderId="58" xfId="4" applyNumberFormat="1" applyFont="1" applyFill="1" applyBorder="1" applyAlignment="1" applyProtection="1">
      <alignment horizontal="center" vertical="center"/>
      <protection locked="0"/>
    </xf>
    <xf numFmtId="44" fontId="0" fillId="0" borderId="56" xfId="4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6" fillId="0" borderId="19" xfId="18" applyFont="1" applyFill="1" applyBorder="1" applyAlignment="1">
      <alignment horizontal="center" vertical="center"/>
    </xf>
    <xf numFmtId="44" fontId="0" fillId="0" borderId="46" xfId="18" applyNumberFormat="1" applyFont="1" applyFill="1" applyBorder="1" applyAlignment="1">
      <alignment horizontal="center" vertical="center"/>
    </xf>
    <xf numFmtId="0" fontId="6" fillId="0" borderId="51" xfId="4" applyFont="1" applyFill="1" applyBorder="1" applyAlignment="1">
      <alignment vertical="center"/>
    </xf>
    <xf numFmtId="44" fontId="1" fillId="0" borderId="56" xfId="4" applyNumberFormat="1" applyFill="1" applyBorder="1" applyAlignment="1">
      <alignment horizontal="center" vertical="center"/>
    </xf>
    <xf numFmtId="0" fontId="14" fillId="0" borderId="53" xfId="18" applyFont="1" applyFill="1" applyBorder="1" applyAlignment="1">
      <alignment horizontal="left" vertical="center" indent="2"/>
    </xf>
    <xf numFmtId="0" fontId="14" fillId="0" borderId="54" xfId="18" applyFont="1" applyFill="1" applyBorder="1" applyAlignment="1">
      <alignment horizontal="left" vertical="center" indent="2"/>
    </xf>
    <xf numFmtId="0" fontId="11" fillId="5" borderId="30" xfId="21" applyFont="1" applyFill="1" applyBorder="1" applyAlignment="1">
      <alignment horizontal="left" vertical="center" wrapText="1"/>
    </xf>
    <xf numFmtId="0" fontId="11" fillId="5" borderId="30" xfId="21" applyFont="1" applyFill="1" applyBorder="1" applyAlignment="1">
      <alignment horizontal="left" vertical="center"/>
    </xf>
    <xf numFmtId="0" fontId="11" fillId="5" borderId="30" xfId="20" applyFont="1" applyFill="1" applyBorder="1" applyAlignment="1">
      <alignment horizontal="left" vertical="center"/>
    </xf>
    <xf numFmtId="0" fontId="8" fillId="0" borderId="46" xfId="21" applyNumberFormat="1" applyFont="1" applyFill="1" applyBorder="1" applyAlignment="1" applyProtection="1">
      <alignment horizontal="center" vertical="center" wrapText="1"/>
      <protection locked="0"/>
    </xf>
    <xf numFmtId="0" fontId="7" fillId="0" borderId="46" xfId="21" applyNumberFormat="1" applyFont="1" applyFill="1" applyBorder="1" applyAlignment="1" applyProtection="1">
      <alignment horizontal="center" vertical="center"/>
      <protection locked="0"/>
    </xf>
    <xf numFmtId="44" fontId="7" fillId="0" borderId="46" xfId="2" applyFont="1" applyFill="1" applyBorder="1" applyAlignment="1" applyProtection="1">
      <alignment horizontal="center" vertical="center"/>
      <protection locked="0"/>
    </xf>
    <xf numFmtId="188" fontId="7" fillId="0" borderId="46" xfId="21" applyNumberFormat="1" applyFont="1" applyFill="1" applyBorder="1" applyAlignment="1" applyProtection="1">
      <alignment horizontal="center" vertical="center"/>
      <protection locked="0"/>
    </xf>
    <xf numFmtId="14" fontId="7" fillId="0" borderId="46" xfId="21" applyNumberFormat="1" applyFont="1" applyFill="1" applyBorder="1" applyAlignment="1" applyProtection="1">
      <alignment horizontal="center" vertical="center"/>
      <protection locked="0"/>
    </xf>
    <xf numFmtId="44" fontId="7" fillId="0" borderId="46" xfId="20" applyNumberFormat="1" applyFont="1" applyFill="1" applyBorder="1" applyAlignment="1" applyProtection="1">
      <alignment horizontal="center" vertical="center"/>
      <protection locked="0"/>
    </xf>
    <xf numFmtId="44" fontId="7" fillId="0" borderId="46" xfId="21" applyNumberFormat="1" applyFont="1" applyFill="1" applyBorder="1" applyAlignment="1" applyProtection="1">
      <alignment horizontal="center" vertical="center"/>
      <protection locked="0"/>
    </xf>
    <xf numFmtId="0" fontId="7" fillId="0" borderId="46" xfId="21" applyNumberFormat="1" applyFont="1" applyFill="1" applyBorder="1" applyAlignment="1" applyProtection="1">
      <alignment horizontal="center" vertical="center"/>
    </xf>
    <xf numFmtId="0" fontId="8" fillId="0" borderId="17" xfId="21" applyFont="1" applyFill="1" applyBorder="1" applyAlignment="1">
      <alignment horizontal="center" vertical="center"/>
    </xf>
    <xf numFmtId="0" fontId="7" fillId="0" borderId="17" xfId="20" applyFont="1" applyFill="1" applyBorder="1" applyAlignment="1">
      <alignment horizontal="center" vertical="center"/>
    </xf>
    <xf numFmtId="0" fontId="7" fillId="0" borderId="17" xfId="21" applyFont="1" applyFill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11" fillId="37" borderId="19" xfId="165" applyFont="1" applyBorder="1" applyAlignment="1">
      <alignment horizontal="center" vertical="center"/>
    </xf>
    <xf numFmtId="0" fontId="8" fillId="0" borderId="19" xfId="21" applyFont="1" applyFill="1" applyBorder="1" applyAlignment="1">
      <alignment vertical="center" wrapText="1"/>
    </xf>
    <xf numFmtId="0" fontId="7" fillId="0" borderId="19" xfId="21" applyFont="1" applyFill="1" applyBorder="1" applyAlignment="1">
      <alignment vertical="center"/>
    </xf>
    <xf numFmtId="0" fontId="7" fillId="0" borderId="19" xfId="20" applyFont="1" applyFill="1" applyBorder="1" applyAlignment="1">
      <alignment vertical="center"/>
    </xf>
    <xf numFmtId="0" fontId="8" fillId="0" borderId="18" xfId="21" applyFont="1" applyFill="1" applyBorder="1" applyAlignment="1">
      <alignment vertical="center" wrapText="1"/>
    </xf>
    <xf numFmtId="0" fontId="7" fillId="0" borderId="18" xfId="21" applyFont="1" applyFill="1" applyBorder="1" applyAlignment="1">
      <alignment vertical="center"/>
    </xf>
    <xf numFmtId="0" fontId="7" fillId="0" borderId="18" xfId="20" applyFont="1" applyFill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11" fillId="37" borderId="18" xfId="165" applyFont="1" applyBorder="1" applyAlignment="1">
      <alignment vertical="center" wrapText="1"/>
    </xf>
    <xf numFmtId="0" fontId="0" fillId="0" borderId="0" xfId="18" applyFont="1" applyFill="1" applyBorder="1" applyAlignment="1">
      <alignment vertical="center"/>
    </xf>
    <xf numFmtId="10" fontId="0" fillId="0" borderId="33" xfId="18" applyNumberFormat="1" applyFont="1" applyFill="1" applyBorder="1" applyAlignment="1">
      <alignment horizontal="right" vertical="center"/>
    </xf>
    <xf numFmtId="44" fontId="0" fillId="0" borderId="30" xfId="18" applyNumberFormat="1" applyFont="1" applyFill="1" applyBorder="1" applyAlignment="1">
      <alignment horizontal="center" vertical="center"/>
    </xf>
    <xf numFmtId="0" fontId="11" fillId="5" borderId="0" xfId="5" applyFont="1" applyFill="1" applyBorder="1" applyAlignment="1">
      <alignment horizontal="center" vertical="center"/>
    </xf>
    <xf numFmtId="0" fontId="6" fillId="0" borderId="17" xfId="18" applyFont="1" applyFill="1" applyBorder="1" applyAlignment="1">
      <alignment horizontal="center" vertical="center"/>
    </xf>
    <xf numFmtId="0" fontId="6" fillId="0" borderId="59" xfId="18" applyFont="1" applyFill="1" applyBorder="1" applyAlignment="1">
      <alignment vertical="center"/>
    </xf>
    <xf numFmtId="0" fontId="11" fillId="5" borderId="30" xfId="5" applyFont="1" applyFill="1" applyBorder="1" applyAlignment="1">
      <alignment vertical="center"/>
    </xf>
    <xf numFmtId="0" fontId="6" fillId="0" borderId="17" xfId="4" applyFont="1" applyFill="1" applyBorder="1" applyAlignment="1">
      <alignment horizontal="center" vertical="center"/>
    </xf>
    <xf numFmtId="0" fontId="6" fillId="0" borderId="52" xfId="4" applyFont="1" applyFill="1" applyBorder="1" applyAlignment="1">
      <alignment vertical="center"/>
    </xf>
    <xf numFmtId="0" fontId="14" fillId="0" borderId="53" xfId="4" applyFont="1" applyFill="1" applyBorder="1" applyAlignment="1">
      <alignment horizontal="left" vertical="center" indent="2"/>
    </xf>
    <xf numFmtId="44" fontId="0" fillId="0" borderId="19" xfId="18" applyNumberFormat="1" applyFont="1" applyFill="1" applyBorder="1" applyAlignment="1">
      <alignment horizontal="center" vertical="center"/>
    </xf>
    <xf numFmtId="44" fontId="0" fillId="0" borderId="5" xfId="18" applyNumberFormat="1" applyFont="1" applyFill="1" applyBorder="1" applyAlignment="1">
      <alignment horizontal="center" vertical="center"/>
    </xf>
    <xf numFmtId="0" fontId="14" fillId="0" borderId="45" xfId="4" applyFont="1" applyFill="1" applyBorder="1" applyAlignment="1">
      <alignment horizontal="center" vertical="center"/>
    </xf>
    <xf numFmtId="0" fontId="14" fillId="0" borderId="55" xfId="18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1" fillId="0" borderId="45" xfId="4" applyFill="1" applyBorder="1" applyAlignment="1">
      <alignment horizontal="center" vertical="center"/>
    </xf>
    <xf numFmtId="0" fontId="0" fillId="0" borderId="55" xfId="4" applyFont="1" applyFill="1" applyBorder="1" applyAlignment="1">
      <alignment horizontal="center" vertical="center"/>
    </xf>
    <xf numFmtId="0" fontId="1" fillId="0" borderId="55" xfId="4" applyFill="1" applyBorder="1" applyAlignment="1" applyProtection="1">
      <alignment horizontal="center" vertical="center"/>
      <protection locked="0"/>
    </xf>
    <xf numFmtId="168" fontId="0" fillId="0" borderId="57" xfId="4" applyNumberFormat="1" applyFont="1" applyFill="1" applyBorder="1" applyAlignment="1" applyProtection="1">
      <alignment horizontal="center" vertical="center"/>
      <protection locked="0"/>
    </xf>
    <xf numFmtId="169" fontId="0" fillId="0" borderId="58" xfId="18" applyNumberFormat="1" applyFont="1" applyFill="1" applyBorder="1" applyAlignment="1" applyProtection="1">
      <alignment horizontal="center" vertical="center"/>
      <protection locked="0"/>
    </xf>
    <xf numFmtId="44" fontId="0" fillId="0" borderId="56" xfId="18" applyNumberFormat="1" applyFont="1" applyFill="1" applyBorder="1" applyAlignment="1">
      <alignment horizontal="center" vertical="center"/>
    </xf>
    <xf numFmtId="44" fontId="0" fillId="0" borderId="47" xfId="18" applyNumberFormat="1" applyFont="1" applyFill="1" applyBorder="1" applyAlignment="1">
      <alignment horizontal="center" vertical="center"/>
    </xf>
    <xf numFmtId="185" fontId="1" fillId="0" borderId="57" xfId="4" applyNumberFormat="1" applyFill="1" applyBorder="1" applyAlignment="1" applyProtection="1">
      <alignment horizontal="center" vertical="center"/>
      <protection locked="0"/>
    </xf>
    <xf numFmtId="168" fontId="0" fillId="0" borderId="58" xfId="4" applyNumberFormat="1" applyFont="1" applyFill="1" applyBorder="1" applyAlignment="1" applyProtection="1">
      <alignment horizontal="center" vertical="center"/>
      <protection locked="0"/>
    </xf>
    <xf numFmtId="44" fontId="1" fillId="0" borderId="58" xfId="4" applyNumberFormat="1" applyFill="1" applyBorder="1" applyAlignment="1">
      <alignment horizontal="center" vertical="center"/>
    </xf>
    <xf numFmtId="44" fontId="1" fillId="0" borderId="46" xfId="4" applyNumberFormat="1" applyFill="1" applyBorder="1" applyAlignment="1" applyProtection="1">
      <alignment horizontal="center" vertical="center"/>
      <protection locked="0"/>
    </xf>
    <xf numFmtId="0" fontId="11" fillId="37" borderId="19" xfId="165" applyFont="1" applyBorder="1" applyAlignment="1">
      <alignment vertical="center"/>
    </xf>
    <xf numFmtId="44" fontId="11" fillId="37" borderId="18" xfId="165" applyNumberFormat="1" applyFont="1" applyBorder="1" applyAlignment="1">
      <alignment horizontal="center" vertical="center"/>
    </xf>
    <xf numFmtId="44" fontId="11" fillId="37" borderId="46" xfId="165" applyNumberFormat="1" applyFont="1" applyBorder="1" applyAlignment="1">
      <alignment horizontal="center" vertical="center"/>
    </xf>
    <xf numFmtId="44" fontId="11" fillId="37" borderId="19" xfId="165" applyNumberFormat="1" applyFont="1" applyBorder="1" applyAlignment="1">
      <alignment horizontal="center" vertical="center"/>
    </xf>
    <xf numFmtId="0" fontId="11" fillId="37" borderId="17" xfId="165" applyFont="1" applyBorder="1" applyAlignment="1">
      <alignment horizontal="left" vertical="center"/>
    </xf>
    <xf numFmtId="0" fontId="0" fillId="0" borderId="45" xfId="18" applyFont="1" applyFill="1" applyBorder="1" applyAlignment="1">
      <alignment horizontal="center" vertical="center"/>
    </xf>
    <xf numFmtId="9" fontId="0" fillId="0" borderId="57" xfId="18" applyNumberFormat="1" applyFont="1" applyFill="1" applyBorder="1" applyAlignment="1" applyProtection="1">
      <alignment horizontal="center" vertical="center"/>
      <protection locked="0"/>
    </xf>
    <xf numFmtId="0" fontId="6" fillId="0" borderId="52" xfId="18" applyFont="1" applyFill="1" applyBorder="1" applyAlignment="1">
      <alignment vertical="center"/>
    </xf>
    <xf numFmtId="44" fontId="1" fillId="0" borderId="57" xfId="4" applyNumberFormat="1" applyFill="1" applyBorder="1" applyAlignment="1">
      <alignment horizontal="center" vertical="center"/>
    </xf>
    <xf numFmtId="0" fontId="14" fillId="0" borderId="54" xfId="4" applyFont="1" applyFill="1" applyBorder="1" applyAlignment="1">
      <alignment horizontal="left" vertical="center" indent="2"/>
    </xf>
    <xf numFmtId="0" fontId="6" fillId="0" borderId="61" xfId="18" applyFont="1" applyFill="1" applyBorder="1" applyAlignment="1">
      <alignment vertical="center"/>
    </xf>
    <xf numFmtId="0" fontId="14" fillId="0" borderId="62" xfId="18" applyFont="1" applyFill="1" applyBorder="1" applyAlignment="1">
      <alignment horizontal="left" vertical="center" indent="2"/>
    </xf>
    <xf numFmtId="0" fontId="6" fillId="0" borderId="46" xfId="18" applyFont="1" applyFill="1" applyBorder="1" applyAlignment="1">
      <alignment horizontal="center" vertical="center"/>
    </xf>
    <xf numFmtId="0" fontId="2" fillId="37" borderId="46" xfId="165" applyBorder="1" applyAlignment="1">
      <alignment horizontal="center" vertical="center" wrapText="1"/>
    </xf>
    <xf numFmtId="10" fontId="0" fillId="0" borderId="45" xfId="18" applyNumberFormat="1" applyFont="1" applyFill="1" applyBorder="1" applyAlignment="1" applyProtection="1">
      <alignment horizontal="center" vertical="center"/>
      <protection locked="0"/>
    </xf>
    <xf numFmtId="0" fontId="0" fillId="0" borderId="55" xfId="18" applyNumberFormat="1" applyFont="1" applyFill="1" applyBorder="1" applyAlignment="1" applyProtection="1">
      <alignment horizontal="center" vertical="center"/>
      <protection locked="0"/>
    </xf>
    <xf numFmtId="44" fontId="0" fillId="0" borderId="16" xfId="2" applyFont="1" applyFill="1" applyBorder="1" applyAlignment="1">
      <alignment vertical="center"/>
    </xf>
    <xf numFmtId="0" fontId="6" fillId="0" borderId="5" xfId="18" applyFont="1" applyFill="1" applyBorder="1" applyAlignment="1">
      <alignment horizontal="center" vertical="center"/>
    </xf>
    <xf numFmtId="0" fontId="11" fillId="39" borderId="17" xfId="172" applyFont="1" applyBorder="1" applyAlignment="1">
      <alignment horizontal="center" vertical="center"/>
    </xf>
    <xf numFmtId="0" fontId="11" fillId="39" borderId="18" xfId="172" applyFont="1" applyBorder="1" applyAlignment="1">
      <alignment horizontal="left" vertical="center"/>
    </xf>
    <xf numFmtId="0" fontId="11" fillId="39" borderId="18" xfId="172" applyFont="1" applyBorder="1" applyAlignment="1">
      <alignment vertical="center"/>
    </xf>
    <xf numFmtId="44" fontId="11" fillId="39" borderId="19" xfId="172" applyNumberFormat="1" applyFont="1" applyBorder="1" applyAlignment="1">
      <alignment vertical="center"/>
    </xf>
    <xf numFmtId="0" fontId="11" fillId="39" borderId="19" xfId="172" applyFont="1" applyBorder="1" applyAlignment="1">
      <alignment vertical="center"/>
    </xf>
    <xf numFmtId="44" fontId="11" fillId="39" borderId="46" xfId="172" applyNumberFormat="1" applyFont="1" applyBorder="1" applyAlignment="1">
      <alignment vertical="center"/>
    </xf>
    <xf numFmtId="10" fontId="6" fillId="0" borderId="19" xfId="3" applyNumberFormat="1" applyFont="1" applyFill="1" applyBorder="1" applyAlignment="1">
      <alignment horizontal="center" vertical="center"/>
    </xf>
    <xf numFmtId="0" fontId="6" fillId="0" borderId="30" xfId="18" applyFont="1" applyFill="1" applyBorder="1" applyAlignment="1">
      <alignment vertical="center"/>
    </xf>
    <xf numFmtId="0" fontId="1" fillId="0" borderId="45" xfId="4" applyNumberFormat="1" applyFill="1" applyBorder="1" applyAlignment="1">
      <alignment horizontal="center" vertical="center"/>
    </xf>
    <xf numFmtId="0" fontId="1" fillId="0" borderId="57" xfId="4" applyNumberFormat="1" applyFill="1" applyBorder="1" applyAlignment="1" applyProtection="1">
      <alignment horizontal="center" vertical="center"/>
      <protection locked="0"/>
    </xf>
    <xf numFmtId="0" fontId="1" fillId="0" borderId="45" xfId="4" applyNumberFormat="1" applyFill="1" applyBorder="1" applyAlignment="1" applyProtection="1">
      <alignment horizontal="center" vertical="center"/>
      <protection locked="0"/>
    </xf>
    <xf numFmtId="0" fontId="11" fillId="39" borderId="3" xfId="172" applyFont="1" applyBorder="1" applyAlignment="1">
      <alignment horizontal="center" vertical="center"/>
    </xf>
    <xf numFmtId="0" fontId="11" fillId="39" borderId="4" xfId="172" applyFont="1" applyBorder="1" applyAlignment="1">
      <alignment horizontal="left" vertical="center"/>
    </xf>
    <xf numFmtId="0" fontId="11" fillId="39" borderId="4" xfId="172" applyFont="1" applyBorder="1" applyAlignment="1">
      <alignment vertical="center"/>
    </xf>
    <xf numFmtId="0" fontId="6" fillId="0" borderId="7" xfId="18" applyFont="1" applyFill="1" applyBorder="1" applyAlignment="1">
      <alignment horizontal="center" vertical="center"/>
    </xf>
    <xf numFmtId="10" fontId="6" fillId="0" borderId="5" xfId="3" applyNumberFormat="1" applyFont="1" applyFill="1" applyBorder="1" applyAlignment="1">
      <alignment horizontal="center" vertical="center"/>
    </xf>
    <xf numFmtId="10" fontId="6" fillId="0" borderId="16" xfId="3" applyNumberFormat="1" applyFont="1" applyFill="1" applyBorder="1" applyAlignment="1">
      <alignment horizontal="center" vertical="center"/>
    </xf>
    <xf numFmtId="10" fontId="6" fillId="0" borderId="1" xfId="3" applyNumberFormat="1" applyFont="1" applyFill="1" applyBorder="1" applyAlignment="1">
      <alignment horizontal="center" vertical="center"/>
    </xf>
    <xf numFmtId="44" fontId="0" fillId="0" borderId="63" xfId="18" applyNumberFormat="1" applyFont="1" applyFill="1" applyBorder="1" applyAlignment="1">
      <alignment horizontal="center" vertical="center"/>
    </xf>
    <xf numFmtId="0" fontId="11" fillId="39" borderId="6" xfId="172" applyFont="1" applyBorder="1" applyAlignment="1">
      <alignment horizontal="center" vertical="center"/>
    </xf>
    <xf numFmtId="0" fontId="11" fillId="39" borderId="2" xfId="172" applyFont="1" applyBorder="1" applyAlignment="1">
      <alignment horizontal="left" vertical="center"/>
    </xf>
    <xf numFmtId="0" fontId="11" fillId="39" borderId="16" xfId="172" applyFont="1" applyBorder="1" applyAlignment="1">
      <alignment vertical="center"/>
    </xf>
    <xf numFmtId="44" fontId="11" fillId="39" borderId="56" xfId="172" applyNumberFormat="1" applyFont="1" applyBorder="1" applyAlignment="1">
      <alignment vertical="center"/>
    </xf>
    <xf numFmtId="0" fontId="6" fillId="0" borderId="61" xfId="4" applyFont="1" applyFill="1" applyBorder="1" applyAlignment="1">
      <alignment vertical="center"/>
    </xf>
    <xf numFmtId="0" fontId="2" fillId="0" borderId="5" xfId="172" applyFill="1" applyBorder="1" applyAlignment="1">
      <alignment vertical="center"/>
    </xf>
    <xf numFmtId="0" fontId="14" fillId="0" borderId="62" xfId="18" applyFont="1" applyFill="1" applyBorder="1" applyAlignment="1">
      <alignment horizontal="left" vertical="center"/>
    </xf>
    <xf numFmtId="44" fontId="0" fillId="0" borderId="68" xfId="4" applyNumberFormat="1" applyFont="1" applyFill="1" applyBorder="1" applyAlignment="1">
      <alignment horizontal="center" vertical="center"/>
    </xf>
    <xf numFmtId="0" fontId="14" fillId="0" borderId="54" xfId="18" applyFont="1" applyFill="1" applyBorder="1" applyAlignment="1">
      <alignment horizontal="left" vertical="center"/>
    </xf>
    <xf numFmtId="0" fontId="0" fillId="0" borderId="58" xfId="18" applyNumberFormat="1" applyFont="1" applyFill="1" applyBorder="1" applyAlignment="1" applyProtection="1">
      <alignment horizontal="center" vertical="center"/>
      <protection locked="0"/>
    </xf>
    <xf numFmtId="0" fontId="0" fillId="0" borderId="58" xfId="4" applyNumberFormat="1" applyFont="1" applyFill="1" applyBorder="1" applyAlignment="1" applyProtection="1">
      <alignment horizontal="center" vertical="center"/>
      <protection locked="0"/>
    </xf>
    <xf numFmtId="9" fontId="0" fillId="0" borderId="58" xfId="18" applyNumberFormat="1" applyFont="1" applyFill="1" applyBorder="1" applyAlignment="1" applyProtection="1">
      <alignment horizontal="center" vertical="center"/>
      <protection locked="0"/>
    </xf>
    <xf numFmtId="0" fontId="14" fillId="0" borderId="62" xfId="4" applyFont="1" applyFill="1" applyBorder="1" applyAlignment="1">
      <alignment horizontal="left" vertical="center"/>
    </xf>
    <xf numFmtId="44" fontId="1" fillId="0" borderId="68" xfId="4" applyNumberFormat="1" applyFill="1" applyBorder="1" applyAlignment="1" applyProtection="1">
      <alignment horizontal="center" vertical="center"/>
      <protection locked="0"/>
    </xf>
    <xf numFmtId="0" fontId="14" fillId="0" borderId="54" xfId="4" applyFont="1" applyFill="1" applyBorder="1" applyAlignment="1">
      <alignment horizontal="left" vertical="center"/>
    </xf>
    <xf numFmtId="0" fontId="1" fillId="0" borderId="58" xfId="4" applyNumberFormat="1" applyFill="1" applyBorder="1" applyAlignment="1" applyProtection="1">
      <alignment horizontal="center" vertical="center"/>
      <protection locked="0"/>
    </xf>
    <xf numFmtId="9" fontId="1" fillId="0" borderId="58" xfId="4" applyNumberFormat="1" applyFill="1" applyBorder="1" applyAlignment="1" applyProtection="1">
      <alignment horizontal="center" vertical="center"/>
      <protection locked="0"/>
    </xf>
    <xf numFmtId="44" fontId="0" fillId="0" borderId="68" xfId="18" applyNumberFormat="1" applyFont="1" applyFill="1" applyBorder="1" applyAlignment="1" applyProtection="1">
      <alignment horizontal="center" vertical="center"/>
      <protection locked="0"/>
    </xf>
    <xf numFmtId="44" fontId="1" fillId="0" borderId="56" xfId="4" applyNumberFormat="1" applyFill="1" applyBorder="1" applyAlignment="1" applyProtection="1">
      <alignment horizontal="center" vertical="center"/>
    </xf>
    <xf numFmtId="44" fontId="1" fillId="0" borderId="68" xfId="4" applyNumberFormat="1" applyFill="1" applyBorder="1" applyAlignment="1">
      <alignment horizontal="right" vertical="center"/>
    </xf>
    <xf numFmtId="44" fontId="1" fillId="0" borderId="69" xfId="4" applyNumberFormat="1" applyFill="1" applyBorder="1" applyAlignment="1">
      <alignment horizontal="right" vertical="center"/>
    </xf>
    <xf numFmtId="44" fontId="1" fillId="0" borderId="56" xfId="4" applyNumberFormat="1" applyFill="1" applyBorder="1" applyAlignment="1">
      <alignment horizontal="right" vertical="center"/>
    </xf>
    <xf numFmtId="10" fontId="1" fillId="0" borderId="58" xfId="4" applyNumberFormat="1" applyFill="1" applyBorder="1" applyAlignment="1">
      <alignment horizontal="right" vertical="center"/>
    </xf>
    <xf numFmtId="10" fontId="1" fillId="0" borderId="55" xfId="4" applyNumberFormat="1" applyFill="1" applyBorder="1" applyAlignment="1">
      <alignment horizontal="right" vertical="center"/>
    </xf>
    <xf numFmtId="0" fontId="14" fillId="0" borderId="62" xfId="4" applyFont="1" applyFill="1" applyBorder="1" applyAlignment="1">
      <alignment horizontal="left" vertical="center" indent="2"/>
    </xf>
    <xf numFmtId="44" fontId="0" fillId="0" borderId="69" xfId="4" applyNumberFormat="1" applyFont="1" applyFill="1" applyBorder="1" applyAlignment="1" applyProtection="1">
      <alignment horizontal="right" vertical="center"/>
      <protection locked="0"/>
    </xf>
    <xf numFmtId="10" fontId="0" fillId="0" borderId="55" xfId="18" applyNumberFormat="1" applyFont="1" applyFill="1" applyBorder="1" applyAlignment="1">
      <alignment horizontal="right" vertical="center"/>
    </xf>
    <xf numFmtId="10" fontId="0" fillId="0" borderId="55" xfId="4" applyNumberFormat="1" applyFont="1" applyFill="1" applyBorder="1" applyAlignment="1">
      <alignment horizontal="right" vertical="center"/>
    </xf>
    <xf numFmtId="44" fontId="6" fillId="0" borderId="16" xfId="18" applyNumberFormat="1" applyFont="1" applyFill="1" applyBorder="1" applyAlignment="1">
      <alignment horizontal="center" vertical="center"/>
    </xf>
    <xf numFmtId="44" fontId="6" fillId="0" borderId="66" xfId="18" applyNumberFormat="1" applyFont="1" applyFill="1" applyBorder="1" applyAlignment="1">
      <alignment horizontal="center" vertical="center"/>
    </xf>
    <xf numFmtId="44" fontId="0" fillId="0" borderId="69" xfId="18" applyNumberFormat="1" applyFont="1" applyFill="1" applyBorder="1" applyAlignment="1">
      <alignment horizontal="right" vertical="center"/>
    </xf>
    <xf numFmtId="10" fontId="1" fillId="0" borderId="69" xfId="4" applyNumberFormat="1" applyFill="1" applyBorder="1" applyAlignment="1">
      <alignment horizontal="right" vertical="center"/>
    </xf>
    <xf numFmtId="0" fontId="0" fillId="0" borderId="51" xfId="0" applyBorder="1" applyAlignment="1">
      <alignment vertical="center"/>
    </xf>
    <xf numFmtId="0" fontId="14" fillId="0" borderId="60" xfId="18" applyFont="1" applyFill="1" applyBorder="1" applyAlignment="1">
      <alignment horizontal="left" vertical="center" indent="2"/>
    </xf>
    <xf numFmtId="0" fontId="0" fillId="0" borderId="51" xfId="0" applyBorder="1" applyAlignment="1" applyProtection="1">
      <alignment vertical="center"/>
      <protection locked="0"/>
    </xf>
    <xf numFmtId="0" fontId="6" fillId="0" borderId="71" xfId="4" applyNumberFormat="1" applyFont="1" applyFill="1" applyBorder="1" applyAlignment="1">
      <alignment horizontal="center" vertical="center"/>
    </xf>
    <xf numFmtId="44" fontId="6" fillId="0" borderId="71" xfId="18" applyNumberFormat="1" applyFont="1" applyFill="1" applyBorder="1" applyAlignment="1">
      <alignment horizontal="center" vertical="center"/>
    </xf>
    <xf numFmtId="0" fontId="6" fillId="0" borderId="30" xfId="171" applyFont="1" applyFill="1" applyBorder="1" applyAlignment="1">
      <alignment vertical="center"/>
    </xf>
    <xf numFmtId="0" fontId="6" fillId="0" borderId="1" xfId="171" applyFont="1" applyFill="1" applyBorder="1" applyAlignment="1">
      <alignment horizontal="center" vertical="center"/>
    </xf>
    <xf numFmtId="0" fontId="6" fillId="0" borderId="4" xfId="4" applyFont="1" applyFill="1" applyBorder="1" applyAlignment="1">
      <alignment vertical="center"/>
    </xf>
    <xf numFmtId="0" fontId="6" fillId="0" borderId="4" xfId="18" applyFont="1" applyFill="1" applyBorder="1" applyAlignment="1">
      <alignment horizontal="center" vertical="center"/>
    </xf>
    <xf numFmtId="0" fontId="14" fillId="0" borderId="2" xfId="4" applyFont="1" applyFill="1" applyBorder="1" applyAlignment="1">
      <alignment horizontal="left" vertical="center" indent="2"/>
    </xf>
    <xf numFmtId="0" fontId="1" fillId="0" borderId="1" xfId="4" applyFill="1" applyBorder="1" applyAlignment="1">
      <alignment horizontal="center" vertical="center"/>
    </xf>
    <xf numFmtId="0" fontId="6" fillId="0" borderId="30" xfId="4" applyFont="1" applyFill="1" applyBorder="1" applyAlignment="1">
      <alignment vertical="center"/>
    </xf>
    <xf numFmtId="0" fontId="11" fillId="5" borderId="1" xfId="5" applyFont="1" applyFill="1" applyBorder="1" applyAlignment="1">
      <alignment vertical="center"/>
    </xf>
    <xf numFmtId="0" fontId="14" fillId="0" borderId="44" xfId="4" applyFont="1" applyFill="1" applyBorder="1" applyAlignment="1">
      <alignment horizontal="left" vertical="center" indent="2"/>
    </xf>
    <xf numFmtId="9" fontId="1" fillId="0" borderId="57" xfId="4" applyNumberFormat="1" applyFill="1" applyBorder="1" applyAlignment="1" applyProtection="1">
      <alignment horizontal="center" vertical="center"/>
      <protection locked="0"/>
    </xf>
    <xf numFmtId="0" fontId="14" fillId="0" borderId="44" xfId="0" applyFont="1" applyBorder="1" applyAlignment="1">
      <alignment horizontal="left" vertical="center" indent="2"/>
    </xf>
    <xf numFmtId="9" fontId="6" fillId="0" borderId="63" xfId="171" applyNumberFormat="1" applyFont="1" applyFill="1" applyBorder="1" applyAlignment="1" applyProtection="1">
      <alignment horizontal="center" vertical="center"/>
    </xf>
    <xf numFmtId="44" fontId="1" fillId="0" borderId="47" xfId="4" applyNumberFormat="1" applyFill="1" applyBorder="1" applyAlignment="1" applyProtection="1">
      <alignment horizontal="center" vertical="center"/>
    </xf>
    <xf numFmtId="44" fontId="1" fillId="0" borderId="63" xfId="4" applyNumberFormat="1" applyFill="1" applyBorder="1" applyAlignment="1" applyProtection="1">
      <alignment horizontal="center" vertical="center"/>
    </xf>
    <xf numFmtId="44" fontId="0" fillId="0" borderId="47" xfId="18" applyNumberFormat="1" applyFont="1" applyFill="1" applyBorder="1" applyAlignment="1" applyProtection="1">
      <alignment horizontal="center" vertical="center"/>
    </xf>
    <xf numFmtId="44" fontId="0" fillId="0" borderId="47" xfId="4" applyNumberFormat="1" applyFont="1" applyFill="1" applyBorder="1" applyAlignment="1" applyProtection="1">
      <alignment horizontal="center" vertical="center"/>
    </xf>
    <xf numFmtId="44" fontId="2" fillId="0" borderId="47" xfId="172" applyNumberFormat="1" applyFill="1" applyBorder="1" applyAlignment="1" applyProtection="1">
      <alignment vertical="center"/>
    </xf>
    <xf numFmtId="44" fontId="0" fillId="0" borderId="65" xfId="18" applyNumberFormat="1" applyFont="1" applyFill="1" applyBorder="1" applyAlignment="1" applyProtection="1">
      <alignment horizontal="center" vertical="center"/>
    </xf>
    <xf numFmtId="44" fontId="1" fillId="0" borderId="65" xfId="4" applyNumberForma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63" xfId="0" applyBorder="1" applyAlignment="1">
      <alignment vertical="center"/>
    </xf>
    <xf numFmtId="9" fontId="14" fillId="0" borderId="57" xfId="4" applyNumberFormat="1" applyFont="1" applyFill="1" applyBorder="1" applyAlignment="1" applyProtection="1">
      <alignment horizontal="center" vertical="center"/>
      <protection locked="0"/>
    </xf>
    <xf numFmtId="44" fontId="14" fillId="0" borderId="57" xfId="18" applyNumberFormat="1" applyFont="1" applyFill="1" applyBorder="1" applyAlignment="1" applyProtection="1">
      <alignment horizontal="center" vertical="center"/>
      <protection locked="0"/>
    </xf>
    <xf numFmtId="9" fontId="14" fillId="0" borderId="58" xfId="4" applyNumberFormat="1" applyFont="1" applyFill="1" applyBorder="1" applyAlignment="1" applyProtection="1">
      <alignment horizontal="center" vertical="center"/>
      <protection locked="0"/>
    </xf>
    <xf numFmtId="44" fontId="0" fillId="0" borderId="72" xfId="4" applyNumberFormat="1" applyFont="1" applyFill="1" applyBorder="1" applyAlignment="1">
      <alignment horizontal="center" vertical="center"/>
    </xf>
    <xf numFmtId="0" fontId="7" fillId="0" borderId="46" xfId="6" applyFont="1" applyBorder="1" applyAlignment="1" applyProtection="1">
      <alignment horizontal="center"/>
      <protection locked="0"/>
    </xf>
    <xf numFmtId="0" fontId="7" fillId="0" borderId="46" xfId="6" applyFont="1" applyBorder="1" applyAlignment="1" applyProtection="1">
      <alignment horizontal="center" vertical="center"/>
      <protection locked="0"/>
    </xf>
    <xf numFmtId="0" fontId="7" fillId="0" borderId="46" xfId="6" applyFont="1" applyBorder="1" applyProtection="1">
      <protection locked="0"/>
    </xf>
    <xf numFmtId="44" fontId="7" fillId="0" borderId="46" xfId="2" applyFont="1" applyFill="1" applyBorder="1" applyProtection="1">
      <protection locked="0"/>
    </xf>
    <xf numFmtId="0" fontId="8" fillId="3" borderId="46" xfId="5" applyFont="1" applyBorder="1" applyAlignment="1" applyProtection="1">
      <alignment horizontal="right"/>
    </xf>
    <xf numFmtId="44" fontId="8" fillId="3" borderId="46" xfId="5" applyNumberFormat="1" applyFont="1" applyBorder="1" applyAlignment="1" applyProtection="1">
      <alignment horizontal="center"/>
    </xf>
    <xf numFmtId="0" fontId="11" fillId="39" borderId="46" xfId="172" applyFont="1" applyBorder="1" applyAlignment="1">
      <alignment horizontal="center" vertical="center" wrapText="1"/>
    </xf>
    <xf numFmtId="44" fontId="11" fillId="39" borderId="46" xfId="172" applyNumberFormat="1" applyFont="1" applyBorder="1" applyAlignment="1">
      <alignment horizontal="center" vertical="center" wrapText="1"/>
    </xf>
    <xf numFmtId="44" fontId="7" fillId="0" borderId="46" xfId="2" applyFont="1" applyFill="1" applyBorder="1" applyAlignment="1" applyProtection="1">
      <alignment horizontal="center"/>
      <protection locked="0"/>
    </xf>
    <xf numFmtId="10" fontId="0" fillId="0" borderId="0" xfId="3" applyNumberFormat="1" applyFont="1" applyBorder="1" applyProtection="1"/>
    <xf numFmtId="44" fontId="0" fillId="0" borderId="46" xfId="2" applyFont="1" applyFill="1" applyBorder="1" applyAlignment="1" applyProtection="1">
      <alignment horizontal="center" vertical="center"/>
      <protection locked="0"/>
    </xf>
    <xf numFmtId="10" fontId="6" fillId="0" borderId="16" xfId="18" applyNumberFormat="1" applyFont="1" applyFill="1" applyBorder="1" applyAlignment="1">
      <alignment horizontal="center" vertical="center"/>
    </xf>
    <xf numFmtId="0" fontId="11" fillId="37" borderId="19" xfId="165" applyFont="1" applyBorder="1" applyAlignment="1">
      <alignment horizontal="left" vertical="center"/>
    </xf>
    <xf numFmtId="0" fontId="11" fillId="37" borderId="74" xfId="165" applyFont="1" applyBorder="1" applyAlignment="1">
      <alignment horizontal="center" vertical="center" wrapText="1"/>
    </xf>
    <xf numFmtId="0" fontId="11" fillId="37" borderId="74" xfId="165" applyFont="1" applyBorder="1" applyAlignment="1">
      <alignment horizontal="left" vertical="center" wrapText="1"/>
    </xf>
    <xf numFmtId="14" fontId="11" fillId="37" borderId="74" xfId="165" applyNumberFormat="1" applyFont="1" applyBorder="1" applyAlignment="1">
      <alignment horizontal="center" vertical="center" wrapText="1"/>
    </xf>
    <xf numFmtId="44" fontId="11" fillId="37" borderId="74" xfId="2" applyFont="1" applyFill="1" applyBorder="1" applyAlignment="1">
      <alignment horizontal="center" vertical="center" wrapText="1"/>
    </xf>
    <xf numFmtId="188" fontId="11" fillId="37" borderId="74" xfId="165" applyNumberFormat="1" applyFont="1" applyBorder="1" applyAlignment="1">
      <alignment horizontal="center" vertical="center" wrapText="1"/>
    </xf>
    <xf numFmtId="44" fontId="11" fillId="37" borderId="74" xfId="165" applyNumberFormat="1" applyFont="1" applyBorder="1" applyAlignment="1">
      <alignment horizontal="center" vertical="center" wrapText="1"/>
    </xf>
    <xf numFmtId="0" fontId="0" fillId="0" borderId="58" xfId="0" applyBorder="1"/>
    <xf numFmtId="0" fontId="41" fillId="0" borderId="58" xfId="0" applyFont="1" applyBorder="1"/>
    <xf numFmtId="0" fontId="0" fillId="0" borderId="58" xfId="0" applyBorder="1" applyAlignment="1">
      <alignment horizontal="center" vertical="center" wrapText="1"/>
    </xf>
    <xf numFmtId="14" fontId="0" fillId="0" borderId="58" xfId="0" applyNumberFormat="1" applyBorder="1" applyAlignment="1">
      <alignment horizontal="center" vertical="center" wrapText="1"/>
    </xf>
    <xf numFmtId="44" fontId="0" fillId="0" borderId="58" xfId="2" applyFont="1" applyBorder="1" applyAlignment="1">
      <alignment horizontal="center" vertical="center" wrapText="1"/>
    </xf>
    <xf numFmtId="188" fontId="0" fillId="0" borderId="58" xfId="2" applyNumberFormat="1" applyFont="1" applyBorder="1" applyAlignment="1">
      <alignment horizontal="center" vertical="center" wrapText="1"/>
    </xf>
    <xf numFmtId="9" fontId="0" fillId="0" borderId="58" xfId="0" applyNumberFormat="1" applyBorder="1" applyAlignment="1">
      <alignment horizontal="center" vertical="center" wrapText="1"/>
    </xf>
    <xf numFmtId="44" fontId="0" fillId="0" borderId="58" xfId="2" applyFont="1" applyBorder="1"/>
    <xf numFmtId="0" fontId="0" fillId="0" borderId="58" xfId="0" applyBorder="1" applyAlignment="1">
      <alignment horizontal="center"/>
    </xf>
    <xf numFmtId="188" fontId="0" fillId="0" borderId="58" xfId="0" applyNumberFormat="1" applyBorder="1" applyAlignment="1">
      <alignment horizontal="center"/>
    </xf>
    <xf numFmtId="0" fontId="7" fillId="0" borderId="58" xfId="0" applyFont="1" applyBorder="1"/>
    <xf numFmtId="44" fontId="0" fillId="0" borderId="58" xfId="0" applyNumberFormat="1" applyBorder="1"/>
    <xf numFmtId="0" fontId="7" fillId="0" borderId="72" xfId="0" applyFont="1" applyBorder="1"/>
    <xf numFmtId="0" fontId="41" fillId="0" borderId="72" xfId="0" applyFont="1" applyBorder="1"/>
    <xf numFmtId="0" fontId="0" fillId="0" borderId="72" xfId="0" applyBorder="1" applyAlignment="1">
      <alignment horizontal="center" vertical="center" wrapText="1"/>
    </xf>
    <xf numFmtId="14" fontId="0" fillId="0" borderId="72" xfId="0" applyNumberFormat="1" applyBorder="1" applyAlignment="1">
      <alignment horizontal="center" vertical="center" wrapText="1"/>
    </xf>
    <xf numFmtId="44" fontId="0" fillId="0" borderId="72" xfId="2" applyFont="1" applyBorder="1"/>
    <xf numFmtId="188" fontId="0" fillId="0" borderId="72" xfId="0" applyNumberFormat="1" applyBorder="1" applyAlignment="1">
      <alignment horizontal="center"/>
    </xf>
    <xf numFmtId="44" fontId="0" fillId="0" borderId="72" xfId="2" applyFont="1" applyBorder="1" applyAlignment="1">
      <alignment horizontal="center" vertical="center" wrapText="1"/>
    </xf>
    <xf numFmtId="0" fontId="0" fillId="0" borderId="72" xfId="0" applyBorder="1"/>
    <xf numFmtId="9" fontId="0" fillId="0" borderId="72" xfId="0" applyNumberFormat="1" applyBorder="1" applyAlignment="1">
      <alignment horizontal="center" vertical="center" wrapText="1"/>
    </xf>
    <xf numFmtId="0" fontId="0" fillId="0" borderId="72" xfId="0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" fillId="0" borderId="46" xfId="18" applyFill="1" applyBorder="1" applyAlignment="1">
      <alignment horizontal="center" vertical="center"/>
    </xf>
    <xf numFmtId="0" fontId="7" fillId="0" borderId="20" xfId="6" applyFont="1" applyBorder="1"/>
    <xf numFmtId="0" fontId="7" fillId="0" borderId="20" xfId="6" applyFont="1" applyBorder="1" applyAlignment="1">
      <alignment horizontal="left"/>
    </xf>
    <xf numFmtId="0" fontId="11" fillId="39" borderId="18" xfId="172" applyFont="1" applyBorder="1" applyAlignment="1">
      <alignment horizontal="center" vertical="center"/>
    </xf>
    <xf numFmtId="0" fontId="11" fillId="39" borderId="19" xfId="172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39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9" fillId="0" borderId="20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44" fontId="0" fillId="0" borderId="0" xfId="2" applyFont="1" applyProtection="1">
      <protection locked="0"/>
    </xf>
    <xf numFmtId="44" fontId="6" fillId="3" borderId="46" xfId="5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2" fontId="0" fillId="0" borderId="55" xfId="18" applyNumberFormat="1" applyFont="1" applyFill="1" applyBorder="1" applyAlignment="1" applyProtection="1">
      <alignment horizontal="center" vertical="center"/>
      <protection locked="0"/>
    </xf>
    <xf numFmtId="0" fontId="7" fillId="0" borderId="32" xfId="0" applyFont="1" applyBorder="1" applyAlignment="1">
      <alignment horizontal="center" vertical="center"/>
    </xf>
    <xf numFmtId="0" fontId="7" fillId="0" borderId="32" xfId="0" applyFont="1" applyBorder="1" applyAlignment="1">
      <alignment vertical="center"/>
    </xf>
    <xf numFmtId="10" fontId="7" fillId="0" borderId="32" xfId="0" applyNumberFormat="1" applyFont="1" applyBorder="1" applyAlignment="1">
      <alignment horizontal="right" vertical="center"/>
    </xf>
    <xf numFmtId="0" fontId="8" fillId="0" borderId="76" xfId="18" applyFont="1" applyFill="1" applyBorder="1" applyAlignment="1">
      <alignment horizontal="left" vertical="center"/>
    </xf>
    <xf numFmtId="0" fontId="7" fillId="0" borderId="4" xfId="6" applyFont="1" applyBorder="1"/>
    <xf numFmtId="0" fontId="8" fillId="0" borderId="2" xfId="6" applyFont="1" applyBorder="1" applyAlignment="1">
      <alignment horizontal="right"/>
    </xf>
    <xf numFmtId="44" fontId="7" fillId="0" borderId="47" xfId="2" applyFont="1" applyFill="1" applyBorder="1" applyAlignment="1"/>
    <xf numFmtId="44" fontId="1" fillId="0" borderId="65" xfId="2" applyFont="1" applyFill="1" applyBorder="1" applyAlignment="1">
      <alignment horizontal="left" vertical="center"/>
    </xf>
    <xf numFmtId="0" fontId="8" fillId="0" borderId="73" xfId="13" applyFont="1" applyFill="1" applyBorder="1" applyAlignment="1">
      <alignment horizontal="center" vertical="center"/>
    </xf>
    <xf numFmtId="0" fontId="8" fillId="0" borderId="80" xfId="18" applyFont="1" applyFill="1" applyBorder="1" applyAlignment="1">
      <alignment horizontal="left" vertical="center"/>
    </xf>
    <xf numFmtId="44" fontId="7" fillId="0" borderId="46" xfId="2" applyFont="1" applyFill="1" applyBorder="1" applyAlignment="1">
      <alignment horizontal="center" vertical="center"/>
    </xf>
    <xf numFmtId="0" fontId="8" fillId="0" borderId="51" xfId="173" applyFont="1" applyFill="1" applyBorder="1" applyAlignment="1">
      <alignment vertical="center"/>
    </xf>
    <xf numFmtId="0" fontId="8" fillId="0" borderId="48" xfId="21" applyFont="1" applyFill="1" applyBorder="1" applyAlignment="1">
      <alignment horizontal="center" vertical="center"/>
    </xf>
    <xf numFmtId="0" fontId="8" fillId="0" borderId="52" xfId="20" applyFont="1" applyFill="1" applyBorder="1" applyAlignment="1">
      <alignment vertical="center"/>
    </xf>
    <xf numFmtId="0" fontId="8" fillId="0" borderId="73" xfId="21" applyFont="1" applyFill="1" applyBorder="1" applyAlignment="1">
      <alignment horizontal="center" vertical="center"/>
    </xf>
    <xf numFmtId="0" fontId="7" fillId="0" borderId="59" xfId="20" applyFont="1" applyFill="1" applyBorder="1" applyAlignment="1">
      <alignment vertical="center"/>
    </xf>
    <xf numFmtId="0" fontId="8" fillId="0" borderId="50" xfId="20" applyFont="1" applyFill="1" applyBorder="1" applyAlignment="1">
      <alignment horizontal="center" vertical="center"/>
    </xf>
    <xf numFmtId="0" fontId="7" fillId="0" borderId="51" xfId="20" applyFont="1" applyFill="1" applyBorder="1" applyAlignment="1">
      <alignment vertical="center"/>
    </xf>
    <xf numFmtId="0" fontId="8" fillId="0" borderId="4" xfId="20" applyFont="1" applyFill="1" applyBorder="1" applyAlignment="1">
      <alignment vertical="center"/>
    </xf>
    <xf numFmtId="0" fontId="7" fillId="0" borderId="2" xfId="20" applyFont="1" applyFill="1" applyBorder="1" applyAlignment="1">
      <alignment vertical="center"/>
    </xf>
    <xf numFmtId="0" fontId="42" fillId="0" borderId="81" xfId="18" applyFont="1" applyFill="1" applyBorder="1" applyAlignment="1">
      <alignment horizontal="left" vertical="center" indent="2"/>
    </xf>
    <xf numFmtId="44" fontId="7" fillId="0" borderId="62" xfId="2" applyFont="1" applyFill="1" applyBorder="1" applyAlignment="1">
      <alignment horizontal="left" vertical="center"/>
    </xf>
    <xf numFmtId="0" fontId="42" fillId="0" borderId="82" xfId="18" applyFont="1" applyFill="1" applyBorder="1" applyAlignment="1">
      <alignment horizontal="left" vertical="center" indent="2"/>
    </xf>
    <xf numFmtId="1" fontId="7" fillId="0" borderId="54" xfId="2" applyNumberFormat="1" applyFont="1" applyFill="1" applyBorder="1" applyAlignment="1">
      <alignment horizontal="center" vertical="center"/>
    </xf>
    <xf numFmtId="44" fontId="7" fillId="0" borderId="67" xfId="2" applyFont="1" applyFill="1" applyBorder="1" applyAlignment="1">
      <alignment horizontal="left" vertical="center"/>
    </xf>
    <xf numFmtId="44" fontId="7" fillId="0" borderId="60" xfId="2" applyFont="1" applyFill="1" applyBorder="1" applyAlignment="1">
      <alignment horizontal="left" vertical="center"/>
    </xf>
    <xf numFmtId="44" fontId="1" fillId="0" borderId="64" xfId="2" applyFont="1" applyFill="1" applyBorder="1" applyAlignment="1">
      <alignment horizontal="left" vertical="center"/>
    </xf>
    <xf numFmtId="182" fontId="1" fillId="0" borderId="67" xfId="2" applyNumberFormat="1" applyFont="1" applyFill="1" applyBorder="1" applyAlignment="1">
      <alignment horizontal="center" vertical="center"/>
    </xf>
    <xf numFmtId="182" fontId="1" fillId="0" borderId="60" xfId="2" applyNumberFormat="1" applyFont="1" applyFill="1" applyBorder="1" applyAlignment="1">
      <alignment horizontal="center" vertical="center"/>
    </xf>
    <xf numFmtId="44" fontId="1" fillId="0" borderId="60" xfId="2" applyFont="1" applyFill="1" applyBorder="1" applyAlignment="1">
      <alignment horizontal="left" vertical="center"/>
    </xf>
    <xf numFmtId="0" fontId="42" fillId="0" borderId="62" xfId="18" applyFont="1" applyFill="1" applyBorder="1" applyAlignment="1">
      <alignment horizontal="left" vertical="center" indent="2"/>
    </xf>
    <xf numFmtId="0" fontId="42" fillId="0" borderId="54" xfId="18" applyFont="1" applyFill="1" applyBorder="1" applyAlignment="1">
      <alignment horizontal="left" vertical="center" indent="2"/>
    </xf>
    <xf numFmtId="0" fontId="6" fillId="0" borderId="64" xfId="18" applyFont="1" applyFill="1" applyBorder="1" applyAlignment="1">
      <alignment horizontal="left" vertical="center"/>
    </xf>
    <xf numFmtId="0" fontId="14" fillId="0" borderId="67" xfId="18" applyFont="1" applyFill="1" applyBorder="1" applyAlignment="1">
      <alignment horizontal="left" vertical="center" indent="2"/>
    </xf>
    <xf numFmtId="9" fontId="7" fillId="0" borderId="60" xfId="2" applyNumberFormat="1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/>
    </xf>
    <xf numFmtId="9" fontId="7" fillId="0" borderId="60" xfId="3" applyFont="1" applyFill="1" applyBorder="1" applyAlignment="1">
      <alignment horizontal="center" vertical="center"/>
    </xf>
    <xf numFmtId="0" fontId="42" fillId="0" borderId="60" xfId="18" applyFont="1" applyFill="1" applyBorder="1" applyAlignment="1">
      <alignment horizontal="left" vertical="center" indent="2"/>
    </xf>
    <xf numFmtId="0" fontId="7" fillId="0" borderId="5" xfId="6" applyFont="1" applyBorder="1"/>
    <xf numFmtId="9" fontId="7" fillId="0" borderId="69" xfId="2" applyNumberFormat="1" applyFont="1" applyFill="1" applyBorder="1" applyAlignment="1">
      <alignment horizontal="center" vertical="center"/>
    </xf>
    <xf numFmtId="9" fontId="7" fillId="0" borderId="45" xfId="2" applyNumberFormat="1" applyFont="1" applyFill="1" applyBorder="1" applyAlignment="1">
      <alignment horizontal="center" vertical="center"/>
    </xf>
    <xf numFmtId="9" fontId="7" fillId="0" borderId="55" xfId="2" applyNumberFormat="1" applyFont="1" applyFill="1" applyBorder="1" applyAlignment="1">
      <alignment horizontal="center" vertical="center"/>
    </xf>
    <xf numFmtId="0" fontId="6" fillId="0" borderId="85" xfId="0" applyFont="1" applyBorder="1" applyAlignment="1">
      <alignment vertical="center"/>
    </xf>
    <xf numFmtId="0" fontId="6" fillId="0" borderId="8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43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60" xfId="0" applyFont="1" applyBorder="1" applyAlignment="1">
      <alignment horizontal="left" vertical="center"/>
    </xf>
    <xf numFmtId="0" fontId="6" fillId="0" borderId="70" xfId="0" applyFont="1" applyBorder="1" applyAlignment="1">
      <alignment vertical="center"/>
    </xf>
    <xf numFmtId="0" fontId="6" fillId="0" borderId="0" xfId="0" applyFont="1" applyAlignment="1">
      <alignment horizontal="left" indent="1"/>
    </xf>
    <xf numFmtId="0" fontId="11" fillId="37" borderId="63" xfId="165" applyFont="1" applyBorder="1" applyAlignment="1">
      <alignment horizontal="center" vertical="center" wrapText="1"/>
    </xf>
    <xf numFmtId="0" fontId="11" fillId="37" borderId="63" xfId="165" applyFont="1" applyBorder="1" applyAlignment="1">
      <alignment horizontal="left" vertical="center" wrapText="1"/>
    </xf>
    <xf numFmtId="14" fontId="11" fillId="37" borderId="63" xfId="165" applyNumberFormat="1" applyFont="1" applyBorder="1" applyAlignment="1">
      <alignment horizontal="center" vertical="center" wrapText="1"/>
    </xf>
    <xf numFmtId="44" fontId="11" fillId="37" borderId="63" xfId="2" applyFont="1" applyFill="1" applyBorder="1" applyAlignment="1">
      <alignment horizontal="center" vertical="center" wrapText="1"/>
    </xf>
    <xf numFmtId="188" fontId="11" fillId="37" borderId="63" xfId="165" applyNumberFormat="1" applyFont="1" applyBorder="1" applyAlignment="1">
      <alignment horizontal="center" vertical="center" wrapText="1"/>
    </xf>
    <xf numFmtId="44" fontId="11" fillId="37" borderId="63" xfId="165" applyNumberFormat="1" applyFont="1" applyBorder="1" applyAlignment="1">
      <alignment horizontal="center" vertical="center" wrapText="1"/>
    </xf>
    <xf numFmtId="0" fontId="0" fillId="0" borderId="74" xfId="0" applyBorder="1"/>
    <xf numFmtId="0" fontId="0" fillId="0" borderId="74" xfId="0" applyBorder="1" applyAlignment="1">
      <alignment horizontal="center" vertical="center" wrapText="1"/>
    </xf>
    <xf numFmtId="0" fontId="41" fillId="0" borderId="74" xfId="0" applyFont="1" applyBorder="1"/>
    <xf numFmtId="14" fontId="0" fillId="0" borderId="74" xfId="0" applyNumberFormat="1" applyBorder="1" applyAlignment="1">
      <alignment horizontal="center" vertical="center" wrapText="1"/>
    </xf>
    <xf numFmtId="44" fontId="0" fillId="0" borderId="74" xfId="2" applyFont="1" applyBorder="1" applyAlignment="1">
      <alignment horizontal="center" vertical="center" wrapText="1"/>
    </xf>
    <xf numFmtId="188" fontId="0" fillId="0" borderId="74" xfId="2" applyNumberFormat="1" applyFont="1" applyBorder="1" applyAlignment="1">
      <alignment horizontal="center" vertical="center" wrapText="1"/>
    </xf>
    <xf numFmtId="9" fontId="0" fillId="0" borderId="74" xfId="0" applyNumberFormat="1" applyBorder="1" applyAlignment="1">
      <alignment horizontal="center" vertical="center" wrapText="1"/>
    </xf>
    <xf numFmtId="0" fontId="6" fillId="0" borderId="31" xfId="18" applyFont="1" applyFill="1" applyBorder="1" applyAlignment="1">
      <alignment horizontal="left" vertical="center"/>
    </xf>
    <xf numFmtId="44" fontId="6" fillId="0" borderId="72" xfId="2" applyFont="1" applyFill="1" applyBorder="1" applyAlignment="1">
      <alignment horizontal="left" vertical="center"/>
    </xf>
    <xf numFmtId="44" fontId="8" fillId="0" borderId="56" xfId="2" applyFont="1" applyFill="1" applyBorder="1" applyAlignment="1">
      <alignment horizontal="left" vertical="center"/>
    </xf>
    <xf numFmtId="44" fontId="1" fillId="0" borderId="4" xfId="2" applyFont="1" applyFill="1" applyBorder="1" applyAlignment="1">
      <alignment horizontal="left" vertical="center"/>
    </xf>
    <xf numFmtId="44" fontId="1" fillId="0" borderId="47" xfId="2" applyFont="1" applyFill="1" applyBorder="1" applyAlignment="1">
      <alignment horizontal="left" vertical="center"/>
    </xf>
    <xf numFmtId="44" fontId="8" fillId="0" borderId="79" xfId="2" applyFont="1" applyFill="1" applyBorder="1" applyAlignment="1">
      <alignment horizontal="center" vertical="center"/>
    </xf>
    <xf numFmtId="44" fontId="11" fillId="37" borderId="46" xfId="165" applyNumberFormat="1" applyFont="1" applyBorder="1" applyAlignment="1">
      <alignment vertical="center"/>
    </xf>
    <xf numFmtId="10" fontId="0" fillId="0" borderId="58" xfId="2" applyNumberFormat="1" applyFont="1" applyBorder="1" applyAlignment="1">
      <alignment horizontal="center" vertical="center" wrapText="1"/>
    </xf>
    <xf numFmtId="10" fontId="1" fillId="0" borderId="0" xfId="3" applyNumberFormat="1" applyFont="1" applyFill="1" applyBorder="1" applyAlignment="1">
      <alignment horizontal="center" vertical="center"/>
    </xf>
    <xf numFmtId="10" fontId="0" fillId="0" borderId="0" xfId="3" applyNumberFormat="1" applyFont="1" applyFill="1" applyAlignment="1">
      <alignment horizontal="center"/>
    </xf>
    <xf numFmtId="10" fontId="6" fillId="0" borderId="44" xfId="3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6" fillId="0" borderId="2" xfId="3" applyNumberFormat="1" applyFont="1" applyFill="1" applyBorder="1" applyAlignment="1" applyProtection="1">
      <alignment horizontal="center"/>
    </xf>
    <xf numFmtId="0" fontId="6" fillId="0" borderId="85" xfId="0" applyFont="1" applyBorder="1"/>
    <xf numFmtId="0" fontId="6" fillId="0" borderId="84" xfId="0" applyFont="1" applyBorder="1"/>
    <xf numFmtId="0" fontId="6" fillId="0" borderId="84" xfId="0" applyFont="1" applyBorder="1" applyAlignment="1">
      <alignment horizontal="center"/>
    </xf>
    <xf numFmtId="0" fontId="6" fillId="0" borderId="83" xfId="0" applyFont="1" applyBorder="1" applyAlignment="1">
      <alignment horizontal="center"/>
    </xf>
    <xf numFmtId="0" fontId="6" fillId="0" borderId="70" xfId="0" applyFont="1" applyBorder="1" applyAlignment="1">
      <alignment horizontal="left"/>
    </xf>
    <xf numFmtId="0" fontId="0" fillId="0" borderId="60" xfId="0" applyBorder="1"/>
    <xf numFmtId="10" fontId="0" fillId="0" borderId="60" xfId="0" applyNumberFormat="1" applyBorder="1" applyAlignment="1">
      <alignment horizontal="center"/>
    </xf>
    <xf numFmtId="44" fontId="0" fillId="0" borderId="60" xfId="2" applyFont="1" applyBorder="1" applyProtection="1"/>
    <xf numFmtId="44" fontId="0" fillId="0" borderId="55" xfId="2" applyFont="1" applyBorder="1" applyProtection="1"/>
    <xf numFmtId="0" fontId="8" fillId="0" borderId="47" xfId="21" applyFont="1" applyFill="1" applyBorder="1" applyAlignment="1" applyProtection="1">
      <alignment horizontal="center" vertical="center"/>
      <protection locked="0"/>
    </xf>
    <xf numFmtId="0" fontId="8" fillId="0" borderId="5" xfId="21" applyFont="1" applyFill="1" applyBorder="1" applyAlignment="1" applyProtection="1">
      <alignment horizontal="center" vertical="center"/>
      <protection locked="0"/>
    </xf>
    <xf numFmtId="0" fontId="7" fillId="0" borderId="46" xfId="21" applyFont="1" applyFill="1" applyBorder="1" applyAlignment="1" applyProtection="1">
      <alignment horizontal="center" vertical="center"/>
      <protection locked="0"/>
    </xf>
    <xf numFmtId="182" fontId="7" fillId="0" borderId="56" xfId="21" applyNumberFormat="1" applyFont="1" applyFill="1" applyBorder="1" applyAlignment="1" applyProtection="1">
      <alignment horizontal="center" vertical="center"/>
      <protection locked="0"/>
    </xf>
    <xf numFmtId="182" fontId="7" fillId="0" borderId="16" xfId="21" applyNumberFormat="1" applyFont="1" applyFill="1" applyBorder="1" applyAlignment="1" applyProtection="1">
      <alignment horizontal="center" vertical="center"/>
      <protection locked="0"/>
    </xf>
    <xf numFmtId="44" fontId="1" fillId="0" borderId="58" xfId="4" applyNumberFormat="1" applyFill="1" applyBorder="1" applyAlignment="1" applyProtection="1">
      <alignment horizontal="center" vertical="center"/>
      <protection locked="0"/>
    </xf>
    <xf numFmtId="44" fontId="0" fillId="0" borderId="56" xfId="18" applyNumberFormat="1" applyFont="1" applyFill="1" applyBorder="1" applyAlignment="1" applyProtection="1">
      <alignment horizontal="center" vertical="center"/>
      <protection locked="0"/>
    </xf>
    <xf numFmtId="44" fontId="0" fillId="0" borderId="47" xfId="18" applyNumberFormat="1" applyFont="1" applyFill="1" applyBorder="1" applyAlignment="1" applyProtection="1">
      <alignment horizontal="center" vertical="center"/>
      <protection locked="0"/>
    </xf>
    <xf numFmtId="0" fontId="7" fillId="0" borderId="46" xfId="6" applyFont="1" applyBorder="1" applyAlignment="1" applyProtection="1">
      <alignment horizontal="left" vertical="center"/>
      <protection locked="0"/>
    </xf>
    <xf numFmtId="0" fontId="0" fillId="0" borderId="46" xfId="0" applyBorder="1"/>
    <xf numFmtId="0" fontId="8" fillId="0" borderId="51" xfId="18" applyFont="1" applyFill="1" applyBorder="1" applyAlignment="1">
      <alignment vertical="center"/>
    </xf>
    <xf numFmtId="190" fontId="14" fillId="0" borderId="57" xfId="3" applyNumberFormat="1" applyFont="1" applyFill="1" applyBorder="1" applyAlignment="1" applyProtection="1">
      <alignment horizontal="center" vertical="center"/>
      <protection locked="0"/>
    </xf>
    <xf numFmtId="0" fontId="11" fillId="37" borderId="46" xfId="165" applyFont="1" applyBorder="1" applyAlignment="1" applyProtection="1">
      <alignment horizontal="center" vertical="center"/>
      <protection locked="0"/>
    </xf>
    <xf numFmtId="0" fontId="6" fillId="0" borderId="6" xfId="18" applyFont="1" applyFill="1" applyBorder="1" applyAlignment="1" applyProtection="1">
      <alignment horizontal="center" vertical="center"/>
      <protection locked="0"/>
    </xf>
    <xf numFmtId="0" fontId="6" fillId="0" borderId="51" xfId="18" applyFont="1" applyFill="1" applyBorder="1" applyAlignment="1" applyProtection="1">
      <alignment vertical="center"/>
      <protection locked="0"/>
    </xf>
    <xf numFmtId="10" fontId="6" fillId="0" borderId="18" xfId="3" applyNumberFormat="1" applyFont="1" applyFill="1" applyBorder="1" applyAlignment="1" applyProtection="1">
      <alignment horizontal="center" vertical="center"/>
      <protection locked="0"/>
    </xf>
    <xf numFmtId="0" fontId="1" fillId="0" borderId="46" xfId="18" applyFill="1" applyBorder="1" applyAlignment="1">
      <alignment vertical="center"/>
    </xf>
    <xf numFmtId="191" fontId="1" fillId="0" borderId="46" xfId="18" applyNumberFormat="1" applyFill="1" applyBorder="1" applyAlignment="1">
      <alignment horizontal="center" vertical="center"/>
    </xf>
    <xf numFmtId="44" fontId="1" fillId="0" borderId="46" xfId="18" applyNumberFormat="1" applyFill="1" applyBorder="1" applyAlignment="1">
      <alignment vertical="center"/>
    </xf>
    <xf numFmtId="0" fontId="11" fillId="39" borderId="46" xfId="172" applyFont="1" applyBorder="1" applyAlignment="1">
      <alignment horizontal="center" vertical="center"/>
    </xf>
    <xf numFmtId="44" fontId="1" fillId="0" borderId="46" xfId="2" applyFont="1" applyFill="1" applyBorder="1" applyAlignment="1">
      <alignment horizontal="center" vertical="center"/>
    </xf>
    <xf numFmtId="44" fontId="7" fillId="0" borderId="20" xfId="2" applyFont="1" applyBorder="1" applyAlignment="1">
      <alignment horizontal="center"/>
    </xf>
    <xf numFmtId="0" fontId="7" fillId="0" borderId="25" xfId="6" applyFont="1" applyBorder="1" applyAlignment="1">
      <alignment horizontal="center"/>
    </xf>
    <xf numFmtId="0" fontId="1" fillId="0" borderId="18" xfId="18" applyFill="1" applyBorder="1" applyAlignment="1">
      <alignment vertical="center"/>
    </xf>
    <xf numFmtId="0" fontId="7" fillId="0" borderId="24" xfId="6" applyFont="1" applyBorder="1" applyAlignment="1">
      <alignment horizontal="left"/>
    </xf>
    <xf numFmtId="0" fontId="0" fillId="0" borderId="18" xfId="18" applyFont="1" applyFill="1" applyBorder="1" applyAlignment="1">
      <alignment vertical="center"/>
    </xf>
    <xf numFmtId="44" fontId="0" fillId="0" borderId="0" xfId="2" applyFont="1" applyAlignment="1" applyProtection="1">
      <alignment vertical="center"/>
      <protection locked="0"/>
    </xf>
    <xf numFmtId="44" fontId="0" fillId="0" borderId="0" xfId="0" applyNumberFormat="1" applyAlignment="1" applyProtection="1">
      <alignment vertical="center"/>
      <protection locked="0"/>
    </xf>
    <xf numFmtId="0" fontId="11" fillId="39" borderId="46" xfId="172" applyFont="1" applyBorder="1" applyAlignment="1" applyProtection="1">
      <alignment horizontal="center" vertical="center" wrapText="1"/>
    </xf>
    <xf numFmtId="44" fontId="11" fillId="37" borderId="46" xfId="165" applyNumberFormat="1" applyFont="1" applyBorder="1" applyAlignment="1" applyProtection="1">
      <alignment vertical="center"/>
    </xf>
    <xf numFmtId="191" fontId="1" fillId="0" borderId="19" xfId="18" applyNumberFormat="1" applyFill="1" applyBorder="1" applyAlignment="1" applyProtection="1">
      <alignment horizontal="center" vertical="center"/>
      <protection locked="0"/>
    </xf>
    <xf numFmtId="10" fontId="6" fillId="0" borderId="19" xfId="3" applyNumberFormat="1" applyFont="1" applyFill="1" applyBorder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194" fontId="1" fillId="0" borderId="46" xfId="18" applyNumberFormat="1" applyFill="1" applyBorder="1" applyAlignment="1" applyProtection="1">
      <alignment horizontal="center" vertical="center"/>
      <protection locked="0"/>
    </xf>
    <xf numFmtId="194" fontId="0" fillId="0" borderId="46" xfId="18" applyNumberFormat="1" applyFont="1" applyFill="1" applyBorder="1" applyAlignment="1" applyProtection="1">
      <alignment horizontal="center" vertical="center"/>
      <protection locked="0"/>
    </xf>
    <xf numFmtId="194" fontId="7" fillId="0" borderId="20" xfId="6" applyNumberFormat="1" applyFont="1" applyBorder="1" applyAlignment="1">
      <alignment horizontal="center"/>
    </xf>
    <xf numFmtId="194" fontId="11" fillId="39" borderId="46" xfId="172" applyNumberFormat="1" applyFont="1" applyBorder="1" applyAlignment="1">
      <alignment horizontal="center" vertical="center"/>
    </xf>
    <xf numFmtId="195" fontId="0" fillId="0" borderId="0" xfId="0" applyNumberFormat="1" applyAlignment="1" applyProtection="1">
      <alignment vertical="center"/>
      <protection locked="0"/>
    </xf>
    <xf numFmtId="0" fontId="6" fillId="0" borderId="17" xfId="18" applyFont="1" applyFill="1" applyBorder="1" applyAlignment="1" applyProtection="1">
      <alignment horizontal="center" vertical="center"/>
      <protection locked="0"/>
    </xf>
    <xf numFmtId="0" fontId="7" fillId="0" borderId="20" xfId="6" applyFont="1" applyBorder="1" applyAlignment="1" applyProtection="1">
      <alignment horizontal="center"/>
      <protection locked="0"/>
    </xf>
    <xf numFmtId="0" fontId="11" fillId="39" borderId="17" xfId="172" applyFont="1" applyBorder="1" applyAlignment="1" applyProtection="1">
      <alignment horizontal="center" vertical="center"/>
      <protection locked="0"/>
    </xf>
    <xf numFmtId="0" fontId="6" fillId="0" borderId="19" xfId="3" applyNumberFormat="1" applyFont="1" applyFill="1" applyBorder="1" applyAlignment="1" applyProtection="1">
      <alignment horizontal="center" vertical="center"/>
      <protection locked="0"/>
    </xf>
    <xf numFmtId="10" fontId="6" fillId="0" borderId="4" xfId="3" applyNumberFormat="1" applyFont="1" applyFill="1" applyBorder="1" applyAlignment="1" applyProtection="1">
      <alignment horizontal="center" vertical="center"/>
      <protection locked="0"/>
    </xf>
    <xf numFmtId="0" fontId="6" fillId="0" borderId="71" xfId="4" applyNumberFormat="1" applyFont="1" applyFill="1" applyBorder="1" applyAlignment="1" applyProtection="1">
      <alignment horizontal="center" vertical="center"/>
      <protection locked="0"/>
    </xf>
    <xf numFmtId="44" fontId="0" fillId="0" borderId="68" xfId="4" applyNumberFormat="1" applyFont="1" applyFill="1" applyBorder="1" applyAlignment="1" applyProtection="1">
      <alignment horizontal="center" vertical="center"/>
      <protection locked="0"/>
    </xf>
    <xf numFmtId="44" fontId="0" fillId="0" borderId="63" xfId="18" applyNumberFormat="1" applyFont="1" applyFill="1" applyBorder="1" applyAlignment="1" applyProtection="1">
      <alignment horizontal="center" vertical="center"/>
      <protection locked="0"/>
    </xf>
    <xf numFmtId="44" fontId="1" fillId="0" borderId="68" xfId="4" applyNumberFormat="1" applyFill="1" applyBorder="1" applyAlignment="1" applyProtection="1">
      <alignment horizontal="right" vertical="center"/>
      <protection locked="0"/>
    </xf>
    <xf numFmtId="44" fontId="1" fillId="0" borderId="57" xfId="4" applyNumberFormat="1" applyFill="1" applyBorder="1" applyAlignment="1" applyProtection="1">
      <alignment horizontal="center" vertical="center"/>
    </xf>
    <xf numFmtId="44" fontId="1" fillId="0" borderId="58" xfId="4" applyNumberFormat="1" applyFill="1" applyBorder="1" applyAlignment="1" applyProtection="1">
      <alignment horizontal="center" vertical="center"/>
    </xf>
    <xf numFmtId="44" fontId="0" fillId="0" borderId="5" xfId="18" applyNumberFormat="1" applyFont="1" applyFill="1" applyBorder="1" applyAlignment="1" applyProtection="1">
      <alignment horizontal="center" vertical="center"/>
    </xf>
    <xf numFmtId="10" fontId="0" fillId="0" borderId="45" xfId="18" applyNumberFormat="1" applyFont="1" applyFill="1" applyBorder="1" applyAlignment="1" applyProtection="1">
      <alignment horizontal="center" vertical="center"/>
    </xf>
    <xf numFmtId="0" fontId="0" fillId="0" borderId="55" xfId="18" applyNumberFormat="1" applyFont="1" applyFill="1" applyBorder="1" applyAlignment="1" applyProtection="1">
      <alignment horizontal="center" vertical="center"/>
    </xf>
    <xf numFmtId="187" fontId="7" fillId="0" borderId="68" xfId="2" applyNumberFormat="1" applyFont="1" applyFill="1" applyBorder="1" applyAlignment="1" applyProtection="1">
      <alignment horizontal="center" vertical="center"/>
      <protection locked="0"/>
    </xf>
    <xf numFmtId="44" fontId="7" fillId="0" borderId="58" xfId="2" applyFont="1" applyFill="1" applyBorder="1" applyAlignment="1" applyProtection="1">
      <alignment horizontal="center" vertical="center"/>
      <protection locked="0"/>
    </xf>
    <xf numFmtId="44" fontId="7" fillId="0" borderId="58" xfId="2" applyFont="1" applyFill="1" applyBorder="1" applyAlignment="1" applyProtection="1">
      <alignment horizontal="left" vertical="center"/>
      <protection locked="0"/>
    </xf>
    <xf numFmtId="189" fontId="1" fillId="0" borderId="68" xfId="1" applyNumberFormat="1" applyFont="1" applyFill="1" applyBorder="1" applyAlignment="1" applyProtection="1">
      <alignment horizontal="center" vertical="center"/>
      <protection locked="0"/>
    </xf>
    <xf numFmtId="182" fontId="1" fillId="0" borderId="58" xfId="2" applyNumberFormat="1" applyFont="1" applyFill="1" applyBorder="1" applyAlignment="1" applyProtection="1">
      <alignment horizontal="center" vertical="center"/>
      <protection locked="0"/>
    </xf>
    <xf numFmtId="44" fontId="1" fillId="0" borderId="58" xfId="2" applyFont="1" applyFill="1" applyBorder="1" applyAlignment="1" applyProtection="1">
      <alignment horizontal="left" vertical="center"/>
      <protection locked="0"/>
    </xf>
    <xf numFmtId="44" fontId="7" fillId="0" borderId="68" xfId="2" applyFont="1" applyFill="1" applyBorder="1" applyAlignment="1" applyProtection="1">
      <alignment horizontal="left" vertical="center"/>
      <protection locked="0"/>
    </xf>
    <xf numFmtId="1" fontId="7" fillId="0" borderId="58" xfId="2" applyNumberFormat="1" applyFont="1" applyFill="1" applyBorder="1" applyAlignment="1" applyProtection="1">
      <alignment horizontal="center" vertical="center"/>
      <protection locked="0"/>
    </xf>
    <xf numFmtId="186" fontId="7" fillId="0" borderId="57" xfId="2" applyNumberFormat="1" applyFont="1" applyFill="1" applyBorder="1" applyAlignment="1" applyProtection="1">
      <alignment horizontal="center" vertical="center"/>
      <protection locked="0"/>
    </xf>
    <xf numFmtId="44" fontId="7" fillId="0" borderId="57" xfId="2" applyFont="1" applyFill="1" applyBorder="1" applyAlignment="1" applyProtection="1">
      <alignment horizontal="center" vertical="center"/>
      <protection locked="0"/>
    </xf>
    <xf numFmtId="44" fontId="7" fillId="0" borderId="55" xfId="2" applyFont="1" applyFill="1" applyBorder="1" applyAlignment="1" applyProtection="1">
      <alignment horizontal="center" vertical="center"/>
      <protection locked="0"/>
    </xf>
    <xf numFmtId="44" fontId="7" fillId="0" borderId="68" xfId="2" applyFont="1" applyFill="1" applyBorder="1" applyAlignment="1" applyProtection="1">
      <alignment horizontal="center" vertical="center"/>
      <protection locked="0"/>
    </xf>
    <xf numFmtId="10" fontId="7" fillId="0" borderId="5" xfId="3" applyNumberFormat="1" applyFont="1" applyBorder="1" applyAlignment="1" applyProtection="1">
      <alignment horizontal="center"/>
      <protection locked="0"/>
    </xf>
    <xf numFmtId="183" fontId="7" fillId="0" borderId="62" xfId="2" applyNumberFormat="1" applyFont="1" applyFill="1" applyBorder="1" applyAlignment="1" applyProtection="1">
      <alignment horizontal="center" vertical="center"/>
      <protection locked="0"/>
    </xf>
    <xf numFmtId="10" fontId="7" fillId="0" borderId="60" xfId="3" applyNumberFormat="1" applyFont="1" applyFill="1" applyBorder="1" applyAlignment="1" applyProtection="1">
      <alignment horizontal="center" vertical="center"/>
      <protection locked="0"/>
    </xf>
    <xf numFmtId="44" fontId="0" fillId="0" borderId="58" xfId="2" applyFont="1" applyFill="1" applyBorder="1" applyAlignment="1" applyProtection="1">
      <alignment horizontal="left" vertical="center"/>
      <protection locked="0"/>
    </xf>
    <xf numFmtId="0" fontId="6" fillId="0" borderId="59" xfId="4" applyFont="1" applyFill="1" applyBorder="1" applyAlignment="1" applyProtection="1">
      <alignment vertical="center"/>
      <protection locked="0"/>
    </xf>
    <xf numFmtId="0" fontId="1" fillId="0" borderId="19" xfId="4" applyFill="1" applyBorder="1" applyAlignment="1" applyProtection="1">
      <alignment horizontal="center" vertical="center"/>
      <protection locked="0"/>
    </xf>
    <xf numFmtId="9" fontId="7" fillId="0" borderId="59" xfId="2" applyNumberFormat="1" applyFont="1" applyFill="1" applyBorder="1" applyAlignment="1" applyProtection="1">
      <alignment horizontal="center" vertical="center"/>
      <protection locked="0"/>
    </xf>
    <xf numFmtId="44" fontId="7" fillId="0" borderId="59" xfId="2" applyFont="1" applyFill="1" applyBorder="1" applyAlignment="1" applyProtection="1">
      <alignment horizontal="center" vertical="center"/>
      <protection locked="0"/>
    </xf>
    <xf numFmtId="0" fontId="7" fillId="0" borderId="5" xfId="6" applyFont="1" applyBorder="1" applyProtection="1">
      <protection locked="0"/>
    </xf>
    <xf numFmtId="44" fontId="7" fillId="0" borderId="62" xfId="2" applyFont="1" applyFill="1" applyBorder="1" applyAlignment="1" applyProtection="1">
      <alignment horizontal="center" vertical="center"/>
      <protection locked="0"/>
    </xf>
    <xf numFmtId="9" fontId="7" fillId="0" borderId="60" xfId="3" applyFont="1" applyFill="1" applyBorder="1" applyAlignment="1" applyProtection="1">
      <alignment horizontal="center" vertical="center"/>
      <protection locked="0"/>
    </xf>
    <xf numFmtId="0" fontId="0" fillId="0" borderId="63" xfId="0" applyBorder="1"/>
    <xf numFmtId="0" fontId="0" fillId="0" borderId="56" xfId="0" applyBorder="1"/>
    <xf numFmtId="0" fontId="2" fillId="37" borderId="46" xfId="165" applyBorder="1"/>
    <xf numFmtId="3" fontId="7" fillId="0" borderId="46" xfId="6" applyNumberFormat="1" applyFont="1" applyBorder="1" applyAlignment="1" applyProtection="1">
      <alignment horizontal="center" vertical="center"/>
      <protection locked="0"/>
    </xf>
    <xf numFmtId="0" fontId="0" fillId="0" borderId="46" xfId="18" applyFont="1" applyFill="1" applyBorder="1" applyAlignment="1">
      <alignment horizontal="center" vertical="center"/>
    </xf>
    <xf numFmtId="0" fontId="7" fillId="0" borderId="33" xfId="6" applyFont="1" applyBorder="1"/>
    <xf numFmtId="44" fontId="11" fillId="37" borderId="19" xfId="165" applyNumberFormat="1" applyFont="1" applyBorder="1" applyAlignment="1">
      <alignment vertical="center"/>
    </xf>
    <xf numFmtId="44" fontId="11" fillId="37" borderId="17" xfId="165" applyNumberFormat="1" applyFont="1" applyBorder="1" applyAlignment="1">
      <alignment horizontal="center" vertical="center"/>
    </xf>
    <xf numFmtId="0" fontId="6" fillId="0" borderId="7" xfId="0" applyFont="1" applyBorder="1" applyAlignment="1" applyProtection="1">
      <alignment vertical="center"/>
      <protection locked="0"/>
    </xf>
    <xf numFmtId="10" fontId="0" fillId="0" borderId="57" xfId="18" applyNumberFormat="1" applyFont="1" applyFill="1" applyBorder="1" applyAlignment="1" applyProtection="1">
      <alignment horizontal="center" vertical="center"/>
    </xf>
    <xf numFmtId="1" fontId="7" fillId="0" borderId="68" xfId="2" applyNumberFormat="1" applyFont="1" applyFill="1" applyBorder="1" applyAlignment="1" applyProtection="1">
      <alignment horizontal="center" vertical="center"/>
      <protection locked="0"/>
    </xf>
    <xf numFmtId="44" fontId="7" fillId="0" borderId="60" xfId="2" applyFont="1" applyFill="1" applyBorder="1" applyAlignment="1" applyProtection="1">
      <alignment horizontal="center" vertical="center"/>
      <protection locked="0"/>
    </xf>
    <xf numFmtId="44" fontId="8" fillId="0" borderId="79" xfId="2" applyFont="1" applyFill="1" applyBorder="1" applyAlignment="1" applyProtection="1">
      <alignment horizontal="center" vertical="center"/>
    </xf>
    <xf numFmtId="44" fontId="6" fillId="0" borderId="2" xfId="2" applyFont="1" applyFill="1" applyBorder="1" applyAlignment="1">
      <alignment horizontal="right" vertical="center"/>
    </xf>
    <xf numFmtId="44" fontId="8" fillId="0" borderId="56" xfId="2" applyFont="1" applyFill="1" applyBorder="1" applyAlignment="1">
      <alignment horizontal="center" vertical="center"/>
    </xf>
    <xf numFmtId="196" fontId="7" fillId="0" borderId="58" xfId="2" applyNumberFormat="1" applyFont="1" applyFill="1" applyBorder="1" applyAlignment="1" applyProtection="1">
      <alignment horizontal="center" vertical="center"/>
      <protection locked="0"/>
    </xf>
    <xf numFmtId="10" fontId="7" fillId="0" borderId="58" xfId="3" applyNumberFormat="1" applyFont="1" applyFill="1" applyBorder="1" applyAlignment="1" applyProtection="1">
      <alignment horizontal="center" vertical="center"/>
      <protection locked="0"/>
    </xf>
    <xf numFmtId="0" fontId="11" fillId="37" borderId="46" xfId="165" applyFont="1" applyBorder="1" applyAlignment="1"/>
    <xf numFmtId="0" fontId="11" fillId="37" borderId="17" xfId="165" applyFont="1" applyBorder="1" applyAlignment="1"/>
    <xf numFmtId="0" fontId="11" fillId="37" borderId="19" xfId="165" applyFont="1" applyBorder="1" applyAlignment="1"/>
    <xf numFmtId="0" fontId="11" fillId="37" borderId="18" xfId="165" applyFont="1" applyBorder="1" applyAlignment="1"/>
    <xf numFmtId="0" fontId="6" fillId="0" borderId="17" xfId="0" applyFont="1" applyBorder="1" applyProtection="1">
      <protection locked="0"/>
    </xf>
    <xf numFmtId="0" fontId="6" fillId="0" borderId="18" xfId="0" applyFont="1" applyBorder="1" applyProtection="1">
      <protection locked="0"/>
    </xf>
    <xf numFmtId="0" fontId="6" fillId="0" borderId="19" xfId="0" applyFont="1" applyBorder="1" applyProtection="1">
      <protection locked="0"/>
    </xf>
    <xf numFmtId="0" fontId="6" fillId="0" borderId="85" xfId="0" applyFont="1" applyBorder="1" applyAlignment="1" applyProtection="1">
      <alignment horizontal="left" vertical="center"/>
      <protection locked="0"/>
    </xf>
    <xf numFmtId="0" fontId="6" fillId="0" borderId="84" xfId="0" applyFont="1" applyBorder="1" applyAlignment="1" applyProtection="1">
      <alignment horizontal="center" vertical="center"/>
      <protection locked="0"/>
    </xf>
    <xf numFmtId="0" fontId="6" fillId="0" borderId="84" xfId="0" applyFont="1" applyBorder="1" applyAlignment="1" applyProtection="1">
      <alignment horizontal="center" vertical="center" wrapText="1"/>
      <protection locked="0"/>
    </xf>
    <xf numFmtId="0" fontId="6" fillId="0" borderId="83" xfId="0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0" xfId="2" applyNumberFormat="1" applyFont="1" applyBorder="1" applyAlignment="1" applyProtection="1">
      <alignment horizontal="center" vertical="center" wrapText="1"/>
      <protection locked="0"/>
    </xf>
    <xf numFmtId="4" fontId="0" fillId="0" borderId="0" xfId="2" applyNumberFormat="1" applyFont="1" applyBorder="1" applyAlignment="1" applyProtection="1">
      <alignment horizontal="center" vertical="center" wrapText="1"/>
      <protection locked="0"/>
    </xf>
    <xf numFmtId="1" fontId="0" fillId="0" borderId="0" xfId="2" applyNumberFormat="1" applyFont="1" applyBorder="1" applyAlignment="1" applyProtection="1">
      <alignment horizontal="center" vertical="center" wrapText="1"/>
      <protection locked="0"/>
    </xf>
    <xf numFmtId="44" fontId="0" fillId="0" borderId="0" xfId="2" applyFont="1" applyBorder="1" applyAlignment="1" applyProtection="1">
      <alignment horizontal="center" vertical="center" wrapText="1"/>
      <protection locked="0"/>
    </xf>
    <xf numFmtId="44" fontId="0" fillId="0" borderId="1" xfId="2" applyFont="1" applyBorder="1" applyAlignment="1" applyProtection="1">
      <alignment vertical="center" wrapText="1"/>
      <protection locked="0"/>
    </xf>
    <xf numFmtId="1" fontId="6" fillId="0" borderId="18" xfId="0" applyNumberFormat="1" applyFont="1" applyBorder="1" applyAlignment="1" applyProtection="1">
      <alignment horizontal="center" vertical="center"/>
      <protection locked="0"/>
    </xf>
    <xf numFmtId="44" fontId="6" fillId="0" borderId="18" xfId="2" applyFont="1" applyBorder="1" applyAlignment="1" applyProtection="1">
      <alignment horizontal="center" vertical="center" wrapText="1"/>
      <protection locked="0"/>
    </xf>
    <xf numFmtId="44" fontId="6" fillId="0" borderId="19" xfId="2" applyFont="1" applyBorder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1" fontId="6" fillId="0" borderId="0" xfId="0" applyNumberFormat="1" applyFont="1" applyAlignment="1" applyProtection="1">
      <alignment horizontal="center" vertical="center"/>
      <protection locked="0"/>
    </xf>
    <xf numFmtId="44" fontId="6" fillId="0" borderId="0" xfId="2" applyFont="1" applyBorder="1" applyAlignment="1" applyProtection="1">
      <alignment horizontal="center" vertical="center"/>
      <protection locked="0"/>
    </xf>
    <xf numFmtId="198" fontId="0" fillId="0" borderId="0" xfId="2" applyNumberFormat="1" applyFont="1" applyBorder="1" applyAlignment="1" applyProtection="1">
      <alignment horizontal="center" vertical="center" wrapText="1"/>
      <protection locked="0"/>
    </xf>
    <xf numFmtId="197" fontId="0" fillId="0" borderId="0" xfId="2" applyNumberFormat="1" applyFont="1" applyBorder="1" applyAlignment="1" applyProtection="1">
      <alignment horizontal="center" vertical="center" wrapText="1"/>
      <protection locked="0"/>
    </xf>
    <xf numFmtId="44" fontId="0" fillId="0" borderId="0" xfId="2" applyFont="1" applyBorder="1" applyAlignment="1" applyProtection="1">
      <alignment vertical="center" wrapText="1"/>
      <protection locked="0"/>
    </xf>
    <xf numFmtId="44" fontId="6" fillId="0" borderId="18" xfId="2" applyFont="1" applyBorder="1" applyAlignment="1" applyProtection="1">
      <alignment horizontal="center" vertical="center"/>
      <protection locked="0"/>
    </xf>
    <xf numFmtId="44" fontId="6" fillId="0" borderId="19" xfId="2" applyFont="1" applyBorder="1" applyAlignment="1" applyProtection="1">
      <alignment horizontal="center" vertical="center"/>
      <protection locked="0"/>
    </xf>
    <xf numFmtId="2" fontId="0" fillId="0" borderId="0" xfId="2" applyNumberFormat="1" applyFont="1" applyBorder="1" applyAlignment="1" applyProtection="1">
      <alignment horizontal="center" vertical="center" wrapText="1"/>
      <protection locked="0"/>
    </xf>
    <xf numFmtId="2" fontId="6" fillId="0" borderId="18" xfId="0" applyNumberFormat="1" applyFont="1" applyBorder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top"/>
      <protection locked="0"/>
    </xf>
    <xf numFmtId="44" fontId="0" fillId="0" borderId="0" xfId="0" applyNumberFormat="1" applyProtection="1">
      <protection locked="0"/>
    </xf>
    <xf numFmtId="44" fontId="6" fillId="0" borderId="0" xfId="2" applyFont="1" applyBorder="1" applyProtection="1">
      <protection locked="0"/>
    </xf>
    <xf numFmtId="44" fontId="43" fillId="0" borderId="46" xfId="173" applyNumberFormat="1" applyFill="1" applyBorder="1" applyAlignment="1" applyProtection="1">
      <alignment horizontal="center" vertical="center"/>
      <protection locked="0"/>
    </xf>
    <xf numFmtId="2" fontId="0" fillId="0" borderId="0" xfId="0" applyNumberFormat="1" applyProtection="1">
      <protection locked="0"/>
    </xf>
    <xf numFmtId="199" fontId="0" fillId="0" borderId="0" xfId="0" applyNumberFormat="1" applyProtection="1">
      <protection locked="0"/>
    </xf>
    <xf numFmtId="10" fontId="7" fillId="0" borderId="62" xfId="3" applyNumberFormat="1" applyFont="1" applyFill="1" applyBorder="1" applyAlignment="1" applyProtection="1">
      <alignment horizontal="center" vertical="center"/>
      <protection locked="0"/>
    </xf>
    <xf numFmtId="10" fontId="0" fillId="0" borderId="74" xfId="2" applyNumberFormat="1" applyFont="1" applyBorder="1" applyAlignment="1">
      <alignment horizontal="center" vertical="center" wrapText="1"/>
    </xf>
    <xf numFmtId="10" fontId="0" fillId="0" borderId="72" xfId="2" applyNumberFormat="1" applyFont="1" applyBorder="1" applyAlignment="1">
      <alignment horizontal="center" vertical="center" wrapText="1"/>
    </xf>
    <xf numFmtId="0" fontId="0" fillId="0" borderId="46" xfId="0" applyBorder="1" applyAlignment="1" applyProtection="1">
      <alignment horizontal="center"/>
      <protection locked="0"/>
    </xf>
    <xf numFmtId="0" fontId="7" fillId="0" borderId="24" xfId="6" applyFont="1" applyBorder="1"/>
    <xf numFmtId="0" fontId="11" fillId="37" borderId="17" xfId="165" applyFont="1" applyBorder="1" applyAlignment="1" applyProtection="1">
      <alignment horizontal="center" vertical="center"/>
    </xf>
    <xf numFmtId="0" fontId="2" fillId="37" borderId="18" xfId="165" applyBorder="1" applyAlignment="1" applyProtection="1">
      <alignment horizontal="left" vertical="center"/>
    </xf>
    <xf numFmtId="0" fontId="11" fillId="37" borderId="19" xfId="165" applyFont="1" applyBorder="1" applyAlignment="1" applyProtection="1">
      <alignment horizontal="left" vertical="center"/>
    </xf>
    <xf numFmtId="2" fontId="11" fillId="0" borderId="25" xfId="13" applyNumberFormat="1" applyFont="1" applyFill="1" applyBorder="1" applyAlignment="1" applyProtection="1">
      <alignment horizontal="left" vertical="center" wrapText="1"/>
    </xf>
    <xf numFmtId="0" fontId="11" fillId="0" borderId="20" xfId="13" applyFont="1" applyFill="1" applyBorder="1" applyAlignment="1" applyProtection="1">
      <alignment horizontal="left" vertical="center" wrapText="1"/>
    </xf>
    <xf numFmtId="0" fontId="1" fillId="0" borderId="0" xfId="0" applyFont="1"/>
    <xf numFmtId="0" fontId="7" fillId="0" borderId="20" xfId="6" applyFont="1" applyBorder="1" applyAlignment="1">
      <alignment horizontal="center" vertical="center"/>
    </xf>
    <xf numFmtId="0" fontId="8" fillId="0" borderId="46" xfId="13" applyFont="1" applyFill="1" applyBorder="1" applyAlignment="1" applyProtection="1">
      <alignment horizontal="center" vertical="center"/>
    </xf>
    <xf numFmtId="0" fontId="7" fillId="0" borderId="46" xfId="18" applyFont="1" applyFill="1" applyBorder="1" applyAlignment="1" applyProtection="1">
      <alignment horizontal="left" vertical="center"/>
    </xf>
    <xf numFmtId="2" fontId="7" fillId="0" borderId="46" xfId="18" applyNumberFormat="1" applyFont="1" applyFill="1" applyBorder="1" applyAlignment="1" applyProtection="1">
      <alignment horizontal="center" vertical="center"/>
    </xf>
    <xf numFmtId="2" fontId="1" fillId="0" borderId="25" xfId="18" applyNumberFormat="1" applyFill="1" applyBorder="1" applyAlignment="1" applyProtection="1">
      <alignment horizontal="center" vertical="center"/>
    </xf>
    <xf numFmtId="178" fontId="1" fillId="0" borderId="20" xfId="18" applyNumberFormat="1" applyFill="1" applyBorder="1" applyAlignment="1" applyProtection="1">
      <alignment horizontal="center" vertical="center"/>
    </xf>
    <xf numFmtId="2" fontId="1" fillId="0" borderId="20" xfId="18" applyNumberFormat="1" applyFill="1" applyBorder="1" applyAlignment="1" applyProtection="1">
      <alignment horizontal="center" vertical="center"/>
    </xf>
    <xf numFmtId="2" fontId="0" fillId="0" borderId="20" xfId="18" applyNumberFormat="1" applyFont="1" applyFill="1" applyBorder="1" applyAlignment="1" applyProtection="1">
      <alignment horizontal="center" vertical="center"/>
    </xf>
    <xf numFmtId="193" fontId="7" fillId="0" borderId="46" xfId="18" applyNumberFormat="1" applyFont="1" applyFill="1" applyBorder="1" applyAlignment="1" applyProtection="1">
      <alignment horizontal="center" vertical="center"/>
    </xf>
    <xf numFmtId="192" fontId="1" fillId="0" borderId="20" xfId="18" applyNumberFormat="1" applyFill="1" applyBorder="1" applyAlignment="1" applyProtection="1">
      <alignment horizontal="center" vertical="center"/>
    </xf>
    <xf numFmtId="193" fontId="1" fillId="0" borderId="20" xfId="18" applyNumberFormat="1" applyFill="1" applyBorder="1" applyAlignment="1" applyProtection="1">
      <alignment horizontal="center" vertical="center"/>
    </xf>
    <xf numFmtId="180" fontId="1" fillId="0" borderId="20" xfId="18" applyNumberFormat="1" applyFill="1" applyBorder="1" applyAlignment="1" applyProtection="1">
      <alignment horizontal="center" vertical="center"/>
    </xf>
    <xf numFmtId="178" fontId="7" fillId="0" borderId="20" xfId="6" applyNumberFormat="1" applyFont="1" applyBorder="1" applyAlignment="1">
      <alignment horizontal="center" vertical="center"/>
    </xf>
    <xf numFmtId="179" fontId="1" fillId="0" borderId="20" xfId="18" applyNumberFormat="1" applyFill="1" applyBorder="1" applyAlignment="1" applyProtection="1">
      <alignment horizontal="center" vertical="center"/>
    </xf>
    <xf numFmtId="0" fontId="1" fillId="0" borderId="20" xfId="18" applyFill="1" applyBorder="1" applyAlignment="1" applyProtection="1">
      <alignment horizontal="center" vertical="center"/>
    </xf>
    <xf numFmtId="0" fontId="11" fillId="0" borderId="21" xfId="13" applyFont="1" applyFill="1" applyBorder="1" applyAlignment="1" applyProtection="1">
      <alignment horizontal="center" vertical="center"/>
    </xf>
    <xf numFmtId="0" fontId="1" fillId="0" borderId="21" xfId="18" applyFill="1" applyBorder="1" applyAlignment="1" applyProtection="1">
      <alignment horizontal="left" vertical="center"/>
    </xf>
    <xf numFmtId="44" fontId="1" fillId="0" borderId="21" xfId="2" applyFont="1" applyFill="1" applyBorder="1" applyAlignment="1" applyProtection="1">
      <alignment horizontal="center" vertical="center"/>
    </xf>
    <xf numFmtId="0" fontId="7" fillId="0" borderId="21" xfId="6" applyFont="1" applyBorder="1" applyAlignment="1">
      <alignment horizontal="center" vertical="center"/>
    </xf>
    <xf numFmtId="0" fontId="2" fillId="0" borderId="24" xfId="6" applyFont="1" applyBorder="1" applyAlignment="1">
      <alignment horizontal="center" vertical="center"/>
    </xf>
    <xf numFmtId="0" fontId="11" fillId="37" borderId="46" xfId="165" applyFont="1" applyBorder="1" applyAlignment="1" applyProtection="1">
      <alignment horizontal="center" vertical="center" wrapText="1"/>
    </xf>
    <xf numFmtId="0" fontId="2" fillId="0" borderId="25" xfId="6" applyFont="1" applyBorder="1" applyAlignment="1">
      <alignment horizontal="center" vertical="center"/>
    </xf>
    <xf numFmtId="0" fontId="2" fillId="0" borderId="20" xfId="6" applyFont="1" applyBorder="1" applyAlignment="1">
      <alignment horizontal="center" vertical="center"/>
    </xf>
    <xf numFmtId="0" fontId="7" fillId="0" borderId="25" xfId="6" applyFont="1" applyBorder="1"/>
    <xf numFmtId="0" fontId="1" fillId="3" borderId="17" xfId="5" applyBorder="1" applyAlignment="1" applyProtection="1">
      <alignment horizontal="center"/>
    </xf>
    <xf numFmtId="0" fontId="1" fillId="3" borderId="19" xfId="5" applyBorder="1" applyAlignment="1" applyProtection="1">
      <alignment horizontal="left"/>
    </xf>
    <xf numFmtId="0" fontId="1" fillId="3" borderId="46" xfId="5" applyBorder="1" applyAlignment="1" applyProtection="1">
      <alignment horizontal="center"/>
    </xf>
    <xf numFmtId="0" fontId="1" fillId="3" borderId="46" xfId="5" applyBorder="1" applyAlignment="1" applyProtection="1">
      <alignment horizontal="center" vertical="center"/>
    </xf>
    <xf numFmtId="4" fontId="1" fillId="3" borderId="46" xfId="5" applyNumberFormat="1" applyBorder="1" applyAlignment="1" applyProtection="1">
      <alignment horizontal="center" vertical="center"/>
    </xf>
    <xf numFmtId="44" fontId="1" fillId="3" borderId="46" xfId="5" applyNumberFormat="1" applyBorder="1" applyAlignment="1" applyProtection="1">
      <alignment horizontal="center" vertical="center" wrapText="1"/>
    </xf>
    <xf numFmtId="0" fontId="1" fillId="3" borderId="46" xfId="5" applyBorder="1" applyAlignment="1" applyProtection="1">
      <alignment horizontal="center" vertical="center" wrapText="1"/>
    </xf>
    <xf numFmtId="9" fontId="1" fillId="3" borderId="46" xfId="5" applyNumberFormat="1" applyBorder="1" applyAlignment="1" applyProtection="1">
      <alignment horizontal="center" vertical="center" wrapText="1"/>
    </xf>
    <xf numFmtId="10" fontId="1" fillId="3" borderId="46" xfId="5" applyNumberFormat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11" fillId="37" borderId="18" xfId="165" applyFont="1" applyBorder="1" applyAlignment="1" applyProtection="1">
      <alignment horizontal="left" vertical="center"/>
    </xf>
    <xf numFmtId="0" fontId="11" fillId="37" borderId="18" xfId="165" applyFont="1" applyBorder="1" applyAlignment="1" applyProtection="1">
      <alignment horizontal="center" vertical="center"/>
    </xf>
    <xf numFmtId="0" fontId="11" fillId="37" borderId="19" xfId="165" applyFont="1" applyBorder="1" applyAlignment="1" applyProtection="1">
      <alignment horizontal="center" vertical="center"/>
    </xf>
    <xf numFmtId="0" fontId="8" fillId="5" borderId="46" xfId="13" applyFont="1" applyFill="1" applyBorder="1" applyAlignment="1" applyProtection="1">
      <alignment horizontal="center" vertical="center"/>
    </xf>
    <xf numFmtId="0" fontId="7" fillId="5" borderId="46" xfId="18" applyFont="1" applyFill="1" applyBorder="1" applyAlignment="1" applyProtection="1">
      <alignment horizontal="left" vertical="center"/>
    </xf>
    <xf numFmtId="0" fontId="7" fillId="5" borderId="46" xfId="18" applyFont="1" applyFill="1" applyBorder="1" applyAlignment="1" applyProtection="1">
      <alignment vertical="center" wrapText="1"/>
    </xf>
    <xf numFmtId="0" fontId="7" fillId="5" borderId="46" xfId="18" applyFont="1" applyFill="1" applyBorder="1" applyAlignment="1" applyProtection="1">
      <alignment horizontal="left" vertical="center" wrapText="1"/>
    </xf>
    <xf numFmtId="0" fontId="1" fillId="0" borderId="46" xfId="0" applyFont="1" applyBorder="1" applyAlignment="1">
      <alignment horizontal="center" vertical="center"/>
    </xf>
    <xf numFmtId="0" fontId="7" fillId="5" borderId="46" xfId="4" applyFont="1" applyFill="1" applyBorder="1" applyAlignment="1" applyProtection="1">
      <alignment vertical="center"/>
    </xf>
    <xf numFmtId="0" fontId="7" fillId="5" borderId="46" xfId="4" applyFont="1" applyFill="1" applyBorder="1" applyAlignment="1" applyProtection="1">
      <alignment vertical="center" wrapText="1"/>
    </xf>
    <xf numFmtId="0" fontId="7" fillId="5" borderId="46" xfId="4" applyFont="1" applyFill="1" applyBorder="1" applyAlignment="1" applyProtection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1" fillId="37" borderId="17" xfId="165" applyFont="1" applyBorder="1" applyAlignment="1" applyProtection="1">
      <alignment horizontal="left" vertical="center"/>
    </xf>
    <xf numFmtId="0" fontId="7" fillId="0" borderId="20" xfId="6" applyFont="1" applyBorder="1" applyAlignment="1">
      <alignment horizontal="center"/>
    </xf>
    <xf numFmtId="0" fontId="7" fillId="0" borderId="20" xfId="6" applyFont="1" applyBorder="1" applyAlignment="1">
      <alignment horizontal="right"/>
    </xf>
    <xf numFmtId="0" fontId="8" fillId="0" borderId="20" xfId="6" applyFont="1" applyBorder="1" applyAlignment="1">
      <alignment horizontal="center" vertical="center"/>
    </xf>
    <xf numFmtId="4" fontId="8" fillId="0" borderId="20" xfId="6" applyNumberFormat="1" applyFont="1" applyBorder="1" applyAlignment="1">
      <alignment horizontal="center" vertical="center"/>
    </xf>
    <xf numFmtId="9" fontId="8" fillId="0" borderId="20" xfId="2" applyNumberFormat="1" applyFont="1" applyFill="1" applyBorder="1" applyAlignment="1" applyProtection="1">
      <alignment horizontal="center" vertical="center" wrapText="1"/>
    </xf>
    <xf numFmtId="10" fontId="8" fillId="0" borderId="20" xfId="2" applyNumberFormat="1" applyFont="1" applyFill="1" applyBorder="1" applyAlignment="1" applyProtection="1">
      <alignment horizontal="center" vertical="center" wrapText="1"/>
    </xf>
    <xf numFmtId="0" fontId="8" fillId="0" borderId="20" xfId="6" applyFont="1" applyBorder="1" applyAlignment="1">
      <alignment horizontal="center" vertical="center" wrapText="1"/>
    </xf>
    <xf numFmtId="0" fontId="8" fillId="0" borderId="24" xfId="6" applyFont="1" applyBorder="1"/>
    <xf numFmtId="0" fontId="11" fillId="39" borderId="17" xfId="172" applyFont="1" applyBorder="1" applyAlignment="1" applyProtection="1">
      <alignment horizontal="center" vertical="center"/>
    </xf>
    <xf numFmtId="0" fontId="11" fillId="39" borderId="18" xfId="172" applyFont="1" applyBorder="1" applyAlignment="1" applyProtection="1">
      <alignment horizontal="left" vertical="center"/>
    </xf>
    <xf numFmtId="0" fontId="11" fillId="39" borderId="19" xfId="172" applyFont="1" applyBorder="1" applyAlignment="1" applyProtection="1">
      <alignment horizontal="left" vertical="center"/>
    </xf>
    <xf numFmtId="0" fontId="11" fillId="39" borderId="18" xfId="172" applyFont="1" applyBorder="1" applyAlignment="1" applyProtection="1">
      <alignment horizontal="center" vertical="center"/>
    </xf>
    <xf numFmtId="0" fontId="11" fillId="39" borderId="19" xfId="172" applyFont="1" applyBorder="1" applyAlignment="1" applyProtection="1">
      <alignment horizontal="center" vertical="center"/>
    </xf>
    <xf numFmtId="0" fontId="8" fillId="0" borderId="25" xfId="6" applyFont="1" applyBorder="1"/>
    <xf numFmtId="0" fontId="8" fillId="0" borderId="20" xfId="6" applyFont="1" applyBorder="1"/>
    <xf numFmtId="0" fontId="8" fillId="0" borderId="46" xfId="6" applyFont="1" applyBorder="1" applyAlignment="1">
      <alignment horizontal="center"/>
    </xf>
    <xf numFmtId="0" fontId="7" fillId="0" borderId="46" xfId="6" applyFont="1" applyBorder="1" applyAlignment="1">
      <alignment horizontal="left"/>
    </xf>
    <xf numFmtId="10" fontId="7" fillId="0" borderId="46" xfId="3" applyNumberFormat="1" applyFont="1" applyFill="1" applyBorder="1" applyAlignment="1" applyProtection="1">
      <alignment horizontal="center" vertical="center"/>
    </xf>
    <xf numFmtId="0" fontId="11" fillId="0" borderId="22" xfId="6" applyFont="1" applyBorder="1" applyAlignment="1">
      <alignment horizontal="center"/>
    </xf>
    <xf numFmtId="0" fontId="7" fillId="0" borderId="22" xfId="6" applyFont="1" applyBorder="1" applyAlignment="1">
      <alignment horizontal="right"/>
    </xf>
    <xf numFmtId="10" fontId="7" fillId="0" borderId="22" xfId="3" applyNumberFormat="1" applyFont="1" applyFill="1" applyBorder="1" applyAlignment="1" applyProtection="1">
      <alignment horizontal="center" vertical="center"/>
    </xf>
    <xf numFmtId="10" fontId="7" fillId="0" borderId="46" xfId="6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7" fillId="0" borderId="46" xfId="4" applyFont="1" applyFill="1" applyBorder="1" applyAlignment="1" applyProtection="1">
      <alignment horizontal="left" vertical="center"/>
    </xf>
    <xf numFmtId="0" fontId="42" fillId="0" borderId="46" xfId="4" applyFont="1" applyFill="1" applyBorder="1" applyAlignment="1" applyProtection="1">
      <alignment horizontal="left" vertical="center"/>
    </xf>
    <xf numFmtId="10" fontId="7" fillId="0" borderId="46" xfId="6" applyNumberFormat="1" applyFont="1" applyBorder="1" applyAlignment="1">
      <alignment horizontal="center"/>
    </xf>
    <xf numFmtId="0" fontId="7" fillId="0" borderId="46" xfId="3" applyNumberFormat="1" applyFont="1" applyFill="1" applyBorder="1" applyAlignment="1" applyProtection="1">
      <alignment horizontal="center"/>
    </xf>
    <xf numFmtId="2" fontId="7" fillId="0" borderId="46" xfId="3" applyNumberFormat="1" applyFont="1" applyFill="1" applyBorder="1" applyAlignment="1" applyProtection="1">
      <alignment horizontal="center" vertical="center"/>
    </xf>
    <xf numFmtId="0" fontId="2" fillId="39" borderId="18" xfId="172" applyBorder="1" applyAlignment="1" applyProtection="1">
      <alignment horizontal="left" vertical="center"/>
    </xf>
    <xf numFmtId="9" fontId="11" fillId="39" borderId="46" xfId="3" applyFont="1" applyFill="1" applyBorder="1" applyAlignment="1" applyProtection="1">
      <alignment horizontal="center" vertical="center"/>
    </xf>
    <xf numFmtId="10" fontId="11" fillId="0" borderId="20" xfId="6" applyNumberFormat="1" applyFont="1" applyBorder="1" applyAlignment="1">
      <alignment horizontal="center" vertical="center"/>
    </xf>
    <xf numFmtId="10" fontId="11" fillId="0" borderId="20" xfId="6" quotePrefix="1" applyNumberFormat="1" applyFont="1" applyBorder="1" applyAlignment="1">
      <alignment horizontal="center" vertical="center"/>
    </xf>
    <xf numFmtId="0" fontId="39" fillId="5" borderId="20" xfId="93" applyFont="1" applyFill="1" applyBorder="1" applyAlignment="1">
      <alignment horizontal="center" vertical="center"/>
    </xf>
    <xf numFmtId="10" fontId="7" fillId="0" borderId="20" xfId="6" applyNumberFormat="1" applyFont="1" applyBorder="1" applyAlignment="1">
      <alignment horizontal="center" vertical="center"/>
    </xf>
    <xf numFmtId="0" fontId="7" fillId="0" borderId="46" xfId="18" applyFont="1" applyFill="1" applyBorder="1" applyAlignment="1" applyProtection="1">
      <alignment vertical="center"/>
    </xf>
    <xf numFmtId="9" fontId="7" fillId="0" borderId="46" xfId="3" applyFont="1" applyFill="1" applyBorder="1" applyAlignment="1" applyProtection="1">
      <alignment horizontal="right" vertical="center"/>
    </xf>
    <xf numFmtId="9" fontId="7" fillId="0" borderId="46" xfId="3" applyFont="1" applyFill="1" applyBorder="1" applyAlignment="1" applyProtection="1">
      <alignment horizontal="center" vertical="center"/>
    </xf>
    <xf numFmtId="178" fontId="7" fillId="0" borderId="46" xfId="18" applyNumberFormat="1" applyFont="1" applyFill="1" applyBorder="1" applyAlignment="1" applyProtection="1">
      <alignment horizontal="right" vertical="center"/>
    </xf>
    <xf numFmtId="178" fontId="7" fillId="0" borderId="46" xfId="18" applyNumberFormat="1" applyFont="1" applyFill="1" applyBorder="1" applyAlignment="1" applyProtection="1">
      <alignment horizontal="center" vertical="center"/>
    </xf>
    <xf numFmtId="0" fontId="7" fillId="0" borderId="22" xfId="6" applyFont="1" applyBorder="1" applyAlignment="1">
      <alignment horizontal="center"/>
    </xf>
    <xf numFmtId="0" fontId="7" fillId="0" borderId="22" xfId="6" applyFont="1" applyBorder="1" applyAlignment="1">
      <alignment horizontal="left"/>
    </xf>
    <xf numFmtId="10" fontId="7" fillId="0" borderId="22" xfId="6" applyNumberFormat="1" applyFont="1" applyBorder="1" applyAlignment="1">
      <alignment horizontal="center" vertical="center"/>
    </xf>
    <xf numFmtId="166" fontId="7" fillId="0" borderId="46" xfId="6" applyNumberFormat="1" applyFont="1" applyBorder="1" applyAlignment="1">
      <alignment horizontal="center" vertical="center"/>
    </xf>
    <xf numFmtId="0" fontId="8" fillId="0" borderId="20" xfId="6" applyFont="1" applyBorder="1" applyAlignment="1">
      <alignment horizontal="center"/>
    </xf>
    <xf numFmtId="0" fontId="8" fillId="0" borderId="20" xfId="6" applyFont="1" applyBorder="1" applyAlignment="1">
      <alignment horizontal="left"/>
    </xf>
    <xf numFmtId="10" fontId="8" fillId="0" borderId="20" xfId="6" applyNumberFormat="1" applyFont="1" applyBorder="1" applyAlignment="1">
      <alignment horizontal="center" vertical="center"/>
    </xf>
    <xf numFmtId="0" fontId="7" fillId="0" borderId="46" xfId="13" applyFont="1" applyFill="1" applyBorder="1" applyAlignment="1" applyProtection="1">
      <alignment horizontal="center" vertical="center"/>
    </xf>
    <xf numFmtId="10" fontId="7" fillId="0" borderId="46" xfId="3" applyNumberFormat="1" applyFont="1" applyFill="1" applyBorder="1" applyAlignment="1" applyProtection="1">
      <alignment horizontal="right" vertical="center"/>
    </xf>
    <xf numFmtId="180" fontId="7" fillId="0" borderId="46" xfId="18" applyNumberFormat="1" applyFont="1" applyFill="1" applyBorder="1" applyAlignment="1" applyProtection="1">
      <alignment horizontal="right" vertical="center"/>
    </xf>
    <xf numFmtId="180" fontId="7" fillId="0" borderId="46" xfId="18" applyNumberFormat="1" applyFont="1" applyFill="1" applyBorder="1" applyAlignment="1" applyProtection="1">
      <alignment horizontal="center" vertical="center"/>
    </xf>
    <xf numFmtId="179" fontId="7" fillId="0" borderId="46" xfId="18" applyNumberFormat="1" applyFont="1" applyFill="1" applyBorder="1" applyAlignment="1" applyProtection="1">
      <alignment horizontal="right" vertical="center"/>
    </xf>
    <xf numFmtId="179" fontId="7" fillId="0" borderId="46" xfId="18" applyNumberFormat="1" applyFont="1" applyFill="1" applyBorder="1" applyAlignment="1" applyProtection="1">
      <alignment horizontal="center" vertical="center"/>
    </xf>
    <xf numFmtId="181" fontId="7" fillId="0" borderId="46" xfId="1" applyNumberFormat="1" applyFont="1" applyFill="1" applyBorder="1" applyAlignment="1" applyProtection="1">
      <alignment horizontal="right" vertical="center"/>
    </xf>
    <xf numFmtId="181" fontId="7" fillId="0" borderId="46" xfId="1" applyNumberFormat="1" applyFont="1" applyFill="1" applyBorder="1" applyAlignment="1" applyProtection="1">
      <alignment horizontal="center" vertical="center"/>
    </xf>
    <xf numFmtId="0" fontId="11" fillId="0" borderId="22" xfId="13" applyFont="1" applyFill="1" applyBorder="1" applyAlignment="1" applyProtection="1">
      <alignment horizontal="center" vertical="center"/>
    </xf>
    <xf numFmtId="0" fontId="1" fillId="0" borderId="22" xfId="18" applyFill="1" applyBorder="1" applyAlignment="1" applyProtection="1">
      <alignment horizontal="left" vertical="center"/>
    </xf>
    <xf numFmtId="10" fontId="1" fillId="0" borderId="22" xfId="3" applyNumberFormat="1" applyFont="1" applyFill="1" applyBorder="1" applyAlignment="1" applyProtection="1">
      <alignment horizontal="right" vertical="center"/>
    </xf>
    <xf numFmtId="10" fontId="7" fillId="0" borderId="46" xfId="18" applyNumberFormat="1" applyFont="1" applyFill="1" applyBorder="1" applyAlignment="1" applyProtection="1">
      <alignment horizontal="center" vertical="center"/>
    </xf>
    <xf numFmtId="0" fontId="7" fillId="0" borderId="46" xfId="18" applyFont="1" applyFill="1" applyBorder="1" applyAlignment="1" applyProtection="1">
      <alignment horizontal="center" vertical="center"/>
    </xf>
    <xf numFmtId="43" fontId="7" fillId="0" borderId="46" xfId="1" applyFont="1" applyFill="1" applyBorder="1" applyAlignment="1" applyProtection="1">
      <alignment horizontal="center" vertical="center"/>
    </xf>
    <xf numFmtId="0" fontId="8" fillId="5" borderId="0" xfId="13" applyFont="1" applyFill="1" applyBorder="1" applyAlignment="1" applyProtection="1">
      <alignment horizontal="center" vertical="center"/>
    </xf>
    <xf numFmtId="0" fontId="7" fillId="5" borderId="0" xfId="18" applyFont="1" applyFill="1" applyBorder="1" applyAlignment="1" applyProtection="1">
      <alignment horizontal="left" vertical="center"/>
    </xf>
    <xf numFmtId="0" fontId="7" fillId="5" borderId="0" xfId="18" applyFont="1" applyFill="1" applyBorder="1" applyAlignment="1" applyProtection="1">
      <alignment vertical="center" wrapText="1"/>
    </xf>
    <xf numFmtId="0" fontId="7" fillId="5" borderId="0" xfId="18" applyFont="1" applyFill="1" applyBorder="1" applyAlignment="1" applyProtection="1">
      <alignment horizontal="left" vertical="center" wrapText="1"/>
    </xf>
    <xf numFmtId="0" fontId="11" fillId="39" borderId="17" xfId="172" applyFont="1" applyBorder="1" applyAlignment="1" applyProtection="1">
      <alignment horizontal="left" vertical="center"/>
    </xf>
    <xf numFmtId="0" fontId="6" fillId="0" borderId="6" xfId="18" applyFont="1" applyFill="1" applyBorder="1" applyAlignment="1" applyProtection="1">
      <alignment horizontal="center" vertical="center"/>
    </xf>
    <xf numFmtId="0" fontId="8" fillId="0" borderId="51" xfId="173" applyFont="1" applyFill="1" applyBorder="1" applyAlignment="1" applyProtection="1">
      <alignment vertical="center"/>
    </xf>
    <xf numFmtId="0" fontId="8" fillId="0" borderId="46" xfId="173" applyFont="1" applyFill="1" applyBorder="1" applyAlignment="1" applyProtection="1">
      <alignment vertical="center"/>
    </xf>
    <xf numFmtId="0" fontId="8" fillId="0" borderId="75" xfId="164" applyFont="1" applyFill="1" applyBorder="1" applyAlignment="1" applyProtection="1">
      <alignment horizontal="center" vertical="center"/>
    </xf>
    <xf numFmtId="0" fontId="8" fillId="0" borderId="64" xfId="18" applyFont="1" applyFill="1" applyBorder="1" applyAlignment="1" applyProtection="1">
      <alignment horizontal="left" vertical="center"/>
    </xf>
    <xf numFmtId="0" fontId="8" fillId="0" borderId="46" xfId="18" applyFont="1" applyFill="1" applyBorder="1" applyAlignment="1" applyProtection="1">
      <alignment horizontal="left" vertical="center"/>
    </xf>
    <xf numFmtId="0" fontId="6" fillId="0" borderId="3" xfId="164" applyFont="1" applyFill="1" applyBorder="1" applyAlignment="1" applyProtection="1">
      <alignment horizontal="center" vertical="center"/>
    </xf>
    <xf numFmtId="0" fontId="6" fillId="0" borderId="4" xfId="18" applyFont="1" applyFill="1" applyBorder="1" applyAlignment="1" applyProtection="1">
      <alignment horizontal="left" vertical="center"/>
    </xf>
    <xf numFmtId="0" fontId="6" fillId="0" borderId="46" xfId="18" applyFont="1" applyFill="1" applyBorder="1" applyAlignment="1" applyProtection="1">
      <alignment horizontal="left" vertical="center"/>
    </xf>
    <xf numFmtId="0" fontId="6" fillId="0" borderId="17" xfId="164" applyFont="1" applyFill="1" applyBorder="1" applyAlignment="1" applyProtection="1">
      <alignment horizontal="center" vertical="center"/>
    </xf>
    <xf numFmtId="0" fontId="6" fillId="0" borderId="18" xfId="18" applyFont="1" applyFill="1" applyBorder="1" applyAlignment="1" applyProtection="1">
      <alignment horizontal="left" vertical="center"/>
    </xf>
    <xf numFmtId="0" fontId="8" fillId="0" borderId="7" xfId="164" applyFont="1" applyFill="1" applyBorder="1" applyAlignment="1" applyProtection="1">
      <alignment horizontal="center" vertical="center"/>
    </xf>
    <xf numFmtId="0" fontId="6" fillId="0" borderId="31" xfId="18" applyFont="1" applyFill="1" applyBorder="1" applyAlignment="1" applyProtection="1">
      <alignment horizontal="left" vertical="center"/>
    </xf>
    <xf numFmtId="0" fontId="8" fillId="0" borderId="17" xfId="164" applyFont="1" applyFill="1" applyBorder="1" applyAlignment="1" applyProtection="1">
      <alignment horizontal="center" vertical="center"/>
    </xf>
    <xf numFmtId="0" fontId="8" fillId="0" borderId="19" xfId="18" applyFont="1" applyFill="1" applyBorder="1" applyAlignment="1" applyProtection="1">
      <alignment horizontal="left" vertical="center"/>
    </xf>
    <xf numFmtId="0" fontId="8" fillId="0" borderId="73" xfId="13" applyFont="1" applyFill="1" applyBorder="1" applyAlignment="1" applyProtection="1">
      <alignment horizontal="center" vertical="center"/>
    </xf>
    <xf numFmtId="0" fontId="8" fillId="0" borderId="59" xfId="18" applyFont="1" applyFill="1" applyBorder="1" applyAlignment="1" applyProtection="1">
      <alignment horizontal="left" vertical="center"/>
    </xf>
    <xf numFmtId="0" fontId="8" fillId="0" borderId="75" xfId="13" applyFont="1" applyFill="1" applyBorder="1" applyAlignment="1" applyProtection="1">
      <alignment horizontal="center" vertical="center"/>
    </xf>
    <xf numFmtId="0" fontId="8" fillId="0" borderId="61" xfId="18" applyFont="1" applyFill="1" applyBorder="1" applyAlignment="1" applyProtection="1">
      <alignment horizontal="left" vertical="center"/>
    </xf>
    <xf numFmtId="0" fontId="8" fillId="0" borderId="17" xfId="13" applyFont="1" applyFill="1" applyBorder="1" applyAlignment="1" applyProtection="1">
      <alignment horizontal="center" vertical="center"/>
    </xf>
    <xf numFmtId="0" fontId="8" fillId="0" borderId="48" xfId="13" applyFont="1" applyFill="1" applyBorder="1" applyAlignment="1" applyProtection="1">
      <alignment horizontal="center" vertical="center"/>
    </xf>
    <xf numFmtId="0" fontId="7" fillId="0" borderId="0" xfId="18" applyFont="1" applyFill="1" applyBorder="1" applyAlignment="1" applyProtection="1">
      <alignment horizontal="center" vertical="center"/>
    </xf>
    <xf numFmtId="43" fontId="7" fillId="0" borderId="0" xfId="1" applyFont="1" applyFill="1" applyBorder="1" applyAlignment="1" applyProtection="1">
      <alignment horizontal="center" vertical="center"/>
    </xf>
    <xf numFmtId="0" fontId="11" fillId="39" borderId="19" xfId="172" applyNumberFormat="1" applyFont="1" applyBorder="1" applyAlignment="1" applyProtection="1">
      <alignment horizontal="center" vertical="center"/>
    </xf>
    <xf numFmtId="0" fontId="6" fillId="0" borderId="46" xfId="18" applyFont="1" applyFill="1" applyBorder="1" applyAlignment="1" applyProtection="1">
      <alignment horizontal="center" vertical="center"/>
    </xf>
    <xf numFmtId="0" fontId="1" fillId="0" borderId="18" xfId="18" applyFill="1" applyBorder="1" applyAlignment="1" applyProtection="1">
      <alignment vertical="center"/>
    </xf>
    <xf numFmtId="3" fontId="7" fillId="0" borderId="46" xfId="3" applyNumberFormat="1" applyFont="1" applyFill="1" applyBorder="1" applyAlignment="1" applyProtection="1">
      <alignment horizontal="center" vertical="center"/>
    </xf>
    <xf numFmtId="0" fontId="0" fillId="0" borderId="18" xfId="18" applyFont="1" applyFill="1" applyBorder="1" applyAlignment="1" applyProtection="1">
      <alignment vertical="center"/>
    </xf>
    <xf numFmtId="3" fontId="7" fillId="0" borderId="20" xfId="6" applyNumberFormat="1" applyFont="1" applyBorder="1" applyAlignment="1">
      <alignment horizontal="center" vertical="center"/>
    </xf>
    <xf numFmtId="3" fontId="11" fillId="39" borderId="19" xfId="172" applyNumberFormat="1" applyFont="1" applyBorder="1" applyAlignment="1" applyProtection="1">
      <alignment horizontal="center" vertical="center"/>
    </xf>
    <xf numFmtId="44" fontId="7" fillId="0" borderId="46" xfId="2" applyFont="1" applyFill="1" applyBorder="1" applyAlignment="1" applyProtection="1">
      <alignment horizontal="center"/>
    </xf>
    <xf numFmtId="0" fontId="42" fillId="0" borderId="53" xfId="18" applyFont="1" applyFill="1" applyBorder="1" applyAlignment="1" applyProtection="1">
      <alignment horizontal="left" vertical="center" indent="2"/>
      <protection locked="0"/>
    </xf>
    <xf numFmtId="0" fontId="42" fillId="0" borderId="54" xfId="18" applyFont="1" applyFill="1" applyBorder="1" applyAlignment="1" applyProtection="1">
      <alignment horizontal="left" vertical="center" indent="2"/>
      <protection locked="0"/>
    </xf>
    <xf numFmtId="182" fontId="1" fillId="0" borderId="45" xfId="2" applyNumberFormat="1" applyFont="1" applyFill="1" applyBorder="1" applyAlignment="1">
      <alignment horizontal="center" vertical="center"/>
    </xf>
    <xf numFmtId="0" fontId="11" fillId="39" borderId="46" xfId="172" applyFont="1" applyBorder="1" applyAlignment="1" applyProtection="1">
      <alignment horizontal="center" vertical="center" wrapText="1"/>
      <protection locked="0"/>
    </xf>
    <xf numFmtId="10" fontId="7" fillId="0" borderId="46" xfId="3" applyNumberFormat="1" applyFont="1" applyFill="1" applyBorder="1" applyAlignment="1" applyProtection="1">
      <alignment horizontal="center"/>
      <protection locked="0"/>
    </xf>
    <xf numFmtId="0" fontId="7" fillId="0" borderId="46" xfId="6" applyFont="1" applyBorder="1" applyAlignment="1" applyProtection="1">
      <alignment wrapText="1"/>
      <protection locked="0"/>
    </xf>
    <xf numFmtId="0" fontId="7" fillId="0" borderId="0" xfId="6" applyFont="1" applyAlignment="1" applyProtection="1">
      <alignment horizontal="center"/>
      <protection locked="0"/>
    </xf>
    <xf numFmtId="0" fontId="7" fillId="0" borderId="0" xfId="6" applyFont="1" applyAlignment="1" applyProtection="1">
      <alignment horizontal="center" vertical="center"/>
      <protection locked="0"/>
    </xf>
    <xf numFmtId="0" fontId="7" fillId="0" borderId="0" xfId="6" applyFont="1" applyProtection="1">
      <protection locked="0"/>
    </xf>
    <xf numFmtId="44" fontId="7" fillId="0" borderId="0" xfId="2" applyFont="1" applyFill="1" applyBorder="1" applyProtection="1">
      <protection locked="0"/>
    </xf>
    <xf numFmtId="0" fontId="46" fillId="0" borderId="46" xfId="6" applyFont="1" applyBorder="1" applyAlignment="1" applyProtection="1">
      <alignment horizontal="left" vertical="center"/>
      <protection locked="0"/>
    </xf>
    <xf numFmtId="0" fontId="6" fillId="0" borderId="48" xfId="164" applyFont="1" applyFill="1" applyBorder="1" applyAlignment="1">
      <alignment horizontal="center" vertical="center"/>
    </xf>
    <xf numFmtId="0" fontId="6" fillId="0" borderId="49" xfId="164" applyFont="1" applyFill="1" applyBorder="1" applyAlignment="1">
      <alignment horizontal="center" vertical="center"/>
    </xf>
    <xf numFmtId="0" fontId="6" fillId="0" borderId="50" xfId="164" applyFont="1" applyFill="1" applyBorder="1" applyAlignment="1">
      <alignment horizontal="center" vertical="center"/>
    </xf>
    <xf numFmtId="0" fontId="6" fillId="0" borderId="48" xfId="18" applyFont="1" applyFill="1" applyBorder="1" applyAlignment="1">
      <alignment horizontal="center" vertical="center"/>
    </xf>
    <xf numFmtId="0" fontId="6" fillId="0" borderId="49" xfId="18" applyFont="1" applyFill="1" applyBorder="1" applyAlignment="1">
      <alignment horizontal="center" vertical="center"/>
    </xf>
    <xf numFmtId="0" fontId="6" fillId="0" borderId="50" xfId="18" applyFont="1" applyFill="1" applyBorder="1" applyAlignment="1">
      <alignment horizontal="center" vertical="center"/>
    </xf>
    <xf numFmtId="0" fontId="6" fillId="0" borderId="48" xfId="4" applyFont="1" applyFill="1" applyBorder="1" applyAlignment="1">
      <alignment horizontal="center" vertical="center"/>
    </xf>
    <xf numFmtId="0" fontId="6" fillId="0" borderId="49" xfId="4" applyFont="1" applyFill="1" applyBorder="1" applyAlignment="1">
      <alignment horizontal="center" vertical="center"/>
    </xf>
    <xf numFmtId="0" fontId="6" fillId="0" borderId="50" xfId="4" applyFont="1" applyFill="1" applyBorder="1" applyAlignment="1">
      <alignment horizontal="center" vertical="center"/>
    </xf>
    <xf numFmtId="0" fontId="6" fillId="0" borderId="7" xfId="164" applyFont="1" applyFill="1" applyBorder="1" applyAlignment="1">
      <alignment horizontal="center" vertical="center"/>
    </xf>
    <xf numFmtId="14" fontId="7" fillId="0" borderId="46" xfId="0" applyNumberFormat="1" applyFont="1" applyBorder="1" applyAlignment="1" applyProtection="1">
      <alignment horizontal="center" vertical="top"/>
      <protection locked="0"/>
    </xf>
    <xf numFmtId="49" fontId="7" fillId="0" borderId="46" xfId="0" applyNumberFormat="1" applyFont="1" applyBorder="1" applyAlignment="1" applyProtection="1">
      <alignment horizontal="center" vertical="center"/>
      <protection locked="0"/>
    </xf>
    <xf numFmtId="179" fontId="7" fillId="0" borderId="46" xfId="0" applyNumberFormat="1" applyFont="1" applyBorder="1" applyAlignment="1" applyProtection="1">
      <alignment horizontal="center"/>
      <protection locked="0"/>
    </xf>
    <xf numFmtId="44" fontId="7" fillId="0" borderId="46" xfId="0" applyNumberFormat="1" applyFont="1" applyBorder="1" applyAlignment="1" applyProtection="1">
      <alignment horizontal="center" vertical="center"/>
      <protection locked="0"/>
    </xf>
    <xf numFmtId="44" fontId="7" fillId="0" borderId="17" xfId="2" applyFont="1" applyFill="1" applyBorder="1" applyAlignment="1" applyProtection="1">
      <alignment horizontal="center" vertical="center"/>
      <protection locked="0"/>
    </xf>
    <xf numFmtId="44" fontId="7" fillId="0" borderId="19" xfId="2" applyFont="1" applyFill="1" applyBorder="1" applyAlignment="1" applyProtection="1">
      <alignment horizontal="center" vertical="center"/>
      <protection locked="0"/>
    </xf>
    <xf numFmtId="0" fontId="6" fillId="0" borderId="3" xfId="4" applyFont="1" applyFill="1" applyBorder="1" applyAlignment="1">
      <alignment horizontal="center" vertical="center"/>
    </xf>
    <xf numFmtId="0" fontId="6" fillId="0" borderId="7" xfId="4" applyFont="1" applyFill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/>
    </xf>
    <xf numFmtId="49" fontId="7" fillId="0" borderId="46" xfId="0" applyNumberFormat="1" applyFont="1" applyBorder="1" applyAlignment="1" applyProtection="1">
      <alignment horizontal="center" vertical="top"/>
      <protection locked="0"/>
    </xf>
    <xf numFmtId="0" fontId="38" fillId="37" borderId="17" xfId="165" applyFont="1" applyBorder="1" applyAlignment="1">
      <alignment horizontal="center" vertical="center" wrapText="1"/>
    </xf>
    <xf numFmtId="0" fontId="38" fillId="37" borderId="18" xfId="165" applyFont="1" applyBorder="1" applyAlignment="1">
      <alignment horizontal="center" vertical="center" wrapText="1"/>
    </xf>
    <xf numFmtId="0" fontId="7" fillId="0" borderId="46" xfId="0" applyFont="1" applyBorder="1" applyAlignment="1" applyProtection="1">
      <alignment horizontal="left" vertical="center"/>
      <protection locked="0"/>
    </xf>
    <xf numFmtId="49" fontId="7" fillId="0" borderId="46" xfId="0" applyNumberFormat="1" applyFont="1" applyBorder="1" applyAlignment="1" applyProtection="1">
      <alignment horizontal="center"/>
      <protection locked="0"/>
    </xf>
    <xf numFmtId="0" fontId="38" fillId="37" borderId="19" xfId="165" applyFont="1" applyBorder="1" applyAlignment="1">
      <alignment horizontal="center" vertical="center" wrapText="1"/>
    </xf>
    <xf numFmtId="0" fontId="8" fillId="0" borderId="75" xfId="164" applyFont="1" applyFill="1" applyBorder="1" applyAlignment="1">
      <alignment horizontal="center" vertical="center"/>
    </xf>
    <xf numFmtId="0" fontId="8" fillId="0" borderId="77" xfId="164" applyFont="1" applyFill="1" applyBorder="1" applyAlignment="1">
      <alignment horizontal="center" vertical="center"/>
    </xf>
    <xf numFmtId="0" fontId="8" fillId="0" borderId="78" xfId="164" applyFont="1" applyFill="1" applyBorder="1" applyAlignment="1">
      <alignment horizontal="center" vertical="center"/>
    </xf>
    <xf numFmtId="0" fontId="6" fillId="0" borderId="6" xfId="164" applyFont="1" applyFill="1" applyBorder="1" applyAlignment="1">
      <alignment horizontal="center" vertical="center"/>
    </xf>
    <xf numFmtId="0" fontId="6" fillId="0" borderId="3" xfId="164" applyFont="1" applyFill="1" applyBorder="1" applyAlignment="1">
      <alignment horizontal="center" vertical="center"/>
    </xf>
    <xf numFmtId="0" fontId="8" fillId="0" borderId="3" xfId="164" applyFont="1" applyFill="1" applyBorder="1" applyAlignment="1">
      <alignment horizontal="center" vertical="center"/>
    </xf>
    <xf numFmtId="0" fontId="8" fillId="0" borderId="7" xfId="164" applyFont="1" applyFill="1" applyBorder="1" applyAlignment="1">
      <alignment horizontal="center" vertical="center"/>
    </xf>
    <xf numFmtId="0" fontId="8" fillId="0" borderId="6" xfId="164" applyFont="1" applyFill="1" applyBorder="1" applyAlignment="1">
      <alignment horizontal="center" vertical="center"/>
    </xf>
    <xf numFmtId="0" fontId="8" fillId="0" borderId="3" xfId="13" applyFont="1" applyFill="1" applyBorder="1" applyAlignment="1">
      <alignment horizontal="center" vertical="center"/>
    </xf>
    <xf numFmtId="0" fontId="8" fillId="0" borderId="7" xfId="13" applyFont="1" applyFill="1" applyBorder="1" applyAlignment="1">
      <alignment horizontal="center" vertical="center"/>
    </xf>
    <xf numFmtId="0" fontId="8" fillId="0" borderId="6" xfId="13" applyFont="1" applyFill="1" applyBorder="1" applyAlignment="1">
      <alignment horizontal="center" vertical="center"/>
    </xf>
    <xf numFmtId="0" fontId="8" fillId="0" borderId="48" xfId="13" applyFont="1" applyFill="1" applyBorder="1" applyAlignment="1">
      <alignment horizontal="center" vertical="center"/>
    </xf>
    <xf numFmtId="0" fontId="8" fillId="0" borderId="49" xfId="13" applyFont="1" applyFill="1" applyBorder="1" applyAlignment="1">
      <alignment horizontal="center" vertical="center"/>
    </xf>
    <xf numFmtId="0" fontId="8" fillId="0" borderId="50" xfId="13" applyFont="1" applyFill="1" applyBorder="1" applyAlignment="1">
      <alignment horizontal="center" vertical="center"/>
    </xf>
    <xf numFmtId="44" fontId="11" fillId="37" borderId="17" xfId="165" applyNumberFormat="1" applyFont="1" applyBorder="1" applyAlignment="1">
      <alignment horizontal="left"/>
    </xf>
    <xf numFmtId="44" fontId="11" fillId="37" borderId="18" xfId="165" applyNumberFormat="1" applyFont="1" applyBorder="1" applyAlignment="1">
      <alignment horizontal="left"/>
    </xf>
    <xf numFmtId="44" fontId="11" fillId="37" borderId="19" xfId="165" applyNumberFormat="1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9" fillId="6" borderId="3" xfId="12" applyFont="1" applyFill="1" applyBorder="1" applyAlignment="1">
      <alignment horizontal="center"/>
    </xf>
    <xf numFmtId="0" fontId="9" fillId="6" borderId="4" xfId="12" applyFont="1" applyFill="1" applyBorder="1" applyAlignment="1">
      <alignment horizontal="center"/>
    </xf>
    <xf numFmtId="0" fontId="9" fillId="6" borderId="5" xfId="12" applyFont="1" applyFill="1" applyBorder="1" applyAlignment="1">
      <alignment horizontal="center"/>
    </xf>
    <xf numFmtId="0" fontId="10" fillId="6" borderId="6" xfId="12" applyFont="1" applyFill="1" applyBorder="1" applyAlignment="1">
      <alignment horizontal="center"/>
    </xf>
    <xf numFmtId="0" fontId="10" fillId="6" borderId="2" xfId="12" applyFont="1" applyFill="1" applyBorder="1" applyAlignment="1">
      <alignment horizontal="center"/>
    </xf>
    <xf numFmtId="0" fontId="10" fillId="6" borderId="16" xfId="12" applyFont="1" applyFill="1" applyBorder="1" applyAlignment="1">
      <alignment horizontal="center"/>
    </xf>
    <xf numFmtId="49" fontId="7" fillId="0" borderId="60" xfId="0" applyNumberFormat="1" applyFont="1" applyBorder="1" applyAlignment="1" applyProtection="1">
      <alignment horizontal="center" vertical="center"/>
      <protection locked="0"/>
    </xf>
    <xf numFmtId="0" fontId="6" fillId="0" borderId="60" xfId="0" applyFont="1" applyBorder="1" applyAlignment="1">
      <alignment horizontal="center" vertical="center"/>
    </xf>
    <xf numFmtId="0" fontId="7" fillId="0" borderId="60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/>
      <protection locked="0"/>
    </xf>
    <xf numFmtId="0" fontId="10" fillId="6" borderId="7" xfId="12" applyFont="1" applyFill="1" applyBorder="1" applyAlignment="1">
      <alignment horizontal="center"/>
    </xf>
    <xf numFmtId="0" fontId="10" fillId="6" borderId="0" xfId="12" applyFont="1" applyFill="1" applyAlignment="1">
      <alignment horizontal="center"/>
    </xf>
    <xf numFmtId="0" fontId="10" fillId="6" borderId="1" xfId="12" applyFont="1" applyFill="1" applyBorder="1" applyAlignment="1">
      <alignment horizontal="center"/>
    </xf>
    <xf numFmtId="0" fontId="6" fillId="0" borderId="44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8" fillId="0" borderId="70" xfId="0" applyFont="1" applyBorder="1" applyAlignment="1" applyProtection="1">
      <alignment vertical="top" wrapText="1"/>
      <protection locked="0"/>
    </xf>
    <xf numFmtId="0" fontId="8" fillId="0" borderId="60" xfId="0" applyFont="1" applyBorder="1" applyAlignment="1" applyProtection="1">
      <alignment vertical="top" wrapText="1"/>
      <protection locked="0"/>
    </xf>
    <xf numFmtId="0" fontId="8" fillId="0" borderId="55" xfId="0" applyFont="1" applyBorder="1" applyAlignment="1" applyProtection="1">
      <alignment vertical="top" wrapText="1"/>
      <protection locked="0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167" fontId="0" fillId="0" borderId="84" xfId="0" applyNumberFormat="1" applyBorder="1" applyAlignment="1" applyProtection="1">
      <alignment horizontal="center"/>
      <protection locked="0"/>
    </xf>
    <xf numFmtId="167" fontId="0" fillId="0" borderId="83" xfId="0" applyNumberFormat="1" applyBorder="1" applyAlignment="1" applyProtection="1">
      <alignment horizontal="center"/>
      <protection locked="0"/>
    </xf>
    <xf numFmtId="0" fontId="6" fillId="0" borderId="60" xfId="0" applyFont="1" applyBorder="1" applyAlignment="1">
      <alignment horizontal="left" vertical="center"/>
    </xf>
    <xf numFmtId="0" fontId="6" fillId="0" borderId="84" xfId="0" applyFont="1" applyBorder="1" applyAlignment="1">
      <alignment horizontal="left" vertical="center"/>
    </xf>
    <xf numFmtId="0" fontId="6" fillId="0" borderId="60" xfId="0" applyFont="1" applyBorder="1" applyAlignment="1" applyProtection="1">
      <alignment horizontal="center" vertical="center"/>
      <protection locked="0"/>
    </xf>
    <xf numFmtId="0" fontId="6" fillId="0" borderId="55" xfId="0" applyFont="1" applyBorder="1" applyAlignment="1" applyProtection="1">
      <alignment horizontal="center" vertical="center"/>
      <protection locked="0"/>
    </xf>
    <xf numFmtId="0" fontId="6" fillId="0" borderId="44" xfId="0" applyFont="1" applyBorder="1" applyAlignment="1" applyProtection="1">
      <alignment horizontal="center" vertical="center"/>
      <protection locked="0"/>
    </xf>
    <xf numFmtId="0" fontId="6" fillId="0" borderId="45" xfId="0" applyFont="1" applyBorder="1" applyAlignment="1" applyProtection="1">
      <alignment horizontal="center" vertical="center"/>
      <protection locked="0"/>
    </xf>
    <xf numFmtId="0" fontId="7" fillId="0" borderId="84" xfId="0" applyFont="1" applyBorder="1" applyAlignment="1" applyProtection="1">
      <alignment horizontal="center" vertical="center" wrapText="1"/>
      <protection locked="0"/>
    </xf>
    <xf numFmtId="0" fontId="7" fillId="0" borderId="60" xfId="1" applyNumberFormat="1" applyFont="1" applyBorder="1" applyAlignment="1" applyProtection="1">
      <alignment horizontal="center" vertical="center" wrapText="1"/>
      <protection locked="0"/>
    </xf>
    <xf numFmtId="49" fontId="7" fillId="0" borderId="60" xfId="0" applyNumberFormat="1" applyFont="1" applyBorder="1" applyAlignment="1" applyProtection="1">
      <alignment horizontal="center"/>
      <protection locked="0"/>
    </xf>
    <xf numFmtId="0" fontId="0" fillId="0" borderId="87" xfId="0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2" applyNumberFormat="1" applyFont="1" applyBorder="1" applyAlignment="1" applyProtection="1">
      <alignment horizontal="center" vertical="center" wrapText="1"/>
      <protection locked="0"/>
    </xf>
    <xf numFmtId="0" fontId="7" fillId="0" borderId="1" xfId="2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11" fillId="37" borderId="46" xfId="165" applyFont="1" applyBorder="1" applyAlignment="1" applyProtection="1">
      <alignment horizontal="center" vertical="center" wrapText="1"/>
    </xf>
    <xf numFmtId="0" fontId="11" fillId="37" borderId="47" xfId="165" applyFont="1" applyBorder="1" applyAlignment="1" applyProtection="1">
      <alignment horizontal="center" vertical="center" wrapText="1"/>
    </xf>
    <xf numFmtId="0" fontId="11" fillId="37" borderId="63" xfId="165" applyFont="1" applyBorder="1" applyAlignment="1" applyProtection="1">
      <alignment horizontal="center" vertical="center" wrapText="1"/>
    </xf>
    <xf numFmtId="0" fontId="11" fillId="37" borderId="56" xfId="165" applyFont="1" applyBorder="1" applyAlignment="1" applyProtection="1">
      <alignment horizontal="center" vertical="center" wrapText="1"/>
    </xf>
    <xf numFmtId="0" fontId="8" fillId="5" borderId="47" xfId="13" applyFont="1" applyFill="1" applyBorder="1" applyAlignment="1" applyProtection="1">
      <alignment horizontal="center" vertical="center"/>
    </xf>
    <xf numFmtId="0" fontId="8" fillId="5" borderId="56" xfId="13" applyFont="1" applyFill="1" applyBorder="1" applyAlignment="1" applyProtection="1">
      <alignment horizontal="center" vertical="center"/>
    </xf>
    <xf numFmtId="0" fontId="2" fillId="37" borderId="47" xfId="165" applyBorder="1" applyAlignment="1" applyProtection="1">
      <alignment horizontal="center" vertical="center"/>
    </xf>
    <xf numFmtId="0" fontId="2" fillId="37" borderId="63" xfId="165" applyBorder="1" applyAlignment="1" applyProtection="1">
      <alignment horizontal="center" vertical="center"/>
    </xf>
    <xf numFmtId="0" fontId="2" fillId="37" borderId="56" xfId="165" applyBorder="1" applyAlignment="1" applyProtection="1">
      <alignment horizontal="center" vertical="center"/>
    </xf>
    <xf numFmtId="0" fontId="11" fillId="37" borderId="47" xfId="165" applyFont="1" applyBorder="1" applyAlignment="1" applyProtection="1">
      <alignment horizontal="center" vertical="center"/>
    </xf>
    <xf numFmtId="0" fontId="11" fillId="37" borderId="63" xfId="165" applyFont="1" applyBorder="1" applyAlignment="1" applyProtection="1">
      <alignment horizontal="center" vertical="center"/>
    </xf>
    <xf numFmtId="0" fontId="11" fillId="37" borderId="56" xfId="165" applyFont="1" applyBorder="1" applyAlignment="1" applyProtection="1">
      <alignment horizontal="center" vertical="center"/>
    </xf>
    <xf numFmtId="0" fontId="8" fillId="0" borderId="46" xfId="0" applyFont="1" applyBorder="1" applyAlignment="1">
      <alignment horizontal="center" vertical="center"/>
    </xf>
  </cellXfs>
  <cellStyles count="174">
    <cellStyle name="20% - Ênfase1" xfId="18" builtinId="30"/>
    <cellStyle name="20% - Ênfase1 2" xfId="118" xr:uid="{00000000-0005-0000-0000-000001000000}"/>
    <cellStyle name="20% - Ênfase2 2" xfId="119" xr:uid="{00000000-0005-0000-0000-000002000000}"/>
    <cellStyle name="20% - Ênfase3 2" xfId="120" xr:uid="{00000000-0005-0000-0000-000003000000}"/>
    <cellStyle name="20% - Ênfase4 2" xfId="121" xr:uid="{00000000-0005-0000-0000-000004000000}"/>
    <cellStyle name="20% - Ênfase5" xfId="171" builtinId="46"/>
    <cellStyle name="20% - Ênfase5 2" xfId="122" xr:uid="{00000000-0005-0000-0000-000006000000}"/>
    <cellStyle name="20% - Ênfase6" xfId="20" builtinId="50"/>
    <cellStyle name="20% - Ênfase6 2" xfId="123" xr:uid="{00000000-0005-0000-0000-000008000000}"/>
    <cellStyle name="40% - Ênfase1" xfId="4" builtinId="31"/>
    <cellStyle name="40% - Ênfase1 2" xfId="124" xr:uid="{00000000-0005-0000-0000-00000A000000}"/>
    <cellStyle name="40% - Ênfase2 2" xfId="125" xr:uid="{00000000-0005-0000-0000-00000B000000}"/>
    <cellStyle name="40% - Ênfase3 2" xfId="126" xr:uid="{00000000-0005-0000-0000-00000C000000}"/>
    <cellStyle name="40% - Ênfase4 2" xfId="127" xr:uid="{00000000-0005-0000-0000-00000D000000}"/>
    <cellStyle name="40% - Ênfase5" xfId="5" builtinId="47"/>
    <cellStyle name="40% - Ênfase5 2" xfId="128" xr:uid="{00000000-0005-0000-0000-00000F000000}"/>
    <cellStyle name="40% - Ênfase6" xfId="21" builtinId="51"/>
    <cellStyle name="40% - Ênfase6 2" xfId="129" xr:uid="{00000000-0005-0000-0000-000011000000}"/>
    <cellStyle name="60% - Ênfase1" xfId="164" builtinId="32"/>
    <cellStyle name="60% - Ênfase1 2" xfId="130" xr:uid="{00000000-0005-0000-0000-000013000000}"/>
    <cellStyle name="60% - Ênfase2 2" xfId="131" xr:uid="{00000000-0005-0000-0000-000014000000}"/>
    <cellStyle name="60% - Ênfase3 2" xfId="132" xr:uid="{00000000-0005-0000-0000-000015000000}"/>
    <cellStyle name="60% - Ênfase3 3" xfId="160" xr:uid="{00000000-0005-0000-0000-000016000000}"/>
    <cellStyle name="60% - Ênfase4" xfId="14" builtinId="44"/>
    <cellStyle name="60% - Ênfase4 2" xfId="133" xr:uid="{00000000-0005-0000-0000-000018000000}"/>
    <cellStyle name="60% - Ênfase5" xfId="172" builtinId="48"/>
    <cellStyle name="60% - Ênfase5 2" xfId="134" xr:uid="{00000000-0005-0000-0000-00001A000000}"/>
    <cellStyle name="60% - Ênfase6" xfId="15" builtinId="52"/>
    <cellStyle name="60% - Ênfase6 2" xfId="135" xr:uid="{00000000-0005-0000-0000-00001C000000}"/>
    <cellStyle name="Bom 2" xfId="136" xr:uid="{00000000-0005-0000-0000-00001D000000}"/>
    <cellStyle name="Cálculo 2" xfId="137" xr:uid="{00000000-0005-0000-0000-00001E000000}"/>
    <cellStyle name="Célula de Verificação 2" xfId="138" xr:uid="{00000000-0005-0000-0000-00001F000000}"/>
    <cellStyle name="Célula Vinculada 2" xfId="139" xr:uid="{00000000-0005-0000-0000-000020000000}"/>
    <cellStyle name="Ênfase1" xfId="13" builtinId="29"/>
    <cellStyle name="Ênfase1 2" xfId="140" xr:uid="{00000000-0005-0000-0000-000022000000}"/>
    <cellStyle name="Ênfase2 2" xfId="141" xr:uid="{00000000-0005-0000-0000-000023000000}"/>
    <cellStyle name="Ênfase3 2" xfId="142" xr:uid="{00000000-0005-0000-0000-000024000000}"/>
    <cellStyle name="Ênfase4 2" xfId="143" xr:uid="{00000000-0005-0000-0000-000025000000}"/>
    <cellStyle name="Ênfase5" xfId="165" builtinId="45"/>
    <cellStyle name="Ênfase5 2" xfId="144" xr:uid="{00000000-0005-0000-0000-000027000000}"/>
    <cellStyle name="Ênfase6" xfId="19" builtinId="49"/>
    <cellStyle name="Ênfase6 2" xfId="145" xr:uid="{00000000-0005-0000-0000-000029000000}"/>
    <cellStyle name="Entrada 2" xfId="146" xr:uid="{00000000-0005-0000-0000-00002A000000}"/>
    <cellStyle name="Euro" xfId="24" xr:uid="{00000000-0005-0000-0000-00002B000000}"/>
    <cellStyle name="Excel Built-in Comma" xfId="36" xr:uid="{00000000-0005-0000-0000-00002C000000}"/>
    <cellStyle name="Excel Built-in Currency" xfId="37" xr:uid="{00000000-0005-0000-0000-00002D000000}"/>
    <cellStyle name="Excel Built-in Normal" xfId="38" xr:uid="{00000000-0005-0000-0000-00002E000000}"/>
    <cellStyle name="Excel Built-in Percent" xfId="39" xr:uid="{00000000-0005-0000-0000-00002F000000}"/>
    <cellStyle name="Heading" xfId="40" xr:uid="{00000000-0005-0000-0000-000030000000}"/>
    <cellStyle name="Heading1" xfId="41" xr:uid="{00000000-0005-0000-0000-000031000000}"/>
    <cellStyle name="Hiperlink" xfId="173" builtinId="8"/>
    <cellStyle name="Incorreto 2" xfId="147" xr:uid="{00000000-0005-0000-0000-000033000000}"/>
    <cellStyle name="Moeda" xfId="2" builtinId="4"/>
    <cellStyle name="Moeda 10" xfId="115" xr:uid="{00000000-0005-0000-0000-000035000000}"/>
    <cellStyle name="Moeda 11" xfId="49" xr:uid="{00000000-0005-0000-0000-000036000000}"/>
    <cellStyle name="Moeda 12" xfId="166" xr:uid="{00000000-0005-0000-0000-000037000000}"/>
    <cellStyle name="Moeda 2" xfId="8" xr:uid="{00000000-0005-0000-0000-000038000000}"/>
    <cellStyle name="Moeda 2 2" xfId="58" xr:uid="{00000000-0005-0000-0000-000039000000}"/>
    <cellStyle name="Moeda 2 3" xfId="90" xr:uid="{00000000-0005-0000-0000-00003A000000}"/>
    <cellStyle name="Moeda 2 4" xfId="53" xr:uid="{00000000-0005-0000-0000-00003B000000}"/>
    <cellStyle name="Moeda 2 5" xfId="50" xr:uid="{00000000-0005-0000-0000-00003C000000}"/>
    <cellStyle name="Moeda 2 6" xfId="162" xr:uid="{00000000-0005-0000-0000-00003D000000}"/>
    <cellStyle name="Moeda 2 7" xfId="158" xr:uid="{00000000-0005-0000-0000-00003E000000}"/>
    <cellStyle name="Moeda 3" xfId="25" xr:uid="{00000000-0005-0000-0000-00003F000000}"/>
    <cellStyle name="Moeda 3 2" xfId="46" xr:uid="{00000000-0005-0000-0000-000040000000}"/>
    <cellStyle name="Moeda 3 2 2" xfId="101" xr:uid="{00000000-0005-0000-0000-000041000000}"/>
    <cellStyle name="Moeda 3 2 3" xfId="57" xr:uid="{00000000-0005-0000-0000-000042000000}"/>
    <cellStyle name="Moeda 3 3" xfId="92" xr:uid="{00000000-0005-0000-0000-000043000000}"/>
    <cellStyle name="Moeda 3 4" xfId="103" xr:uid="{00000000-0005-0000-0000-000044000000}"/>
    <cellStyle name="Moeda 3 5" xfId="64" xr:uid="{00000000-0005-0000-0000-000045000000}"/>
    <cellStyle name="Moeda 4" xfId="17" xr:uid="{00000000-0005-0000-0000-000046000000}"/>
    <cellStyle name="Moeda 4 2" xfId="88" xr:uid="{00000000-0005-0000-0000-000047000000}"/>
    <cellStyle name="Moeda 4 3" xfId="65" xr:uid="{00000000-0005-0000-0000-000048000000}"/>
    <cellStyle name="Moeda 5" xfId="32" xr:uid="{00000000-0005-0000-0000-000049000000}"/>
    <cellStyle name="Moeda 5 2" xfId="66" xr:uid="{00000000-0005-0000-0000-00004A000000}"/>
    <cellStyle name="Moeda 6" xfId="67" xr:uid="{00000000-0005-0000-0000-00004B000000}"/>
    <cellStyle name="Moeda 7" xfId="52" xr:uid="{00000000-0005-0000-0000-00004C000000}"/>
    <cellStyle name="Moeda 8" xfId="91" xr:uid="{00000000-0005-0000-0000-00004D000000}"/>
    <cellStyle name="Moeda 8 2" xfId="114" xr:uid="{00000000-0005-0000-0000-00004E000000}"/>
    <cellStyle name="Moeda 9" xfId="98" xr:uid="{00000000-0005-0000-0000-00004F000000}"/>
    <cellStyle name="Neutra 2" xfId="148" xr:uid="{00000000-0005-0000-0000-000050000000}"/>
    <cellStyle name="Normal" xfId="0" builtinId="0"/>
    <cellStyle name="Normal 10" xfId="93" xr:uid="{00000000-0005-0000-0000-000052000000}"/>
    <cellStyle name="Normal 2" xfId="6" xr:uid="{00000000-0005-0000-0000-000053000000}"/>
    <cellStyle name="Normal 2 2" xfId="11" xr:uid="{00000000-0005-0000-0000-000054000000}"/>
    <cellStyle name="Normal 2 2 2" xfId="29" xr:uid="{00000000-0005-0000-0000-000055000000}"/>
    <cellStyle name="Normal 2 2 3" xfId="169" xr:uid="{00000000-0005-0000-0000-000056000000}"/>
    <cellStyle name="Normal 2 3" xfId="35" xr:uid="{00000000-0005-0000-0000-000057000000}"/>
    <cellStyle name="Normal 2 3 2" xfId="117" xr:uid="{00000000-0005-0000-0000-000058000000}"/>
    <cellStyle name="Normal 2 4" xfId="167" xr:uid="{00000000-0005-0000-0000-000059000000}"/>
    <cellStyle name="Normal 3" xfId="22" xr:uid="{00000000-0005-0000-0000-00005A000000}"/>
    <cellStyle name="Normal 3 2" xfId="45" xr:uid="{00000000-0005-0000-0000-00005B000000}"/>
    <cellStyle name="Normal 3 2 2" xfId="63" xr:uid="{00000000-0005-0000-0000-00005C000000}"/>
    <cellStyle name="Normal 3 3" xfId="68" xr:uid="{00000000-0005-0000-0000-00005D000000}"/>
    <cellStyle name="Normal 4" xfId="30" xr:uid="{00000000-0005-0000-0000-00005E000000}"/>
    <cellStyle name="Normal 4 2" xfId="69" xr:uid="{00000000-0005-0000-0000-00005F000000}"/>
    <cellStyle name="Normal 5" xfId="12" xr:uid="{00000000-0005-0000-0000-000060000000}"/>
    <cellStyle name="Normal 5 2" xfId="42" xr:uid="{00000000-0005-0000-0000-000061000000}"/>
    <cellStyle name="Normal 5 3" xfId="34" xr:uid="{00000000-0005-0000-0000-000062000000}"/>
    <cellStyle name="Normal 5 4" xfId="70" xr:uid="{00000000-0005-0000-0000-000063000000}"/>
    <cellStyle name="Normal 6" xfId="71" xr:uid="{00000000-0005-0000-0000-000064000000}"/>
    <cellStyle name="Normal 7" xfId="72" xr:uid="{00000000-0005-0000-0000-000065000000}"/>
    <cellStyle name="Normal 8" xfId="60" xr:uid="{00000000-0005-0000-0000-000066000000}"/>
    <cellStyle name="Normal 9" xfId="51" xr:uid="{00000000-0005-0000-0000-000067000000}"/>
    <cellStyle name="Normal 9 2" xfId="99" xr:uid="{00000000-0005-0000-0000-000068000000}"/>
    <cellStyle name="Nota 2" xfId="149" xr:uid="{00000000-0005-0000-0000-000069000000}"/>
    <cellStyle name="Porcentagem" xfId="3" builtinId="5"/>
    <cellStyle name="Porcentagem 2" xfId="9" xr:uid="{00000000-0005-0000-0000-00006B000000}"/>
    <cellStyle name="Porcentagem 2 2" xfId="27" xr:uid="{00000000-0005-0000-0000-00006C000000}"/>
    <cellStyle name="Porcentagem 2 3" xfId="59" xr:uid="{00000000-0005-0000-0000-00006D000000}"/>
    <cellStyle name="Porcentagem 2 4" xfId="54" xr:uid="{00000000-0005-0000-0000-00006E000000}"/>
    <cellStyle name="Porcentagem 2 5" xfId="95" xr:uid="{00000000-0005-0000-0000-00006F000000}"/>
    <cellStyle name="Porcentagem 3" xfId="26" xr:uid="{00000000-0005-0000-0000-000070000000}"/>
    <cellStyle name="Porcentagem 3 2" xfId="61" xr:uid="{00000000-0005-0000-0000-000071000000}"/>
    <cellStyle name="Porcentagem 3 3" xfId="73" xr:uid="{00000000-0005-0000-0000-000072000000}"/>
    <cellStyle name="Porcentagem 4" xfId="16" xr:uid="{00000000-0005-0000-0000-000073000000}"/>
    <cellStyle name="Porcentagem 4 2" xfId="87" xr:uid="{00000000-0005-0000-0000-000074000000}"/>
    <cellStyle name="Porcentagem 4 3" xfId="74" xr:uid="{00000000-0005-0000-0000-000075000000}"/>
    <cellStyle name="Porcentagem 5" xfId="33" xr:uid="{00000000-0005-0000-0000-000076000000}"/>
    <cellStyle name="Porcentagem 5 2" xfId="56" xr:uid="{00000000-0005-0000-0000-000077000000}"/>
    <cellStyle name="Result" xfId="43" xr:uid="{00000000-0005-0000-0000-000078000000}"/>
    <cellStyle name="Result2" xfId="44" xr:uid="{00000000-0005-0000-0000-000079000000}"/>
    <cellStyle name="Saída 2" xfId="150" xr:uid="{00000000-0005-0000-0000-00007A000000}"/>
    <cellStyle name="Separador de milhares 2" xfId="75" xr:uid="{00000000-0005-0000-0000-00007B000000}"/>
    <cellStyle name="Separador de milhares 2 2" xfId="104" xr:uid="{00000000-0005-0000-0000-00007C000000}"/>
    <cellStyle name="Separador de milhares 2 2 2" xfId="170" xr:uid="{00000000-0005-0000-0000-00007D000000}"/>
    <cellStyle name="Separador de milhares 2 3" xfId="168" xr:uid="{00000000-0005-0000-0000-00007E000000}"/>
    <cellStyle name="Separador de milhares 3" xfId="48" xr:uid="{00000000-0005-0000-0000-00007F000000}"/>
    <cellStyle name="Separador de milhares 3 2" xfId="89" xr:uid="{00000000-0005-0000-0000-000080000000}"/>
    <cellStyle name="Separador de milhares 3 2 2" xfId="113" xr:uid="{00000000-0005-0000-0000-000081000000}"/>
    <cellStyle name="Separador de milhares 3 3" xfId="76" xr:uid="{00000000-0005-0000-0000-000082000000}"/>
    <cellStyle name="Separador de milhares 3 3 2" xfId="105" xr:uid="{00000000-0005-0000-0000-000083000000}"/>
    <cellStyle name="Separador de milhares 3 4" xfId="97" xr:uid="{00000000-0005-0000-0000-000084000000}"/>
    <cellStyle name="Separador de milhares 4" xfId="77" xr:uid="{00000000-0005-0000-0000-000085000000}"/>
    <cellStyle name="Separador de milhares 4 2" xfId="106" xr:uid="{00000000-0005-0000-0000-000086000000}"/>
    <cellStyle name="Separador de milhares 5" xfId="78" xr:uid="{00000000-0005-0000-0000-000087000000}"/>
    <cellStyle name="Separador de milhares 5 2" xfId="107" xr:uid="{00000000-0005-0000-0000-000088000000}"/>
    <cellStyle name="Texto de Aviso 2" xfId="151" xr:uid="{00000000-0005-0000-0000-000089000000}"/>
    <cellStyle name="Texto Explicativo 2" xfId="152" xr:uid="{00000000-0005-0000-0000-00008A000000}"/>
    <cellStyle name="Título 1 1" xfId="79" xr:uid="{00000000-0005-0000-0000-00008B000000}"/>
    <cellStyle name="Título 1 1 1" xfId="80" xr:uid="{00000000-0005-0000-0000-00008C000000}"/>
    <cellStyle name="Título 2 2" xfId="153" xr:uid="{00000000-0005-0000-0000-00008D000000}"/>
    <cellStyle name="Título 3 2" xfId="154" xr:uid="{00000000-0005-0000-0000-00008E000000}"/>
    <cellStyle name="Título 4 2" xfId="155" xr:uid="{00000000-0005-0000-0000-00008F000000}"/>
    <cellStyle name="Título 5" xfId="81" xr:uid="{00000000-0005-0000-0000-000090000000}"/>
    <cellStyle name="Total 2" xfId="156" xr:uid="{00000000-0005-0000-0000-000091000000}"/>
    <cellStyle name="Vírgula" xfId="1" builtinId="3"/>
    <cellStyle name="Vírgula 10" xfId="94" xr:uid="{00000000-0005-0000-0000-000093000000}"/>
    <cellStyle name="Vírgula 2" xfId="7" xr:uid="{00000000-0005-0000-0000-000094000000}"/>
    <cellStyle name="Vírgula 2 2" xfId="10" xr:uid="{00000000-0005-0000-0000-000095000000}"/>
    <cellStyle name="Vírgula 2 2 2" xfId="102" xr:uid="{00000000-0005-0000-0000-000096000000}"/>
    <cellStyle name="Vírgula 2 2 2 2" xfId="116" xr:uid="{00000000-0005-0000-0000-000097000000}"/>
    <cellStyle name="Vírgula 2 2 3" xfId="62" xr:uid="{00000000-0005-0000-0000-000098000000}"/>
    <cellStyle name="Vírgula 2 2 4" xfId="163" xr:uid="{00000000-0005-0000-0000-000099000000}"/>
    <cellStyle name="Vírgula 2 2 5" xfId="159" xr:uid="{00000000-0005-0000-0000-00009A000000}"/>
    <cellStyle name="Vírgula 2 3" xfId="108" xr:uid="{00000000-0005-0000-0000-00009B000000}"/>
    <cellStyle name="Vírgula 2 4" xfId="82" xr:uid="{00000000-0005-0000-0000-00009C000000}"/>
    <cellStyle name="Vírgula 2 5" xfId="161" xr:uid="{00000000-0005-0000-0000-00009D000000}"/>
    <cellStyle name="Vírgula 2 6" xfId="157" xr:uid="{00000000-0005-0000-0000-00009E000000}"/>
    <cellStyle name="Vírgula 3" xfId="23" xr:uid="{00000000-0005-0000-0000-00009F000000}"/>
    <cellStyle name="Vírgula 3 2" xfId="109" xr:uid="{00000000-0005-0000-0000-0000A0000000}"/>
    <cellStyle name="Vírgula 3 3" xfId="83" xr:uid="{00000000-0005-0000-0000-0000A1000000}"/>
    <cellStyle name="Vírgula 4" xfId="28" xr:uid="{00000000-0005-0000-0000-0000A2000000}"/>
    <cellStyle name="Vírgula 4 2" xfId="110" xr:uid="{00000000-0005-0000-0000-0000A3000000}"/>
    <cellStyle name="Vírgula 4 3" xfId="84" xr:uid="{00000000-0005-0000-0000-0000A4000000}"/>
    <cellStyle name="Vírgula 5" xfId="31" xr:uid="{00000000-0005-0000-0000-0000A5000000}"/>
    <cellStyle name="Vírgula 5 2" xfId="111" xr:uid="{00000000-0005-0000-0000-0000A6000000}"/>
    <cellStyle name="Vírgula 5 3" xfId="85" xr:uid="{00000000-0005-0000-0000-0000A7000000}"/>
    <cellStyle name="Vírgula 6" xfId="86" xr:uid="{00000000-0005-0000-0000-0000A8000000}"/>
    <cellStyle name="Vírgula 6 2" xfId="112" xr:uid="{00000000-0005-0000-0000-0000A9000000}"/>
    <cellStyle name="Vírgula 7" xfId="55" xr:uid="{00000000-0005-0000-0000-0000AA000000}"/>
    <cellStyle name="Vírgula 7 2" xfId="100" xr:uid="{00000000-0005-0000-0000-0000AB000000}"/>
    <cellStyle name="Vírgula 8" xfId="96" xr:uid="{00000000-0005-0000-0000-0000AC000000}"/>
    <cellStyle name="Vírgula 9" xfId="47" xr:uid="{00000000-0005-0000-0000-0000AD000000}"/>
  </cellStyles>
  <dxfs count="20">
    <dxf>
      <fill>
        <patternFill>
          <bgColor rgb="FFFFC000"/>
        </patternFill>
      </fill>
    </dxf>
    <dxf>
      <numFmt numFmtId="194" formatCode="#,##0.00\ &quot;m²&quot;"/>
    </dxf>
    <dxf>
      <numFmt numFmtId="194" formatCode="#,##0.00\ &quot;m²&quot;"/>
    </dxf>
    <dxf>
      <numFmt numFmtId="194" formatCode="#,##0.00\ &quot;m²&quot;"/>
    </dxf>
    <dxf>
      <numFmt numFmtId="194" formatCode="#,##0.00\ &quot;m²&quot;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H$5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Radio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Radio" firstButton="1" fmlaLink="$H$5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checked="Checked" lockText="1" noThreeD="1"/>
</file>

<file path=xl/ctrlProps/ctrlProp10.xml><?xml version="1.0" encoding="utf-8"?>
<formControlPr xmlns="http://schemas.microsoft.com/office/spreadsheetml/2009/9/main" objectType="Radio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161925</xdr:rowOff>
    </xdr:from>
    <xdr:to>
      <xdr:col>2</xdr:col>
      <xdr:colOff>762000</xdr:colOff>
      <xdr:row>2</xdr:row>
      <xdr:rowOff>47625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0525" y="142875"/>
          <a:ext cx="800100" cy="771525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102534</xdr:colOff>
      <xdr:row>1</xdr:row>
      <xdr:rowOff>103093</xdr:rowOff>
    </xdr:from>
    <xdr:to>
      <xdr:col>2</xdr:col>
      <xdr:colOff>675608</xdr:colOff>
      <xdr:row>1</xdr:row>
      <xdr:rowOff>638174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1159" y="245968"/>
          <a:ext cx="573074" cy="5350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323914</xdr:colOff>
          <xdr:row>2</xdr:row>
          <xdr:rowOff>238120</xdr:rowOff>
        </xdr:from>
        <xdr:to>
          <xdr:col>6</xdr:col>
          <xdr:colOff>1095435</xdr:colOff>
          <xdr:row>10</xdr:row>
          <xdr:rowOff>133342</xdr:rowOff>
        </xdr:to>
        <xdr:grpSp>
          <xdr:nvGrpSpPr>
            <xdr:cNvPr id="4" name="Grupo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6848539" y="1104895"/>
              <a:ext cx="1914521" cy="1476372"/>
              <a:chOff x="5896039" y="1152520"/>
              <a:chExt cx="2066919" cy="1476372"/>
            </a:xfrm>
          </xdr:grpSpPr>
          <xdr:grpSp>
            <xdr:nvGrpSpPr>
              <xdr:cNvPr id="5" name="Grupo 4">
                <a:extLst>
                  <a:ext uri="{FF2B5EF4-FFF2-40B4-BE49-F238E27FC236}">
                    <a16:creationId xmlns:a16="http://schemas.microsoft.com/office/drawing/2014/main" id="{00000000-0008-0000-0000-000005000000}"/>
                  </a:ext>
                </a:extLst>
              </xdr:cNvPr>
              <xdr:cNvGrpSpPr>
                <a:grpSpLocks/>
              </xdr:cNvGrpSpPr>
            </xdr:nvGrpSpPr>
            <xdr:grpSpPr>
              <a:xfrm>
                <a:off x="5896039" y="1152520"/>
                <a:ext cx="2066919" cy="1476372"/>
                <a:chOff x="9553635" y="1638295"/>
                <a:chExt cx="2285993" cy="1285872"/>
              </a:xfrm>
            </xdr:grpSpPr>
            <xdr:sp macro="" textlink="">
              <xdr:nvSpPr>
                <xdr:cNvPr id="30721" name="Group Box 1" hidden="1">
                  <a:extLst>
                    <a:ext uri="{63B3BB69-23CF-44E3-9099-C40C66FF867C}">
                      <a14:compatExt spid="_x0000_s30721"/>
                    </a:ext>
                    <a:ext uri="{FF2B5EF4-FFF2-40B4-BE49-F238E27FC236}">
                      <a16:creationId xmlns:a16="http://schemas.microsoft.com/office/drawing/2014/main" id="{00000000-0008-0000-0000-000001780000}"/>
                    </a:ext>
                  </a:extLst>
                </xdr:cNvPr>
                <xdr:cNvSpPr/>
              </xdr:nvSpPr>
              <xdr:spPr bwMode="auto">
                <a:xfrm>
                  <a:off x="9553635" y="1638295"/>
                  <a:ext cx="2285993" cy="1285872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Destacar campos editáveis</a:t>
                  </a:r>
                </a:p>
              </xdr:txBody>
            </xdr:sp>
            <xdr:sp macro="" textlink="">
              <xdr:nvSpPr>
                <xdr:cNvPr id="30722" name="Option Button 2" descr="Formação de Preços" hidden="1">
                  <a:extLst>
                    <a:ext uri="{63B3BB69-23CF-44E3-9099-C40C66FF867C}">
                      <a14:compatExt spid="_x0000_s30722"/>
                    </a:ext>
                    <a:ext uri="{FF2B5EF4-FFF2-40B4-BE49-F238E27FC236}">
                      <a16:creationId xmlns:a16="http://schemas.microsoft.com/office/drawing/2014/main" id="{00000000-0008-0000-0000-000002780000}"/>
                    </a:ext>
                  </a:extLst>
                </xdr:cNvPr>
                <xdr:cNvSpPr/>
              </xdr:nvSpPr>
              <xdr:spPr bwMode="auto">
                <a:xfrm>
                  <a:off x="9735557" y="1813437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Formação de Preços</a:t>
                  </a:r>
                </a:p>
              </xdr:txBody>
            </xdr:sp>
            <xdr:sp macro="" textlink="">
              <xdr:nvSpPr>
                <xdr:cNvPr id="30723" name="Option Button 3" hidden="1">
                  <a:extLst>
                    <a:ext uri="{63B3BB69-23CF-44E3-9099-C40C66FF867C}">
                      <a14:compatExt spid="_x0000_s30723"/>
                    </a:ext>
                    <a:ext uri="{FF2B5EF4-FFF2-40B4-BE49-F238E27FC236}">
                      <a16:creationId xmlns:a16="http://schemas.microsoft.com/office/drawing/2014/main" id="{00000000-0008-0000-0000-000003780000}"/>
                    </a:ext>
                  </a:extLst>
                </xdr:cNvPr>
                <xdr:cNvSpPr/>
              </xdr:nvSpPr>
              <xdr:spPr bwMode="auto">
                <a:xfrm>
                  <a:off x="9735557" y="2084132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Proponente</a:t>
                  </a:r>
                </a:p>
              </xdr:txBody>
            </xdr:sp>
            <xdr:sp macro="" textlink="">
              <xdr:nvSpPr>
                <xdr:cNvPr id="30724" name="Option Button 4" hidden="1">
                  <a:extLst>
                    <a:ext uri="{63B3BB69-23CF-44E3-9099-C40C66FF867C}">
                      <a14:compatExt spid="_x0000_s30724"/>
                    </a:ext>
                    <a:ext uri="{FF2B5EF4-FFF2-40B4-BE49-F238E27FC236}">
                      <a16:creationId xmlns:a16="http://schemas.microsoft.com/office/drawing/2014/main" id="{00000000-0008-0000-0000-000004780000}"/>
                    </a:ext>
                  </a:extLst>
                </xdr:cNvPr>
                <xdr:cNvSpPr/>
              </xdr:nvSpPr>
              <xdr:spPr bwMode="auto">
                <a:xfrm>
                  <a:off x="9732976" y="2634431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Desativado</a:t>
                  </a:r>
                </a:p>
              </xdr:txBody>
            </xdr:sp>
          </xdr:grpSp>
          <xdr:sp macro="" textlink="">
            <xdr:nvSpPr>
              <xdr:cNvPr id="30725" name="Option Button 5" descr="Formação de Preços" hidden="1">
                <a:extLst>
                  <a:ext uri="{63B3BB69-23CF-44E3-9099-C40C66FF867C}">
                    <a14:compatExt spid="_x0000_s30725"/>
                  </a:ext>
                  <a:ext uri="{FF2B5EF4-FFF2-40B4-BE49-F238E27FC236}">
                    <a16:creationId xmlns:a16="http://schemas.microsoft.com/office/drawing/2014/main" id="{00000000-0008-0000-0000-000005780000}"/>
                  </a:ext>
                </a:extLst>
              </xdr:cNvPr>
              <xdr:cNvSpPr/>
            </xdr:nvSpPr>
            <xdr:spPr bwMode="auto">
              <a:xfrm>
                <a:off x="6057903" y="1981200"/>
                <a:ext cx="13049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Repactuação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161925</xdr:rowOff>
    </xdr:from>
    <xdr:to>
      <xdr:col>2</xdr:col>
      <xdr:colOff>762000</xdr:colOff>
      <xdr:row>2</xdr:row>
      <xdr:rowOff>47625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81000" y="161925"/>
          <a:ext cx="771525" cy="80010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102534</xdr:colOff>
      <xdr:row>1</xdr:row>
      <xdr:rowOff>103093</xdr:rowOff>
    </xdr:from>
    <xdr:to>
      <xdr:col>2</xdr:col>
      <xdr:colOff>675608</xdr:colOff>
      <xdr:row>1</xdr:row>
      <xdr:rowOff>638174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059" y="293593"/>
          <a:ext cx="573074" cy="5350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323914</xdr:colOff>
          <xdr:row>2</xdr:row>
          <xdr:rowOff>238120</xdr:rowOff>
        </xdr:from>
        <xdr:to>
          <xdr:col>6</xdr:col>
          <xdr:colOff>1095435</xdr:colOff>
          <xdr:row>10</xdr:row>
          <xdr:rowOff>133342</xdr:rowOff>
        </xdr:to>
        <xdr:grpSp>
          <xdr:nvGrpSpPr>
            <xdr:cNvPr id="5" name="Grupo 4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GrpSpPr/>
          </xdr:nvGrpSpPr>
          <xdr:grpSpPr>
            <a:xfrm>
              <a:off x="6848539" y="1107276"/>
              <a:ext cx="1914521" cy="1478754"/>
              <a:chOff x="5896039" y="1152520"/>
              <a:chExt cx="2066919" cy="1476372"/>
            </a:xfrm>
          </xdr:grpSpPr>
          <xdr:grpSp>
            <xdr:nvGrpSpPr>
              <xdr:cNvPr id="4" name="Grupo 3">
                <a:extLst>
                  <a:ext uri="{FF2B5EF4-FFF2-40B4-BE49-F238E27FC236}">
                    <a16:creationId xmlns:a16="http://schemas.microsoft.com/office/drawing/2014/main" id="{00000000-0008-0000-0100-000004000000}"/>
                  </a:ext>
                </a:extLst>
              </xdr:cNvPr>
              <xdr:cNvGrpSpPr>
                <a:grpSpLocks/>
              </xdr:cNvGrpSpPr>
            </xdr:nvGrpSpPr>
            <xdr:grpSpPr>
              <a:xfrm>
                <a:off x="5896039" y="1152520"/>
                <a:ext cx="2066919" cy="1476372"/>
                <a:chOff x="9553635" y="1638295"/>
                <a:chExt cx="2285993" cy="1285872"/>
              </a:xfrm>
            </xdr:grpSpPr>
            <xdr:sp macro="" textlink="">
              <xdr:nvSpPr>
                <xdr:cNvPr id="19457" name="Group Box 1" hidden="1">
                  <a:extLst>
                    <a:ext uri="{63B3BB69-23CF-44E3-9099-C40C66FF867C}">
                      <a14:compatExt spid="_x0000_s19457"/>
                    </a:ext>
                    <a:ext uri="{FF2B5EF4-FFF2-40B4-BE49-F238E27FC236}">
                      <a16:creationId xmlns:a16="http://schemas.microsoft.com/office/drawing/2014/main" id="{00000000-0008-0000-0100-0000014C0000}"/>
                    </a:ext>
                  </a:extLst>
                </xdr:cNvPr>
                <xdr:cNvSpPr/>
              </xdr:nvSpPr>
              <xdr:spPr bwMode="auto">
                <a:xfrm>
                  <a:off x="9553635" y="1638295"/>
                  <a:ext cx="2285993" cy="1285872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Destacar campos editáveis</a:t>
                  </a:r>
                </a:p>
              </xdr:txBody>
            </xdr:sp>
            <xdr:sp macro="" textlink="">
              <xdr:nvSpPr>
                <xdr:cNvPr id="19458" name="Option Button 2" descr="Formação de Preços" hidden="1">
                  <a:extLst>
                    <a:ext uri="{63B3BB69-23CF-44E3-9099-C40C66FF867C}">
                      <a14:compatExt spid="_x0000_s19458"/>
                    </a:ext>
                    <a:ext uri="{FF2B5EF4-FFF2-40B4-BE49-F238E27FC236}">
                      <a16:creationId xmlns:a16="http://schemas.microsoft.com/office/drawing/2014/main" id="{00000000-0008-0000-0100-0000024C0000}"/>
                    </a:ext>
                  </a:extLst>
                </xdr:cNvPr>
                <xdr:cNvSpPr/>
              </xdr:nvSpPr>
              <xdr:spPr bwMode="auto">
                <a:xfrm>
                  <a:off x="9735557" y="1813437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Formação de Preços</a:t>
                  </a:r>
                </a:p>
              </xdr:txBody>
            </xdr:sp>
            <xdr:sp macro="" textlink="">
              <xdr:nvSpPr>
                <xdr:cNvPr id="19459" name="Option Button 3" hidden="1">
                  <a:extLst>
                    <a:ext uri="{63B3BB69-23CF-44E3-9099-C40C66FF867C}">
                      <a14:compatExt spid="_x0000_s19459"/>
                    </a:ext>
                    <a:ext uri="{FF2B5EF4-FFF2-40B4-BE49-F238E27FC236}">
                      <a16:creationId xmlns:a16="http://schemas.microsoft.com/office/drawing/2014/main" id="{00000000-0008-0000-0100-0000034C0000}"/>
                    </a:ext>
                  </a:extLst>
                </xdr:cNvPr>
                <xdr:cNvSpPr/>
              </xdr:nvSpPr>
              <xdr:spPr bwMode="auto">
                <a:xfrm>
                  <a:off x="9735557" y="2084132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Proponente</a:t>
                  </a:r>
                </a:p>
              </xdr:txBody>
            </xdr:sp>
            <xdr:sp macro="" textlink="">
              <xdr:nvSpPr>
                <xdr:cNvPr id="19460" name="Option Button 4" hidden="1">
                  <a:extLst>
                    <a:ext uri="{63B3BB69-23CF-44E3-9099-C40C66FF867C}">
                      <a14:compatExt spid="_x0000_s19460"/>
                    </a:ext>
                    <a:ext uri="{FF2B5EF4-FFF2-40B4-BE49-F238E27FC236}">
                      <a16:creationId xmlns:a16="http://schemas.microsoft.com/office/drawing/2014/main" id="{00000000-0008-0000-0100-0000044C0000}"/>
                    </a:ext>
                  </a:extLst>
                </xdr:cNvPr>
                <xdr:cNvSpPr/>
              </xdr:nvSpPr>
              <xdr:spPr bwMode="auto">
                <a:xfrm>
                  <a:off x="9732976" y="2634431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Desativado</a:t>
                  </a:r>
                </a:p>
              </xdr:txBody>
            </xdr:sp>
          </xdr:grpSp>
          <xdr:sp macro="" textlink="">
            <xdr:nvSpPr>
              <xdr:cNvPr id="19466" name="Option Button 10" descr="Formação de Preços" hidden="1">
                <a:extLst>
                  <a:ext uri="{63B3BB69-23CF-44E3-9099-C40C66FF867C}">
                    <a14:compatExt spid="_x0000_s19466"/>
                  </a:ext>
                  <a:ext uri="{FF2B5EF4-FFF2-40B4-BE49-F238E27FC236}">
                    <a16:creationId xmlns:a16="http://schemas.microsoft.com/office/drawing/2014/main" id="{00000000-0008-0000-0100-00000A4C0000}"/>
                  </a:ext>
                </a:extLst>
              </xdr:cNvPr>
              <xdr:cNvSpPr/>
            </xdr:nvSpPr>
            <xdr:spPr bwMode="auto">
              <a:xfrm>
                <a:off x="6057903" y="1981200"/>
                <a:ext cx="13049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Repactuação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211231</xdr:colOff>
      <xdr:row>1</xdr:row>
      <xdr:rowOff>182656</xdr:rowOff>
    </xdr:from>
    <xdr:to>
      <xdr:col>1</xdr:col>
      <xdr:colOff>784305</xdr:colOff>
      <xdr:row>3</xdr:row>
      <xdr:rowOff>94689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6006" y="268381"/>
          <a:ext cx="573074" cy="5121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lexandre.machry/Desktop/MODELO_PLANILHA_SINDASSEI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lexandre.machry/Desktop/RP_de_Veiculos___6_Lugares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ap-celic$\Users\ALEXAN~1.MAC\AppData\Local\Temp\MicrosoftEdgeDownloads\5cd71449-7405-4df9-9971-082a2c36d510\PLANILHA_FORMACAO_PREC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PC 12x36 - DIURNO"/>
      <sheetName val="PC 12x36 - NOTURNO"/>
      <sheetName val="PC 44H-6D"/>
      <sheetName val="PC 44H-5D"/>
      <sheetName val="PC 36H"/>
      <sheetName val="PC 30H"/>
      <sheetName val="RESUMO"/>
      <sheetName val="Apoio - Regime de Trabalho"/>
      <sheetName val="Apoio - Posto"/>
    </sheetNames>
    <sheetDataSet>
      <sheetData sheetId="0" refreshError="1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  <cell r="F3" t="str">
            <v>Unidade</v>
          </cell>
        </row>
        <row r="4">
          <cell r="F4" t="str">
            <v>Litro</v>
          </cell>
        </row>
        <row r="5">
          <cell r="F5" t="str">
            <v>Fardo</v>
          </cell>
        </row>
        <row r="6">
          <cell r="F6" t="str">
            <v>Galão</v>
          </cell>
        </row>
        <row r="7">
          <cell r="F7" t="str">
            <v>Lata</v>
          </cell>
        </row>
        <row r="8">
          <cell r="F8" t="str">
            <v>Pacote</v>
          </cell>
        </row>
        <row r="9">
          <cell r="F9" t="str">
            <v>Caixa</v>
          </cell>
        </row>
      </sheetData>
      <sheetData sheetId="1" refreshError="1">
        <row r="8">
          <cell r="G8" t="str">
            <v>SINDASSEIO</v>
          </cell>
        </row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PC 220h-mes"/>
      <sheetName val="RESUMO"/>
    </sheetNames>
    <sheetDataSet>
      <sheetData sheetId="0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</row>
      </sheetData>
      <sheetData sheetId="1"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Mód 5 - Insumos Unif, Mat e Eq"/>
      <sheetName val="PC 220h-mes"/>
      <sheetName val="RESUMO"/>
    </sheetNames>
    <sheetDataSet>
      <sheetData sheetId="0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13" Type="http://schemas.openxmlformats.org/officeDocument/2006/relationships/ctrlProp" Target="../ctrlProps/ctrlProp4.xml"/><Relationship Id="rId3" Type="http://schemas.openxmlformats.org/officeDocument/2006/relationships/hyperlink" Target="http://www3.mte.gov.br/sistemas/mediador/ConsultarInstColetivo" TargetMode="External"/><Relationship Id="rId7" Type="http://schemas.openxmlformats.org/officeDocument/2006/relationships/printerSettings" Target="../printerSettings/printerSettings1.bin"/><Relationship Id="rId12" Type="http://schemas.openxmlformats.org/officeDocument/2006/relationships/ctrlProp" Target="../ctrlProps/ctrlProp3.xml"/><Relationship Id="rId2" Type="http://schemas.openxmlformats.org/officeDocument/2006/relationships/hyperlink" Target="http://www3.mte.gov.br/sistemas/mediador/ConsultarInstColetivo" TargetMode="External"/><Relationship Id="rId1" Type="http://schemas.openxmlformats.org/officeDocument/2006/relationships/hyperlink" Target="http://www3.mte.gov.br/sistemas/mediador/ConsultarInstColetivo" TargetMode="External"/><Relationship Id="rId6" Type="http://schemas.openxmlformats.org/officeDocument/2006/relationships/hyperlink" Target="http://www3.mte.gov.br/sistemas/mediador/ConsultarInstColetivo" TargetMode="External"/><Relationship Id="rId11" Type="http://schemas.openxmlformats.org/officeDocument/2006/relationships/ctrlProp" Target="../ctrlProps/ctrlProp2.xml"/><Relationship Id="rId5" Type="http://schemas.openxmlformats.org/officeDocument/2006/relationships/hyperlink" Target="http://www3.mte.gov.br/sistemas/mediador/ConsultarInstColetivo" TargetMode="External"/><Relationship Id="rId10" Type="http://schemas.openxmlformats.org/officeDocument/2006/relationships/ctrlProp" Target="../ctrlProps/ctrlProp1.xml"/><Relationship Id="rId4" Type="http://schemas.openxmlformats.org/officeDocument/2006/relationships/hyperlink" Target="http://www3.mte.gov.br/sistemas/mediador/ConsultarInstColetivo" TargetMode="External"/><Relationship Id="rId9" Type="http://schemas.openxmlformats.org/officeDocument/2006/relationships/vmlDrawing" Target="../drawings/vmlDrawing1.vml"/><Relationship Id="rId14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s://bi.mte.gov.br/bgcaged/" TargetMode="External"/><Relationship Id="rId1" Type="http://schemas.openxmlformats.org/officeDocument/2006/relationships/hyperlink" Target="https://pesquisa.apps.tcu.gov.br/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pageSetUpPr fitToPage="1"/>
  </sheetPr>
  <dimension ref="A1:AW191"/>
  <sheetViews>
    <sheetView showGridLines="0" zoomScaleNormal="100" workbookViewId="0">
      <selection activeCell="E149" sqref="E149"/>
    </sheetView>
  </sheetViews>
  <sheetFormatPr defaultColWidth="9.140625" defaultRowHeight="15"/>
  <cols>
    <col min="1" max="1" width="2.140625" style="1" customWidth="1"/>
    <col min="2" max="2" width="4.28515625" style="97" customWidth="1"/>
    <col min="3" max="3" width="57.140625" style="9" customWidth="1"/>
    <col min="4" max="4" width="17.140625" style="10" customWidth="1"/>
    <col min="5" max="5" width="17.140625" style="9" customWidth="1"/>
    <col min="6" max="14" width="17.140625" style="1" customWidth="1"/>
    <col min="15" max="49" width="9.140625" style="316"/>
    <col min="50" max="16384" width="9.140625" style="1"/>
  </cols>
  <sheetData>
    <row r="1" spans="1:49" customFormat="1" ht="11.25" customHeight="1">
      <c r="A1" s="52"/>
      <c r="B1" s="96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</row>
    <row r="2" spans="1:49" customFormat="1" ht="57" customHeight="1">
      <c r="A2" s="724" t="str">
        <f>CONCATENATE("PREFEITURA MUNICIPAL DE PORTO ALEGRE
",D5,"
FORMAÇÃO DE PREÇOS DE REFERÊNCIA - CESSÃO DE MÃO DE OBRA")</f>
        <v>PREFEITURA MUNICIPAL DE PORTO ALEGRE
SECRETARIA DE DESENVOLVIMENTO SOCIAL
FORMAÇÃO DE PREÇOS DE REFERÊNCIA - CESSÃO DE MÃO DE OBRA</v>
      </c>
      <c r="B2" s="725"/>
      <c r="C2" s="725"/>
      <c r="D2" s="725"/>
      <c r="E2" s="725"/>
      <c r="F2" s="725"/>
      <c r="G2" s="725"/>
      <c r="H2" s="725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</row>
    <row r="3" spans="1:49" customFormat="1" ht="18.75" customHeight="1">
      <c r="A3" s="22"/>
      <c r="B3" s="1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</row>
    <row r="4" spans="1:49" customFormat="1" ht="15" customHeight="1">
      <c r="A4" s="1"/>
      <c r="B4" s="103"/>
      <c r="C4" s="104"/>
      <c r="D4" s="141"/>
      <c r="E4" s="133"/>
      <c r="G4" s="11"/>
      <c r="H4" s="11"/>
      <c r="I4" s="11"/>
      <c r="J4" s="11"/>
      <c r="K4" s="11"/>
      <c r="L4" s="11"/>
      <c r="M4" s="11"/>
      <c r="N4" s="11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</row>
    <row r="5" spans="1:49" customFormat="1" ht="15.75" customHeight="1">
      <c r="A5" s="1"/>
      <c r="B5" s="131" t="s">
        <v>2</v>
      </c>
      <c r="C5" s="132" t="s">
        <v>331</v>
      </c>
      <c r="D5" s="726" t="s">
        <v>302</v>
      </c>
      <c r="E5" s="726"/>
      <c r="F5" s="1"/>
      <c r="G5" s="54"/>
      <c r="H5" s="55">
        <v>3</v>
      </c>
      <c r="I5" s="55">
        <v>4</v>
      </c>
      <c r="J5" s="55">
        <v>5</v>
      </c>
      <c r="K5" s="55">
        <v>6</v>
      </c>
      <c r="L5" s="55">
        <v>7</v>
      </c>
      <c r="M5" s="55">
        <v>8</v>
      </c>
      <c r="N5" s="55">
        <v>9</v>
      </c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</row>
    <row r="6" spans="1:49" customFormat="1">
      <c r="A6" s="1"/>
      <c r="B6" s="130" t="s">
        <v>1</v>
      </c>
      <c r="C6" s="132" t="s">
        <v>235</v>
      </c>
      <c r="D6" s="727"/>
      <c r="E6" s="727"/>
      <c r="F6" s="1"/>
      <c r="G6" s="22"/>
      <c r="H6" s="83"/>
      <c r="I6" s="83"/>
      <c r="J6" s="83"/>
      <c r="K6" s="83"/>
      <c r="L6" s="83"/>
      <c r="M6" s="83"/>
      <c r="N6" s="83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</row>
    <row r="7" spans="1:49" customFormat="1">
      <c r="A7" s="1"/>
      <c r="B7" s="131" t="s">
        <v>0</v>
      </c>
      <c r="C7" s="132" t="s">
        <v>234</v>
      </c>
      <c r="D7" s="727" t="s">
        <v>606</v>
      </c>
      <c r="E7" s="727"/>
      <c r="F7" s="1"/>
      <c r="G7" s="22"/>
      <c r="H7" s="83"/>
      <c r="I7" s="83"/>
      <c r="J7" s="83"/>
      <c r="K7" s="83"/>
      <c r="L7" s="83"/>
      <c r="M7" s="83"/>
      <c r="N7" s="83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</row>
    <row r="8" spans="1:49" customFormat="1">
      <c r="A8" s="1"/>
      <c r="B8" s="130" t="s">
        <v>3</v>
      </c>
      <c r="C8" s="132" t="s">
        <v>233</v>
      </c>
      <c r="D8" s="726" t="s">
        <v>607</v>
      </c>
      <c r="E8" s="726"/>
      <c r="F8" s="1"/>
      <c r="G8" s="84"/>
      <c r="H8" s="83"/>
      <c r="I8" s="83"/>
      <c r="J8" s="83"/>
      <c r="K8" s="83"/>
      <c r="L8" s="83"/>
      <c r="M8" s="83"/>
      <c r="N8" s="83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</row>
    <row r="9" spans="1:49" customFormat="1">
      <c r="B9" s="131" t="s">
        <v>7</v>
      </c>
      <c r="C9" s="132" t="s">
        <v>569</v>
      </c>
      <c r="D9" s="723" t="s">
        <v>608</v>
      </c>
      <c r="E9" s="723"/>
      <c r="F9" s="1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</row>
    <row r="10" spans="1:49" customFormat="1">
      <c r="A10" s="1"/>
      <c r="B10" s="130" t="s">
        <v>6</v>
      </c>
      <c r="C10" s="9" t="s">
        <v>570</v>
      </c>
      <c r="D10" s="714">
        <v>45505</v>
      </c>
      <c r="E10" s="714"/>
      <c r="F10" s="1"/>
      <c r="G10" s="1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</row>
    <row r="11" spans="1:49" customFormat="1">
      <c r="A11" s="1"/>
      <c r="B11" s="130" t="s">
        <v>5</v>
      </c>
      <c r="C11" s="132" t="s">
        <v>549</v>
      </c>
      <c r="D11" s="715" t="s">
        <v>362</v>
      </c>
      <c r="E11" s="715"/>
      <c r="F11" s="1"/>
      <c r="G11" s="1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</row>
    <row r="12" spans="1:49" customFormat="1">
      <c r="B12" s="131" t="s">
        <v>4</v>
      </c>
      <c r="C12" s="132" t="s">
        <v>504</v>
      </c>
      <c r="D12" s="716">
        <v>12</v>
      </c>
      <c r="E12" s="716"/>
      <c r="F12" s="1"/>
      <c r="G12" s="1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</row>
    <row r="13" spans="1:49">
      <c r="B13" s="130" t="s">
        <v>142</v>
      </c>
      <c r="C13" s="132" t="s">
        <v>74</v>
      </c>
      <c r="D13" s="715" t="s">
        <v>61</v>
      </c>
      <c r="E13" s="715"/>
    </row>
    <row r="14" spans="1:49">
      <c r="B14" s="131" t="s">
        <v>169</v>
      </c>
      <c r="C14" s="132" t="s">
        <v>355</v>
      </c>
      <c r="D14" s="717"/>
      <c r="E14" s="717"/>
    </row>
    <row r="15" spans="1:49">
      <c r="B15" s="131" t="s">
        <v>281</v>
      </c>
      <c r="C15" s="132" t="s">
        <v>408</v>
      </c>
      <c r="D15" s="718">
        <v>1412</v>
      </c>
      <c r="E15" s="719"/>
    </row>
    <row r="16" spans="1:49">
      <c r="A16" s="49"/>
      <c r="B16" s="326"/>
      <c r="C16" s="327"/>
      <c r="D16" s="328"/>
      <c r="E16" s="327"/>
      <c r="F16" s="140"/>
      <c r="G16" s="140"/>
      <c r="H16" s="140"/>
      <c r="I16" s="140"/>
      <c r="J16" s="140"/>
      <c r="K16" s="140"/>
      <c r="L16" s="140"/>
      <c r="M16" s="140"/>
      <c r="N16" s="140"/>
    </row>
    <row r="17" spans="1:49" s="12" customFormat="1">
      <c r="A17" s="85"/>
      <c r="B17" s="103"/>
      <c r="C17" s="104" t="s">
        <v>232</v>
      </c>
      <c r="D17" s="141"/>
      <c r="E17" s="423" t="s">
        <v>506</v>
      </c>
      <c r="F17" s="423" t="s">
        <v>507</v>
      </c>
      <c r="G17" s="423" t="s">
        <v>508</v>
      </c>
      <c r="H17" s="423" t="s">
        <v>509</v>
      </c>
      <c r="I17" s="423" t="s">
        <v>510</v>
      </c>
      <c r="J17" s="423" t="s">
        <v>557</v>
      </c>
      <c r="K17" s="423" t="s">
        <v>558</v>
      </c>
      <c r="L17" s="423" t="s">
        <v>559</v>
      </c>
      <c r="M17" s="423" t="s">
        <v>560</v>
      </c>
      <c r="N17" s="423" t="s">
        <v>561</v>
      </c>
      <c r="O17" s="314"/>
      <c r="P17" s="314"/>
      <c r="Q17" s="314"/>
      <c r="R17" s="314"/>
      <c r="S17" s="314"/>
      <c r="T17" s="314"/>
      <c r="U17" s="314"/>
      <c r="V17" s="314"/>
      <c r="W17" s="314"/>
      <c r="X17" s="314"/>
      <c r="Y17" s="314"/>
      <c r="Z17" s="314"/>
      <c r="AA17" s="314"/>
      <c r="AB17" s="314"/>
      <c r="AC17" s="314"/>
      <c r="AD17" s="314"/>
      <c r="AE17" s="314"/>
      <c r="AF17" s="314"/>
      <c r="AG17" s="314"/>
      <c r="AH17" s="314"/>
      <c r="AI17" s="314"/>
      <c r="AJ17" s="314"/>
      <c r="AK17" s="314"/>
      <c r="AL17" s="314"/>
      <c r="AM17" s="314"/>
      <c r="AN17" s="314"/>
      <c r="AO17" s="314"/>
      <c r="AP17" s="314"/>
      <c r="AQ17" s="314"/>
      <c r="AR17" s="314"/>
      <c r="AS17" s="314"/>
      <c r="AT17" s="314"/>
      <c r="AU17" s="314"/>
      <c r="AV17" s="314"/>
      <c r="AW17" s="314"/>
    </row>
    <row r="18" spans="1:49" s="75" customFormat="1" ht="45">
      <c r="A18" s="118"/>
      <c r="B18" s="129" t="s">
        <v>2</v>
      </c>
      <c r="C18" s="137" t="s">
        <v>358</v>
      </c>
      <c r="D18" s="134"/>
      <c r="E18" s="121" t="s">
        <v>609</v>
      </c>
      <c r="F18" s="121" t="s">
        <v>610</v>
      </c>
      <c r="G18" s="121" t="s">
        <v>611</v>
      </c>
      <c r="H18" s="121"/>
      <c r="I18" s="121"/>
      <c r="J18" s="121"/>
      <c r="K18" s="121"/>
      <c r="L18" s="121"/>
      <c r="M18" s="121"/>
      <c r="N18" s="121"/>
      <c r="O18" s="315"/>
      <c r="P18" s="315"/>
      <c r="Q18" s="315"/>
      <c r="R18" s="315"/>
      <c r="S18" s="315"/>
      <c r="T18" s="315"/>
      <c r="U18" s="315"/>
      <c r="V18" s="315"/>
      <c r="W18" s="315"/>
      <c r="X18" s="315"/>
      <c r="Y18" s="315"/>
      <c r="Z18" s="315"/>
      <c r="AA18" s="315"/>
      <c r="AB18" s="315"/>
      <c r="AC18" s="315"/>
      <c r="AD18" s="315"/>
      <c r="AE18" s="315"/>
      <c r="AF18" s="315"/>
      <c r="AG18" s="315"/>
      <c r="AH18" s="315"/>
      <c r="AI18" s="315"/>
      <c r="AJ18" s="315"/>
      <c r="AK18" s="315"/>
      <c r="AL18" s="315"/>
      <c r="AM18" s="315"/>
      <c r="AN18" s="315"/>
      <c r="AO18" s="315"/>
      <c r="AP18" s="315"/>
      <c r="AQ18" s="315"/>
      <c r="AR18" s="315"/>
      <c r="AS18" s="315"/>
      <c r="AT18" s="315"/>
      <c r="AU18" s="315"/>
      <c r="AV18" s="315"/>
      <c r="AW18" s="315"/>
    </row>
    <row r="19" spans="1:49">
      <c r="A19" s="119"/>
      <c r="B19" s="130" t="s">
        <v>1</v>
      </c>
      <c r="C19" s="138" t="s">
        <v>82</v>
      </c>
      <c r="D19" s="135"/>
      <c r="E19" s="122">
        <v>7156</v>
      </c>
      <c r="F19" s="122">
        <v>5143</v>
      </c>
      <c r="G19" s="122">
        <v>5143</v>
      </c>
      <c r="H19" s="122" t="str">
        <f>IFERROR(VLOOKUP(H$18,'Apoio - Posto'!$A:$J,2,FALSE),"")</f>
        <v/>
      </c>
      <c r="I19" s="122" t="str">
        <f>IFERROR(VLOOKUP(I$18,'Apoio - Posto'!$A:$J,2,FALSE),"")</f>
        <v/>
      </c>
      <c r="J19" s="122" t="str">
        <f>IFERROR(VLOOKUP(J$18,'Apoio - Posto'!$A:$J,2,FALSE),"")</f>
        <v/>
      </c>
      <c r="K19" s="122" t="str">
        <f>IFERROR(VLOOKUP(K$18,'Apoio - Posto'!$A:$J,2,FALSE),"")</f>
        <v/>
      </c>
      <c r="L19" s="122" t="str">
        <f>IFERROR(VLOOKUP(L$18,'Apoio - Posto'!$A:$J,2,FALSE),"")</f>
        <v/>
      </c>
      <c r="M19" s="122" t="str">
        <f>IFERROR(VLOOKUP(M$18,'Apoio - Posto'!$A:$J,2,FALSE),"")</f>
        <v/>
      </c>
      <c r="N19" s="122" t="str">
        <f>IFERROR(VLOOKUP(N$18,'Apoio - Posto'!$A:$J,2,FALSE),"")</f>
        <v/>
      </c>
    </row>
    <row r="20" spans="1:49">
      <c r="A20" s="120"/>
      <c r="B20" s="131" t="s">
        <v>0</v>
      </c>
      <c r="C20" s="139" t="s">
        <v>17</v>
      </c>
      <c r="D20" s="136"/>
      <c r="E20" s="123">
        <v>2162.6</v>
      </c>
      <c r="F20" s="123">
        <v>2162.6</v>
      </c>
      <c r="G20" s="123">
        <v>1830.4</v>
      </c>
      <c r="H20" s="123" t="str">
        <f>IFERROR(VLOOKUP(H$18,'Apoio - Posto'!$A:$AA,7,FALSE),"")</f>
        <v/>
      </c>
      <c r="I20" s="123" t="str">
        <f>IFERROR(VLOOKUP(I$18,'Apoio - Posto'!$A:$AA,7,FALSE),"")</f>
        <v/>
      </c>
      <c r="J20" s="123" t="str">
        <f>IFERROR(VLOOKUP(J$18,'Apoio - Posto'!$A:$AA,7,FALSE),"")</f>
        <v/>
      </c>
      <c r="K20" s="123" t="str">
        <f>IFERROR(VLOOKUP(K$18,'Apoio - Posto'!$A:$AA,7,FALSE),"")</f>
        <v/>
      </c>
      <c r="L20" s="123" t="str">
        <f>IFERROR(VLOOKUP(L$18,'Apoio - Posto'!$A:$AA,7,FALSE),"")</f>
        <v/>
      </c>
      <c r="M20" s="123" t="str">
        <f>IFERROR(VLOOKUP(M$18,'Apoio - Posto'!$A:$AA,7,FALSE),"")</f>
        <v/>
      </c>
      <c r="N20" s="123" t="str">
        <f>IFERROR(VLOOKUP(N$18,'Apoio - Posto'!$A:$AA,7,FALSE),"")</f>
        <v/>
      </c>
    </row>
    <row r="21" spans="1:49">
      <c r="A21" s="119"/>
      <c r="B21" s="130" t="s">
        <v>3</v>
      </c>
      <c r="C21" s="138" t="s">
        <v>575</v>
      </c>
      <c r="D21" s="135"/>
      <c r="E21" s="124">
        <v>220</v>
      </c>
      <c r="F21" s="124">
        <v>220</v>
      </c>
      <c r="G21" s="124">
        <v>220</v>
      </c>
      <c r="H21" s="124" t="str">
        <f>IFERROR(VLOOKUP(H$18,'Apoio - Posto'!$A:$AA,8,FALSE),"")</f>
        <v/>
      </c>
      <c r="I21" s="124" t="str">
        <f>IFERROR(VLOOKUP(I$18,'Apoio - Posto'!$A:$AA,8,FALSE),"")</f>
        <v/>
      </c>
      <c r="J21" s="124" t="str">
        <f>IFERROR(VLOOKUP(J$18,'Apoio - Posto'!$A:$AA,8,FALSE),"")</f>
        <v/>
      </c>
      <c r="K21" s="124" t="str">
        <f>IFERROR(VLOOKUP(K$18,'Apoio - Posto'!$A:$AA,8,FALSE),"")</f>
        <v/>
      </c>
      <c r="L21" s="124" t="str">
        <f>IFERROR(VLOOKUP(L$18,'Apoio - Posto'!$A:$AA,8,FALSE),"")</f>
        <v/>
      </c>
      <c r="M21" s="124" t="str">
        <f>IFERROR(VLOOKUP(M$18,'Apoio - Posto'!$A:$AA,8,FALSE),"")</f>
        <v/>
      </c>
      <c r="N21" s="124" t="str">
        <f>IFERROR(VLOOKUP(N$18,'Apoio - Posto'!$A:$AA,8,FALSE),"")</f>
        <v/>
      </c>
    </row>
    <row r="22" spans="1:49">
      <c r="A22" s="120"/>
      <c r="B22" s="131" t="s">
        <v>7</v>
      </c>
      <c r="C22" s="139" t="s">
        <v>18</v>
      </c>
      <c r="D22" s="136"/>
      <c r="E22" s="542" t="s">
        <v>612</v>
      </c>
      <c r="F22" s="542" t="s">
        <v>613</v>
      </c>
      <c r="G22" s="542" t="s">
        <v>613</v>
      </c>
      <c r="H22" s="542" t="str">
        <f>IFERROR(VLOOKUP(H$18,'Apoio - Posto'!$A:$J,3,FALSE),"")</f>
        <v/>
      </c>
      <c r="I22" s="542" t="str">
        <f>IFERROR(VLOOKUP(I$18,'Apoio - Posto'!$A:$J,3,FALSE),"")</f>
        <v/>
      </c>
      <c r="J22" s="542" t="str">
        <f>IFERROR(VLOOKUP(J$18,'Apoio - Posto'!$A:$J,3,FALSE),"")</f>
        <v/>
      </c>
      <c r="K22" s="542" t="str">
        <f>IFERROR(VLOOKUP(K$18,'Apoio - Posto'!$A:$J,3,FALSE),"")</f>
        <v/>
      </c>
      <c r="L22" s="542" t="str">
        <f>IFERROR(VLOOKUP(L$18,'Apoio - Posto'!$A:$J,3,FALSE),"")</f>
        <v/>
      </c>
      <c r="M22" s="542" t="str">
        <f>IFERROR(VLOOKUP(M$18,'Apoio - Posto'!$A:$J,3,FALSE),"")</f>
        <v/>
      </c>
      <c r="N22" s="542" t="str">
        <f>IFERROR(VLOOKUP(N$18,'Apoio - Posto'!$A:$J,3,FALSE),"")</f>
        <v/>
      </c>
    </row>
    <row r="23" spans="1:49">
      <c r="A23" s="119"/>
      <c r="B23" s="130" t="s">
        <v>6</v>
      </c>
      <c r="C23" s="138" t="s">
        <v>80</v>
      </c>
      <c r="D23" s="135"/>
      <c r="E23" s="125">
        <v>45444</v>
      </c>
      <c r="F23" s="125">
        <v>45444</v>
      </c>
      <c r="G23" s="125">
        <v>45444</v>
      </c>
      <c r="H23" s="125" t="str">
        <f>IFERROR(VLOOKUP(H$18,'Apoio - Posto'!$A:$J,5,FALSE),"")</f>
        <v/>
      </c>
      <c r="I23" s="125" t="str">
        <f>IFERROR(VLOOKUP(I$18,'Apoio - Posto'!$A:$J,5,FALSE),"")</f>
        <v/>
      </c>
      <c r="J23" s="125" t="str">
        <f>IFERROR(VLOOKUP(J$18,'Apoio - Posto'!$A:$J,5,FALSE),"")</f>
        <v/>
      </c>
      <c r="K23" s="125" t="str">
        <f>IFERROR(VLOOKUP(K$18,'Apoio - Posto'!$A:$J,5,FALSE),"")</f>
        <v/>
      </c>
      <c r="L23" s="125" t="str">
        <f>IFERROR(VLOOKUP(L$18,'Apoio - Posto'!$A:$J,5,FALSE),"")</f>
        <v/>
      </c>
      <c r="M23" s="125" t="str">
        <f>IFERROR(VLOOKUP(M$18,'Apoio - Posto'!$A:$J,5,FALSE),"")</f>
        <v/>
      </c>
      <c r="N23" s="125" t="str">
        <f>IFERROR(VLOOKUP(N$18,'Apoio - Posto'!$A:$J,5,FALSE),"")</f>
        <v/>
      </c>
    </row>
    <row r="24" spans="1:49">
      <c r="A24" s="120"/>
      <c r="B24" s="131" t="s">
        <v>5</v>
      </c>
      <c r="C24" s="139" t="s">
        <v>81</v>
      </c>
      <c r="D24" s="136"/>
      <c r="E24" s="536" t="s">
        <v>614</v>
      </c>
      <c r="F24" s="536" t="s">
        <v>615</v>
      </c>
      <c r="G24" s="536" t="s">
        <v>615</v>
      </c>
      <c r="H24" s="536" t="str">
        <f>IFERROR(VLOOKUP(H$18,'Apoio - Posto'!$A:$J,4,FALSE),"")</f>
        <v/>
      </c>
      <c r="I24" s="536" t="str">
        <f>IFERROR(VLOOKUP(I$18,'Apoio - Posto'!$A:$J,4,FALSE),"")</f>
        <v/>
      </c>
      <c r="J24" s="536" t="str">
        <f>IFERROR(VLOOKUP(J$18,'Apoio - Posto'!$A:$J,4,FALSE),"")</f>
        <v/>
      </c>
      <c r="K24" s="536" t="str">
        <f>IFERROR(VLOOKUP(K$18,'Apoio - Posto'!$A:$J,4,FALSE),"")</f>
        <v/>
      </c>
      <c r="L24" s="536" t="str">
        <f>IFERROR(VLOOKUP(L$18,'Apoio - Posto'!$A:$J,4,FALSE),"")</f>
        <v/>
      </c>
      <c r="M24" s="536" t="str">
        <f>IFERROR(VLOOKUP(M$18,'Apoio - Posto'!$A:$J,4,FALSE),"")</f>
        <v/>
      </c>
      <c r="N24" s="536" t="str">
        <f>IFERROR(VLOOKUP(N$18,'Apoio - Posto'!$A:$J,4,FALSE),"")</f>
        <v/>
      </c>
    </row>
    <row r="25" spans="1:49">
      <c r="A25" s="120"/>
      <c r="B25" s="130" t="s">
        <v>4</v>
      </c>
      <c r="C25" s="138" t="s">
        <v>567</v>
      </c>
      <c r="D25" s="135"/>
      <c r="E25" s="127" t="s">
        <v>616</v>
      </c>
      <c r="F25" s="127" t="s">
        <v>616</v>
      </c>
      <c r="G25" s="127" t="s">
        <v>616</v>
      </c>
      <c r="H25" s="127"/>
      <c r="I25" s="127"/>
      <c r="J25" s="127"/>
      <c r="K25" s="127"/>
      <c r="L25" s="127"/>
      <c r="M25" s="127"/>
      <c r="N25" s="127"/>
    </row>
    <row r="26" spans="1:49">
      <c r="A26" s="119"/>
      <c r="B26" s="131" t="s">
        <v>142</v>
      </c>
      <c r="C26" s="139" t="s">
        <v>576</v>
      </c>
      <c r="D26" s="136"/>
      <c r="E26" s="126" t="s">
        <v>601</v>
      </c>
      <c r="F26" s="126" t="s">
        <v>601</v>
      </c>
      <c r="G26" s="126" t="s">
        <v>601</v>
      </c>
      <c r="H26" s="126"/>
      <c r="I26" s="126"/>
      <c r="J26" s="126"/>
      <c r="K26" s="126"/>
      <c r="L26" s="126"/>
      <c r="M26" s="126"/>
      <c r="N26" s="126"/>
    </row>
    <row r="27" spans="1:49">
      <c r="A27" s="120"/>
      <c r="B27" s="131" t="s">
        <v>169</v>
      </c>
      <c r="C27" s="138" t="s">
        <v>566</v>
      </c>
      <c r="D27" s="135"/>
      <c r="E27" s="122">
        <v>1</v>
      </c>
      <c r="F27" s="122">
        <v>1</v>
      </c>
      <c r="G27" s="122">
        <v>1</v>
      </c>
      <c r="H27" s="122"/>
      <c r="I27" s="122"/>
      <c r="J27" s="122"/>
      <c r="K27" s="122"/>
      <c r="L27" s="122"/>
      <c r="M27" s="122"/>
      <c r="N27" s="122"/>
    </row>
    <row r="28" spans="1:49">
      <c r="A28" s="119"/>
      <c r="B28" s="130" t="s">
        <v>281</v>
      </c>
      <c r="C28" s="138" t="s">
        <v>564</v>
      </c>
      <c r="D28" s="135"/>
      <c r="E28" s="122">
        <f>IFERROR(VLOOKUP(E26,'Apoio - Regime de Trabalho'!$A:$I,2,FALSE),"")</f>
        <v>1</v>
      </c>
      <c r="F28" s="122">
        <f>IFERROR(VLOOKUP(F26,'Apoio - Regime de Trabalho'!$A:$I,2,FALSE),"")</f>
        <v>1</v>
      </c>
      <c r="G28" s="122">
        <f>IFERROR(VLOOKUP(G26,'Apoio - Regime de Trabalho'!$A:$I,2,FALSE),"")</f>
        <v>1</v>
      </c>
      <c r="H28" s="122" t="str">
        <f>IFERROR(VLOOKUP(H26,'Apoio - Regime de Trabalho'!$A:$I,2,FALSE),"")</f>
        <v/>
      </c>
      <c r="I28" s="122" t="str">
        <f>IFERROR(VLOOKUP(I26,'Apoio - Regime de Trabalho'!$A:$I,2,FALSE),"")</f>
        <v/>
      </c>
      <c r="J28" s="122" t="str">
        <f>IFERROR(VLOOKUP(J26,'Apoio - Regime de Trabalho'!$A:$I,2,FALSE),"")</f>
        <v/>
      </c>
      <c r="K28" s="122" t="str">
        <f>IFERROR(VLOOKUP(K26,'Apoio - Regime de Trabalho'!$A:$I,2,FALSE),"")</f>
        <v/>
      </c>
      <c r="L28" s="122" t="str">
        <f>IFERROR(VLOOKUP(L26,'Apoio - Regime de Trabalho'!$A:$I,2,FALSE),"")</f>
        <v/>
      </c>
      <c r="M28" s="122" t="str">
        <f>IFERROR(VLOOKUP(M26,'Apoio - Regime de Trabalho'!$A:$I,2,FALSE),"")</f>
        <v/>
      </c>
      <c r="N28" s="122" t="str">
        <f>IFERROR(VLOOKUP(N26,'Apoio - Regime de Trabalho'!$A:$I,2,FALSE),"")</f>
        <v/>
      </c>
    </row>
    <row r="29" spans="1:49">
      <c r="A29" s="119"/>
      <c r="B29" s="130" t="s">
        <v>359</v>
      </c>
      <c r="C29" s="138" t="s">
        <v>565</v>
      </c>
      <c r="D29" s="135"/>
      <c r="E29" s="122">
        <f>IFERROR(IF(E18="","",E28*E27),"")</f>
        <v>1</v>
      </c>
      <c r="F29" s="122">
        <f>IFERROR(IF(F18="","",F28*F27),"")</f>
        <v>1</v>
      </c>
      <c r="G29" s="122">
        <f>IFERROR(IF(G18="","",G28*G27),"")</f>
        <v>1</v>
      </c>
      <c r="H29" s="122" t="str">
        <f>IFERROR(IF(H18="","",H28*H27),"")</f>
        <v/>
      </c>
      <c r="I29" s="122" t="str">
        <f t="shared" ref="I29:N29" si="0">IFERROR(IF(I18="","",I28*I27),"")</f>
        <v/>
      </c>
      <c r="J29" s="122" t="str">
        <f t="shared" si="0"/>
        <v/>
      </c>
      <c r="K29" s="122" t="str">
        <f t="shared" si="0"/>
        <v/>
      </c>
      <c r="L29" s="122" t="str">
        <f t="shared" si="0"/>
        <v/>
      </c>
      <c r="M29" s="122" t="str">
        <f t="shared" si="0"/>
        <v/>
      </c>
      <c r="N29" s="122" t="str">
        <f t="shared" si="0"/>
        <v/>
      </c>
    </row>
    <row r="30" spans="1:49">
      <c r="B30" s="98"/>
      <c r="C30" s="142"/>
      <c r="D30" s="143"/>
      <c r="E30" s="144"/>
      <c r="F30" s="144"/>
      <c r="G30" s="144"/>
      <c r="H30" s="144"/>
      <c r="I30" s="144"/>
      <c r="J30" s="144"/>
      <c r="K30" s="144"/>
      <c r="L30" s="144"/>
      <c r="M30" s="144"/>
      <c r="N30" s="144"/>
    </row>
    <row r="31" spans="1:49" s="12" customFormat="1">
      <c r="A31" s="86"/>
      <c r="B31" s="103"/>
      <c r="C31" s="104" t="s">
        <v>229</v>
      </c>
      <c r="D31" s="105"/>
      <c r="E31" s="395"/>
      <c r="F31" s="395"/>
      <c r="G31" s="395"/>
      <c r="H31" s="395"/>
      <c r="I31" s="395"/>
      <c r="J31" s="395"/>
      <c r="K31" s="395"/>
      <c r="L31" s="395"/>
      <c r="M31" s="395"/>
      <c r="N31" s="395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  <c r="Z31" s="314"/>
      <c r="AA31" s="314"/>
      <c r="AB31" s="314"/>
      <c r="AC31" s="314"/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4"/>
      <c r="AO31" s="314"/>
      <c r="AP31" s="314"/>
      <c r="AQ31" s="314"/>
      <c r="AR31" s="314"/>
      <c r="AS31" s="314"/>
      <c r="AT31" s="314"/>
      <c r="AU31" s="314"/>
      <c r="AV31" s="314"/>
      <c r="AW31" s="314"/>
    </row>
    <row r="32" spans="1:49">
      <c r="A32" s="100"/>
      <c r="B32" s="200" t="s">
        <v>2</v>
      </c>
      <c r="C32" s="193" t="s">
        <v>241</v>
      </c>
      <c r="D32" s="245"/>
      <c r="E32" s="113">
        <f>IFERROR(E20*VLOOKUP(E26,'Apoio - Regime de Trabalho'!$A:$I,8,FALSE)/(E21),"")</f>
        <v>2162.6</v>
      </c>
      <c r="F32" s="113">
        <f>IFERROR(F20*VLOOKUP(F26,'Apoio - Regime de Trabalho'!$A:$I,8,FALSE)/(F21),"")</f>
        <v>2162.6</v>
      </c>
      <c r="G32" s="113">
        <f>IFERROR(G20*VLOOKUP(G26,'Apoio - Regime de Trabalho'!$A:$I,8,FALSE)/(G21),"")</f>
        <v>1830.4</v>
      </c>
      <c r="H32" s="113" t="str">
        <f>IFERROR(H20*VLOOKUP(H26,'Apoio - Regime de Trabalho'!$A:$I,8,FALSE)/(H21),"")</f>
        <v/>
      </c>
      <c r="I32" s="113" t="str">
        <f>IFERROR(I20*VLOOKUP(I26,'Apoio - Regime de Trabalho'!$A:$I,8,FALSE)/(I21),"")</f>
        <v/>
      </c>
      <c r="J32" s="113" t="str">
        <f>IFERROR(J20*VLOOKUP(J26,'Apoio - Regime de Trabalho'!$A:$I,8,FALSE)/(J21),"")</f>
        <v/>
      </c>
      <c r="K32" s="113" t="str">
        <f>IFERROR(K20*VLOOKUP(K26,'Apoio - Regime de Trabalho'!$A:$I,8,FALSE)/(K21),"")</f>
        <v/>
      </c>
      <c r="L32" s="113" t="str">
        <f>IFERROR(L20*VLOOKUP(L26,'Apoio - Regime de Trabalho'!$A:$I,8,FALSE)/(L21),"")</f>
        <v/>
      </c>
      <c r="M32" s="113" t="str">
        <f>IFERROR(M20*VLOOKUP(M26,'Apoio - Regime de Trabalho'!$A:$I,8,FALSE)/(M21),"")</f>
        <v/>
      </c>
      <c r="N32" s="113" t="str">
        <f>IFERROR(N20*VLOOKUP(N26,'Apoio - Regime de Trabalho'!$A:$I,8,FALSE)/(N21),"")</f>
        <v/>
      </c>
    </row>
    <row r="33" spans="1:14">
      <c r="A33" s="100"/>
      <c r="B33" s="720" t="s">
        <v>1</v>
      </c>
      <c r="C33" s="244" t="s">
        <v>237</v>
      </c>
      <c r="D33" s="185"/>
      <c r="E33" s="262"/>
      <c r="F33" s="262"/>
      <c r="G33" s="262"/>
      <c r="H33" s="262"/>
      <c r="I33" s="262"/>
      <c r="J33" s="262"/>
      <c r="K33" s="262"/>
      <c r="L33" s="262"/>
      <c r="M33" s="262"/>
      <c r="N33" s="262"/>
    </row>
    <row r="34" spans="1:14">
      <c r="A34" s="100"/>
      <c r="B34" s="721"/>
      <c r="C34" s="252" t="s">
        <v>133</v>
      </c>
      <c r="D34" s="157"/>
      <c r="E34" s="263">
        <v>0.3</v>
      </c>
      <c r="F34" s="263" t="str">
        <f>IFERROR(VLOOKUP(F$18,'Apoio - Posto'!$A:$AA,15,FALSE),"")</f>
        <v/>
      </c>
      <c r="G34" s="263" t="str">
        <f>IFERROR(VLOOKUP(G$18,'Apoio - Posto'!$A:$AA,15,FALSE),"")</f>
        <v/>
      </c>
      <c r="H34" s="263" t="str">
        <f>IFERROR(VLOOKUP(H$18,'Apoio - Posto'!$A:$AA,15,FALSE),"")</f>
        <v/>
      </c>
      <c r="I34" s="263" t="str">
        <f>IFERROR(VLOOKUP(I$18,'Apoio - Posto'!$A:$AA,15,FALSE),"")</f>
        <v/>
      </c>
      <c r="J34" s="263" t="str">
        <f>IFERROR(VLOOKUP(J$18,'Apoio - Posto'!$A:$AA,15,FALSE),"")</f>
        <v/>
      </c>
      <c r="K34" s="263" t="str">
        <f>IFERROR(VLOOKUP(K$18,'Apoio - Posto'!$A:$AA,15,FALSE),"")</f>
        <v/>
      </c>
      <c r="L34" s="263" t="str">
        <f>IFERROR(VLOOKUP(L$18,'Apoio - Posto'!$A:$AA,15,FALSE),"")</f>
        <v/>
      </c>
      <c r="M34" s="263" t="str">
        <f>IFERROR(VLOOKUP(M$18,'Apoio - Posto'!$A:$AA,15,FALSE),"")</f>
        <v/>
      </c>
      <c r="N34" s="263" t="str">
        <f>IFERROR(VLOOKUP(N$18,'Apoio - Posto'!$A:$AA,15,FALSE),"")</f>
        <v/>
      </c>
    </row>
    <row r="35" spans="1:14">
      <c r="A35" s="100"/>
      <c r="B35" s="722"/>
      <c r="C35" s="246"/>
      <c r="D35" s="108" t="s">
        <v>43</v>
      </c>
      <c r="E35" s="115">
        <f>IFERROR((E32)*E34,"")</f>
        <v>648.78</v>
      </c>
      <c r="F35" s="115" t="str">
        <f t="shared" ref="F35:H35" si="1">IFERROR((F32)*F34,"")</f>
        <v/>
      </c>
      <c r="G35" s="115" t="str">
        <f t="shared" si="1"/>
        <v/>
      </c>
      <c r="H35" s="115" t="str">
        <f t="shared" si="1"/>
        <v/>
      </c>
      <c r="I35" s="115" t="str">
        <f t="shared" ref="I35:N35" si="2">IFERROR((I32)*I34,"")</f>
        <v/>
      </c>
      <c r="J35" s="115" t="str">
        <f t="shared" si="2"/>
        <v/>
      </c>
      <c r="K35" s="115" t="str">
        <f t="shared" si="2"/>
        <v/>
      </c>
      <c r="L35" s="115" t="str">
        <f t="shared" si="2"/>
        <v/>
      </c>
      <c r="M35" s="115" t="str">
        <f t="shared" si="2"/>
        <v/>
      </c>
      <c r="N35" s="115" t="str">
        <f t="shared" si="2"/>
        <v/>
      </c>
    </row>
    <row r="36" spans="1:14">
      <c r="A36" s="100"/>
      <c r="B36" s="708" t="s">
        <v>0</v>
      </c>
      <c r="C36" s="242" t="s">
        <v>238</v>
      </c>
      <c r="D36" s="243"/>
      <c r="E36" s="253"/>
      <c r="F36" s="253"/>
      <c r="G36" s="253"/>
      <c r="H36" s="253"/>
      <c r="I36" s="253"/>
      <c r="J36" s="253"/>
      <c r="K36" s="253"/>
      <c r="L36" s="253"/>
      <c r="M36" s="253"/>
      <c r="N36" s="253"/>
    </row>
    <row r="37" spans="1:14">
      <c r="A37" s="100"/>
      <c r="B37" s="708"/>
      <c r="C37" s="116" t="s">
        <v>93</v>
      </c>
      <c r="D37" s="106"/>
      <c r="E37" s="264" t="str">
        <f>IFERROR(VLOOKUP(E$18,'Apoio - Posto'!$A:$AA,14,FALSE),"")</f>
        <v/>
      </c>
      <c r="F37" s="264" t="s">
        <v>408</v>
      </c>
      <c r="G37" s="264" t="s">
        <v>408</v>
      </c>
      <c r="H37" s="264" t="str">
        <f>IFERROR(VLOOKUP(H$18,'Apoio - Posto'!$A:$AA,14,FALSE),"")</f>
        <v/>
      </c>
      <c r="I37" s="264" t="str">
        <f>IFERROR(VLOOKUP(I$18,'Apoio - Posto'!$A:$AA,14,FALSE),"")</f>
        <v/>
      </c>
      <c r="J37" s="264" t="str">
        <f>IFERROR(VLOOKUP(J$18,'Apoio - Posto'!$A:$AA,14,FALSE),"")</f>
        <v/>
      </c>
      <c r="K37" s="264" t="str">
        <f>IFERROR(VLOOKUP(K$18,'Apoio - Posto'!$A:$AA,14,FALSE),"")</f>
        <v/>
      </c>
      <c r="L37" s="264" t="str">
        <f>IFERROR(VLOOKUP(L$18,'Apoio - Posto'!$A:$AA,14,FALSE),"")</f>
        <v/>
      </c>
      <c r="M37" s="264" t="str">
        <f>IFERROR(VLOOKUP(M$18,'Apoio - Posto'!$A:$AA,14,FALSE),"")</f>
        <v/>
      </c>
      <c r="N37" s="264" t="str">
        <f>IFERROR(VLOOKUP(N$18,'Apoio - Posto'!$A:$AA,14,FALSE),"")</f>
        <v/>
      </c>
    </row>
    <row r="38" spans="1:14">
      <c r="A38" s="100"/>
      <c r="B38" s="708"/>
      <c r="C38" s="117" t="s">
        <v>94</v>
      </c>
      <c r="D38" s="107"/>
      <c r="E38" s="265"/>
      <c r="F38" s="265">
        <v>0.4</v>
      </c>
      <c r="G38" s="265">
        <v>0.4</v>
      </c>
      <c r="H38" s="265"/>
      <c r="I38" s="265"/>
      <c r="J38" s="265"/>
      <c r="K38" s="265"/>
      <c r="L38" s="265"/>
      <c r="M38" s="265"/>
      <c r="N38" s="265"/>
    </row>
    <row r="39" spans="1:14">
      <c r="A39" s="100"/>
      <c r="B39" s="709"/>
      <c r="C39" s="111"/>
      <c r="D39" s="108" t="s">
        <v>43</v>
      </c>
      <c r="E39" s="115">
        <f>IF(E20="","",IFERROR(IF(E37="Salário Base",E$32,IF(E37="Salário Mínimo",$D$15,0))*E38,""))</f>
        <v>0</v>
      </c>
      <c r="F39" s="115">
        <f t="shared" ref="F39:H39" si="3">IF(F20="","",IFERROR(IF(F37="Salário Base",F$32,IF(F37="Salário Mínimo",$D$15,0))*F38,""))</f>
        <v>564.80000000000007</v>
      </c>
      <c r="G39" s="115">
        <f t="shared" si="3"/>
        <v>564.80000000000007</v>
      </c>
      <c r="H39" s="115" t="str">
        <f t="shared" si="3"/>
        <v/>
      </c>
      <c r="I39" s="115" t="str">
        <f t="shared" ref="I39:N39" si="4">IF(I20="","",IFERROR(IF(I37="Salário Base",I$32,IF(I37="Salário Mínimo",$D$15,0))*I38,""))</f>
        <v/>
      </c>
      <c r="J39" s="115" t="str">
        <f t="shared" si="4"/>
        <v/>
      </c>
      <c r="K39" s="115" t="str">
        <f t="shared" si="4"/>
        <v/>
      </c>
      <c r="L39" s="115" t="str">
        <f t="shared" si="4"/>
        <v/>
      </c>
      <c r="M39" s="115" t="str">
        <f t="shared" si="4"/>
        <v/>
      </c>
      <c r="N39" s="115" t="str">
        <f t="shared" si="4"/>
        <v/>
      </c>
    </row>
    <row r="40" spans="1:14">
      <c r="A40" s="249"/>
      <c r="B40" s="720" t="s">
        <v>3</v>
      </c>
      <c r="C40" s="244" t="s">
        <v>84</v>
      </c>
      <c r="D40" s="156"/>
      <c r="E40" s="254"/>
      <c r="F40" s="254"/>
      <c r="G40" s="254"/>
      <c r="H40" s="254"/>
      <c r="I40" s="254"/>
      <c r="J40" s="254"/>
      <c r="K40" s="254"/>
      <c r="L40" s="254"/>
      <c r="M40" s="254"/>
      <c r="N40" s="254"/>
    </row>
    <row r="41" spans="1:14">
      <c r="A41" s="249"/>
      <c r="B41" s="721"/>
      <c r="C41" s="250" t="s">
        <v>94</v>
      </c>
      <c r="D41" s="157"/>
      <c r="E41" s="251"/>
      <c r="F41" s="251"/>
      <c r="G41" s="251"/>
      <c r="H41" s="251"/>
      <c r="I41" s="251"/>
      <c r="J41" s="251"/>
      <c r="K41" s="251"/>
      <c r="L41" s="251"/>
      <c r="M41" s="251"/>
      <c r="N41" s="251"/>
    </row>
    <row r="42" spans="1:14">
      <c r="A42" s="249"/>
      <c r="B42" s="722"/>
      <c r="C42" s="111"/>
      <c r="D42" s="108" t="s">
        <v>43</v>
      </c>
      <c r="E42" s="115">
        <f>IFERROR(E41*E$32,"")</f>
        <v>0</v>
      </c>
      <c r="F42" s="115">
        <f t="shared" ref="F42:H42" si="5">IFERROR(F41*F$32,"")</f>
        <v>0</v>
      </c>
      <c r="G42" s="115">
        <f t="shared" si="5"/>
        <v>0</v>
      </c>
      <c r="H42" s="115" t="str">
        <f t="shared" si="5"/>
        <v/>
      </c>
      <c r="I42" s="115" t="str">
        <f t="shared" ref="I42:N42" si="6">IFERROR(I41*I$32,"")</f>
        <v/>
      </c>
      <c r="J42" s="115" t="str">
        <f t="shared" si="6"/>
        <v/>
      </c>
      <c r="K42" s="115" t="str">
        <f t="shared" si="6"/>
        <v/>
      </c>
      <c r="L42" s="115" t="str">
        <f t="shared" si="6"/>
        <v/>
      </c>
      <c r="M42" s="115" t="str">
        <f t="shared" si="6"/>
        <v/>
      </c>
      <c r="N42" s="115" t="str">
        <f t="shared" si="6"/>
        <v/>
      </c>
    </row>
    <row r="43" spans="1:14">
      <c r="A43" s="100"/>
      <c r="B43" s="708" t="s">
        <v>7</v>
      </c>
      <c r="C43" s="248" t="s">
        <v>62</v>
      </c>
      <c r="D43" s="247"/>
      <c r="E43" s="255"/>
      <c r="F43" s="255"/>
      <c r="G43" s="255"/>
      <c r="H43" s="255"/>
      <c r="I43" s="255"/>
      <c r="J43" s="255"/>
      <c r="K43" s="255"/>
      <c r="L43" s="255"/>
      <c r="M43" s="255"/>
      <c r="N43" s="255"/>
    </row>
    <row r="44" spans="1:14">
      <c r="A44" s="100"/>
      <c r="B44" s="708"/>
      <c r="C44" s="116" t="s">
        <v>88</v>
      </c>
      <c r="D44" s="154"/>
      <c r="E44" s="160" t="str">
        <f>IF(AND(E19=5173,E26="12x36 Noturno"),8,"")</f>
        <v/>
      </c>
      <c r="F44" s="160" t="str">
        <f t="shared" ref="F44:H44" si="7">IF(AND(F19=5173,F26="12x36 Noturno"),8,"")</f>
        <v/>
      </c>
      <c r="G44" s="160" t="str">
        <f t="shared" si="7"/>
        <v/>
      </c>
      <c r="H44" s="160" t="str">
        <f t="shared" si="7"/>
        <v/>
      </c>
      <c r="I44" s="160" t="str">
        <f t="shared" ref="I44:N44" si="8">IF(AND(I19=5173,I26="12x36 Noturno"),8,"")</f>
        <v/>
      </c>
      <c r="J44" s="160" t="str">
        <f t="shared" si="8"/>
        <v/>
      </c>
      <c r="K44" s="160" t="str">
        <f t="shared" si="8"/>
        <v/>
      </c>
      <c r="L44" s="160" t="str">
        <f t="shared" si="8"/>
        <v/>
      </c>
      <c r="M44" s="160" t="str">
        <f t="shared" si="8"/>
        <v/>
      </c>
      <c r="N44" s="160" t="str">
        <f t="shared" si="8"/>
        <v/>
      </c>
    </row>
    <row r="45" spans="1:14">
      <c r="A45" s="100"/>
      <c r="B45" s="708"/>
      <c r="C45" s="117" t="s">
        <v>170</v>
      </c>
      <c r="D45" s="155"/>
      <c r="E45" s="161" t="str">
        <f>IF(E44="","",VLOOKUP(E26,'Apoio - Regime de Trabalho'!$A:$I,7,FALSE))</f>
        <v/>
      </c>
      <c r="F45" s="161" t="str">
        <f>IF(F44="","",VLOOKUP(F26,'Apoio - Regime de Trabalho'!$A:$I,7,FALSE))</f>
        <v/>
      </c>
      <c r="G45" s="161" t="str">
        <f>IF(G44="","",VLOOKUP(G26,'Apoio - Regime de Trabalho'!$A:$I,7,FALSE))</f>
        <v/>
      </c>
      <c r="H45" s="161" t="str">
        <f>IF(H44="","",VLOOKUP(H26,'Apoio - Regime de Trabalho'!$A:$I,7,FALSE))</f>
        <v/>
      </c>
      <c r="I45" s="161" t="str">
        <f>IF(I44="","",VLOOKUP(I26,'Apoio - Regime de Trabalho'!$A:$I,7,FALSE))</f>
        <v/>
      </c>
      <c r="J45" s="161" t="str">
        <f>IF(J44="","",VLOOKUP(J26,'Apoio - Regime de Trabalho'!$A:$I,7,FALSE))</f>
        <v/>
      </c>
      <c r="K45" s="161" t="str">
        <f>IF(K44="","",VLOOKUP(K26,'Apoio - Regime de Trabalho'!$A:$I,7,FALSE))</f>
        <v/>
      </c>
      <c r="L45" s="161" t="str">
        <f>IF(L44="","",VLOOKUP(L26,'Apoio - Regime de Trabalho'!$A:$I,7,FALSE))</f>
        <v/>
      </c>
      <c r="M45" s="161" t="str">
        <f>IF(M44="","",VLOOKUP(M26,'Apoio - Regime de Trabalho'!$A:$I,7,FALSE))</f>
        <v/>
      </c>
      <c r="N45" s="161" t="str">
        <f>IF(N44="","",VLOOKUP(N26,'Apoio - Regime de Trabalho'!$A:$I,7,FALSE))</f>
        <v/>
      </c>
    </row>
    <row r="46" spans="1:14">
      <c r="A46" s="100"/>
      <c r="B46" s="709"/>
      <c r="C46" s="102"/>
      <c r="D46" s="108" t="s">
        <v>43</v>
      </c>
      <c r="E46" s="162" t="str">
        <f>IFERROR(SUM(E$32,E$35,E$39)/(VLOOKUP(E$26,'Apoio - Regime de Trabalho'!$A:$I,8,FALSE))*20%*E$44*E$45,"")</f>
        <v/>
      </c>
      <c r="F46" s="162" t="str">
        <f>IFERROR(SUM(F$32,F$35,F$39)/(VLOOKUP(F$26,'Apoio - Regime de Trabalho'!$A:$I,8,FALSE))*20%*F$44*F$45,"")</f>
        <v/>
      </c>
      <c r="G46" s="162" t="str">
        <f>IFERROR(SUM(G$32,G$35,G$39)/(VLOOKUP(G$26,'Apoio - Regime de Trabalho'!$A:$I,8,FALSE))*20%*G$44*G$45,"")</f>
        <v/>
      </c>
      <c r="H46" s="162" t="str">
        <f>IFERROR(SUM(H$32,H$35,H$39)/(VLOOKUP(H$26,'Apoio - Regime de Trabalho'!$A:$I,8,FALSE))*20%*H$44*H$45,"")</f>
        <v/>
      </c>
      <c r="I46" s="162" t="str">
        <f>IFERROR(SUM(I$32,I$35,I$39)/(VLOOKUP(I$26,'Apoio - Regime de Trabalho'!$A:$I,8,FALSE))*20%*I$44*I$45,"")</f>
        <v/>
      </c>
      <c r="J46" s="162" t="str">
        <f>IFERROR(SUM(J$32,J$35,J$39)/(VLOOKUP(J$26,'Apoio - Regime de Trabalho'!$A:$I,8,FALSE))*20%*J$44*J$45,"")</f>
        <v/>
      </c>
      <c r="K46" s="162" t="str">
        <f>IFERROR(SUM(K$32,K$35,K$39)/(VLOOKUP(K$26,'Apoio - Regime de Trabalho'!$A:$I,8,FALSE))*20%*K$44*K$45,"")</f>
        <v/>
      </c>
      <c r="L46" s="162" t="str">
        <f>IFERROR(SUM(L$32,L$35,L$39)/(VLOOKUP(L$26,'Apoio - Regime de Trabalho'!$A:$I,8,FALSE))*20%*L$44*L$45,"")</f>
        <v/>
      </c>
      <c r="M46" s="162" t="str">
        <f>IFERROR(SUM(M$32,M$35,M$39)/(VLOOKUP(M$26,'Apoio - Regime de Trabalho'!$A:$I,8,FALSE))*20%*M$44*M$45,"")</f>
        <v/>
      </c>
      <c r="N46" s="162" t="str">
        <f>IFERROR(SUM(N$32,N$35,N$39)/(VLOOKUP(N$26,'Apoio - Regime de Trabalho'!$A:$I,8,FALSE))*20%*N$44*N$45,"")</f>
        <v/>
      </c>
    </row>
    <row r="47" spans="1:14">
      <c r="A47" s="100"/>
      <c r="B47" s="710" t="s">
        <v>6</v>
      </c>
      <c r="C47" s="150" t="s">
        <v>168</v>
      </c>
      <c r="D47" s="156"/>
      <c r="E47" s="256"/>
      <c r="F47" s="256"/>
      <c r="G47" s="256"/>
      <c r="H47" s="256"/>
      <c r="I47" s="256"/>
      <c r="J47" s="256"/>
      <c r="K47" s="256"/>
      <c r="L47" s="256"/>
      <c r="M47" s="256"/>
      <c r="N47" s="256"/>
    </row>
    <row r="48" spans="1:14">
      <c r="A48" s="145"/>
      <c r="B48" s="711"/>
      <c r="C48" s="151" t="s">
        <v>19</v>
      </c>
      <c r="D48" s="157"/>
      <c r="E48" s="164" t="str">
        <f>IF(E44="","",E45*E44*('Apoio - Notas Explicativas'!$D$9/'Apoio - Notas Explicativas'!$D$10-1)
*IF(AND(E19=5173,E26="12x36 Noturno"),0,1))</f>
        <v/>
      </c>
      <c r="F48" s="164" t="str">
        <f>IF(F44="","",F45*F44*('Apoio - Notas Explicativas'!$D$9/'Apoio - Notas Explicativas'!$D$10-1)
*IF(AND(F19=5173,F26="12x36 Noturno"),0,1))</f>
        <v/>
      </c>
      <c r="G48" s="164" t="str">
        <f>IF(G44="","",G45*G44*('Apoio - Notas Explicativas'!$D$9/'Apoio - Notas Explicativas'!$D$10-1)
*IF(AND(G19=5173,G26="12x36 Noturno"),0,1))</f>
        <v/>
      </c>
      <c r="H48" s="164" t="str">
        <f>IF(H44="","",H45*H44*('Apoio - Notas Explicativas'!$D$9/'Apoio - Notas Explicativas'!$D$10-1)
*IF(AND(H19=5173,H26="12x36 Noturno"),0,1))</f>
        <v/>
      </c>
      <c r="I48" s="164" t="str">
        <f>IF(I44="","",I45*I44*('Apoio - Notas Explicativas'!$D$9/'Apoio - Notas Explicativas'!$D$10-1)
*IF(AND(I19=5173,I26="12x36 Noturno"),0,1))</f>
        <v/>
      </c>
      <c r="J48" s="164" t="str">
        <f>IF(J44="","",J45*J44*('Apoio - Notas Explicativas'!$D$9/'Apoio - Notas Explicativas'!$D$10-1)
*IF(AND(J19=5173,J26="12x36 Noturno"),0,1))</f>
        <v/>
      </c>
      <c r="K48" s="164" t="str">
        <f>IF(K44="","",K45*K44*('Apoio - Notas Explicativas'!$D$9/'Apoio - Notas Explicativas'!$D$10-1)
*IF(AND(K19=5173,K26="12x36 Noturno"),0,1))</f>
        <v/>
      </c>
      <c r="L48" s="164" t="str">
        <f>IF(L44="","",L45*L44*('Apoio - Notas Explicativas'!$D$9/'Apoio - Notas Explicativas'!$D$10-1)
*IF(AND(L19=5173,L26="12x36 Noturno"),0,1))</f>
        <v/>
      </c>
      <c r="M48" s="164" t="str">
        <f>IF(M44="","",M45*M44*('Apoio - Notas Explicativas'!$D$9/'Apoio - Notas Explicativas'!$D$10-1)
*IF(AND(M19=5173,M26="12x36 Noturno"),0,1))</f>
        <v/>
      </c>
      <c r="N48" s="164" t="str">
        <f>IF(N44="","",N45*N44*('Apoio - Notas Explicativas'!$D$9/'Apoio - Notas Explicativas'!$D$10-1)
*IF(AND(N19=5173,N26="12x36 Noturno"),0,1))</f>
        <v/>
      </c>
    </row>
    <row r="49" spans="1:49">
      <c r="A49" s="145"/>
      <c r="B49" s="712"/>
      <c r="C49" s="114"/>
      <c r="D49" s="108" t="s">
        <v>43</v>
      </c>
      <c r="E49" s="115" t="str">
        <f>IFERROR(E48*(SUM(E$32,E$35,E$39)/(VLOOKUP(E$26,'Apoio - Regime de Trabalho'!$A:$I,8,FALSE))*120%),"")</f>
        <v/>
      </c>
      <c r="F49" s="115" t="str">
        <f>IFERROR(F48*(SUM(F$32,F$35,F$39)/(VLOOKUP(F$26,'Apoio - Regime de Trabalho'!$A:$I,8,FALSE))*120%),"")</f>
        <v/>
      </c>
      <c r="G49" s="115" t="str">
        <f>IFERROR(G48*(SUM(G$32,G$35,G$39)/(VLOOKUP(G$26,'Apoio - Regime de Trabalho'!$A:$I,8,FALSE))*120%),"")</f>
        <v/>
      </c>
      <c r="H49" s="115" t="str">
        <f>IFERROR(H48*(SUM(H$32,H$35,H$39)/(VLOOKUP(H$26,'Apoio - Regime de Trabalho'!$A:$I,8,FALSE))*120%),"")</f>
        <v/>
      </c>
      <c r="I49" s="115" t="str">
        <f>IFERROR(I48*(SUM(I$32,I$35,I$39)/(VLOOKUP(I$26,'Apoio - Regime de Trabalho'!$A:$I,8,FALSE))*120%),"")</f>
        <v/>
      </c>
      <c r="J49" s="115" t="str">
        <f>IFERROR(J48*(SUM(J$32,J$35,J$39)/(VLOOKUP(J$26,'Apoio - Regime de Trabalho'!$A:$I,8,FALSE))*120%),"")</f>
        <v/>
      </c>
      <c r="K49" s="115" t="str">
        <f>IFERROR(K48*(SUM(K$32,K$35,K$39)/(VLOOKUP(K$26,'Apoio - Regime de Trabalho'!$A:$I,8,FALSE))*120%),"")</f>
        <v/>
      </c>
      <c r="L49" s="115" t="str">
        <f>IFERROR(L48*(SUM(L$32,L$35,L$39)/(VLOOKUP(L$26,'Apoio - Regime de Trabalho'!$A:$I,8,FALSE))*120%),"")</f>
        <v/>
      </c>
      <c r="M49" s="115" t="str">
        <f>IFERROR(M48*(SUM(M$32,M$35,M$39)/(VLOOKUP(M$26,'Apoio - Regime de Trabalho'!$A:$I,8,FALSE))*120%),"")</f>
        <v/>
      </c>
      <c r="N49" s="115" t="str">
        <f>IFERROR(N48*(SUM(N$32,N$35,N$39)/(VLOOKUP(N$26,'Apoio - Regime de Trabalho'!$A:$I,8,FALSE))*120%),"")</f>
        <v/>
      </c>
    </row>
    <row r="50" spans="1:49">
      <c r="A50" s="145"/>
      <c r="B50" s="707" t="s">
        <v>5</v>
      </c>
      <c r="C50" s="175" t="s">
        <v>182</v>
      </c>
      <c r="D50" s="156"/>
      <c r="E50" s="254"/>
      <c r="F50" s="254"/>
      <c r="G50" s="254"/>
      <c r="H50" s="254"/>
      <c r="I50" s="254"/>
      <c r="J50" s="254"/>
      <c r="K50" s="254"/>
      <c r="L50" s="254"/>
      <c r="M50" s="254"/>
      <c r="N50" s="254"/>
    </row>
    <row r="51" spans="1:49">
      <c r="A51" s="100"/>
      <c r="B51" s="708"/>
      <c r="C51" s="116" t="s">
        <v>94</v>
      </c>
      <c r="D51" s="173"/>
      <c r="E51" s="174" t="str">
        <f>IF(E$26="56h (7 dias)",100%,
IF(OR(E19=7823,E19=7825),50%,""))</f>
        <v/>
      </c>
      <c r="F51" s="174" t="str">
        <f t="shared" ref="F51:H51" si="9">IF(F$26="56h (7 dias)",100%,
IF(OR(F19=7823,F19=7825),50%,""))</f>
        <v/>
      </c>
      <c r="G51" s="174" t="str">
        <f t="shared" si="9"/>
        <v/>
      </c>
      <c r="H51" s="174" t="str">
        <f t="shared" si="9"/>
        <v/>
      </c>
      <c r="I51" s="174" t="str">
        <f t="shared" ref="I51:N51" si="10">IF(I$26="56h (7 dias)",100%,
IF(OR(I19=7823,I19=7825),50%,""))</f>
        <v/>
      </c>
      <c r="J51" s="174" t="str">
        <f t="shared" si="10"/>
        <v/>
      </c>
      <c r="K51" s="174" t="str">
        <f t="shared" si="10"/>
        <v/>
      </c>
      <c r="L51" s="174" t="str">
        <f t="shared" si="10"/>
        <v/>
      </c>
      <c r="M51" s="174" t="str">
        <f t="shared" si="10"/>
        <v/>
      </c>
      <c r="N51" s="174" t="str">
        <f t="shared" si="10"/>
        <v/>
      </c>
    </row>
    <row r="52" spans="1:49">
      <c r="A52" s="100"/>
      <c r="B52" s="708"/>
      <c r="C52" s="117" t="s">
        <v>20</v>
      </c>
      <c r="D52" s="158"/>
      <c r="E52" s="165" t="str">
        <f>IF(OR(E$26="56h (7 dias)",E19=7823,E19=7825),8,"")</f>
        <v/>
      </c>
      <c r="F52" s="165" t="str">
        <f t="shared" ref="F52:H52" si="11">IF(OR(F$26="56h (7 dias)",F19=7823,F19=7825),8,"")</f>
        <v/>
      </c>
      <c r="G52" s="165" t="str">
        <f t="shared" si="11"/>
        <v/>
      </c>
      <c r="H52" s="165" t="str">
        <f t="shared" si="11"/>
        <v/>
      </c>
      <c r="I52" s="165" t="str">
        <f t="shared" ref="I52:N52" si="12">IF(OR(I$26="56h (7 dias)",I19=7823,I19=7825),8,"")</f>
        <v/>
      </c>
      <c r="J52" s="165" t="str">
        <f t="shared" si="12"/>
        <v/>
      </c>
      <c r="K52" s="165" t="str">
        <f t="shared" si="12"/>
        <v/>
      </c>
      <c r="L52" s="165" t="str">
        <f t="shared" si="12"/>
        <v/>
      </c>
      <c r="M52" s="165" t="str">
        <f t="shared" si="12"/>
        <v/>
      </c>
      <c r="N52" s="165" t="str">
        <f t="shared" si="12"/>
        <v/>
      </c>
    </row>
    <row r="53" spans="1:49">
      <c r="A53" s="100"/>
      <c r="B53" s="709"/>
      <c r="C53" s="102"/>
      <c r="D53" s="108" t="s">
        <v>43</v>
      </c>
      <c r="E53" s="110" t="str">
        <f>IFERROR(SUM(E$32,E$35,E$39,E$46)/(VLOOKUP(E$26,'Apoio - Regime de Trabalho'!$A:$I,8,FALSE))*(1+E$51)*E$52,"")</f>
        <v/>
      </c>
      <c r="F53" s="110" t="str">
        <f>IFERROR(SUM(F$32,F$35,F$39,F$46)/(VLOOKUP(F$26,'Apoio - Regime de Trabalho'!$A:$I,8,FALSE))*(1+F$51)*F$52,"")</f>
        <v/>
      </c>
      <c r="G53" s="110" t="str">
        <f>IFERROR(SUM(G$32,G$35,G$39,G$46)/(VLOOKUP(G$26,'Apoio - Regime de Trabalho'!$A:$I,8,FALSE))*(1+G$51)*G$52,"")</f>
        <v/>
      </c>
      <c r="H53" s="110" t="str">
        <f>IFERROR(SUM(H$32,H$35,H$39,H$46)/(VLOOKUP(H$26,'Apoio - Regime de Trabalho'!$A:$I,8,FALSE))*(1+H$51)*H$52,"")</f>
        <v/>
      </c>
      <c r="I53" s="110" t="str">
        <f>IFERROR(SUM(I$32,I$35,I$39,I$46)/(VLOOKUP(I$26,'Apoio - Regime de Trabalho'!$A:$I,8,FALSE))*(1+I$51)*I$52,"")</f>
        <v/>
      </c>
      <c r="J53" s="110" t="str">
        <f>IFERROR(SUM(J$32,J$35,J$39,J$46)/(VLOOKUP(J$26,'Apoio - Regime de Trabalho'!$A:$I,8,FALSE))*(1+J$51)*J$52,"")</f>
        <v/>
      </c>
      <c r="K53" s="110" t="str">
        <f>IFERROR(SUM(K$32,K$35,K$39,K$46)/(VLOOKUP(K$26,'Apoio - Regime de Trabalho'!$A:$I,8,FALSE))*(1+K$51)*K$52,"")</f>
        <v/>
      </c>
      <c r="L53" s="110" t="str">
        <f>IFERROR(SUM(L$32,L$35,L$39,L$46)/(VLOOKUP(L$26,'Apoio - Regime de Trabalho'!$A:$I,8,FALSE))*(1+L$51)*L$52,"")</f>
        <v/>
      </c>
      <c r="M53" s="110" t="str">
        <f>IFERROR(SUM(M$32,M$35,M$39,M$46)/(VLOOKUP(M$26,'Apoio - Regime de Trabalho'!$A:$I,8,FALSE))*(1+M$51)*M$52,"")</f>
        <v/>
      </c>
      <c r="N53" s="110" t="str">
        <f>IFERROR(SUM(N$32,N$35,N$39,N$46)/(VLOOKUP(N$26,'Apoio - Regime de Trabalho'!$A:$I,8,FALSE))*(1+N$51)*N$52,"")</f>
        <v/>
      </c>
    </row>
    <row r="54" spans="1:49">
      <c r="A54" s="100"/>
      <c r="B54" s="710" t="s">
        <v>4</v>
      </c>
      <c r="C54" s="150" t="s">
        <v>85</v>
      </c>
      <c r="D54" s="156"/>
      <c r="E54" s="257"/>
      <c r="F54" s="257"/>
      <c r="G54" s="257"/>
      <c r="H54" s="257"/>
      <c r="I54" s="257"/>
      <c r="J54" s="257"/>
      <c r="K54" s="257"/>
      <c r="L54" s="257"/>
      <c r="M54" s="257"/>
      <c r="N54" s="257"/>
    </row>
    <row r="55" spans="1:49">
      <c r="A55" s="100"/>
      <c r="B55" s="711"/>
      <c r="C55" s="151" t="s">
        <v>87</v>
      </c>
      <c r="D55" s="157"/>
      <c r="E55" s="458">
        <f>IF(E18="","",IFERROR(SUM(E$46,E49)*20%,""))</f>
        <v>0</v>
      </c>
      <c r="F55" s="458">
        <f t="shared" ref="F55:H55" si="13">IF(F18="","",IFERROR(SUM(F$46,F49)*20%,""))</f>
        <v>0</v>
      </c>
      <c r="G55" s="458">
        <f t="shared" si="13"/>
        <v>0</v>
      </c>
      <c r="H55" s="458" t="str">
        <f t="shared" si="13"/>
        <v/>
      </c>
      <c r="I55" s="458" t="str">
        <f t="shared" ref="I55:N55" si="14">IF(I18="","",IFERROR(SUM(I$46,I49)*20%,""))</f>
        <v/>
      </c>
      <c r="J55" s="458" t="str">
        <f t="shared" si="14"/>
        <v/>
      </c>
      <c r="K55" s="458" t="str">
        <f t="shared" si="14"/>
        <v/>
      </c>
      <c r="L55" s="458" t="str">
        <f t="shared" si="14"/>
        <v/>
      </c>
      <c r="M55" s="458" t="str">
        <f t="shared" si="14"/>
        <v/>
      </c>
      <c r="N55" s="458" t="str">
        <f t="shared" si="14"/>
        <v/>
      </c>
    </row>
    <row r="56" spans="1:49">
      <c r="A56" s="100"/>
      <c r="B56" s="711"/>
      <c r="C56" s="177" t="s">
        <v>86</v>
      </c>
      <c r="D56" s="159" t="s">
        <v>415</v>
      </c>
      <c r="E56" s="459" t="str">
        <f>IFERROR(IF(E18="","",IF(D56="Não",0,E53*20%)),"")</f>
        <v/>
      </c>
      <c r="F56" s="459" t="str">
        <f t="shared" ref="F56:H56" si="15">IFERROR(IF(F18="","",IF(E56="Não",0,F53*20%)),"")</f>
        <v/>
      </c>
      <c r="G56" s="459" t="str">
        <f t="shared" si="15"/>
        <v/>
      </c>
      <c r="H56" s="459" t="str">
        <f t="shared" si="15"/>
        <v/>
      </c>
      <c r="I56" s="459" t="str">
        <f t="shared" ref="I56" si="16">IFERROR(IF(I18="","",IF(H56="Não",0,I53*20%)),"")</f>
        <v/>
      </c>
      <c r="J56" s="459" t="str">
        <f t="shared" ref="J56" si="17">IFERROR(IF(J18="","",IF(I56="Não",0,J53*20%)),"")</f>
        <v/>
      </c>
      <c r="K56" s="459" t="str">
        <f t="shared" ref="K56" si="18">IFERROR(IF(K18="","",IF(J56="Não",0,K53*20%)),"")</f>
        <v/>
      </c>
      <c r="L56" s="459" t="str">
        <f t="shared" ref="L56" si="19">IFERROR(IF(L18="","",IF(K56="Não",0,L53*20%)),"")</f>
        <v/>
      </c>
      <c r="M56" s="459" t="str">
        <f t="shared" ref="M56" si="20">IFERROR(IF(M18="","",IF(L56="Não",0,M53*20%)),"")</f>
        <v/>
      </c>
      <c r="N56" s="459" t="str">
        <f t="shared" ref="N56" si="21">IFERROR(IF(N18="","",IF(M56="Não",0,N53*20%)),"")</f>
        <v/>
      </c>
    </row>
    <row r="57" spans="1:49">
      <c r="A57" s="100"/>
      <c r="B57" s="711"/>
      <c r="C57" s="177" t="s">
        <v>167</v>
      </c>
      <c r="D57" s="159"/>
      <c r="E57" s="459" t="str">
        <f>IF(E20="","",IFERROR(E$59*20%,""))</f>
        <v/>
      </c>
      <c r="F57" s="459" t="str">
        <f t="shared" ref="F57:H57" si="22">IF(F20="","",IFERROR(F$59*20%,""))</f>
        <v/>
      </c>
      <c r="G57" s="459" t="str">
        <f t="shared" si="22"/>
        <v/>
      </c>
      <c r="H57" s="459" t="str">
        <f t="shared" si="22"/>
        <v/>
      </c>
      <c r="I57" s="459" t="str">
        <f t="shared" ref="I57:N57" si="23">IF(I20="","",IFERROR(I$59*20%,""))</f>
        <v/>
      </c>
      <c r="J57" s="459" t="str">
        <f t="shared" si="23"/>
        <v/>
      </c>
      <c r="K57" s="459" t="str">
        <f t="shared" si="23"/>
        <v/>
      </c>
      <c r="L57" s="459" t="str">
        <f t="shared" si="23"/>
        <v/>
      </c>
      <c r="M57" s="459" t="str">
        <f t="shared" si="23"/>
        <v/>
      </c>
      <c r="N57" s="459" t="str">
        <f t="shared" si="23"/>
        <v/>
      </c>
    </row>
    <row r="58" spans="1:49">
      <c r="A58" s="100"/>
      <c r="B58" s="712"/>
      <c r="C58" s="114"/>
      <c r="D58" s="108" t="s">
        <v>43</v>
      </c>
      <c r="E58" s="223" t="str">
        <f>IF(SUM(E55:E57)=0,"",SUM(E55:E57))</f>
        <v/>
      </c>
      <c r="F58" s="223" t="str">
        <f t="shared" ref="F58:H58" si="24">IF(SUM(F55:F57)=0,"",SUM(F55:F57))</f>
        <v/>
      </c>
      <c r="G58" s="223" t="str">
        <f t="shared" si="24"/>
        <v/>
      </c>
      <c r="H58" s="223" t="str">
        <f t="shared" si="24"/>
        <v/>
      </c>
      <c r="I58" s="223" t="str">
        <f t="shared" ref="I58:N58" si="25">IF(SUM(I55:I57)=0,"",SUM(I55:I57))</f>
        <v/>
      </c>
      <c r="J58" s="223" t="str">
        <f t="shared" si="25"/>
        <v/>
      </c>
      <c r="K58" s="223" t="str">
        <f t="shared" si="25"/>
        <v/>
      </c>
      <c r="L58" s="223" t="str">
        <f t="shared" si="25"/>
        <v/>
      </c>
      <c r="M58" s="223" t="str">
        <f t="shared" si="25"/>
        <v/>
      </c>
      <c r="N58" s="223" t="str">
        <f t="shared" si="25"/>
        <v/>
      </c>
    </row>
    <row r="59" spans="1:49">
      <c r="A59" s="100"/>
      <c r="B59" s="146" t="s">
        <v>142</v>
      </c>
      <c r="C59" s="147" t="s">
        <v>166</v>
      </c>
      <c r="D59" s="112"/>
      <c r="E59" s="277" t="str">
        <f>IFERROR(IFERROR(VLOOKUP(E$18,'Apoio - Posto'!$A:$AA,12,FALSE),"")*VLOOKUP(E26,'Apoio - Regime de Trabalho'!$A:$I,7,FALSE),"")</f>
        <v/>
      </c>
      <c r="F59" s="277" t="str">
        <f>IFERROR(IFERROR(VLOOKUP(F$18,'Apoio - Posto'!$A:$AA,12,FALSE),"")*VLOOKUP(F26,'Apoio - Regime de Trabalho'!$A:$I,7,FALSE),"")</f>
        <v/>
      </c>
      <c r="G59" s="277" t="str">
        <f>IFERROR(IFERROR(VLOOKUP(G$18,'Apoio - Posto'!$A:$AA,12,FALSE),"")*VLOOKUP(G26,'Apoio - Regime de Trabalho'!$A:$I,7,FALSE),"")</f>
        <v/>
      </c>
      <c r="H59" s="277" t="str">
        <f>IFERROR(IFERROR(VLOOKUP(H$18,'Apoio - Posto'!$A:$AA,12,FALSE),"")*VLOOKUP(H26,'Apoio - Regime de Trabalho'!$A:$I,7,FALSE),"")</f>
        <v/>
      </c>
      <c r="I59" s="277" t="str">
        <f>IFERROR(IFERROR(VLOOKUP(I$18,'Apoio - Posto'!$A:$AA,12,FALSE),"")*VLOOKUP(I26,'Apoio - Regime de Trabalho'!$A:$I,7,FALSE),"")</f>
        <v/>
      </c>
      <c r="J59" s="277" t="str">
        <f>IFERROR(IFERROR(VLOOKUP(J$18,'Apoio - Posto'!$A:$AA,12,FALSE),"")*VLOOKUP(J26,'Apoio - Regime de Trabalho'!$A:$I,7,FALSE),"")</f>
        <v/>
      </c>
      <c r="K59" s="277" t="str">
        <f>IFERROR(IFERROR(VLOOKUP(K$18,'Apoio - Posto'!$A:$AA,12,FALSE),"")*VLOOKUP(K26,'Apoio - Regime de Trabalho'!$A:$I,7,FALSE),"")</f>
        <v/>
      </c>
      <c r="L59" s="277" t="str">
        <f>IFERROR(IFERROR(VLOOKUP(L$18,'Apoio - Posto'!$A:$AA,12,FALSE),"")*VLOOKUP(L26,'Apoio - Regime de Trabalho'!$A:$I,7,FALSE),"")</f>
        <v/>
      </c>
      <c r="M59" s="277" t="str">
        <f>IFERROR(IFERROR(VLOOKUP(M$18,'Apoio - Posto'!$A:$AA,12,FALSE),"")*VLOOKUP(M26,'Apoio - Regime de Trabalho'!$A:$I,7,FALSE),"")</f>
        <v/>
      </c>
      <c r="N59" s="277" t="str">
        <f>IFERROR(IFERROR(VLOOKUP(N$18,'Apoio - Posto'!$A:$AA,12,FALSE),"")*VLOOKUP(N26,'Apoio - Regime de Trabalho'!$A:$I,7,FALSE),"")</f>
        <v/>
      </c>
    </row>
    <row r="60" spans="1:49">
      <c r="A60" s="148"/>
      <c r="B60" s="149" t="s">
        <v>169</v>
      </c>
      <c r="C60" s="479" t="s">
        <v>223</v>
      </c>
      <c r="D60" s="480"/>
      <c r="E60" s="167"/>
      <c r="F60" s="167"/>
      <c r="G60" s="167"/>
      <c r="H60" s="167"/>
      <c r="I60" s="167"/>
      <c r="J60" s="167"/>
      <c r="K60" s="167"/>
      <c r="L60" s="167"/>
      <c r="M60" s="167"/>
      <c r="N60" s="167"/>
    </row>
    <row r="61" spans="1:49" s="5" customFormat="1">
      <c r="A61" s="87"/>
      <c r="B61" s="172"/>
      <c r="C61" s="104" t="s">
        <v>395</v>
      </c>
      <c r="D61" s="168"/>
      <c r="E61" s="170">
        <f>IF(E20="","",SUM(E32,E35,E39,E42,E46,E49,E53,E58,E59,E60))</f>
        <v>2811.38</v>
      </c>
      <c r="F61" s="171">
        <f t="shared" ref="F61:H61" si="26">IF(F20="","",SUM(F32,F35,F39,F42,F46,F49,F53,F58,F59,F60))</f>
        <v>2727.4</v>
      </c>
      <c r="G61" s="171">
        <f t="shared" si="26"/>
        <v>2395.2000000000003</v>
      </c>
      <c r="H61" s="169" t="str">
        <f t="shared" si="26"/>
        <v/>
      </c>
      <c r="I61" s="169" t="str">
        <f t="shared" ref="I61:N61" si="27">IF(I20="","",SUM(I32,I35,I39,I42,I46,I49,I53,I58,I59,I60))</f>
        <v/>
      </c>
      <c r="J61" s="169" t="str">
        <f t="shared" si="27"/>
        <v/>
      </c>
      <c r="K61" s="169" t="str">
        <f t="shared" si="27"/>
        <v/>
      </c>
      <c r="L61" s="169" t="str">
        <f t="shared" si="27"/>
        <v/>
      </c>
      <c r="M61" s="169" t="str">
        <f t="shared" si="27"/>
        <v/>
      </c>
      <c r="N61" s="169" t="str">
        <f t="shared" si="27"/>
        <v/>
      </c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7"/>
      <c r="AE61" s="317"/>
      <c r="AF61" s="317"/>
      <c r="AG61" s="317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7"/>
      <c r="AT61" s="317"/>
      <c r="AU61" s="317"/>
      <c r="AV61" s="317"/>
      <c r="AW61" s="317"/>
    </row>
    <row r="62" spans="1:49" s="17" customFormat="1">
      <c r="A62" s="20"/>
      <c r="D62" s="14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318"/>
      <c r="P62" s="318"/>
      <c r="Q62" s="318"/>
      <c r="R62" s="318"/>
      <c r="S62" s="318"/>
      <c r="T62" s="318"/>
      <c r="U62" s="318"/>
      <c r="V62" s="318"/>
      <c r="W62" s="318"/>
      <c r="X62" s="318"/>
      <c r="Y62" s="318"/>
      <c r="Z62" s="318"/>
      <c r="AA62" s="318"/>
      <c r="AB62" s="318"/>
      <c r="AC62" s="318"/>
      <c r="AD62" s="318"/>
      <c r="AE62" s="318"/>
      <c r="AF62" s="318"/>
      <c r="AG62" s="318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8"/>
      <c r="AT62" s="318"/>
      <c r="AU62" s="318"/>
      <c r="AV62" s="318"/>
      <c r="AW62" s="318"/>
    </row>
    <row r="63" spans="1:49" s="6" customFormat="1">
      <c r="A63" s="88"/>
      <c r="B63" s="103"/>
      <c r="C63" s="104" t="s">
        <v>153</v>
      </c>
      <c r="D63" s="105"/>
      <c r="E63" s="395"/>
      <c r="F63" s="395"/>
      <c r="G63" s="395"/>
      <c r="H63" s="395"/>
      <c r="I63" s="395"/>
      <c r="J63" s="395"/>
      <c r="K63" s="395"/>
      <c r="L63" s="395"/>
      <c r="M63" s="395"/>
      <c r="N63" s="395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G63" s="319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19"/>
      <c r="AT63" s="319"/>
      <c r="AU63" s="319"/>
      <c r="AV63" s="319"/>
      <c r="AW63" s="319"/>
    </row>
    <row r="64" spans="1:49" customFormat="1" ht="3.75" customHeight="1"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</row>
    <row r="65" spans="1:49" s="6" customFormat="1">
      <c r="A65" s="89"/>
      <c r="B65" s="186"/>
      <c r="C65" s="187" t="s">
        <v>154</v>
      </c>
      <c r="D65" s="188"/>
      <c r="E65" s="191"/>
      <c r="F65" s="191"/>
      <c r="G65" s="191"/>
      <c r="H65" s="189"/>
      <c r="I65" s="189"/>
      <c r="J65" s="189"/>
      <c r="K65" s="189"/>
      <c r="L65" s="189"/>
      <c r="M65" s="189"/>
      <c r="N65" s="18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G65" s="319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19"/>
      <c r="AT65" s="319"/>
      <c r="AU65" s="319"/>
      <c r="AV65" s="319"/>
      <c r="AW65" s="319"/>
    </row>
    <row r="66" spans="1:49">
      <c r="A66" s="88"/>
      <c r="B66" s="101" t="s">
        <v>2</v>
      </c>
      <c r="C66" s="102" t="s">
        <v>58</v>
      </c>
      <c r="D66" s="192">
        <f>IFERROR(INDEX('Apoio - Notas Explicativas'!Q:Q,MATCH(C66,'Apoio - Notas Explicativas'!C:C,0)),"")</f>
        <v>8.3299999999999999E-2</v>
      </c>
      <c r="E66" s="113">
        <f>IFERROR($D66*E$61,"")</f>
        <v>234.18795400000002</v>
      </c>
      <c r="F66" s="113">
        <f t="shared" ref="F66:N68" si="28">IFERROR($D66*F$61,"")</f>
        <v>227.19242</v>
      </c>
      <c r="G66" s="113">
        <f t="shared" si="28"/>
        <v>199.52016000000003</v>
      </c>
      <c r="H66" s="113" t="str">
        <f t="shared" si="28"/>
        <v/>
      </c>
      <c r="I66" s="113" t="str">
        <f t="shared" si="28"/>
        <v/>
      </c>
      <c r="J66" s="113" t="str">
        <f t="shared" si="28"/>
        <v/>
      </c>
      <c r="K66" s="113" t="str">
        <f t="shared" si="28"/>
        <v/>
      </c>
      <c r="L66" s="113" t="str">
        <f t="shared" si="28"/>
        <v/>
      </c>
      <c r="M66" s="113" t="str">
        <f t="shared" si="28"/>
        <v/>
      </c>
      <c r="N66" s="113" t="str">
        <f t="shared" si="28"/>
        <v/>
      </c>
    </row>
    <row r="67" spans="1:49">
      <c r="A67" s="88"/>
      <c r="B67" s="101" t="s">
        <v>1</v>
      </c>
      <c r="C67" s="102" t="s">
        <v>21</v>
      </c>
      <c r="D67" s="192">
        <f>IFERROR(INDEX('Apoio - Notas Explicativas'!Q:Q,MATCH(C67,'Apoio - Notas Explicativas'!C:C,0)),"")</f>
        <v>0.1111</v>
      </c>
      <c r="E67" s="113">
        <f>IFERROR($D67*E$61,"")</f>
        <v>312.34431800000004</v>
      </c>
      <c r="F67" s="113">
        <f t="shared" si="28"/>
        <v>303.01414</v>
      </c>
      <c r="G67" s="113">
        <f t="shared" si="28"/>
        <v>266.10672000000005</v>
      </c>
      <c r="H67" s="113" t="str">
        <f t="shared" si="28"/>
        <v/>
      </c>
      <c r="I67" s="113" t="str">
        <f t="shared" si="28"/>
        <v/>
      </c>
      <c r="J67" s="113" t="str">
        <f t="shared" si="28"/>
        <v/>
      </c>
      <c r="K67" s="113" t="str">
        <f t="shared" si="28"/>
        <v/>
      </c>
      <c r="L67" s="113" t="str">
        <f t="shared" si="28"/>
        <v/>
      </c>
      <c r="M67" s="113" t="str">
        <f t="shared" si="28"/>
        <v/>
      </c>
      <c r="N67" s="113" t="str">
        <f t="shared" si="28"/>
        <v/>
      </c>
    </row>
    <row r="68" spans="1:49">
      <c r="A68" s="88"/>
      <c r="B68" s="101" t="s">
        <v>0</v>
      </c>
      <c r="C68" s="421" t="s">
        <v>83</v>
      </c>
      <c r="D68" s="192">
        <f>IFERROR(INDEX('Apoio - Notas Explicativas'!Q:Q,MATCH(C68,'Apoio - Notas Explicativas'!C:C,0)),"")</f>
        <v>7.1599999999999997E-2</v>
      </c>
      <c r="E68" s="113">
        <f>IFERROR($D68*E$61,"")</f>
        <v>201.29480799999999</v>
      </c>
      <c r="F68" s="113">
        <f t="shared" si="28"/>
        <v>195.28183999999999</v>
      </c>
      <c r="G68" s="113">
        <f t="shared" si="28"/>
        <v>171.49632000000003</v>
      </c>
      <c r="H68" s="113" t="str">
        <f t="shared" si="28"/>
        <v/>
      </c>
      <c r="I68" s="113" t="str">
        <f t="shared" si="28"/>
        <v/>
      </c>
      <c r="J68" s="113" t="str">
        <f t="shared" si="28"/>
        <v/>
      </c>
      <c r="K68" s="113" t="str">
        <f t="shared" si="28"/>
        <v/>
      </c>
      <c r="L68" s="113" t="str">
        <f t="shared" si="28"/>
        <v/>
      </c>
      <c r="M68" s="113" t="str">
        <f t="shared" si="28"/>
        <v/>
      </c>
      <c r="N68" s="113" t="str">
        <f t="shared" si="28"/>
        <v/>
      </c>
    </row>
    <row r="69" spans="1:49" s="5" customFormat="1">
      <c r="A69" s="90"/>
      <c r="B69" s="186"/>
      <c r="C69" s="187" t="s">
        <v>148</v>
      </c>
      <c r="D69" s="190"/>
      <c r="E69" s="191">
        <f>IF(SUM(E66:E68)=0,"",SUM(E66:E68))</f>
        <v>747.82708000000002</v>
      </c>
      <c r="F69" s="191">
        <f t="shared" ref="F69:H69" si="29">IF(SUM(F66:F68)=0,"",SUM(F66:F68))</f>
        <v>725.48839999999996</v>
      </c>
      <c r="G69" s="189">
        <f t="shared" si="29"/>
        <v>637.12320000000011</v>
      </c>
      <c r="H69" s="191" t="str">
        <f t="shared" si="29"/>
        <v/>
      </c>
      <c r="I69" s="191" t="str">
        <f t="shared" ref="I69:N69" si="30">IF(SUM(I66:I68)=0,"",SUM(I66:I68))</f>
        <v/>
      </c>
      <c r="J69" s="191" t="str">
        <f t="shared" si="30"/>
        <v/>
      </c>
      <c r="K69" s="191" t="str">
        <f t="shared" si="30"/>
        <v/>
      </c>
      <c r="L69" s="191" t="str">
        <f t="shared" si="30"/>
        <v/>
      </c>
      <c r="M69" s="191" t="str">
        <f t="shared" si="30"/>
        <v/>
      </c>
      <c r="N69" s="191" t="str">
        <f t="shared" si="30"/>
        <v/>
      </c>
      <c r="O69" s="317"/>
      <c r="P69" s="317"/>
      <c r="Q69" s="317"/>
      <c r="R69" s="317"/>
      <c r="S69" s="317"/>
      <c r="T69" s="317"/>
      <c r="U69" s="317"/>
      <c r="V69" s="317"/>
      <c r="W69" s="317"/>
      <c r="X69" s="317"/>
      <c r="Y69" s="317"/>
      <c r="Z69" s="317"/>
      <c r="AA69" s="317"/>
      <c r="AB69" s="317"/>
      <c r="AC69" s="317"/>
      <c r="AD69" s="317"/>
      <c r="AE69" s="317"/>
      <c r="AF69" s="317"/>
      <c r="AG69" s="317"/>
      <c r="AH69" s="317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17"/>
      <c r="AT69" s="317"/>
      <c r="AU69" s="317"/>
      <c r="AV69" s="317"/>
      <c r="AW69" s="317"/>
    </row>
    <row r="70" spans="1:49" customFormat="1" ht="3.75" customHeight="1"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</row>
    <row r="71" spans="1:49" s="6" customFormat="1">
      <c r="A71" s="90"/>
      <c r="B71" s="186"/>
      <c r="C71" s="187" t="s">
        <v>191</v>
      </c>
      <c r="D71" s="188"/>
      <c r="E71" s="191"/>
      <c r="F71" s="189"/>
      <c r="G71" s="189"/>
      <c r="H71" s="191"/>
      <c r="I71" s="191"/>
      <c r="J71" s="191"/>
      <c r="K71" s="191"/>
      <c r="L71" s="191"/>
      <c r="M71" s="191"/>
      <c r="N71" s="191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  <c r="AG71" s="319"/>
      <c r="AH71" s="319"/>
      <c r="AI71" s="319"/>
      <c r="AJ71" s="319"/>
      <c r="AK71" s="319"/>
      <c r="AL71" s="319"/>
      <c r="AM71" s="319"/>
      <c r="AN71" s="319"/>
      <c r="AO71" s="319"/>
      <c r="AP71" s="319"/>
      <c r="AQ71" s="319"/>
      <c r="AR71" s="319"/>
      <c r="AS71" s="319"/>
      <c r="AT71" s="319"/>
      <c r="AU71" s="319"/>
      <c r="AV71" s="319"/>
      <c r="AW71" s="319"/>
    </row>
    <row r="72" spans="1:49">
      <c r="A72" s="90"/>
      <c r="B72" s="101" t="s">
        <v>2</v>
      </c>
      <c r="C72" s="102" t="s">
        <v>51</v>
      </c>
      <c r="D72" s="192">
        <f>IFERROR(INDEX('Apoio - Notas Explicativas'!Q:Q,MATCH(C72,'Apoio - Notas Explicativas'!C:C,0)),"")</f>
        <v>0.2</v>
      </c>
      <c r="E72" s="113">
        <f t="shared" ref="E72:N77" si="31">IFERROR($D72*E$61,"")</f>
        <v>562.27600000000007</v>
      </c>
      <c r="F72" s="152">
        <f t="shared" si="31"/>
        <v>545.48</v>
      </c>
      <c r="G72" s="152">
        <f t="shared" si="31"/>
        <v>479.04000000000008</v>
      </c>
      <c r="H72" s="113" t="str">
        <f t="shared" si="31"/>
        <v/>
      </c>
      <c r="I72" s="113" t="str">
        <f t="shared" si="31"/>
        <v/>
      </c>
      <c r="J72" s="113" t="str">
        <f t="shared" si="31"/>
        <v/>
      </c>
      <c r="K72" s="113" t="str">
        <f t="shared" si="31"/>
        <v/>
      </c>
      <c r="L72" s="113" t="str">
        <f t="shared" si="31"/>
        <v/>
      </c>
      <c r="M72" s="113" t="str">
        <f t="shared" si="31"/>
        <v/>
      </c>
      <c r="N72" s="113" t="str">
        <f t="shared" si="31"/>
        <v/>
      </c>
    </row>
    <row r="73" spans="1:49">
      <c r="A73" s="88"/>
      <c r="B73" s="101" t="s">
        <v>1</v>
      </c>
      <c r="C73" s="147" t="s">
        <v>52</v>
      </c>
      <c r="D73" s="192">
        <f>IFERROR(INDEX('Apoio - Notas Explicativas'!Q:Q,MATCH(C73,'Apoio - Notas Explicativas'!C:C,0)),"")</f>
        <v>1.4999999999999999E-2</v>
      </c>
      <c r="E73" s="113">
        <f t="shared" si="31"/>
        <v>42.170700000000004</v>
      </c>
      <c r="F73" s="152">
        <f t="shared" si="31"/>
        <v>40.911000000000001</v>
      </c>
      <c r="G73" s="152">
        <f t="shared" si="31"/>
        <v>35.928000000000004</v>
      </c>
      <c r="H73" s="113" t="str">
        <f t="shared" si="31"/>
        <v/>
      </c>
      <c r="I73" s="113" t="str">
        <f t="shared" si="31"/>
        <v/>
      </c>
      <c r="J73" s="113" t="str">
        <f t="shared" si="31"/>
        <v/>
      </c>
      <c r="K73" s="113" t="str">
        <f t="shared" si="31"/>
        <v/>
      </c>
      <c r="L73" s="113" t="str">
        <f t="shared" si="31"/>
        <v/>
      </c>
      <c r="M73" s="113" t="str">
        <f t="shared" si="31"/>
        <v/>
      </c>
      <c r="N73" s="113" t="str">
        <f t="shared" si="31"/>
        <v/>
      </c>
    </row>
    <row r="74" spans="1:49">
      <c r="A74" s="88"/>
      <c r="B74" s="101" t="s">
        <v>0</v>
      </c>
      <c r="C74" s="102" t="s">
        <v>53</v>
      </c>
      <c r="D74" s="192">
        <f>IFERROR(INDEX('Apoio - Notas Explicativas'!Q:Q,MATCH(C74,'Apoio - Notas Explicativas'!C:C,0)),"")</f>
        <v>0.01</v>
      </c>
      <c r="E74" s="113">
        <f t="shared" si="31"/>
        <v>28.113800000000001</v>
      </c>
      <c r="F74" s="152">
        <f t="shared" si="31"/>
        <v>27.274000000000001</v>
      </c>
      <c r="G74" s="152">
        <f t="shared" si="31"/>
        <v>23.952000000000002</v>
      </c>
      <c r="H74" s="113" t="str">
        <f t="shared" si="31"/>
        <v/>
      </c>
      <c r="I74" s="113" t="str">
        <f t="shared" si="31"/>
        <v/>
      </c>
      <c r="J74" s="113" t="str">
        <f t="shared" si="31"/>
        <v/>
      </c>
      <c r="K74" s="113" t="str">
        <f t="shared" si="31"/>
        <v/>
      </c>
      <c r="L74" s="113" t="str">
        <f t="shared" si="31"/>
        <v/>
      </c>
      <c r="M74" s="113" t="str">
        <f t="shared" si="31"/>
        <v/>
      </c>
      <c r="N74" s="113" t="str">
        <f t="shared" si="31"/>
        <v/>
      </c>
    </row>
    <row r="75" spans="1:49">
      <c r="A75" s="88"/>
      <c r="B75" s="101" t="s">
        <v>3</v>
      </c>
      <c r="C75" s="102" t="s">
        <v>54</v>
      </c>
      <c r="D75" s="192">
        <f>IFERROR(INDEX('Apoio - Notas Explicativas'!Q:Q,MATCH(C75,'Apoio - Notas Explicativas'!C:C,0)),"")</f>
        <v>2E-3</v>
      </c>
      <c r="E75" s="113">
        <f t="shared" si="31"/>
        <v>5.6227600000000004</v>
      </c>
      <c r="F75" s="152">
        <f t="shared" si="31"/>
        <v>5.4548000000000005</v>
      </c>
      <c r="G75" s="152">
        <f t="shared" si="31"/>
        <v>4.7904000000000009</v>
      </c>
      <c r="H75" s="113" t="str">
        <f t="shared" si="31"/>
        <v/>
      </c>
      <c r="I75" s="113" t="str">
        <f t="shared" si="31"/>
        <v/>
      </c>
      <c r="J75" s="113" t="str">
        <f t="shared" si="31"/>
        <v/>
      </c>
      <c r="K75" s="113" t="str">
        <f t="shared" si="31"/>
        <v/>
      </c>
      <c r="L75" s="113" t="str">
        <f t="shared" si="31"/>
        <v/>
      </c>
      <c r="M75" s="113" t="str">
        <f t="shared" si="31"/>
        <v/>
      </c>
      <c r="N75" s="113" t="str">
        <f t="shared" si="31"/>
        <v/>
      </c>
    </row>
    <row r="76" spans="1:49">
      <c r="A76" s="88"/>
      <c r="B76" s="101" t="s">
        <v>7</v>
      </c>
      <c r="C76" s="102" t="s">
        <v>55</v>
      </c>
      <c r="D76" s="192">
        <f>IFERROR(INDEX('Apoio - Notas Explicativas'!Q:Q,MATCH(C76,'Apoio - Notas Explicativas'!C:C,0)),"")</f>
        <v>2.5000000000000001E-2</v>
      </c>
      <c r="E76" s="113">
        <f t="shared" si="31"/>
        <v>70.284500000000008</v>
      </c>
      <c r="F76" s="152">
        <f t="shared" si="31"/>
        <v>68.185000000000002</v>
      </c>
      <c r="G76" s="152">
        <f t="shared" si="31"/>
        <v>59.88000000000001</v>
      </c>
      <c r="H76" s="113" t="str">
        <f t="shared" si="31"/>
        <v/>
      </c>
      <c r="I76" s="113" t="str">
        <f t="shared" si="31"/>
        <v/>
      </c>
      <c r="J76" s="113" t="str">
        <f t="shared" si="31"/>
        <v/>
      </c>
      <c r="K76" s="113" t="str">
        <f t="shared" si="31"/>
        <v/>
      </c>
      <c r="L76" s="113" t="str">
        <f t="shared" si="31"/>
        <v/>
      </c>
      <c r="M76" s="113" t="str">
        <f t="shared" si="31"/>
        <v/>
      </c>
      <c r="N76" s="113" t="str">
        <f t="shared" si="31"/>
        <v/>
      </c>
    </row>
    <row r="77" spans="1:49">
      <c r="A77" s="88"/>
      <c r="B77" s="101" t="s">
        <v>6</v>
      </c>
      <c r="C77" s="102" t="s">
        <v>56</v>
      </c>
      <c r="D77" s="192">
        <f>IFERROR(INDEX('Apoio - Notas Explicativas'!Q:Q,MATCH(C77,'Apoio - Notas Explicativas'!C:C,0)),"")</f>
        <v>0.08</v>
      </c>
      <c r="E77" s="113">
        <f t="shared" si="31"/>
        <v>224.91040000000001</v>
      </c>
      <c r="F77" s="152">
        <f t="shared" si="31"/>
        <v>218.19200000000001</v>
      </c>
      <c r="G77" s="152">
        <f t="shared" si="31"/>
        <v>191.61600000000001</v>
      </c>
      <c r="H77" s="113" t="str">
        <f t="shared" si="31"/>
        <v/>
      </c>
      <c r="I77" s="113" t="str">
        <f t="shared" si="31"/>
        <v/>
      </c>
      <c r="J77" s="113" t="str">
        <f t="shared" si="31"/>
        <v/>
      </c>
      <c r="K77" s="113" t="str">
        <f t="shared" si="31"/>
        <v/>
      </c>
      <c r="L77" s="113" t="str">
        <f t="shared" si="31"/>
        <v/>
      </c>
      <c r="M77" s="113" t="str">
        <f t="shared" si="31"/>
        <v/>
      </c>
      <c r="N77" s="113" t="str">
        <f t="shared" si="31"/>
        <v/>
      </c>
    </row>
    <row r="78" spans="1:49">
      <c r="A78" s="88"/>
      <c r="B78" s="704" t="s">
        <v>5</v>
      </c>
      <c r="C78" s="178" t="str">
        <f>CONCATENATE("GILL/RAT (RAT ",D79," x FAP ",D80,")")</f>
        <v>GILL/RAT (RAT 0,03 x FAP 1)</v>
      </c>
      <c r="D78" s="185"/>
      <c r="E78" s="256"/>
      <c r="F78" s="460"/>
      <c r="G78" s="460"/>
      <c r="H78" s="256"/>
      <c r="I78" s="256"/>
      <c r="J78" s="256"/>
      <c r="K78" s="256"/>
      <c r="L78" s="256"/>
      <c r="M78" s="256"/>
      <c r="N78" s="256"/>
    </row>
    <row r="79" spans="1:49">
      <c r="A79" s="88"/>
      <c r="B79" s="705"/>
      <c r="C79" s="179" t="s">
        <v>49</v>
      </c>
      <c r="D79" s="182">
        <f>VLOOKUP(C79,'Apoio - Notas Explicativas'!$C:$Q,14,FALSE)</f>
        <v>0.03</v>
      </c>
      <c r="E79" s="461"/>
      <c r="F79" s="461"/>
      <c r="G79" s="461"/>
      <c r="H79" s="495"/>
      <c r="I79" s="495"/>
      <c r="J79" s="495"/>
      <c r="K79" s="495"/>
      <c r="L79" s="495"/>
      <c r="M79" s="495"/>
      <c r="N79" s="495"/>
    </row>
    <row r="80" spans="1:49">
      <c r="A80" s="88"/>
      <c r="B80" s="713"/>
      <c r="C80" s="238" t="s">
        <v>44</v>
      </c>
      <c r="D80" s="325">
        <f>VLOOKUP(C80,'Apoio - Notas Explicativas'!$C:$Q,14,FALSE)</f>
        <v>1</v>
      </c>
      <c r="E80" s="462"/>
      <c r="F80" s="462"/>
      <c r="G80" s="462"/>
      <c r="H80" s="462"/>
      <c r="I80" s="462"/>
      <c r="J80" s="462"/>
      <c r="K80" s="462"/>
      <c r="L80" s="462"/>
      <c r="M80" s="462"/>
      <c r="N80" s="462"/>
    </row>
    <row r="81" spans="1:49">
      <c r="A81" s="88"/>
      <c r="B81" s="706"/>
      <c r="C81" s="102"/>
      <c r="D81" s="278">
        <f>D80*D79</f>
        <v>0.03</v>
      </c>
      <c r="E81" s="184">
        <f>IFERROR($D81*E$61,"")</f>
        <v>84.341400000000007</v>
      </c>
      <c r="F81" s="184">
        <f t="shared" ref="F81:N82" si="32">IFERROR($D81*F$61,"")</f>
        <v>81.822000000000003</v>
      </c>
      <c r="G81" s="184">
        <f t="shared" si="32"/>
        <v>71.856000000000009</v>
      </c>
      <c r="H81" s="184" t="str">
        <f t="shared" si="32"/>
        <v/>
      </c>
      <c r="I81" s="184" t="str">
        <f t="shared" si="32"/>
        <v/>
      </c>
      <c r="J81" s="184" t="str">
        <f t="shared" si="32"/>
        <v/>
      </c>
      <c r="K81" s="184" t="str">
        <f t="shared" si="32"/>
        <v/>
      </c>
      <c r="L81" s="184" t="str">
        <f t="shared" si="32"/>
        <v/>
      </c>
      <c r="M81" s="184" t="str">
        <f t="shared" si="32"/>
        <v/>
      </c>
      <c r="N81" s="184" t="str">
        <f t="shared" si="32"/>
        <v/>
      </c>
    </row>
    <row r="82" spans="1:49">
      <c r="A82" s="90"/>
      <c r="B82" s="101" t="s">
        <v>4</v>
      </c>
      <c r="C82" s="102" t="s">
        <v>57</v>
      </c>
      <c r="D82" s="192">
        <f>IFERROR(INDEX('Apoio - Notas Explicativas'!Q:Q,MATCH(C82,'Apoio - Notas Explicativas'!C:C,0)),"")</f>
        <v>6.0000000000000001E-3</v>
      </c>
      <c r="E82" s="152">
        <f>IFERROR($D82*E$61,"")</f>
        <v>16.868280000000002</v>
      </c>
      <c r="F82" s="152">
        <f t="shared" si="32"/>
        <v>16.3644</v>
      </c>
      <c r="G82" s="152">
        <f t="shared" si="32"/>
        <v>14.371200000000002</v>
      </c>
      <c r="H82" s="152" t="str">
        <f t="shared" si="32"/>
        <v/>
      </c>
      <c r="I82" s="152" t="str">
        <f t="shared" si="32"/>
        <v/>
      </c>
      <c r="J82" s="152" t="str">
        <f t="shared" si="32"/>
        <v/>
      </c>
      <c r="K82" s="152" t="str">
        <f t="shared" si="32"/>
        <v/>
      </c>
      <c r="L82" s="152" t="str">
        <f t="shared" si="32"/>
        <v/>
      </c>
      <c r="M82" s="152" t="str">
        <f t="shared" si="32"/>
        <v/>
      </c>
      <c r="N82" s="152" t="str">
        <f t="shared" si="32"/>
        <v/>
      </c>
    </row>
    <row r="83" spans="1:49" s="5" customFormat="1">
      <c r="A83" s="90"/>
      <c r="B83" s="186"/>
      <c r="C83" s="187" t="s">
        <v>147</v>
      </c>
      <c r="D83" s="190"/>
      <c r="E83" s="191">
        <f>IF((SUM(E72:E77,E81,E82))=0,"",(SUM(E72:E77,E81,E82)))</f>
        <v>1034.5878399999999</v>
      </c>
      <c r="F83" s="191">
        <f t="shared" ref="F83:H83" si="33">IF((SUM(F72:F77,F81,F82))=0,"",(SUM(F72:F77,F81,F82)))</f>
        <v>1003.6832000000002</v>
      </c>
      <c r="G83" s="191">
        <f t="shared" si="33"/>
        <v>881.43360000000007</v>
      </c>
      <c r="H83" s="191" t="str">
        <f t="shared" si="33"/>
        <v/>
      </c>
      <c r="I83" s="191" t="str">
        <f t="shared" ref="I83:N83" si="34">IF((SUM(I72:I77,I81,I82))=0,"",(SUM(I72:I77,I81,I82)))</f>
        <v/>
      </c>
      <c r="J83" s="191" t="str">
        <f t="shared" si="34"/>
        <v/>
      </c>
      <c r="K83" s="191" t="str">
        <f t="shared" si="34"/>
        <v/>
      </c>
      <c r="L83" s="191" t="str">
        <f t="shared" si="34"/>
        <v/>
      </c>
      <c r="M83" s="191" t="str">
        <f t="shared" si="34"/>
        <v/>
      </c>
      <c r="N83" s="191" t="str">
        <f t="shared" si="34"/>
        <v/>
      </c>
      <c r="O83" s="317"/>
      <c r="P83" s="317"/>
      <c r="Q83" s="317"/>
      <c r="R83" s="317"/>
      <c r="S83" s="317"/>
      <c r="T83" s="317"/>
      <c r="U83" s="317"/>
      <c r="V83" s="317"/>
      <c r="W83" s="317"/>
      <c r="X83" s="317"/>
      <c r="Y83" s="317"/>
      <c r="Z83" s="317"/>
      <c r="AA83" s="317"/>
      <c r="AB83" s="317"/>
      <c r="AC83" s="317"/>
      <c r="AD83" s="317"/>
      <c r="AE83" s="317"/>
      <c r="AF83" s="317"/>
      <c r="AG83" s="317"/>
      <c r="AH83" s="317"/>
      <c r="AI83" s="317"/>
      <c r="AJ83" s="317"/>
      <c r="AK83" s="317"/>
      <c r="AL83" s="317"/>
      <c r="AM83" s="317"/>
      <c r="AN83" s="317"/>
      <c r="AO83" s="317"/>
      <c r="AP83" s="317"/>
      <c r="AQ83" s="317"/>
      <c r="AR83" s="317"/>
      <c r="AS83" s="317"/>
      <c r="AT83" s="317"/>
      <c r="AU83" s="317"/>
      <c r="AV83" s="317"/>
      <c r="AW83" s="317"/>
    </row>
    <row r="84" spans="1:49" customFormat="1" ht="3.75" customHeight="1"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</row>
    <row r="85" spans="1:49" s="6" customFormat="1">
      <c r="A85" s="90"/>
      <c r="B85" s="197"/>
      <c r="C85" s="198" t="s">
        <v>155</v>
      </c>
      <c r="D85" s="199"/>
      <c r="E85" s="191"/>
      <c r="F85" s="191"/>
      <c r="G85" s="191"/>
      <c r="H85" s="191"/>
      <c r="I85" s="191"/>
      <c r="J85" s="191"/>
      <c r="K85" s="191"/>
      <c r="L85" s="191"/>
      <c r="M85" s="191"/>
      <c r="N85" s="191"/>
      <c r="O85" s="319"/>
      <c r="P85" s="319"/>
      <c r="Q85" s="319"/>
      <c r="R85" s="319"/>
      <c r="S85" s="319"/>
      <c r="T85" s="319"/>
      <c r="U85" s="319"/>
      <c r="V85" s="319"/>
      <c r="W85" s="319"/>
      <c r="X85" s="319"/>
      <c r="Y85" s="319"/>
      <c r="Z85" s="319"/>
      <c r="AA85" s="319"/>
      <c r="AB85" s="319"/>
      <c r="AC85" s="319"/>
      <c r="AD85" s="319"/>
      <c r="AE85" s="319"/>
      <c r="AF85" s="319"/>
      <c r="AG85" s="319"/>
      <c r="AH85" s="319"/>
      <c r="AI85" s="319"/>
      <c r="AJ85" s="319"/>
      <c r="AK85" s="319"/>
      <c r="AL85" s="319"/>
      <c r="AM85" s="319"/>
      <c r="AN85" s="319"/>
      <c r="AO85" s="319"/>
      <c r="AP85" s="319"/>
      <c r="AQ85" s="319"/>
      <c r="AR85" s="319"/>
      <c r="AS85" s="319"/>
      <c r="AT85" s="319"/>
      <c r="AU85" s="319"/>
      <c r="AV85" s="319"/>
      <c r="AW85" s="319"/>
    </row>
    <row r="86" spans="1:49" s="12" customFormat="1">
      <c r="A86" s="88"/>
      <c r="B86" s="704" t="s">
        <v>2</v>
      </c>
      <c r="C86" s="178" t="s">
        <v>89</v>
      </c>
      <c r="D86" s="210"/>
      <c r="E86" s="258"/>
      <c r="F86" s="258"/>
      <c r="G86" s="258"/>
      <c r="H86" s="258"/>
      <c r="I86" s="258"/>
      <c r="J86" s="258"/>
      <c r="K86" s="258"/>
      <c r="L86" s="258"/>
      <c r="M86" s="258"/>
      <c r="N86" s="258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  <c r="Z86" s="314"/>
      <c r="AA86" s="314"/>
      <c r="AB86" s="314"/>
      <c r="AC86" s="314"/>
      <c r="AD86" s="314"/>
      <c r="AE86" s="314"/>
      <c r="AF86" s="314"/>
      <c r="AG86" s="314"/>
      <c r="AH86" s="314"/>
      <c r="AI86" s="314"/>
      <c r="AJ86" s="314"/>
      <c r="AK86" s="314"/>
      <c r="AL86" s="314"/>
      <c r="AM86" s="314"/>
      <c r="AN86" s="314"/>
      <c r="AO86" s="314"/>
      <c r="AP86" s="314"/>
      <c r="AQ86" s="314"/>
      <c r="AR86" s="314"/>
      <c r="AS86" s="314"/>
      <c r="AT86" s="314"/>
      <c r="AU86" s="314"/>
      <c r="AV86" s="314"/>
      <c r="AW86" s="314"/>
    </row>
    <row r="87" spans="1:49">
      <c r="A87" s="88"/>
      <c r="B87" s="705"/>
      <c r="C87" s="179" t="s">
        <v>90</v>
      </c>
      <c r="D87" s="230"/>
      <c r="E87" s="455">
        <f>IF(E18="","",4.8)</f>
        <v>4.8</v>
      </c>
      <c r="F87" s="455">
        <f t="shared" ref="F87:H87" si="35">IF(F18="","",4.8)</f>
        <v>4.8</v>
      </c>
      <c r="G87" s="455">
        <f t="shared" si="35"/>
        <v>4.8</v>
      </c>
      <c r="H87" s="455" t="str">
        <f t="shared" si="35"/>
        <v/>
      </c>
      <c r="I87" s="455" t="str">
        <f t="shared" ref="I87:N87" si="36">IF(I18="","",4.8)</f>
        <v/>
      </c>
      <c r="J87" s="455" t="str">
        <f t="shared" si="36"/>
        <v/>
      </c>
      <c r="K87" s="455" t="str">
        <f t="shared" si="36"/>
        <v/>
      </c>
      <c r="L87" s="455" t="str">
        <f t="shared" si="36"/>
        <v/>
      </c>
      <c r="M87" s="455" t="str">
        <f t="shared" si="36"/>
        <v/>
      </c>
      <c r="N87" s="455" t="str">
        <f t="shared" si="36"/>
        <v/>
      </c>
    </row>
    <row r="88" spans="1:49">
      <c r="A88" s="88"/>
      <c r="B88" s="705"/>
      <c r="C88" s="117" t="s">
        <v>136</v>
      </c>
      <c r="D88" s="231"/>
      <c r="E88" s="214">
        <f>IF(E18="","",2)</f>
        <v>2</v>
      </c>
      <c r="F88" s="214">
        <f t="shared" ref="F88:H88" si="37">IF(F18="","",2)</f>
        <v>2</v>
      </c>
      <c r="G88" s="214">
        <f t="shared" si="37"/>
        <v>2</v>
      </c>
      <c r="H88" s="214" t="str">
        <f t="shared" si="37"/>
        <v/>
      </c>
      <c r="I88" s="214" t="str">
        <f t="shared" ref="I88:N88" si="38">IF(I18="","",2)</f>
        <v/>
      </c>
      <c r="J88" s="214" t="str">
        <f t="shared" si="38"/>
        <v/>
      </c>
      <c r="K88" s="214" t="str">
        <f t="shared" si="38"/>
        <v/>
      </c>
      <c r="L88" s="214" t="str">
        <f t="shared" si="38"/>
        <v/>
      </c>
      <c r="M88" s="214" t="str">
        <f t="shared" si="38"/>
        <v/>
      </c>
      <c r="N88" s="214" t="str">
        <f t="shared" si="38"/>
        <v/>
      </c>
    </row>
    <row r="89" spans="1:49">
      <c r="A89" s="88"/>
      <c r="B89" s="705"/>
      <c r="C89" s="117" t="s">
        <v>91</v>
      </c>
      <c r="D89" s="232"/>
      <c r="E89" s="215">
        <f>IFERROR(IF(E18="","",VLOOKUP(E26,'Apoio - Regime de Trabalho'!$A:$G,7,FALSE)),"")</f>
        <v>22</v>
      </c>
      <c r="F89" s="215">
        <f>IFERROR(IF(F18="","",VLOOKUP(F26,'Apoio - Regime de Trabalho'!$A:$G,7,FALSE)),"")</f>
        <v>22</v>
      </c>
      <c r="G89" s="215">
        <f>IFERROR(IF(G18="","",VLOOKUP(G26,'Apoio - Regime de Trabalho'!$A:$G,7,FALSE)),"")</f>
        <v>22</v>
      </c>
      <c r="H89" s="215" t="str">
        <f>IFERROR(IF(H18="","",VLOOKUP(H26,'Apoio - Regime de Trabalho'!$A:$G,7,FALSE)),"")</f>
        <v/>
      </c>
      <c r="I89" s="215" t="str">
        <f>IFERROR(IF(I18="","",VLOOKUP(I26,'Apoio - Regime de Trabalho'!$A:$G,7,FALSE)),"")</f>
        <v/>
      </c>
      <c r="J89" s="215" t="str">
        <f>IFERROR(IF(J18="","",VLOOKUP(J26,'Apoio - Regime de Trabalho'!$A:$G,7,FALSE)),"")</f>
        <v/>
      </c>
      <c r="K89" s="215" t="str">
        <f>IFERROR(IF(K18="","",VLOOKUP(K26,'Apoio - Regime de Trabalho'!$A:$G,7,FALSE)),"")</f>
        <v/>
      </c>
      <c r="L89" s="215" t="str">
        <f>IFERROR(IF(L18="","",VLOOKUP(L26,'Apoio - Regime de Trabalho'!$A:$G,7,FALSE)),"")</f>
        <v/>
      </c>
      <c r="M89" s="215" t="str">
        <f>IFERROR(IF(M18="","",VLOOKUP(M26,'Apoio - Regime de Trabalho'!$A:$G,7,FALSE)),"")</f>
        <v/>
      </c>
      <c r="N89" s="215" t="str">
        <f>IFERROR(IF(N18="","",VLOOKUP(N26,'Apoio - Regime de Trabalho'!$A:$G,7,FALSE)),"")</f>
        <v/>
      </c>
    </row>
    <row r="90" spans="1:49">
      <c r="A90" s="88"/>
      <c r="B90" s="705"/>
      <c r="C90" s="117" t="s">
        <v>22</v>
      </c>
      <c r="D90" s="231"/>
      <c r="E90" s="216">
        <f>IF(E18="","",IFERROR(VLOOKUP(E$18,'Apoio - Posto'!$A:$AA,16,FALSE),6%))</f>
        <v>0.06</v>
      </c>
      <c r="F90" s="216">
        <f>IF(F18="","",IFERROR(VLOOKUP(F$18,'Apoio - Posto'!$A:$AA,16,FALSE),6%))</f>
        <v>0.06</v>
      </c>
      <c r="G90" s="216">
        <f>IF(G18="","",IFERROR(VLOOKUP(G$18,'Apoio - Posto'!$A:$AA,16,FALSE),6%))</f>
        <v>0.06</v>
      </c>
      <c r="H90" s="216" t="str">
        <f>IF(H18="","",IFERROR(VLOOKUP(H$18,'Apoio - Posto'!$A:$AA,16,FALSE),6%))</f>
        <v/>
      </c>
      <c r="I90" s="216" t="str">
        <f>IF(I18="","",IFERROR(VLOOKUP(I$18,'Apoio - Posto'!$A:$AA,16,FALSE),6%))</f>
        <v/>
      </c>
      <c r="J90" s="216" t="str">
        <f>IF(J18="","",IFERROR(VLOOKUP(J$18,'Apoio - Posto'!$A:$AA,16,FALSE),6%))</f>
        <v/>
      </c>
      <c r="K90" s="216" t="str">
        <f>IF(K18="","",IFERROR(VLOOKUP(K$18,'Apoio - Posto'!$A:$AA,16,FALSE),6%))</f>
        <v/>
      </c>
      <c r="L90" s="216" t="str">
        <f>IF(L18="","",IFERROR(VLOOKUP(L$18,'Apoio - Posto'!$A:$AA,16,FALSE),6%))</f>
        <v/>
      </c>
      <c r="M90" s="216" t="str">
        <f>IF(M18="","",IFERROR(VLOOKUP(M$18,'Apoio - Posto'!$A:$AA,16,FALSE),6%))</f>
        <v/>
      </c>
      <c r="N90" s="216" t="str">
        <f>IF(N18="","",IFERROR(VLOOKUP(N$18,'Apoio - Posto'!$A:$AA,16,FALSE),6%))</f>
        <v/>
      </c>
    </row>
    <row r="91" spans="1:49">
      <c r="A91" s="88"/>
      <c r="B91" s="706"/>
      <c r="C91" s="237"/>
      <c r="D91" s="233" t="s">
        <v>43</v>
      </c>
      <c r="E91" s="162">
        <f>IFERROR((E87*E88*E89)-(E$90*E$32),"")</f>
        <v>81.443999999999988</v>
      </c>
      <c r="F91" s="162">
        <f t="shared" ref="F91:H91" si="39">IFERROR((F87*F88*F89)-(F$90*F$32),"")</f>
        <v>81.443999999999988</v>
      </c>
      <c r="G91" s="162">
        <f t="shared" si="39"/>
        <v>101.37599999999999</v>
      </c>
      <c r="H91" s="162" t="str">
        <f t="shared" si="39"/>
        <v/>
      </c>
      <c r="I91" s="162" t="str">
        <f t="shared" ref="I91:N91" si="40">IFERROR((I87*I88*I89)-(I$90*I$32),"")</f>
        <v/>
      </c>
      <c r="J91" s="162" t="str">
        <f t="shared" si="40"/>
        <v/>
      </c>
      <c r="K91" s="162" t="str">
        <f t="shared" si="40"/>
        <v/>
      </c>
      <c r="L91" s="162" t="str">
        <f t="shared" si="40"/>
        <v/>
      </c>
      <c r="M91" s="162" t="str">
        <f t="shared" si="40"/>
        <v/>
      </c>
      <c r="N91" s="162" t="str">
        <f t="shared" si="40"/>
        <v/>
      </c>
    </row>
    <row r="92" spans="1:49">
      <c r="A92" s="88"/>
      <c r="B92" s="704" t="s">
        <v>1</v>
      </c>
      <c r="C92" s="209" t="s">
        <v>23</v>
      </c>
      <c r="D92" s="234"/>
      <c r="E92" s="259"/>
      <c r="F92" s="259"/>
      <c r="G92" s="259"/>
      <c r="H92" s="259"/>
      <c r="I92" s="259"/>
      <c r="J92" s="259"/>
      <c r="K92" s="259"/>
      <c r="L92" s="259"/>
      <c r="M92" s="259"/>
      <c r="N92" s="259"/>
    </row>
    <row r="93" spans="1:49">
      <c r="A93" s="88"/>
      <c r="B93" s="705"/>
      <c r="C93" s="229" t="s">
        <v>24</v>
      </c>
      <c r="D93" s="225"/>
      <c r="E93" s="218">
        <v>29.09</v>
      </c>
      <c r="F93" s="218">
        <v>29.09</v>
      </c>
      <c r="G93" s="218">
        <v>29.09</v>
      </c>
      <c r="H93" s="218" t="str">
        <f>IFERROR(VLOOKUP(H$18,'Apoio - Posto'!$A:$AA,IF(VLOOKUP(H26,'Apoio - Regime de Trabalho'!$A:$I,8,FALSE)&gt;=200,9,10),FALSE),"")</f>
        <v/>
      </c>
      <c r="I93" s="218" t="str">
        <f>IFERROR(VLOOKUP(I$18,'Apoio - Posto'!$A:$AA,IF(VLOOKUP(I26,'Apoio - Regime de Trabalho'!$A:$I,8,FALSE)&gt;=200,9,10),FALSE),"")</f>
        <v/>
      </c>
      <c r="J93" s="218" t="str">
        <f>IFERROR(VLOOKUP(J$18,'Apoio - Posto'!$A:$AA,IF(VLOOKUP(J26,'Apoio - Regime de Trabalho'!$A:$I,8,FALSE)&gt;=200,9,10),FALSE),"")</f>
        <v/>
      </c>
      <c r="K93" s="218" t="str">
        <f>IFERROR(VLOOKUP(K$18,'Apoio - Posto'!$A:$AA,IF(VLOOKUP(K26,'Apoio - Regime de Trabalho'!$A:$I,8,FALSE)&gt;=200,9,10),FALSE),"")</f>
        <v/>
      </c>
      <c r="L93" s="218" t="str">
        <f>IFERROR(VLOOKUP(L$18,'Apoio - Posto'!$A:$AA,IF(VLOOKUP(L26,'Apoio - Regime de Trabalho'!$A:$I,8,FALSE)&gt;=200,9,10),FALSE),"")</f>
        <v/>
      </c>
      <c r="M93" s="218" t="str">
        <f>IFERROR(VLOOKUP(M$18,'Apoio - Posto'!$A:$AA,IF(VLOOKUP(M26,'Apoio - Regime de Trabalho'!$A:$I,8,FALSE)&gt;=200,9,10),FALSE),"")</f>
        <v/>
      </c>
      <c r="N93" s="218" t="str">
        <f>IFERROR(VLOOKUP(N$18,'Apoio - Posto'!$A:$AA,IF(VLOOKUP(N26,'Apoio - Regime de Trabalho'!$A:$I,8,FALSE)&gt;=200,9,10),FALSE),"")</f>
        <v/>
      </c>
    </row>
    <row r="94" spans="1:49">
      <c r="A94" s="88"/>
      <c r="B94" s="705"/>
      <c r="C94" s="177" t="s">
        <v>365</v>
      </c>
      <c r="D94" s="228"/>
      <c r="E94" s="220">
        <f>IFERROR(IF(E18="","",VLOOKUP(E26,'Apoio - Regime de Trabalho'!$A:$G,7,FALSE)),"")</f>
        <v>22</v>
      </c>
      <c r="F94" s="220">
        <f>IFERROR(IF(F18="","",VLOOKUP(F26,'Apoio - Regime de Trabalho'!$A:$G,7,FALSE)),"")</f>
        <v>22</v>
      </c>
      <c r="G94" s="220">
        <f>IFERROR(IF(G18="","",VLOOKUP(G26,'Apoio - Regime de Trabalho'!$A:$G,7,FALSE)),"")</f>
        <v>22</v>
      </c>
      <c r="H94" s="220" t="str">
        <f>IFERROR(IF(H18="","",VLOOKUP(H26,'Apoio - Regime de Trabalho'!$A:$G,7,FALSE)),"")</f>
        <v/>
      </c>
      <c r="I94" s="220" t="str">
        <f>IFERROR(IF(I18="","",VLOOKUP(I26,'Apoio - Regime de Trabalho'!$A:$G,7,FALSE)),"")</f>
        <v/>
      </c>
      <c r="J94" s="220" t="str">
        <f>IFERROR(IF(J18="","",VLOOKUP(J26,'Apoio - Regime de Trabalho'!$A:$G,7,FALSE)),"")</f>
        <v/>
      </c>
      <c r="K94" s="220" t="str">
        <f>IFERROR(IF(K18="","",VLOOKUP(K26,'Apoio - Regime de Trabalho'!$A:$G,7,FALSE)),"")</f>
        <v/>
      </c>
      <c r="L94" s="220" t="str">
        <f>IFERROR(IF(L18="","",VLOOKUP(L26,'Apoio - Regime de Trabalho'!$A:$G,7,FALSE)),"")</f>
        <v/>
      </c>
      <c r="M94" s="220" t="str">
        <f>IFERROR(IF(M18="","",VLOOKUP(M26,'Apoio - Regime de Trabalho'!$A:$G,7,FALSE)),"")</f>
        <v/>
      </c>
      <c r="N94" s="220" t="str">
        <f>IFERROR(IF(N18="","",VLOOKUP(N26,'Apoio - Regime de Trabalho'!$A:$G,7,FALSE)),"")</f>
        <v/>
      </c>
    </row>
    <row r="95" spans="1:49">
      <c r="A95" s="88"/>
      <c r="B95" s="705"/>
      <c r="C95" s="177" t="s">
        <v>361</v>
      </c>
      <c r="D95" s="228"/>
      <c r="E95" s="221">
        <v>0.2</v>
      </c>
      <c r="F95" s="221">
        <v>0.2</v>
      </c>
      <c r="G95" s="221">
        <v>0.2</v>
      </c>
      <c r="H95" s="221" t="str">
        <f>IFERROR(VLOOKUP(H$18,'Apoio - Posto'!$A:$AA,17,FALSE),"")</f>
        <v/>
      </c>
      <c r="I95" s="221" t="str">
        <f>IFERROR(VLOOKUP(I$18,'Apoio - Posto'!$A:$AA,17,FALSE),"")</f>
        <v/>
      </c>
      <c r="J95" s="221" t="str">
        <f>IFERROR(VLOOKUP(J$18,'Apoio - Posto'!$A:$AA,17,FALSE),"")</f>
        <v/>
      </c>
      <c r="K95" s="221" t="str">
        <f>IFERROR(VLOOKUP(K$18,'Apoio - Posto'!$A:$AA,17,FALSE),"")</f>
        <v/>
      </c>
      <c r="L95" s="221" t="str">
        <f>IFERROR(VLOOKUP(L$18,'Apoio - Posto'!$A:$AA,17,FALSE),"")</f>
        <v/>
      </c>
      <c r="M95" s="221" t="str">
        <f>IFERROR(VLOOKUP(M$18,'Apoio - Posto'!$A:$AA,17,FALSE),"")</f>
        <v/>
      </c>
      <c r="N95" s="221" t="str">
        <f>IFERROR(VLOOKUP(N$18,'Apoio - Posto'!$A:$AA,17,FALSE),"")</f>
        <v/>
      </c>
    </row>
    <row r="96" spans="1:49">
      <c r="A96" s="88"/>
      <c r="B96" s="706"/>
      <c r="C96" s="237"/>
      <c r="D96" s="233" t="s">
        <v>43</v>
      </c>
      <c r="E96" s="115">
        <f>IFERROR((E93*E94)-(E$93*E$94*E$95),"")</f>
        <v>511.98400000000004</v>
      </c>
      <c r="F96" s="115">
        <f t="shared" ref="F96:H96" si="41">IFERROR((F93*F94)-(F$93*F$94*F$95),"")</f>
        <v>511.98400000000004</v>
      </c>
      <c r="G96" s="115">
        <f t="shared" si="41"/>
        <v>511.98400000000004</v>
      </c>
      <c r="H96" s="115" t="str">
        <f t="shared" si="41"/>
        <v/>
      </c>
      <c r="I96" s="115" t="str">
        <f t="shared" ref="I96:N96" si="42">IFERROR((I93*I94)-(I$93*I$94*I$95),"")</f>
        <v/>
      </c>
      <c r="J96" s="115" t="str">
        <f t="shared" si="42"/>
        <v/>
      </c>
      <c r="K96" s="115" t="str">
        <f t="shared" si="42"/>
        <v/>
      </c>
      <c r="L96" s="115" t="str">
        <f t="shared" si="42"/>
        <v/>
      </c>
      <c r="M96" s="115" t="str">
        <f t="shared" si="42"/>
        <v/>
      </c>
      <c r="N96" s="115" t="str">
        <f t="shared" si="42"/>
        <v/>
      </c>
    </row>
    <row r="97" spans="1:49">
      <c r="A97" s="88"/>
      <c r="B97" s="704" t="s">
        <v>0</v>
      </c>
      <c r="C97" s="175" t="s">
        <v>25</v>
      </c>
      <c r="D97" s="234"/>
      <c r="E97" s="260"/>
      <c r="F97" s="260"/>
      <c r="G97" s="260"/>
      <c r="H97" s="260"/>
      <c r="I97" s="260"/>
      <c r="J97" s="260"/>
      <c r="K97" s="260"/>
      <c r="L97" s="260"/>
      <c r="M97" s="260"/>
      <c r="N97" s="260"/>
    </row>
    <row r="98" spans="1:49">
      <c r="A98" s="88"/>
      <c r="B98" s="705"/>
      <c r="C98" s="211" t="s">
        <v>26</v>
      </c>
      <c r="D98" s="235"/>
      <c r="E98" s="222"/>
      <c r="F98" s="222"/>
      <c r="G98" s="222"/>
      <c r="H98" s="222"/>
      <c r="I98" s="222"/>
      <c r="J98" s="222"/>
      <c r="K98" s="222"/>
      <c r="L98" s="222"/>
      <c r="M98" s="222"/>
      <c r="N98" s="222"/>
    </row>
    <row r="99" spans="1:49">
      <c r="A99" s="88"/>
      <c r="B99" s="705"/>
      <c r="C99" s="213" t="s">
        <v>361</v>
      </c>
      <c r="D99" s="232"/>
      <c r="E99" s="109"/>
      <c r="F99" s="109"/>
      <c r="G99" s="109"/>
      <c r="H99" s="109"/>
      <c r="I99" s="109"/>
      <c r="J99" s="109"/>
      <c r="K99" s="109"/>
      <c r="L99" s="109"/>
      <c r="M99" s="109"/>
      <c r="N99" s="109"/>
    </row>
    <row r="100" spans="1:49">
      <c r="A100" s="88"/>
      <c r="B100" s="706"/>
      <c r="C100" s="237"/>
      <c r="D100" s="233" t="s">
        <v>43</v>
      </c>
      <c r="E100" s="266">
        <f>IF(E20="","",IFERROR((E$98)-(E$99*E$98),""))</f>
        <v>0</v>
      </c>
      <c r="F100" s="266">
        <f t="shared" ref="F100:H100" si="43">IF(F20="","",IFERROR((F$98)-(F$99*F$98),""))</f>
        <v>0</v>
      </c>
      <c r="G100" s="266">
        <f t="shared" si="43"/>
        <v>0</v>
      </c>
      <c r="H100" s="266" t="str">
        <f t="shared" si="43"/>
        <v/>
      </c>
      <c r="I100" s="266" t="str">
        <f t="shared" ref="I100:N100" si="44">IF(I20="","",IFERROR((I$98)-(I$99*I$98),""))</f>
        <v/>
      </c>
      <c r="J100" s="266" t="str">
        <f t="shared" si="44"/>
        <v/>
      </c>
      <c r="K100" s="266" t="str">
        <f t="shared" si="44"/>
        <v/>
      </c>
      <c r="L100" s="266" t="str">
        <f t="shared" si="44"/>
        <v/>
      </c>
      <c r="M100" s="266" t="str">
        <f t="shared" si="44"/>
        <v/>
      </c>
      <c r="N100" s="266" t="str">
        <f t="shared" si="44"/>
        <v/>
      </c>
    </row>
    <row r="101" spans="1:49">
      <c r="A101" s="88"/>
      <c r="B101" s="101" t="s">
        <v>3</v>
      </c>
      <c r="C101" s="102" t="s">
        <v>27</v>
      </c>
      <c r="D101" s="202"/>
      <c r="E101" s="417">
        <v>19.420000000000002</v>
      </c>
      <c r="F101" s="417">
        <v>19.420000000000002</v>
      </c>
      <c r="G101" s="417">
        <v>19.420000000000002</v>
      </c>
      <c r="H101" s="417" t="str">
        <f>IFERROR(VLOOKUP(H$18,'Apoio - Posto'!$A:$AA,19,FALSE),"")</f>
        <v/>
      </c>
      <c r="I101" s="417" t="str">
        <f>IFERROR(VLOOKUP(I$18,'Apoio - Posto'!$A:$AA,19,FALSE),"")</f>
        <v/>
      </c>
      <c r="J101" s="417" t="str">
        <f>IFERROR(VLOOKUP(J$18,'Apoio - Posto'!$A:$AA,19,FALSE),"")</f>
        <v/>
      </c>
      <c r="K101" s="417" t="str">
        <f>IFERROR(VLOOKUP(K$18,'Apoio - Posto'!$A:$AA,19,FALSE),"")</f>
        <v/>
      </c>
      <c r="L101" s="417" t="str">
        <f>IFERROR(VLOOKUP(L$18,'Apoio - Posto'!$A:$AA,19,FALSE),"")</f>
        <v/>
      </c>
      <c r="M101" s="417" t="str">
        <f>IFERROR(VLOOKUP(M$18,'Apoio - Posto'!$A:$AA,19,FALSE),"")</f>
        <v/>
      </c>
      <c r="N101" s="417" t="str">
        <f>IFERROR(VLOOKUP(N$18,'Apoio - Posto'!$A:$AA,19,FALSE),"")</f>
        <v/>
      </c>
    </row>
    <row r="102" spans="1:49">
      <c r="A102" s="88"/>
      <c r="B102" s="200" t="s">
        <v>7</v>
      </c>
      <c r="C102" s="193" t="s">
        <v>28</v>
      </c>
      <c r="D102" s="201"/>
      <c r="E102" s="418"/>
      <c r="F102" s="418"/>
      <c r="G102" s="418"/>
      <c r="H102" s="418"/>
      <c r="I102" s="418"/>
      <c r="J102" s="418"/>
      <c r="K102" s="418"/>
      <c r="L102" s="418"/>
      <c r="M102" s="418"/>
      <c r="N102" s="418"/>
    </row>
    <row r="103" spans="1:49">
      <c r="A103" s="88"/>
      <c r="B103" s="704" t="s">
        <v>6</v>
      </c>
      <c r="C103" s="209" t="s">
        <v>29</v>
      </c>
      <c r="D103" s="201"/>
      <c r="E103" s="259"/>
      <c r="F103" s="259"/>
      <c r="G103" s="259"/>
      <c r="H103" s="259"/>
      <c r="I103" s="259"/>
      <c r="J103" s="259"/>
      <c r="K103" s="259"/>
      <c r="L103" s="259"/>
      <c r="M103" s="259"/>
      <c r="N103" s="259"/>
    </row>
    <row r="104" spans="1:49">
      <c r="A104" s="88"/>
      <c r="B104" s="705"/>
      <c r="C104" s="217" t="s">
        <v>26</v>
      </c>
      <c r="D104" s="236"/>
      <c r="E104" s="218"/>
      <c r="F104" s="218"/>
      <c r="G104" s="218"/>
      <c r="H104" s="218"/>
      <c r="I104" s="218"/>
      <c r="J104" s="218"/>
      <c r="K104" s="218"/>
      <c r="L104" s="218"/>
      <c r="M104" s="218"/>
      <c r="N104" s="218"/>
    </row>
    <row r="105" spans="1:49">
      <c r="A105" s="88"/>
      <c r="B105" s="705"/>
      <c r="C105" s="219" t="s">
        <v>137</v>
      </c>
      <c r="D105" s="228"/>
      <c r="E105" s="221"/>
      <c r="F105" s="221"/>
      <c r="G105" s="221"/>
      <c r="H105" s="221"/>
      <c r="I105" s="221"/>
      <c r="J105" s="221"/>
      <c r="K105" s="221"/>
      <c r="L105" s="221"/>
      <c r="M105" s="221"/>
      <c r="N105" s="221"/>
    </row>
    <row r="106" spans="1:49">
      <c r="A106" s="88"/>
      <c r="B106" s="706"/>
      <c r="C106" s="237"/>
      <c r="D106" s="233" t="s">
        <v>43</v>
      </c>
      <c r="E106" s="223">
        <f>IF(E20="","",IFERROR((E104)-(E$105*E$104),""))</f>
        <v>0</v>
      </c>
      <c r="F106" s="223">
        <f t="shared" ref="F106:H106" si="45">IF(F20="","",IFERROR((F104)-(F$105*F$104),""))</f>
        <v>0</v>
      </c>
      <c r="G106" s="223">
        <f t="shared" si="45"/>
        <v>0</v>
      </c>
      <c r="H106" s="223" t="str">
        <f t="shared" si="45"/>
        <v/>
      </c>
      <c r="I106" s="223" t="str">
        <f t="shared" ref="I106:N106" si="46">IF(I20="","",IFERROR((I104)-(I$105*I$104),""))</f>
        <v/>
      </c>
      <c r="J106" s="223" t="str">
        <f t="shared" si="46"/>
        <v/>
      </c>
      <c r="K106" s="223" t="str">
        <f t="shared" si="46"/>
        <v/>
      </c>
      <c r="L106" s="223" t="str">
        <f t="shared" si="46"/>
        <v/>
      </c>
      <c r="M106" s="223" t="str">
        <f t="shared" si="46"/>
        <v/>
      </c>
      <c r="N106" s="223" t="str">
        <f t="shared" si="46"/>
        <v/>
      </c>
    </row>
    <row r="107" spans="1:49">
      <c r="A107" s="88"/>
      <c r="B107" s="200" t="s">
        <v>5</v>
      </c>
      <c r="C107" s="193" t="s">
        <v>30</v>
      </c>
      <c r="D107" s="203" t="str">
        <f>IFERROR(VLOOKUP(E18,'Apoio - Posto'!A:J,14,FALSE),"")</f>
        <v/>
      </c>
      <c r="E107" s="456" t="str">
        <f>IFERROR(VLOOKUP(E$18,'Apoio - Posto'!$A:$AA,18,FALSE),"")</f>
        <v/>
      </c>
      <c r="F107" s="456" t="str">
        <f>IFERROR(VLOOKUP(F$18,'Apoio - Posto'!$A:$AA,18,FALSE),"")</f>
        <v/>
      </c>
      <c r="G107" s="456" t="str">
        <f>IFERROR(VLOOKUP(G$18,'Apoio - Posto'!$A:$AA,18,FALSE),"")</f>
        <v/>
      </c>
      <c r="H107" s="456" t="str">
        <f>IFERROR(VLOOKUP(H$18,'Apoio - Posto'!$A:$AA,18,FALSE),"")</f>
        <v/>
      </c>
      <c r="I107" s="456" t="str">
        <f>IFERROR(VLOOKUP(I$18,'Apoio - Posto'!$A:$AA,18,FALSE),"")</f>
        <v/>
      </c>
      <c r="J107" s="456" t="str">
        <f>IFERROR(VLOOKUP(J$18,'Apoio - Posto'!$A:$AA,18,FALSE),"")</f>
        <v/>
      </c>
      <c r="K107" s="456" t="str">
        <f>IFERROR(VLOOKUP(K$18,'Apoio - Posto'!$A:$AA,18,FALSE),"")</f>
        <v/>
      </c>
      <c r="L107" s="456" t="str">
        <f>IFERROR(VLOOKUP(L$18,'Apoio - Posto'!$A:$AA,18,FALSE),"")</f>
        <v/>
      </c>
      <c r="M107" s="456" t="str">
        <f>IFERROR(VLOOKUP(M$18,'Apoio - Posto'!$A:$AA,18,FALSE),"")</f>
        <v/>
      </c>
      <c r="N107" s="456" t="str">
        <f>IFERROR(VLOOKUP(N$18,'Apoio - Posto'!$A:$AA,18,FALSE),"")</f>
        <v/>
      </c>
    </row>
    <row r="108" spans="1:49">
      <c r="A108" s="88"/>
      <c r="B108" s="704" t="s">
        <v>4</v>
      </c>
      <c r="C108" s="209" t="s">
        <v>143</v>
      </c>
      <c r="D108" s="201"/>
      <c r="E108" s="256"/>
      <c r="F108" s="256"/>
      <c r="G108" s="256"/>
      <c r="H108" s="256"/>
      <c r="I108" s="256"/>
      <c r="J108" s="256"/>
      <c r="K108" s="256"/>
      <c r="L108" s="256"/>
      <c r="M108" s="256"/>
      <c r="N108" s="256"/>
    </row>
    <row r="109" spans="1:49">
      <c r="A109" s="88"/>
      <c r="B109" s="705"/>
      <c r="C109" s="229" t="s">
        <v>360</v>
      </c>
      <c r="D109" s="236"/>
      <c r="E109" s="457"/>
      <c r="F109" s="457"/>
      <c r="G109" s="457"/>
      <c r="H109" s="457"/>
      <c r="I109" s="457"/>
      <c r="J109" s="457"/>
      <c r="K109" s="457"/>
      <c r="L109" s="457"/>
      <c r="M109" s="457"/>
      <c r="N109" s="457"/>
    </row>
    <row r="110" spans="1:49">
      <c r="A110" s="88"/>
      <c r="B110" s="705"/>
      <c r="C110" s="177" t="s">
        <v>361</v>
      </c>
      <c r="D110" s="228"/>
      <c r="E110" s="227"/>
      <c r="F110" s="227"/>
      <c r="G110" s="227"/>
      <c r="H110" s="227"/>
      <c r="I110" s="227"/>
      <c r="J110" s="227"/>
      <c r="K110" s="227"/>
      <c r="L110" s="227"/>
      <c r="M110" s="227"/>
      <c r="N110" s="227"/>
    </row>
    <row r="111" spans="1:49">
      <c r="A111" s="88"/>
      <c r="B111" s="706"/>
      <c r="C111" s="111"/>
      <c r="D111" s="241" t="s">
        <v>43</v>
      </c>
      <c r="E111" s="226">
        <f>IF(E18="","",E109*(1-E110))</f>
        <v>0</v>
      </c>
      <c r="F111" s="226">
        <f t="shared" ref="F111:H111" si="47">IF(F18="","",F109*(1-F110))</f>
        <v>0</v>
      </c>
      <c r="G111" s="226">
        <f t="shared" si="47"/>
        <v>0</v>
      </c>
      <c r="H111" s="226" t="str">
        <f t="shared" si="47"/>
        <v/>
      </c>
      <c r="I111" s="226" t="str">
        <f t="shared" ref="I111:N111" si="48">IF(I18="","",I109*(1-I110))</f>
        <v/>
      </c>
      <c r="J111" s="226" t="str">
        <f t="shared" si="48"/>
        <v/>
      </c>
      <c r="K111" s="226" t="str">
        <f t="shared" si="48"/>
        <v/>
      </c>
      <c r="L111" s="226" t="str">
        <f t="shared" si="48"/>
        <v/>
      </c>
      <c r="M111" s="226" t="str">
        <f t="shared" si="48"/>
        <v/>
      </c>
      <c r="N111" s="226" t="str">
        <f t="shared" si="48"/>
        <v/>
      </c>
    </row>
    <row r="112" spans="1:49" s="5" customFormat="1">
      <c r="A112" s="90"/>
      <c r="B112" s="205"/>
      <c r="C112" s="206" t="s">
        <v>146</v>
      </c>
      <c r="D112" s="207"/>
      <c r="E112" s="208">
        <f>IF(E20="","",SUM(E91,E96,E100,E101,E102,E106,E107,E111))</f>
        <v>612.84799999999996</v>
      </c>
      <c r="F112" s="208">
        <f t="shared" ref="F112:H112" si="49">IF(F20="","",SUM(F91,F96,F100,F101,F102,F106,F107,F111))</f>
        <v>612.84799999999996</v>
      </c>
      <c r="G112" s="208">
        <f t="shared" si="49"/>
        <v>632.78</v>
      </c>
      <c r="H112" s="208" t="str">
        <f t="shared" si="49"/>
        <v/>
      </c>
      <c r="I112" s="208" t="str">
        <f t="shared" ref="I112:N112" si="50">IF(I20="","",SUM(I91,I96,I100,I101,I102,I106,I107,I111))</f>
        <v/>
      </c>
      <c r="J112" s="208" t="str">
        <f t="shared" si="50"/>
        <v/>
      </c>
      <c r="K112" s="208" t="str">
        <f t="shared" si="50"/>
        <v/>
      </c>
      <c r="L112" s="208" t="str">
        <f t="shared" si="50"/>
        <v/>
      </c>
      <c r="M112" s="208" t="str">
        <f t="shared" si="50"/>
        <v/>
      </c>
      <c r="N112" s="208" t="str">
        <f t="shared" si="50"/>
        <v/>
      </c>
      <c r="O112" s="317"/>
      <c r="P112" s="317"/>
      <c r="Q112" s="317"/>
      <c r="R112" s="317"/>
      <c r="S112" s="317"/>
      <c r="T112" s="317"/>
      <c r="U112" s="317"/>
      <c r="V112" s="317"/>
      <c r="W112" s="317"/>
      <c r="X112" s="317"/>
      <c r="Y112" s="317"/>
      <c r="Z112" s="317"/>
      <c r="AA112" s="317"/>
      <c r="AB112" s="317"/>
      <c r="AC112" s="317"/>
      <c r="AD112" s="317"/>
      <c r="AE112" s="317"/>
      <c r="AF112" s="317"/>
      <c r="AG112" s="317"/>
      <c r="AH112" s="317"/>
      <c r="AI112" s="317"/>
      <c r="AJ112" s="317"/>
      <c r="AK112" s="317"/>
      <c r="AL112" s="317"/>
      <c r="AM112" s="317"/>
      <c r="AN112" s="317"/>
      <c r="AO112" s="317"/>
      <c r="AP112" s="317"/>
      <c r="AQ112" s="317"/>
      <c r="AR112" s="317"/>
      <c r="AS112" s="317"/>
      <c r="AT112" s="317"/>
      <c r="AU112" s="317"/>
      <c r="AV112" s="317"/>
      <c r="AW112" s="317"/>
    </row>
    <row r="113" spans="1:49" customFormat="1" ht="3.75" customHeight="1"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</row>
    <row r="114" spans="1:49" s="5" customFormat="1">
      <c r="A114" s="87"/>
      <c r="B114" s="172"/>
      <c r="C114" s="104" t="s">
        <v>144</v>
      </c>
      <c r="D114" s="168"/>
      <c r="E114" s="169">
        <f>IF(E20="","",IFERROR(SUM(E112,E83,E69),""))</f>
        <v>2395.2629200000001</v>
      </c>
      <c r="F114" s="170">
        <f t="shared" ref="F114:H114" si="51">IF(F20="","",IFERROR(SUM(F112,F83,F69),""))</f>
        <v>2342.0196000000001</v>
      </c>
      <c r="G114" s="493">
        <f t="shared" si="51"/>
        <v>2151.3368</v>
      </c>
      <c r="H114" s="170" t="str">
        <f t="shared" si="51"/>
        <v/>
      </c>
      <c r="I114" s="170" t="str">
        <f t="shared" ref="I114:N114" si="52">IF(I20="","",IFERROR(SUM(I112,I83,I69),""))</f>
        <v/>
      </c>
      <c r="J114" s="170" t="str">
        <f t="shared" si="52"/>
        <v/>
      </c>
      <c r="K114" s="170" t="str">
        <f t="shared" si="52"/>
        <v/>
      </c>
      <c r="L114" s="170" t="str">
        <f t="shared" si="52"/>
        <v/>
      </c>
      <c r="M114" s="170" t="str">
        <f t="shared" si="52"/>
        <v/>
      </c>
      <c r="N114" s="170" t="str">
        <f t="shared" si="52"/>
        <v/>
      </c>
      <c r="O114" s="317"/>
      <c r="P114" s="317"/>
      <c r="Q114" s="317"/>
      <c r="R114" s="317"/>
      <c r="S114" s="317"/>
      <c r="T114" s="317"/>
      <c r="U114" s="317"/>
      <c r="V114" s="317"/>
      <c r="W114" s="317"/>
      <c r="X114" s="317"/>
      <c r="Y114" s="317"/>
      <c r="Z114" s="317"/>
      <c r="AA114" s="317"/>
      <c r="AB114" s="317"/>
      <c r="AC114" s="317"/>
      <c r="AD114" s="317"/>
      <c r="AE114" s="317"/>
      <c r="AF114" s="317"/>
      <c r="AG114" s="317"/>
      <c r="AH114" s="317"/>
      <c r="AI114" s="317"/>
      <c r="AJ114" s="317"/>
      <c r="AK114" s="317"/>
      <c r="AL114" s="317"/>
      <c r="AM114" s="317"/>
      <c r="AN114" s="317"/>
      <c r="AO114" s="317"/>
      <c r="AP114" s="317"/>
      <c r="AQ114" s="317"/>
      <c r="AR114" s="317"/>
      <c r="AS114" s="317"/>
      <c r="AT114" s="317"/>
      <c r="AU114" s="317"/>
      <c r="AV114" s="317"/>
      <c r="AW114" s="317"/>
    </row>
    <row r="115" spans="1:49" s="6" customFormat="1">
      <c r="B115" s="7"/>
      <c r="C115" s="7"/>
      <c r="D115" s="7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319"/>
      <c r="P115" s="319"/>
      <c r="Q115" s="319"/>
      <c r="R115" s="319"/>
      <c r="S115" s="319"/>
      <c r="T115" s="319"/>
      <c r="U115" s="319"/>
      <c r="V115" s="319"/>
      <c r="W115" s="319"/>
      <c r="X115" s="319"/>
      <c r="Y115" s="319"/>
      <c r="Z115" s="319"/>
      <c r="AA115" s="319"/>
      <c r="AB115" s="319"/>
      <c r="AC115" s="319"/>
      <c r="AD115" s="319"/>
      <c r="AE115" s="319"/>
      <c r="AF115" s="319"/>
      <c r="AG115" s="319"/>
      <c r="AH115" s="319"/>
      <c r="AI115" s="319"/>
      <c r="AJ115" s="319"/>
      <c r="AK115" s="319"/>
      <c r="AL115" s="319"/>
      <c r="AM115" s="319"/>
      <c r="AN115" s="319"/>
      <c r="AO115" s="319"/>
      <c r="AP115" s="319"/>
      <c r="AQ115" s="319"/>
      <c r="AR115" s="319"/>
      <c r="AS115" s="319"/>
      <c r="AT115" s="319"/>
      <c r="AU115" s="319"/>
      <c r="AV115" s="319"/>
      <c r="AW115" s="319"/>
    </row>
    <row r="116" spans="1:49" s="6" customFormat="1">
      <c r="A116" s="88"/>
      <c r="B116" s="103"/>
      <c r="C116" s="104" t="s">
        <v>156</v>
      </c>
      <c r="D116" s="105"/>
      <c r="E116" s="395"/>
      <c r="F116" s="492"/>
      <c r="G116" s="395"/>
      <c r="H116" s="395"/>
      <c r="I116" s="395"/>
      <c r="J116" s="395"/>
      <c r="K116" s="395"/>
      <c r="L116" s="395"/>
      <c r="M116" s="395"/>
      <c r="N116" s="395"/>
      <c r="O116" s="319"/>
      <c r="P116" s="319"/>
      <c r="Q116" s="319"/>
      <c r="R116" s="319"/>
      <c r="S116" s="319"/>
      <c r="T116" s="319"/>
      <c r="U116" s="319"/>
      <c r="V116" s="319"/>
      <c r="W116" s="319"/>
      <c r="X116" s="319"/>
      <c r="Y116" s="319"/>
      <c r="Z116" s="319"/>
      <c r="AA116" s="319"/>
      <c r="AB116" s="319"/>
      <c r="AC116" s="319"/>
      <c r="AD116" s="319"/>
      <c r="AE116" s="319"/>
      <c r="AF116" s="319"/>
      <c r="AG116" s="319"/>
      <c r="AH116" s="319"/>
      <c r="AI116" s="319"/>
      <c r="AJ116" s="319"/>
      <c r="AK116" s="319"/>
      <c r="AL116" s="319"/>
      <c r="AM116" s="319"/>
      <c r="AN116" s="319"/>
      <c r="AO116" s="319"/>
      <c r="AP116" s="319"/>
      <c r="AQ116" s="319"/>
      <c r="AR116" s="319"/>
      <c r="AS116" s="319"/>
      <c r="AT116" s="319"/>
      <c r="AU116" s="319"/>
      <c r="AV116" s="319"/>
      <c r="AW116" s="319"/>
    </row>
    <row r="117" spans="1:49" s="13" customFormat="1">
      <c r="A117" s="91"/>
      <c r="B117" s="101" t="s">
        <v>2</v>
      </c>
      <c r="C117" s="102" t="s">
        <v>273</v>
      </c>
      <c r="D117" s="442">
        <f>INDEX('Apoio - Notas Explicativas'!Q:Q,MATCH(C117,'Apoio - Notas Explicativas'!C:C,0))</f>
        <v>4.1999999999999997E-3</v>
      </c>
      <c r="E117" s="113">
        <f t="shared" ref="E117:N122" si="53">IFERROR($D117*E$61,"")</f>
        <v>11.807796</v>
      </c>
      <c r="F117" s="113">
        <f t="shared" si="53"/>
        <v>11.455079999999999</v>
      </c>
      <c r="G117" s="113">
        <f t="shared" si="53"/>
        <v>10.059840000000001</v>
      </c>
      <c r="H117" s="113" t="str">
        <f t="shared" si="53"/>
        <v/>
      </c>
      <c r="I117" s="113" t="str">
        <f t="shared" si="53"/>
        <v/>
      </c>
      <c r="J117" s="113" t="str">
        <f t="shared" si="53"/>
        <v/>
      </c>
      <c r="K117" s="113" t="str">
        <f t="shared" si="53"/>
        <v/>
      </c>
      <c r="L117" s="113" t="str">
        <f t="shared" si="53"/>
        <v/>
      </c>
      <c r="M117" s="113" t="str">
        <f t="shared" si="53"/>
        <v/>
      </c>
      <c r="N117" s="113" t="str">
        <f t="shared" si="53"/>
        <v/>
      </c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</row>
    <row r="118" spans="1:49" s="13" customFormat="1">
      <c r="A118" s="91"/>
      <c r="B118" s="101" t="s">
        <v>1</v>
      </c>
      <c r="C118" s="102" t="s">
        <v>31</v>
      </c>
      <c r="D118" s="442">
        <f>INDEX('Apoio - Notas Explicativas'!Q:Q,MATCH(C118,'Apoio - Notas Explicativas'!C:C,0))</f>
        <v>2.9999999999999997E-4</v>
      </c>
      <c r="E118" s="113">
        <f t="shared" si="53"/>
        <v>0.843414</v>
      </c>
      <c r="F118" s="113">
        <f t="shared" si="53"/>
        <v>0.81821999999999995</v>
      </c>
      <c r="G118" s="113">
        <f t="shared" si="53"/>
        <v>0.71855999999999998</v>
      </c>
      <c r="H118" s="113" t="str">
        <f t="shared" si="53"/>
        <v/>
      </c>
      <c r="I118" s="113" t="str">
        <f t="shared" si="53"/>
        <v/>
      </c>
      <c r="J118" s="113" t="str">
        <f t="shared" si="53"/>
        <v/>
      </c>
      <c r="K118" s="113" t="str">
        <f t="shared" si="53"/>
        <v/>
      </c>
      <c r="L118" s="113" t="str">
        <f t="shared" si="53"/>
        <v/>
      </c>
      <c r="M118" s="113" t="str">
        <f t="shared" si="53"/>
        <v/>
      </c>
      <c r="N118" s="113" t="str">
        <f t="shared" si="53"/>
        <v/>
      </c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</row>
    <row r="119" spans="1:49" s="13" customFormat="1">
      <c r="A119" s="91"/>
      <c r="B119" s="101" t="s">
        <v>0</v>
      </c>
      <c r="C119" s="102" t="s">
        <v>32</v>
      </c>
      <c r="D119" s="442">
        <f>INDEX('Apoio - Notas Explicativas'!Q:Q,MATCH(C119,'Apoio - Notas Explicativas'!C:C,0))</f>
        <v>1E-4</v>
      </c>
      <c r="E119" s="113">
        <f t="shared" si="53"/>
        <v>0.281138</v>
      </c>
      <c r="F119" s="113">
        <f t="shared" si="53"/>
        <v>0.27274000000000004</v>
      </c>
      <c r="G119" s="113">
        <f t="shared" si="53"/>
        <v>0.23952000000000004</v>
      </c>
      <c r="H119" s="113" t="str">
        <f t="shared" si="53"/>
        <v/>
      </c>
      <c r="I119" s="113" t="str">
        <f t="shared" si="53"/>
        <v/>
      </c>
      <c r="J119" s="113" t="str">
        <f t="shared" si="53"/>
        <v/>
      </c>
      <c r="K119" s="113" t="str">
        <f t="shared" si="53"/>
        <v/>
      </c>
      <c r="L119" s="113" t="str">
        <f t="shared" si="53"/>
        <v/>
      </c>
      <c r="M119" s="113" t="str">
        <f t="shared" si="53"/>
        <v/>
      </c>
      <c r="N119" s="113" t="str">
        <f t="shared" si="53"/>
        <v/>
      </c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</row>
    <row r="120" spans="1:49" s="13" customFormat="1">
      <c r="A120" s="91"/>
      <c r="B120" s="101" t="s">
        <v>3</v>
      </c>
      <c r="C120" s="102" t="s">
        <v>33</v>
      </c>
      <c r="D120" s="442">
        <f>INDEX('Apoio - Notas Explicativas'!Q:Q,MATCH(C120,'Apoio - Notas Explicativas'!C:C,0))</f>
        <v>1.9800000000000002E-2</v>
      </c>
      <c r="E120" s="113">
        <f t="shared" si="53"/>
        <v>55.665324000000005</v>
      </c>
      <c r="F120" s="113">
        <f t="shared" si="53"/>
        <v>54.002520000000004</v>
      </c>
      <c r="G120" s="113">
        <f t="shared" si="53"/>
        <v>47.424960000000006</v>
      </c>
      <c r="H120" s="113" t="str">
        <f t="shared" si="53"/>
        <v/>
      </c>
      <c r="I120" s="113" t="str">
        <f t="shared" si="53"/>
        <v/>
      </c>
      <c r="J120" s="113" t="str">
        <f t="shared" si="53"/>
        <v/>
      </c>
      <c r="K120" s="113" t="str">
        <f t="shared" si="53"/>
        <v/>
      </c>
      <c r="L120" s="113" t="str">
        <f t="shared" si="53"/>
        <v/>
      </c>
      <c r="M120" s="113" t="str">
        <f t="shared" si="53"/>
        <v/>
      </c>
      <c r="N120" s="113" t="str">
        <f t="shared" si="53"/>
        <v/>
      </c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</row>
    <row r="121" spans="1:49" s="13" customFormat="1">
      <c r="A121" s="91"/>
      <c r="B121" s="101" t="s">
        <v>7</v>
      </c>
      <c r="C121" s="102" t="s">
        <v>34</v>
      </c>
      <c r="D121" s="442">
        <f>INDEX('Apoio - Notas Explicativas'!Q:Q,MATCH(C121,'Apoio - Notas Explicativas'!C:C,0))</f>
        <v>7.3000000000000001E-3</v>
      </c>
      <c r="E121" s="113">
        <f t="shared" si="53"/>
        <v>20.523074000000001</v>
      </c>
      <c r="F121" s="113">
        <f t="shared" si="53"/>
        <v>19.910019999999999</v>
      </c>
      <c r="G121" s="113">
        <f t="shared" si="53"/>
        <v>17.484960000000001</v>
      </c>
      <c r="H121" s="113" t="str">
        <f t="shared" si="53"/>
        <v/>
      </c>
      <c r="I121" s="113" t="str">
        <f t="shared" si="53"/>
        <v/>
      </c>
      <c r="J121" s="113" t="str">
        <f t="shared" si="53"/>
        <v/>
      </c>
      <c r="K121" s="113" t="str">
        <f t="shared" si="53"/>
        <v/>
      </c>
      <c r="L121" s="113" t="str">
        <f t="shared" si="53"/>
        <v/>
      </c>
      <c r="M121" s="113" t="str">
        <f t="shared" si="53"/>
        <v/>
      </c>
      <c r="N121" s="113" t="str">
        <f t="shared" si="53"/>
        <v/>
      </c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</row>
    <row r="122" spans="1:49" s="13" customFormat="1">
      <c r="A122" s="91"/>
      <c r="B122" s="101" t="s">
        <v>6</v>
      </c>
      <c r="C122" s="102" t="s">
        <v>35</v>
      </c>
      <c r="D122" s="442">
        <f>INDEX('Apoio - Notas Explicativas'!Q:Q,MATCH(C122,'Apoio - Notas Explicativas'!C:C,0))</f>
        <v>0.04</v>
      </c>
      <c r="E122" s="113">
        <f t="shared" si="53"/>
        <v>112.4552</v>
      </c>
      <c r="F122" s="113">
        <f t="shared" si="53"/>
        <v>109.096</v>
      </c>
      <c r="G122" s="113">
        <f t="shared" si="53"/>
        <v>95.808000000000007</v>
      </c>
      <c r="H122" s="113" t="str">
        <f t="shared" si="53"/>
        <v/>
      </c>
      <c r="I122" s="113" t="str">
        <f t="shared" si="53"/>
        <v/>
      </c>
      <c r="J122" s="113" t="str">
        <f t="shared" si="53"/>
        <v/>
      </c>
      <c r="K122" s="113" t="str">
        <f t="shared" si="53"/>
        <v/>
      </c>
      <c r="L122" s="113" t="str">
        <f t="shared" si="53"/>
        <v/>
      </c>
      <c r="M122" s="113" t="str">
        <f t="shared" si="53"/>
        <v/>
      </c>
      <c r="N122" s="113" t="str">
        <f t="shared" si="53"/>
        <v/>
      </c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</row>
    <row r="123" spans="1:49" s="5" customFormat="1">
      <c r="A123" s="87"/>
      <c r="B123" s="172"/>
      <c r="C123" s="104" t="s">
        <v>145</v>
      </c>
      <c r="D123" s="168"/>
      <c r="E123" s="170">
        <f>IF(SUM(E117:E122)=0,"",SUM(E117:E122))</f>
        <v>201.57594599999999</v>
      </c>
      <c r="F123" s="170">
        <f t="shared" ref="F123:H123" si="54">IF(SUM(F117:F122)=0,"",SUM(F117:F122))</f>
        <v>195.55458000000002</v>
      </c>
      <c r="G123" s="170">
        <f t="shared" si="54"/>
        <v>171.73584</v>
      </c>
      <c r="H123" s="170" t="str">
        <f t="shared" si="54"/>
        <v/>
      </c>
      <c r="I123" s="170" t="str">
        <f t="shared" ref="I123:N123" si="55">IF(SUM(I117:I122)=0,"",SUM(I117:I122))</f>
        <v/>
      </c>
      <c r="J123" s="170" t="str">
        <f t="shared" si="55"/>
        <v/>
      </c>
      <c r="K123" s="170" t="str">
        <f t="shared" si="55"/>
        <v/>
      </c>
      <c r="L123" s="170" t="str">
        <f t="shared" si="55"/>
        <v/>
      </c>
      <c r="M123" s="170" t="str">
        <f t="shared" si="55"/>
        <v/>
      </c>
      <c r="N123" s="170" t="str">
        <f t="shared" si="55"/>
        <v/>
      </c>
      <c r="O123" s="317"/>
      <c r="P123" s="317"/>
      <c r="Q123" s="317"/>
      <c r="R123" s="317"/>
      <c r="S123" s="317"/>
      <c r="T123" s="317"/>
      <c r="U123" s="317"/>
      <c r="V123" s="317"/>
      <c r="W123" s="317"/>
      <c r="X123" s="317"/>
      <c r="Y123" s="317"/>
      <c r="Z123" s="317"/>
      <c r="AA123" s="317"/>
      <c r="AB123" s="317"/>
      <c r="AC123" s="317"/>
      <c r="AD123" s="317"/>
      <c r="AE123" s="317"/>
      <c r="AF123" s="317"/>
      <c r="AG123" s="317"/>
      <c r="AH123" s="317"/>
      <c r="AI123" s="317"/>
      <c r="AJ123" s="317"/>
      <c r="AK123" s="317"/>
      <c r="AL123" s="317"/>
      <c r="AM123" s="317"/>
      <c r="AN123" s="317"/>
      <c r="AO123" s="317"/>
      <c r="AP123" s="317"/>
      <c r="AQ123" s="317"/>
      <c r="AR123" s="317"/>
      <c r="AS123" s="317"/>
      <c r="AT123" s="317"/>
      <c r="AU123" s="317"/>
      <c r="AV123" s="317"/>
      <c r="AW123" s="317"/>
    </row>
    <row r="124" spans="1:49" s="18" customFormat="1">
      <c r="A124" s="17"/>
      <c r="D124" s="14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320"/>
      <c r="P124" s="320"/>
      <c r="Q124" s="320"/>
      <c r="R124" s="320"/>
      <c r="S124" s="320"/>
      <c r="T124" s="320"/>
      <c r="U124" s="320"/>
      <c r="V124" s="320"/>
      <c r="W124" s="320"/>
      <c r="X124" s="320"/>
      <c r="Y124" s="320"/>
      <c r="Z124" s="320"/>
      <c r="AA124" s="320"/>
      <c r="AB124" s="320"/>
      <c r="AC124" s="320"/>
      <c r="AD124" s="320"/>
      <c r="AE124" s="320"/>
      <c r="AF124" s="320"/>
      <c r="AG124" s="320"/>
      <c r="AH124" s="320"/>
      <c r="AI124" s="320"/>
      <c r="AJ124" s="320"/>
      <c r="AK124" s="320"/>
      <c r="AL124" s="320"/>
      <c r="AM124" s="320"/>
      <c r="AN124" s="320"/>
      <c r="AO124" s="320"/>
      <c r="AP124" s="320"/>
      <c r="AQ124" s="320"/>
      <c r="AR124" s="320"/>
      <c r="AS124" s="320"/>
      <c r="AT124" s="320"/>
      <c r="AU124" s="320"/>
      <c r="AV124" s="320"/>
      <c r="AW124" s="320"/>
    </row>
    <row r="125" spans="1:49" s="6" customFormat="1">
      <c r="A125" s="88"/>
      <c r="B125" s="103"/>
      <c r="C125" s="104" t="s">
        <v>157</v>
      </c>
      <c r="D125" s="105"/>
      <c r="E125" s="395"/>
      <c r="F125" s="395"/>
      <c r="G125" s="395"/>
      <c r="H125" s="395"/>
      <c r="I125" s="395"/>
      <c r="J125" s="395"/>
      <c r="K125" s="395"/>
      <c r="L125" s="395"/>
      <c r="M125" s="395"/>
      <c r="N125" s="395"/>
      <c r="O125" s="319"/>
      <c r="P125" s="319"/>
      <c r="Q125" s="319"/>
      <c r="R125" s="319"/>
      <c r="S125" s="319"/>
      <c r="T125" s="319"/>
      <c r="U125" s="319"/>
      <c r="V125" s="319"/>
      <c r="W125" s="319"/>
      <c r="X125" s="319"/>
      <c r="Y125" s="319"/>
      <c r="Z125" s="319"/>
      <c r="AA125" s="319"/>
      <c r="AB125" s="319"/>
      <c r="AC125" s="319"/>
      <c r="AD125" s="319"/>
      <c r="AE125" s="319"/>
      <c r="AF125" s="319"/>
      <c r="AG125" s="319"/>
      <c r="AH125" s="319"/>
      <c r="AI125" s="319"/>
      <c r="AJ125" s="319"/>
      <c r="AK125" s="319"/>
      <c r="AL125" s="319"/>
      <c r="AM125" s="319"/>
      <c r="AN125" s="319"/>
      <c r="AO125" s="319"/>
      <c r="AP125" s="319"/>
      <c r="AQ125" s="319"/>
      <c r="AR125" s="319"/>
      <c r="AS125" s="319"/>
      <c r="AT125" s="319"/>
      <c r="AU125" s="319"/>
      <c r="AV125" s="319"/>
      <c r="AW125" s="319"/>
    </row>
    <row r="126" spans="1:49" customFormat="1" ht="3.75" customHeight="1"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</row>
    <row r="127" spans="1:49" s="6" customFormat="1">
      <c r="A127" s="89"/>
      <c r="B127" s="186"/>
      <c r="C127" s="187" t="s">
        <v>231</v>
      </c>
      <c r="D127" s="188"/>
      <c r="E127" s="191"/>
      <c r="F127" s="189"/>
      <c r="G127" s="189"/>
      <c r="H127" s="189"/>
      <c r="I127" s="189"/>
      <c r="J127" s="189"/>
      <c r="K127" s="189"/>
      <c r="L127" s="189"/>
      <c r="M127" s="189"/>
      <c r="N127" s="189"/>
      <c r="O127" s="319"/>
      <c r="P127" s="319"/>
      <c r="Q127" s="319"/>
      <c r="R127" s="319"/>
      <c r="S127" s="319"/>
      <c r="T127" s="319"/>
      <c r="U127" s="319"/>
      <c r="V127" s="319"/>
      <c r="W127" s="319"/>
      <c r="X127" s="319"/>
      <c r="Y127" s="319"/>
      <c r="Z127" s="319"/>
      <c r="AA127" s="319"/>
      <c r="AB127" s="319"/>
      <c r="AC127" s="319"/>
      <c r="AD127" s="319"/>
      <c r="AE127" s="319"/>
      <c r="AF127" s="319"/>
      <c r="AG127" s="319"/>
      <c r="AH127" s="319"/>
      <c r="AI127" s="319"/>
      <c r="AJ127" s="319"/>
      <c r="AK127" s="319"/>
      <c r="AL127" s="319"/>
      <c r="AM127" s="319"/>
      <c r="AN127" s="319"/>
      <c r="AO127" s="319"/>
      <c r="AP127" s="319"/>
      <c r="AQ127" s="319"/>
      <c r="AR127" s="319"/>
      <c r="AS127" s="319"/>
      <c r="AT127" s="319"/>
      <c r="AU127" s="319"/>
      <c r="AV127" s="319"/>
      <c r="AW127" s="319"/>
    </row>
    <row r="128" spans="1:49" s="13" customFormat="1">
      <c r="A128" s="92"/>
      <c r="B128" s="101" t="s">
        <v>2</v>
      </c>
      <c r="C128" s="102" t="s">
        <v>36</v>
      </c>
      <c r="D128" s="442">
        <f>INDEX('Apoio - Notas Explicativas'!$Q:$Q,MATCH(C128,'Apoio - Notas Explicativas'!$C:$C,0))</f>
        <v>1.6199999999999999E-2</v>
      </c>
      <c r="E128" s="113">
        <f>IF(E20="","",IFERROR($D128*SUM(E$61),""))</f>
        <v>45.544356000000001</v>
      </c>
      <c r="F128" s="152">
        <f t="shared" ref="F128:H128" si="56">IF(F20="","",IFERROR($D128*SUM(F$61),""))</f>
        <v>44.183880000000002</v>
      </c>
      <c r="G128" s="152">
        <f t="shared" si="56"/>
        <v>38.802240000000005</v>
      </c>
      <c r="H128" s="152" t="str">
        <f t="shared" si="56"/>
        <v/>
      </c>
      <c r="I128" s="152" t="str">
        <f t="shared" ref="I128:N128" si="57">IF(I20="","",IFERROR($D128*SUM(I$61),""))</f>
        <v/>
      </c>
      <c r="J128" s="152" t="str">
        <f t="shared" si="57"/>
        <v/>
      </c>
      <c r="K128" s="152" t="str">
        <f t="shared" si="57"/>
        <v/>
      </c>
      <c r="L128" s="152" t="str">
        <f t="shared" si="57"/>
        <v/>
      </c>
      <c r="M128" s="152" t="str">
        <f t="shared" si="57"/>
        <v/>
      </c>
      <c r="N128" s="152" t="str">
        <f t="shared" si="57"/>
        <v/>
      </c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</row>
    <row r="129" spans="1:49" s="13" customFormat="1">
      <c r="A129" s="92"/>
      <c r="B129" s="101" t="s">
        <v>1</v>
      </c>
      <c r="C129" s="102" t="s">
        <v>239</v>
      </c>
      <c r="D129" s="442">
        <f>INDEX('Apoio - Notas Explicativas'!$Q:$Q,MATCH(C129,'Apoio - Notas Explicativas'!$C:$C,0))</f>
        <v>1.3899999999999999E-2</v>
      </c>
      <c r="E129" s="113">
        <f>IFERROR($D129*(E61+E66+E67),"")</f>
        <v>46.674980580799996</v>
      </c>
      <c r="F129" s="152">
        <f t="shared" ref="F129:H129" si="58">IFERROR($D129*(F61+F66+F67),"")</f>
        <v>45.280731183999997</v>
      </c>
      <c r="G129" s="152">
        <f t="shared" si="58"/>
        <v>39.765493632000002</v>
      </c>
      <c r="H129" s="152" t="str">
        <f t="shared" si="58"/>
        <v/>
      </c>
      <c r="I129" s="152" t="str">
        <f t="shared" ref="I129:N129" si="59">IFERROR($D129*(I61+I66+I67),"")</f>
        <v/>
      </c>
      <c r="J129" s="152" t="str">
        <f t="shared" si="59"/>
        <v/>
      </c>
      <c r="K129" s="152" t="str">
        <f t="shared" si="59"/>
        <v/>
      </c>
      <c r="L129" s="152" t="str">
        <f t="shared" si="59"/>
        <v/>
      </c>
      <c r="M129" s="152" t="str">
        <f t="shared" si="59"/>
        <v/>
      </c>
      <c r="N129" s="152" t="str">
        <f t="shared" si="59"/>
        <v/>
      </c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</row>
    <row r="130" spans="1:49" s="13" customFormat="1">
      <c r="A130" s="92"/>
      <c r="B130" s="101" t="s">
        <v>0</v>
      </c>
      <c r="C130" s="102" t="s">
        <v>37</v>
      </c>
      <c r="D130" s="442">
        <f>INDEX('Apoio - Notas Explicativas'!$Q:$Q,MATCH(C130,'Apoio - Notas Explicativas'!$C:$C,0))</f>
        <v>2.0000000000000001E-4</v>
      </c>
      <c r="E130" s="113">
        <f>IFERROR($D130*(E61+E66+E67),"")</f>
        <v>0.67158245440000008</v>
      </c>
      <c r="F130" s="152">
        <f t="shared" ref="F130:H130" si="60">IFERROR($D130*(F61+F66+F67),"")</f>
        <v>0.65152131200000007</v>
      </c>
      <c r="G130" s="152">
        <f t="shared" si="60"/>
        <v>0.57216537600000017</v>
      </c>
      <c r="H130" s="152" t="str">
        <f t="shared" si="60"/>
        <v/>
      </c>
      <c r="I130" s="152" t="str">
        <f t="shared" ref="I130:N130" si="61">IFERROR($D130*(I61+I66+I67),"")</f>
        <v/>
      </c>
      <c r="J130" s="152" t="str">
        <f t="shared" si="61"/>
        <v/>
      </c>
      <c r="K130" s="152" t="str">
        <f t="shared" si="61"/>
        <v/>
      </c>
      <c r="L130" s="152" t="str">
        <f t="shared" si="61"/>
        <v/>
      </c>
      <c r="M130" s="152" t="str">
        <f t="shared" si="61"/>
        <v/>
      </c>
      <c r="N130" s="152" t="str">
        <f t="shared" si="61"/>
        <v/>
      </c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</row>
    <row r="131" spans="1:49" s="13" customFormat="1">
      <c r="A131" s="92"/>
      <c r="B131" s="101" t="s">
        <v>3</v>
      </c>
      <c r="C131" s="102" t="s">
        <v>38</v>
      </c>
      <c r="D131" s="442">
        <f>INDEX('Apoio - Notas Explicativas'!$Q:$Q,MATCH(C131,'Apoio - Notas Explicativas'!$C:$C,0))</f>
        <v>8.2000000000000007E-3</v>
      </c>
      <c r="E131" s="113">
        <f>IFERROR($D131*(E61+E66+E67),"")</f>
        <v>27.534880630400004</v>
      </c>
      <c r="F131" s="152">
        <f t="shared" ref="F131:H131" si="62">IFERROR($D131*(F61+F66+F67),"")</f>
        <v>26.712373792000005</v>
      </c>
      <c r="G131" s="152">
        <f t="shared" si="62"/>
        <v>23.458780416000007</v>
      </c>
      <c r="H131" s="152" t="str">
        <f t="shared" si="62"/>
        <v/>
      </c>
      <c r="I131" s="152" t="str">
        <f t="shared" ref="I131:N131" si="63">IFERROR($D131*(I61+I66+I67),"")</f>
        <v/>
      </c>
      <c r="J131" s="152" t="str">
        <f t="shared" si="63"/>
        <v/>
      </c>
      <c r="K131" s="152" t="str">
        <f t="shared" si="63"/>
        <v/>
      </c>
      <c r="L131" s="152" t="str">
        <f t="shared" si="63"/>
        <v/>
      </c>
      <c r="M131" s="152" t="str">
        <f t="shared" si="63"/>
        <v/>
      </c>
      <c r="N131" s="152" t="str">
        <f t="shared" si="63"/>
        <v/>
      </c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</row>
    <row r="132" spans="1:49" s="13" customFormat="1">
      <c r="A132" s="92"/>
      <c r="B132" s="101" t="s">
        <v>7</v>
      </c>
      <c r="C132" s="102" t="s">
        <v>240</v>
      </c>
      <c r="D132" s="442">
        <f>INDEX('Apoio - Notas Explicativas'!$Q:$Q,MATCH(C132,'Apoio - Notas Explicativas'!$C:$C,0))</f>
        <v>2.9999999999999997E-4</v>
      </c>
      <c r="E132" s="113">
        <f>IFERROR($D132*(E61+E66+E67),"")</f>
        <v>1.0073736815999998</v>
      </c>
      <c r="F132" s="152">
        <f t="shared" ref="F132:H132" si="64">IFERROR($D132*(F61+F66+F67),"")</f>
        <v>0.977281968</v>
      </c>
      <c r="G132" s="152">
        <f t="shared" si="64"/>
        <v>0.85824806400000009</v>
      </c>
      <c r="H132" s="152" t="str">
        <f t="shared" si="64"/>
        <v/>
      </c>
      <c r="I132" s="152" t="str">
        <f t="shared" ref="I132:N132" si="65">IFERROR($D132*(I61+I66+I67),"")</f>
        <v/>
      </c>
      <c r="J132" s="152" t="str">
        <f t="shared" si="65"/>
        <v/>
      </c>
      <c r="K132" s="152" t="str">
        <f t="shared" si="65"/>
        <v/>
      </c>
      <c r="L132" s="152" t="str">
        <f t="shared" si="65"/>
        <v/>
      </c>
      <c r="M132" s="152" t="str">
        <f t="shared" si="65"/>
        <v/>
      </c>
      <c r="N132" s="152" t="str">
        <f t="shared" si="65"/>
        <v/>
      </c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</row>
    <row r="133" spans="1:49" s="13" customFormat="1">
      <c r="A133" s="92"/>
      <c r="B133" s="101" t="s">
        <v>6</v>
      </c>
      <c r="C133" s="102" t="s">
        <v>39</v>
      </c>
      <c r="D133" s="442">
        <f>INDEX('Apoio - Notas Explicativas'!$Q:$Q,MATCH(C133,'Apoio - Notas Explicativas'!$C:$C,0))</f>
        <v>6.9999999999999999E-4</v>
      </c>
      <c r="E133" s="113">
        <f>IFERROR((E$61+E67)*$D$133,"")</f>
        <v>2.1866070226000001</v>
      </c>
      <c r="F133" s="152">
        <f t="shared" ref="F133:H133" si="66">IFERROR((F$61+F67)*$D$133,"")</f>
        <v>2.1212898979999997</v>
      </c>
      <c r="G133" s="152">
        <f t="shared" si="66"/>
        <v>1.8629147040000003</v>
      </c>
      <c r="H133" s="152" t="str">
        <f t="shared" si="66"/>
        <v/>
      </c>
      <c r="I133" s="152" t="str">
        <f t="shared" ref="I133:N133" si="67">IFERROR((I$61+I67)*$D$133,"")</f>
        <v/>
      </c>
      <c r="J133" s="152" t="str">
        <f t="shared" si="67"/>
        <v/>
      </c>
      <c r="K133" s="152" t="str">
        <f t="shared" si="67"/>
        <v/>
      </c>
      <c r="L133" s="152" t="str">
        <f t="shared" si="67"/>
        <v/>
      </c>
      <c r="M133" s="152" t="str">
        <f t="shared" si="67"/>
        <v/>
      </c>
      <c r="N133" s="152" t="str">
        <f t="shared" si="67"/>
        <v/>
      </c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</row>
    <row r="134" spans="1:49" s="13" customFormat="1">
      <c r="A134" s="92"/>
      <c r="B134" s="101" t="s">
        <v>5</v>
      </c>
      <c r="C134" s="102" t="s">
        <v>95</v>
      </c>
      <c r="D134" s="442">
        <f>SUM(D128:D133)*SUM(D81:D82,D72:D77)</f>
        <v>1.4536000000000002E-2</v>
      </c>
      <c r="E134" s="113">
        <f>IF(E18="","",SUM(E128:E133)*SUM($D$72:$D$77,$D$81:$D$82))</f>
        <v>45.492079176086406</v>
      </c>
      <c r="F134" s="152">
        <f t="shared" ref="F134:H134" si="68">IF(F18="","",SUM(F128:F133)*SUM($D$72:$D$77,$D$81:$D$82))</f>
        <v>44.133164760672017</v>
      </c>
      <c r="G134" s="152">
        <f t="shared" si="68"/>
        <v>38.757701926656011</v>
      </c>
      <c r="H134" s="152" t="str">
        <f t="shared" si="68"/>
        <v/>
      </c>
      <c r="I134" s="152" t="str">
        <f t="shared" ref="I134:N134" si="69">IF(I18="","",SUM(I128:I133)*SUM($D$72:$D$77,$D$81:$D$82))</f>
        <v/>
      </c>
      <c r="J134" s="152" t="str">
        <f t="shared" si="69"/>
        <v/>
      </c>
      <c r="K134" s="152" t="str">
        <f t="shared" si="69"/>
        <v/>
      </c>
      <c r="L134" s="152" t="str">
        <f t="shared" si="69"/>
        <v/>
      </c>
      <c r="M134" s="152" t="str">
        <f t="shared" si="69"/>
        <v/>
      </c>
      <c r="N134" s="152" t="str">
        <f t="shared" si="69"/>
        <v/>
      </c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</row>
    <row r="135" spans="1:49" s="13" customFormat="1">
      <c r="A135" s="92"/>
      <c r="B135" s="101" t="s">
        <v>4</v>
      </c>
      <c r="C135" s="102" t="s">
        <v>92</v>
      </c>
      <c r="D135" s="452">
        <f>INDEX('Apoio - Notas Explicativas'!$Q:$Q,MATCH(C135,'Apoio - Notas Explicativas'!$C:$C,0))</f>
        <v>37.96</v>
      </c>
      <c r="E135" s="113">
        <f>IFERROR(((E112-SUM(E91,E96))/(30*12))*$D$135,"")</f>
        <v>2.0477311111111067</v>
      </c>
      <c r="F135" s="152">
        <f t="shared" ref="F135:H135" si="70">IFERROR(((F112-SUM(F91,F96))/(30*12))*$D$135,"")</f>
        <v>2.0477311111111067</v>
      </c>
      <c r="G135" s="152">
        <f t="shared" si="70"/>
        <v>2.0477311111111067</v>
      </c>
      <c r="H135" s="152" t="str">
        <f t="shared" si="70"/>
        <v/>
      </c>
      <c r="I135" s="152" t="str">
        <f t="shared" ref="I135:N135" si="71">IFERROR(((I112-SUM(I91,I96))/(30*12))*$D$135,"")</f>
        <v/>
      </c>
      <c r="J135" s="152" t="str">
        <f t="shared" si="71"/>
        <v/>
      </c>
      <c r="K135" s="152" t="str">
        <f t="shared" si="71"/>
        <v/>
      </c>
      <c r="L135" s="152" t="str">
        <f t="shared" si="71"/>
        <v/>
      </c>
      <c r="M135" s="152" t="str">
        <f t="shared" si="71"/>
        <v/>
      </c>
      <c r="N135" s="152" t="str">
        <f t="shared" si="71"/>
        <v/>
      </c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</row>
    <row r="136" spans="1:49" s="13" customFormat="1">
      <c r="A136" s="92"/>
      <c r="B136" s="101" t="s">
        <v>142</v>
      </c>
      <c r="C136" s="102" t="s">
        <v>40</v>
      </c>
      <c r="D136" s="452">
        <f>INDEX('Apoio - Notas Explicativas'!$Q:$Q,MATCH(C136,'Apoio - Notas Explicativas'!$C:$C,0))</f>
        <v>37.96</v>
      </c>
      <c r="E136" s="113">
        <f>IFERROR(((((E$123/12)*$D$136))/30),"")</f>
        <v>21.255063639333333</v>
      </c>
      <c r="F136" s="152">
        <f t="shared" ref="F136:N136" si="72">IFERROR(((((F$123/12)*$D$136))/30),"")</f>
        <v>20.620144046666667</v>
      </c>
      <c r="G136" s="152">
        <f t="shared" si="72"/>
        <v>18.108590240000002</v>
      </c>
      <c r="H136" s="152" t="str">
        <f t="shared" si="72"/>
        <v/>
      </c>
      <c r="I136" s="152" t="str">
        <f t="shared" si="72"/>
        <v/>
      </c>
      <c r="J136" s="152" t="str">
        <f t="shared" si="72"/>
        <v/>
      </c>
      <c r="K136" s="152" t="str">
        <f t="shared" si="72"/>
        <v/>
      </c>
      <c r="L136" s="152" t="str">
        <f t="shared" si="72"/>
        <v/>
      </c>
      <c r="M136" s="152" t="str">
        <f t="shared" si="72"/>
        <v/>
      </c>
      <c r="N136" s="152" t="str">
        <f t="shared" si="72"/>
        <v/>
      </c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</row>
    <row r="137" spans="1:49" s="5" customFormat="1">
      <c r="A137" s="90"/>
      <c r="B137" s="186"/>
      <c r="C137" s="187" t="s">
        <v>149</v>
      </c>
      <c r="D137" s="190"/>
      <c r="E137" s="191">
        <f>IF(SUM(E128:E136)=0,"",SUM(E128:E136))</f>
        <v>192.41465429633084</v>
      </c>
      <c r="F137" s="189">
        <f t="shared" ref="F137:H137" si="73">IF(SUM(F128:F136)=0,"",SUM(F128:F136))</f>
        <v>186.7281180724498</v>
      </c>
      <c r="G137" s="191">
        <f t="shared" si="73"/>
        <v>164.23386546976715</v>
      </c>
      <c r="H137" s="189" t="str">
        <f t="shared" si="73"/>
        <v/>
      </c>
      <c r="I137" s="189" t="str">
        <f t="shared" ref="I137:N137" si="74">IF(SUM(I128:I136)=0,"",SUM(I128:I136))</f>
        <v/>
      </c>
      <c r="J137" s="189" t="str">
        <f t="shared" si="74"/>
        <v/>
      </c>
      <c r="K137" s="189" t="str">
        <f t="shared" si="74"/>
        <v/>
      </c>
      <c r="L137" s="189" t="str">
        <f t="shared" si="74"/>
        <v/>
      </c>
      <c r="M137" s="189" t="str">
        <f t="shared" si="74"/>
        <v/>
      </c>
      <c r="N137" s="189" t="str">
        <f t="shared" si="74"/>
        <v/>
      </c>
      <c r="O137" s="317"/>
      <c r="P137" s="317"/>
      <c r="Q137" s="317"/>
      <c r="R137" s="317"/>
      <c r="S137" s="317"/>
      <c r="T137" s="317"/>
      <c r="U137" s="317"/>
      <c r="V137" s="317"/>
      <c r="W137" s="317"/>
      <c r="X137" s="317"/>
      <c r="Y137" s="317"/>
      <c r="Z137" s="317"/>
      <c r="AA137" s="317"/>
      <c r="AB137" s="317"/>
      <c r="AC137" s="317"/>
      <c r="AD137" s="317"/>
      <c r="AE137" s="317"/>
      <c r="AF137" s="317"/>
      <c r="AG137" s="317"/>
      <c r="AH137" s="317"/>
      <c r="AI137" s="317"/>
      <c r="AJ137" s="317"/>
      <c r="AK137" s="317"/>
      <c r="AL137" s="317"/>
      <c r="AM137" s="317"/>
      <c r="AN137" s="317"/>
      <c r="AO137" s="317"/>
      <c r="AP137" s="317"/>
      <c r="AQ137" s="317"/>
      <c r="AR137" s="317"/>
      <c r="AS137" s="317"/>
      <c r="AT137" s="317"/>
      <c r="AU137" s="317"/>
      <c r="AV137" s="317"/>
      <c r="AW137" s="317"/>
    </row>
    <row r="138" spans="1:49" customFormat="1"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7"/>
      <c r="AV138" s="47"/>
      <c r="AW138" s="47"/>
    </row>
    <row r="139" spans="1:49" s="6" customFormat="1">
      <c r="A139" s="89"/>
      <c r="B139" s="186"/>
      <c r="C139" s="187" t="s">
        <v>438</v>
      </c>
      <c r="D139" s="188"/>
      <c r="E139" s="191"/>
      <c r="F139" s="191"/>
      <c r="G139" s="191"/>
      <c r="H139" s="191"/>
      <c r="I139" s="191"/>
      <c r="J139" s="191"/>
      <c r="K139" s="191"/>
      <c r="L139" s="191"/>
      <c r="M139" s="191"/>
      <c r="N139" s="191"/>
      <c r="O139" s="319"/>
      <c r="P139" s="319"/>
      <c r="Q139" s="319"/>
      <c r="R139" s="319"/>
      <c r="S139" s="319"/>
      <c r="T139" s="319"/>
      <c r="U139" s="319"/>
      <c r="V139" s="319"/>
      <c r="W139" s="319"/>
      <c r="X139" s="319"/>
      <c r="Y139" s="319"/>
      <c r="Z139" s="319"/>
      <c r="AA139" s="319"/>
      <c r="AB139" s="319"/>
      <c r="AC139" s="319"/>
      <c r="AD139" s="319"/>
      <c r="AE139" s="319"/>
      <c r="AF139" s="319"/>
      <c r="AG139" s="319"/>
      <c r="AH139" s="319"/>
      <c r="AI139" s="319"/>
      <c r="AJ139" s="319"/>
      <c r="AK139" s="319"/>
      <c r="AL139" s="319"/>
      <c r="AM139" s="319"/>
      <c r="AN139" s="319"/>
      <c r="AO139" s="319"/>
      <c r="AP139" s="319"/>
      <c r="AQ139" s="319"/>
      <c r="AR139" s="319"/>
      <c r="AS139" s="319"/>
      <c r="AT139" s="319"/>
      <c r="AU139" s="319"/>
      <c r="AV139" s="319"/>
      <c r="AW139" s="319"/>
    </row>
    <row r="140" spans="1:49" s="13" customFormat="1">
      <c r="A140" s="93"/>
      <c r="B140" s="704" t="s">
        <v>2</v>
      </c>
      <c r="C140" s="150" t="s">
        <v>403</v>
      </c>
      <c r="D140" s="201"/>
      <c r="E140" s="163"/>
      <c r="F140" s="163"/>
      <c r="G140" s="163"/>
      <c r="H140" s="163"/>
      <c r="I140" s="163"/>
      <c r="J140" s="163"/>
      <c r="K140" s="163"/>
      <c r="L140" s="163"/>
      <c r="M140" s="163"/>
      <c r="N140" s="163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</row>
    <row r="141" spans="1:49" s="24" customFormat="1">
      <c r="A141" s="93"/>
      <c r="B141" s="705"/>
      <c r="C141" s="151" t="s">
        <v>366</v>
      </c>
      <c r="D141" s="194"/>
      <c r="E141" s="195" t="s">
        <v>617</v>
      </c>
      <c r="F141" s="195" t="s">
        <v>617</v>
      </c>
      <c r="G141" s="195" t="s">
        <v>617</v>
      </c>
      <c r="H141" s="195"/>
      <c r="I141" s="195"/>
      <c r="J141" s="195"/>
      <c r="K141" s="195"/>
      <c r="L141" s="195"/>
      <c r="M141" s="195"/>
      <c r="N141" s="195"/>
    </row>
    <row r="142" spans="1:49" s="24" customFormat="1">
      <c r="A142" s="93"/>
      <c r="B142" s="706"/>
      <c r="C142" s="239"/>
      <c r="D142" s="240" t="s">
        <v>43</v>
      </c>
      <c r="E142" s="115">
        <f>IF(E141="Rendição",(((SUM(E61,E$83,E$112,E148)/VLOOKUP(E$26,'Apoio - Regime de Trabalho'!$A:$I,8,FALSE)))*VLOOKUP(E$26,'Apoio - Regime de Trabalho'!$A:$I,7,FALSE)),
IF(E141="Não",0,
IF(E141="Indenização",(((SUM(E32,E42)/VLOOKUP(E$26,'Apoio - Regime de Trabalho'!$A:$I,8,FALSE))*1.5)*VLOOKUP(E$26,'Apoio - Regime de Trabalho'!$A:$I,7,FALSE)),"")))</f>
        <v>0</v>
      </c>
      <c r="F142" s="115">
        <f>IF(F141="Rendição",(((SUM(F61,F$83,F$112,F148)/VLOOKUP(F$26,'Apoio - Regime de Trabalho'!$A:$I,8,FALSE)))*VLOOKUP(F$26,'Apoio - Regime de Trabalho'!$A:$I,7,FALSE)),
IF(F141="Não",0,
IF(F141="Indenização",(((SUM(F32,F42)/VLOOKUP(F$26,'Apoio - Regime de Trabalho'!$A:$I,8,FALSE))*1.5)*VLOOKUP(F$26,'Apoio - Regime de Trabalho'!$A:$I,7,FALSE)),"")))</f>
        <v>0</v>
      </c>
      <c r="G142" s="115">
        <f>IF(G141="Rendição",(((SUM(G61,G$83,G$112,G148)/VLOOKUP(G$26,'Apoio - Regime de Trabalho'!$A:$I,8,FALSE)))*VLOOKUP(G$26,'Apoio - Regime de Trabalho'!$A:$I,7,FALSE)),
IF(G141="Não",0,
IF(G141="Indenização",(((SUM(G32,G42)/VLOOKUP(G$26,'Apoio - Regime de Trabalho'!$A:$I,8,FALSE))*1.5)*VLOOKUP(G$26,'Apoio - Regime de Trabalho'!$A:$I,7,FALSE)),"")))</f>
        <v>0</v>
      </c>
      <c r="H142" s="115" t="str">
        <f>IF(H141="Rendição",(((SUM(H61,H$83,H$112,H148)/VLOOKUP(H$26,'Apoio - Regime de Trabalho'!$A:$I,8,FALSE)))*VLOOKUP(H$26,'Apoio - Regime de Trabalho'!$A:$I,7,FALSE)),
IF(H141="Não",0,
IF(H141="Indenização",(((SUM(H32,H42)/VLOOKUP(H$26,'Apoio - Regime de Trabalho'!$A:$I,8,FALSE))*1.5)*VLOOKUP(H$26,'Apoio - Regime de Trabalho'!$A:$I,7,FALSE)),"")))</f>
        <v/>
      </c>
      <c r="I142" s="115" t="str">
        <f>IF(I141="Rendição",(((SUM(I61,I$83,I$112,I148)/VLOOKUP(I$26,'Apoio - Regime de Trabalho'!$A:$I,8,FALSE)))*VLOOKUP(I$26,'Apoio - Regime de Trabalho'!$A:$I,7,FALSE)),
IF(I141="Não",0,
IF(I141="Indenização",(((SUM(I32,I42)/VLOOKUP(I$26,'Apoio - Regime de Trabalho'!$A:$I,8,FALSE))*1.5)*VLOOKUP(I$26,'Apoio - Regime de Trabalho'!$A:$I,7,FALSE)),"")))</f>
        <v/>
      </c>
      <c r="J142" s="115" t="str">
        <f>IF(J141="Rendição",(((SUM(J61,J$83,J$112,J148)/VLOOKUP(J$26,'Apoio - Regime de Trabalho'!$A:$I,8,FALSE)))*VLOOKUP(J$26,'Apoio - Regime de Trabalho'!$A:$I,7,FALSE)),
IF(J141="Não",0,
IF(J141="Indenização",(((SUM(J32,J42)/VLOOKUP(J$26,'Apoio - Regime de Trabalho'!$A:$I,8,FALSE))*1.5)*VLOOKUP(J$26,'Apoio - Regime de Trabalho'!$A:$I,7,FALSE)),"")))</f>
        <v/>
      </c>
      <c r="K142" s="115" t="str">
        <f>IF(K141="Rendição",(((SUM(K61,K$83,K$112,K148)/VLOOKUP(K$26,'Apoio - Regime de Trabalho'!$A:$I,8,FALSE)))*VLOOKUP(K$26,'Apoio - Regime de Trabalho'!$A:$I,7,FALSE)),
IF(K141="Não",0,
IF(K141="Indenização",(((SUM(K32,K42)/VLOOKUP(K$26,'Apoio - Regime de Trabalho'!$A:$I,8,FALSE))*1.5)*VLOOKUP(K$26,'Apoio - Regime de Trabalho'!$A:$I,7,FALSE)),"")))</f>
        <v/>
      </c>
      <c r="L142" s="115" t="str">
        <f>IF(L141="Rendição",(((SUM(L61,L$83,L$112,L148)/VLOOKUP(L$26,'Apoio - Regime de Trabalho'!$A:$I,8,FALSE)))*VLOOKUP(L$26,'Apoio - Regime de Trabalho'!$A:$I,7,FALSE)),
IF(L141="Não",0,
IF(L141="Indenização",(((SUM(L32,L42)/VLOOKUP(L$26,'Apoio - Regime de Trabalho'!$A:$I,8,FALSE))*1.5)*VLOOKUP(L$26,'Apoio - Regime de Trabalho'!$A:$I,7,FALSE)),"")))</f>
        <v/>
      </c>
      <c r="M142" s="115" t="str">
        <f>IF(M141="Rendição",(((SUM(M61,M$83,M$112,M148)/VLOOKUP(M$26,'Apoio - Regime de Trabalho'!$A:$I,8,FALSE)))*VLOOKUP(M$26,'Apoio - Regime de Trabalho'!$A:$I,7,FALSE)),
IF(M141="Não",0,
IF(M141="Indenização",(((SUM(M32,M42)/VLOOKUP(M$26,'Apoio - Regime de Trabalho'!$A:$I,8,FALSE))*1.5)*VLOOKUP(M$26,'Apoio - Regime de Trabalho'!$A:$I,7,FALSE)),"")))</f>
        <v/>
      </c>
      <c r="N142" s="115" t="str">
        <f>IF(N141="Rendição",(((SUM(N61,N$83,N$112,N148)/VLOOKUP(N$26,'Apoio - Regime de Trabalho'!$A:$I,8,FALSE)))*VLOOKUP(N$26,'Apoio - Regime de Trabalho'!$A:$I,7,FALSE)),
IF(N141="Não",0,
IF(N141="Indenização",(((SUM(N32,N42)/VLOOKUP(N$26,'Apoio - Regime de Trabalho'!$A:$I,8,FALSE))*1.5)*VLOOKUP(N$26,'Apoio - Regime de Trabalho'!$A:$I,7,FALSE)),"")))</f>
        <v/>
      </c>
    </row>
    <row r="143" spans="1:49" s="5" customFormat="1">
      <c r="A143" s="90"/>
      <c r="B143" s="186"/>
      <c r="C143" s="187" t="s">
        <v>150</v>
      </c>
      <c r="D143" s="190"/>
      <c r="E143" s="189">
        <f>E142</f>
        <v>0</v>
      </c>
      <c r="F143" s="189">
        <f t="shared" ref="F143:H143" si="75">F142</f>
        <v>0</v>
      </c>
      <c r="G143" s="189">
        <f t="shared" si="75"/>
        <v>0</v>
      </c>
      <c r="H143" s="189" t="str">
        <f t="shared" si="75"/>
        <v/>
      </c>
      <c r="I143" s="189" t="str">
        <f t="shared" ref="I143:N143" si="76">I142</f>
        <v/>
      </c>
      <c r="J143" s="189" t="str">
        <f t="shared" si="76"/>
        <v/>
      </c>
      <c r="K143" s="189" t="str">
        <f t="shared" si="76"/>
        <v/>
      </c>
      <c r="L143" s="189" t="str">
        <f t="shared" si="76"/>
        <v/>
      </c>
      <c r="M143" s="189" t="str">
        <f t="shared" si="76"/>
        <v/>
      </c>
      <c r="N143" s="189" t="str">
        <f t="shared" si="76"/>
        <v/>
      </c>
      <c r="O143" s="317"/>
      <c r="P143" s="317"/>
      <c r="Q143" s="317"/>
      <c r="R143" s="317"/>
      <c r="S143" s="317"/>
      <c r="T143" s="317"/>
      <c r="U143" s="317"/>
      <c r="V143" s="317"/>
      <c r="W143" s="317"/>
      <c r="X143" s="317"/>
      <c r="Y143" s="317"/>
      <c r="Z143" s="317"/>
      <c r="AA143" s="317"/>
      <c r="AB143" s="317"/>
      <c r="AC143" s="317"/>
      <c r="AD143" s="317"/>
      <c r="AE143" s="317"/>
      <c r="AF143" s="317"/>
      <c r="AG143" s="317"/>
      <c r="AH143" s="317"/>
      <c r="AI143" s="317"/>
      <c r="AJ143" s="317"/>
      <c r="AK143" s="317"/>
      <c r="AL143" s="317"/>
      <c r="AM143" s="317"/>
      <c r="AN143" s="317"/>
      <c r="AO143" s="317"/>
      <c r="AP143" s="317"/>
      <c r="AQ143" s="317"/>
      <c r="AR143" s="317"/>
      <c r="AS143" s="317"/>
      <c r="AT143" s="317"/>
      <c r="AU143" s="317"/>
      <c r="AV143" s="317"/>
      <c r="AW143" s="317"/>
    </row>
    <row r="144" spans="1:49" customFormat="1" ht="3.75" customHeight="1"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</row>
    <row r="145" spans="1:49" s="5" customFormat="1">
      <c r="A145" s="87"/>
      <c r="B145" s="172"/>
      <c r="C145" s="104" t="s">
        <v>151</v>
      </c>
      <c r="D145" s="168"/>
      <c r="E145" s="170">
        <f>IF(E143="",E137,SUM(E143,E137))</f>
        <v>192.41465429633084</v>
      </c>
      <c r="F145" s="170">
        <f t="shared" ref="F145:H145" si="77">IF(F143="",F137,SUM(F143,F137))</f>
        <v>186.7281180724498</v>
      </c>
      <c r="G145" s="169">
        <f t="shared" si="77"/>
        <v>164.23386546976715</v>
      </c>
      <c r="H145" s="493" t="str">
        <f t="shared" si="77"/>
        <v/>
      </c>
      <c r="I145" s="493" t="str">
        <f t="shared" ref="I145:N145" si="78">IF(I143="",I137,SUM(I143,I137))</f>
        <v/>
      </c>
      <c r="J145" s="493" t="str">
        <f t="shared" si="78"/>
        <v/>
      </c>
      <c r="K145" s="493" t="str">
        <f t="shared" si="78"/>
        <v/>
      </c>
      <c r="L145" s="493" t="str">
        <f t="shared" si="78"/>
        <v/>
      </c>
      <c r="M145" s="493" t="str">
        <f t="shared" si="78"/>
        <v/>
      </c>
      <c r="N145" s="493" t="str">
        <f t="shared" si="78"/>
        <v/>
      </c>
      <c r="O145" s="317"/>
      <c r="P145" s="317"/>
      <c r="Q145" s="317"/>
      <c r="R145" s="317"/>
      <c r="S145" s="317"/>
      <c r="T145" s="317"/>
      <c r="U145" s="317"/>
      <c r="V145" s="317"/>
      <c r="W145" s="317"/>
      <c r="X145" s="317"/>
      <c r="Y145" s="317"/>
      <c r="Z145" s="317"/>
      <c r="AA145" s="317"/>
      <c r="AB145" s="317"/>
      <c r="AC145" s="317"/>
      <c r="AD145" s="317"/>
      <c r="AE145" s="317"/>
      <c r="AF145" s="317"/>
      <c r="AG145" s="317"/>
      <c r="AH145" s="317"/>
      <c r="AI145" s="317"/>
      <c r="AJ145" s="317"/>
      <c r="AK145" s="317"/>
      <c r="AL145" s="317"/>
      <c r="AM145" s="317"/>
      <c r="AN145" s="317"/>
      <c r="AO145" s="317"/>
      <c r="AP145" s="317"/>
      <c r="AQ145" s="317"/>
      <c r="AR145" s="317"/>
      <c r="AS145" s="317"/>
      <c r="AT145" s="317"/>
      <c r="AU145" s="317"/>
      <c r="AV145" s="317"/>
      <c r="AW145" s="317"/>
    </row>
    <row r="146" spans="1:49" s="5" customFormat="1">
      <c r="B146" s="99"/>
      <c r="C146" s="15"/>
      <c r="D146" s="16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317"/>
      <c r="P146" s="317"/>
      <c r="Q146" s="317"/>
      <c r="R146" s="317"/>
      <c r="S146" s="317"/>
      <c r="T146" s="317"/>
      <c r="U146" s="317"/>
      <c r="V146" s="317"/>
      <c r="W146" s="317"/>
      <c r="X146" s="317"/>
      <c r="Y146" s="317"/>
      <c r="Z146" s="317"/>
      <c r="AA146" s="317"/>
      <c r="AB146" s="317"/>
      <c r="AC146" s="317"/>
      <c r="AD146" s="317"/>
      <c r="AE146" s="317"/>
      <c r="AF146" s="317"/>
      <c r="AG146" s="317"/>
      <c r="AH146" s="317"/>
      <c r="AI146" s="317"/>
      <c r="AJ146" s="317"/>
      <c r="AK146" s="317"/>
      <c r="AL146" s="317"/>
      <c r="AM146" s="317"/>
      <c r="AN146" s="317"/>
      <c r="AO146" s="317"/>
      <c r="AP146" s="317"/>
      <c r="AQ146" s="317"/>
      <c r="AR146" s="317"/>
      <c r="AS146" s="317"/>
      <c r="AT146" s="317"/>
      <c r="AU146" s="317"/>
      <c r="AV146" s="317"/>
      <c r="AW146" s="317"/>
    </row>
    <row r="147" spans="1:49" s="6" customFormat="1">
      <c r="A147" s="88"/>
      <c r="B147" s="103"/>
      <c r="C147" s="104" t="s">
        <v>418</v>
      </c>
      <c r="D147" s="105"/>
      <c r="E147" s="395"/>
      <c r="F147" s="395"/>
      <c r="G147" s="395"/>
      <c r="H147" s="395"/>
      <c r="I147" s="395"/>
      <c r="J147" s="395"/>
      <c r="K147" s="395"/>
      <c r="L147" s="395"/>
      <c r="M147" s="395"/>
      <c r="N147" s="395"/>
      <c r="O147" s="319"/>
      <c r="P147" s="319"/>
      <c r="Q147" s="319"/>
      <c r="R147" s="319"/>
      <c r="S147" s="319"/>
      <c r="T147" s="319"/>
      <c r="U147" s="319"/>
      <c r="V147" s="319"/>
      <c r="W147" s="319"/>
      <c r="X147" s="319"/>
      <c r="Y147" s="319"/>
      <c r="Z147" s="319"/>
      <c r="AA147" s="319"/>
      <c r="AB147" s="319"/>
      <c r="AC147" s="319"/>
      <c r="AD147" s="319"/>
      <c r="AE147" s="319"/>
      <c r="AF147" s="319"/>
      <c r="AG147" s="319"/>
      <c r="AH147" s="319"/>
      <c r="AI147" s="319"/>
      <c r="AJ147" s="319"/>
      <c r="AK147" s="319"/>
      <c r="AL147" s="319"/>
      <c r="AM147" s="319"/>
      <c r="AN147" s="319"/>
      <c r="AO147" s="319"/>
      <c r="AP147" s="319"/>
      <c r="AQ147" s="319"/>
      <c r="AR147" s="319"/>
      <c r="AS147" s="319"/>
      <c r="AT147" s="319"/>
      <c r="AU147" s="319"/>
      <c r="AV147" s="319"/>
      <c r="AW147" s="319"/>
    </row>
    <row r="148" spans="1:49" s="6" customFormat="1">
      <c r="A148" s="92"/>
      <c r="B148" s="101" t="s">
        <v>2</v>
      </c>
      <c r="C148" s="337" t="s">
        <v>276</v>
      </c>
      <c r="D148" s="442"/>
      <c r="E148" s="113">
        <f>IF(E18="","",ROUND(IF($D$148&lt;&gt;"",$D$148*E170,IFERROR('Mat Individual e Uniformes func'!H28/Proposta!$J$6,"")),2))</f>
        <v>178.65</v>
      </c>
      <c r="F148" s="113">
        <f>IF(F18="","",ROUND(IF($D$148&lt;&gt;"",$D$148*F170,IFERROR('Mat Individual e Uniformes func'!I28/Proposta!$J$6,"")),2))</f>
        <v>142.4</v>
      </c>
      <c r="G148" s="113">
        <f>IF(G18="","",ROUND(IF($D$148&lt;&gt;"",$D$148*G170,IFERROR('Mat Individual e Uniformes func'!J28/Proposta!$J$6,"")),2))</f>
        <v>142.4</v>
      </c>
      <c r="H148" s="113" t="str">
        <f>IF(H18="","",ROUND(IF($D$148&lt;&gt;"",$D$148*H170,IFERROR('Mat Individual e Uniformes func'!K28/Proposta!$J$6,"")),2))</f>
        <v/>
      </c>
      <c r="I148" s="113" t="str">
        <f>IF(I18="","",ROUND(IF($D$148&lt;&gt;"",$D$148*I170,IFERROR('Mat Individual e Uniformes func'!L28/Proposta!$J$6,"")),2))</f>
        <v/>
      </c>
      <c r="J148" s="113" t="str">
        <f>IF(J18="","",ROUND(IF($D$148&lt;&gt;"",$D$148*J170,IFERROR('Mat Individual e Uniformes func'!M28/Proposta!$J$6,"")),2))</f>
        <v/>
      </c>
      <c r="K148" s="113" t="str">
        <f>IF(K18="","",ROUND(IF($D$148&lt;&gt;"",$D$148*K170,IFERROR('Mat Individual e Uniformes func'!N28/Proposta!$J$6,"")),2))</f>
        <v/>
      </c>
      <c r="L148" s="113" t="str">
        <f>IF(L18="","",ROUND(IF($D$148&lt;&gt;"",$D$148*L170,IFERROR('Mat Individual e Uniformes func'!O28/Proposta!$J$6,"")),2))</f>
        <v/>
      </c>
      <c r="M148" s="113" t="str">
        <f>IF(M18="","",ROUND(IF($D$148&lt;&gt;"",$D$148*M170,IFERROR('Mat Individual e Uniformes func'!P28/Proposta!$J$6,"")),2))</f>
        <v/>
      </c>
      <c r="N148" s="113" t="str">
        <f>IF(N18="","",ROUND(IF($D$148&lt;&gt;"",$D$148*N170,IFERROR('Mat Individual e Uniformes func'!Q28/Proposta!$J$6,"")),2))</f>
        <v/>
      </c>
      <c r="O148" s="319"/>
      <c r="P148" s="319"/>
      <c r="Q148" s="319"/>
      <c r="R148" s="319"/>
      <c r="S148" s="319"/>
      <c r="T148" s="319"/>
      <c r="U148" s="319"/>
      <c r="V148" s="319"/>
      <c r="W148" s="319"/>
      <c r="X148" s="319"/>
      <c r="Y148" s="319"/>
      <c r="Z148" s="319"/>
      <c r="AA148" s="319"/>
      <c r="AB148" s="319"/>
      <c r="AC148" s="319"/>
      <c r="AD148" s="319"/>
      <c r="AE148" s="319"/>
      <c r="AF148" s="319"/>
      <c r="AG148" s="319"/>
      <c r="AH148" s="319"/>
      <c r="AI148" s="319"/>
      <c r="AJ148" s="319"/>
      <c r="AK148" s="319"/>
      <c r="AL148" s="319"/>
      <c r="AM148" s="319"/>
      <c r="AN148" s="319"/>
      <c r="AO148" s="319"/>
      <c r="AP148" s="319"/>
      <c r="AQ148" s="319"/>
      <c r="AR148" s="319"/>
      <c r="AS148" s="319"/>
      <c r="AT148" s="319"/>
      <c r="AU148" s="319"/>
      <c r="AV148" s="319"/>
      <c r="AW148" s="319"/>
    </row>
    <row r="149" spans="1:49" s="6" customFormat="1">
      <c r="A149" s="92"/>
      <c r="B149" s="101" t="s">
        <v>1</v>
      </c>
      <c r="C149" s="337" t="s">
        <v>277</v>
      </c>
      <c r="D149" s="442"/>
      <c r="E149" s="113">
        <f>IFERROR(
IF(E18="","",ROUND(
IF($D$149&lt;&gt;"",$D$149*SUM(E148,E179),
IFERROR(SUMIFS('Mat Coletivo e Equipamentos'!$K6:$K1010,'Mat Coletivo e Equipamentos'!$E6:$E1010,"",'Mat Coletivo e Equipamentos'!$F$6:$F$1010,"")/SUM($E$29:$XX$29),0)
+
IFERROR(SUMIFS('Mat Coletivo e Equipamentos'!$K6:$K1010,'Mat Coletivo e Equipamentos'!$E6:$E1010,"Todos",'Mat Coletivo e Equipamentos'!$F$6:$F$1010,"Todos")/SUM($E$29:$XX$29),0)
+
IFERROR(SUMIFS('Mat Coletivo e Equipamentos'!$K6:$K1010,'Mat Coletivo e Equipamentos'!$E6:$E1010,"",'Mat Coletivo e Equipamentos'!$F$6:$F$1010,E25)/SUMIFS($E$29:$XX$29,$E$25:$XX$25,E25),0)
+
IFERROR(SUMIFS('Mat Coletivo e Equipamentos'!$K6:$K1010,'Mat Coletivo e Equipamentos'!$E6:$E1010,"Todos",'Mat Coletivo e Equipamentos'!$F$6:$F$1010,E25)/SUMIFS($E$29:$XX$29,$E$25:$XX$25,E25),0)
+
IFERROR(SUMIFS('Mat Coletivo e Equipamentos'!$K6:$K1010,'Mat Coletivo e Equipamentos'!$E6:$E1010,E17,'Mat Coletivo e Equipamentos'!$F$6:$F$1010,"")/SUMIFS($E$29:$XX$29,$E$19:$XX$19,E19),0)
+
IFERROR(SUMIFS('Mat Coletivo e Equipamentos'!$K6:$K1010,'Mat Coletivo e Equipamentos'!$E6:$E1010,E17,'Mat Coletivo e Equipamentos'!$F$6:$F$1010,E25)/SUMIFS($E$29:$XX$29,$E$19:$XX$19,E19,$E$25:$XX$25,E25)*E28,0)
),2)),"")</f>
        <v>402.65</v>
      </c>
      <c r="F149" s="113">
        <f>IFERROR(
IF(F18="","",ROUND(
IF($D$149&lt;&gt;"",$D$149*SUM(F148,F179),
IFERROR(SUMIFS('Mat Coletivo e Equipamentos'!$K6:$K1010,'Mat Coletivo e Equipamentos'!$E6:$E1010,"",'Mat Coletivo e Equipamentos'!$F$6:$F$1010,"")/SUM($E$29:$XX$29),0)
+
IFERROR(SUMIFS('Mat Coletivo e Equipamentos'!$K6:$K1010,'Mat Coletivo e Equipamentos'!$E6:$E1010,"Todos",'Mat Coletivo e Equipamentos'!$F$6:$F$1010,"Todos")/SUM($E$29:$XX$29),0)
+
IFERROR(SUMIFS('Mat Coletivo e Equipamentos'!$K6:$K1010,'Mat Coletivo e Equipamentos'!$E6:$E1010,"",'Mat Coletivo e Equipamentos'!$F$6:$F$1010,F25)/SUMIFS($E$29:$XX$29,$E$25:$XX$25,F25),0)
+
IFERROR(SUMIFS('Mat Coletivo e Equipamentos'!$K6:$K1010,'Mat Coletivo e Equipamentos'!$E6:$E1010,"Todos",'Mat Coletivo e Equipamentos'!$F$6:$F$1010,F25)/SUMIFS($E$29:$XX$29,$E$25:$XX$25,F25),0)
+
IFERROR(SUMIFS('Mat Coletivo e Equipamentos'!$K6:$K1010,'Mat Coletivo e Equipamentos'!$E6:$E1010,F17,'Mat Coletivo e Equipamentos'!$F$6:$F$1010,"")/SUMIFS($E$29:$XX$29,$E$19:$XX$19,F19),0)
+
IFERROR(SUMIFS('Mat Coletivo e Equipamentos'!$K6:$K1010,'Mat Coletivo e Equipamentos'!$E6:$E1010,F17,'Mat Coletivo e Equipamentos'!$F$6:$F$1010,F25)/SUMIFS($E$29:$XX$29,$E$19:$XX$19,F19,$E$25:$XX$25,F25)*F28,0)
),2)),"")</f>
        <v>402.65</v>
      </c>
      <c r="G149" s="113">
        <f>IFERROR(
IF(G18="","",ROUND(
IF($D$149&lt;&gt;"",$D$149*SUM(G148,G179),
IFERROR(SUMIFS('Mat Coletivo e Equipamentos'!$K6:$K1010,'Mat Coletivo e Equipamentos'!$E6:$E1010,"",'Mat Coletivo e Equipamentos'!$F$6:$F$1010,"")/SUM($E$29:$XX$29),0)
+
IFERROR(SUMIFS('Mat Coletivo e Equipamentos'!$K6:$K1010,'Mat Coletivo e Equipamentos'!$E6:$E1010,"Todos",'Mat Coletivo e Equipamentos'!$F$6:$F$1010,"Todos")/SUM($E$29:$XX$29),0)
+
IFERROR(SUMIFS('Mat Coletivo e Equipamentos'!$K6:$K1010,'Mat Coletivo e Equipamentos'!$E6:$E1010,"",'Mat Coletivo e Equipamentos'!$F$6:$F$1010,G25)/SUMIFS($E$29:$XX$29,$E$25:$XX$25,G25),0)
+
IFERROR(SUMIFS('Mat Coletivo e Equipamentos'!$K6:$K1010,'Mat Coletivo e Equipamentos'!$E6:$E1010,"Todos",'Mat Coletivo e Equipamentos'!$F$6:$F$1010,G25)/SUMIFS($E$29:$XX$29,$E$25:$XX$25,G25),0)
+
IFERROR(SUMIFS('Mat Coletivo e Equipamentos'!$K6:$K1010,'Mat Coletivo e Equipamentos'!$E6:$E1010,G17,'Mat Coletivo e Equipamentos'!$F$6:$F$1010,"")/SUMIFS($E$29:$XX$29,$E$19:$XX$19,G19),0)
+
IFERROR(SUMIFS('Mat Coletivo e Equipamentos'!$K6:$K1010,'Mat Coletivo e Equipamentos'!$E6:$E1010,G17,'Mat Coletivo e Equipamentos'!$F$6:$F$1010,G25)/SUMIFS($E$29:$XX$29,$E$19:$XX$19,G19,$E$25:$XX$25,G25)*G28,0)
),2)),"")</f>
        <v>402.65</v>
      </c>
      <c r="H149" s="113" t="str">
        <f>IFERROR(
IF(H18="","",ROUND(
IF($D$149&lt;&gt;"",$D$149*SUM(H148,H179),
IFERROR(SUMIFS('Mat Coletivo e Equipamentos'!$K6:$K1010,'Mat Coletivo e Equipamentos'!$E6:$E1010,"",'Mat Coletivo e Equipamentos'!$F$6:$F$1010,"")/SUM($E$29:$XX$29),0)
+
IFERROR(SUMIFS('Mat Coletivo e Equipamentos'!$K6:$K1010,'Mat Coletivo e Equipamentos'!$E6:$E1010,"Todos",'Mat Coletivo e Equipamentos'!$F$6:$F$1010,"Todos")/SUM($E$29:$XX$29),0)
+
IFERROR(SUMIFS('Mat Coletivo e Equipamentos'!$K6:$K1010,'Mat Coletivo e Equipamentos'!$E6:$E1010,"",'Mat Coletivo e Equipamentos'!$F$6:$F$1010,H25)/SUMIFS($E$29:$XX$29,$E$25:$XX$25,H25),0)
+
IFERROR(SUMIFS('Mat Coletivo e Equipamentos'!$K6:$K1010,'Mat Coletivo e Equipamentos'!$E6:$E1010,"Todos",'Mat Coletivo e Equipamentos'!$F$6:$F$1010,H25)/SUMIFS($E$29:$XX$29,$E$25:$XX$25,H25),0)
+
IFERROR(SUMIFS('Mat Coletivo e Equipamentos'!$K6:$K1010,'Mat Coletivo e Equipamentos'!$E6:$E1010,H17,'Mat Coletivo e Equipamentos'!$F$6:$F$1010,"")/SUMIFS($E$29:$XX$29,$E$19:$XX$19,H19),0)
+
IFERROR(SUMIFS('Mat Coletivo e Equipamentos'!$K6:$K1010,'Mat Coletivo e Equipamentos'!$E6:$E1010,H17,'Mat Coletivo e Equipamentos'!$F$6:$F$1010,H25)/SUMIFS($E$29:$XX$29,$E$19:$XX$19,H19,$E$25:$XX$25,H25)*H28,0)
),2)),"")</f>
        <v/>
      </c>
      <c r="I149" s="113" t="str">
        <f>IFERROR(
IF(I18="","",ROUND(
IF($D$149&lt;&gt;"",$D$149*SUM(I148,I179),
IFERROR(SUMIFS('Mat Coletivo e Equipamentos'!$K6:$K1010,'Mat Coletivo e Equipamentos'!$E6:$E1010,"",'Mat Coletivo e Equipamentos'!$F$6:$F$1010,"")/SUM($E$29:$XX$29),0)
+
IFERROR(SUMIFS('Mat Coletivo e Equipamentos'!$K6:$K1010,'Mat Coletivo e Equipamentos'!$E6:$E1010,"Todos",'Mat Coletivo e Equipamentos'!$F$6:$F$1010,"Todos")/SUM($E$29:$XX$29),0)
+
IFERROR(SUMIFS('Mat Coletivo e Equipamentos'!$K6:$K1010,'Mat Coletivo e Equipamentos'!$E6:$E1010,"",'Mat Coletivo e Equipamentos'!$F$6:$F$1010,I25)/SUMIFS($E$29:$XX$29,$E$25:$XX$25,I25),0)
+
IFERROR(SUMIFS('Mat Coletivo e Equipamentos'!$K6:$K1010,'Mat Coletivo e Equipamentos'!$E6:$E1010,"Todos",'Mat Coletivo e Equipamentos'!$F$6:$F$1010,I25)/SUMIFS($E$29:$XX$29,$E$25:$XX$25,I25),0)
+
IFERROR(SUMIFS('Mat Coletivo e Equipamentos'!$K6:$K1010,'Mat Coletivo e Equipamentos'!$E6:$E1010,I17,'Mat Coletivo e Equipamentos'!$F$6:$F$1010,"")/SUMIFS($E$29:$XX$29,$E$19:$XX$19,I19),0)
+
IFERROR(SUMIFS('Mat Coletivo e Equipamentos'!$K6:$K1010,'Mat Coletivo e Equipamentos'!$E6:$E1010,I17,'Mat Coletivo e Equipamentos'!$F$6:$F$1010,I25)/SUMIFS($E$29:$XX$29,$E$19:$XX$19,I19,$E$25:$XX$25,I25)*I28,0)
),2)),"")</f>
        <v/>
      </c>
      <c r="J149" s="113" t="str">
        <f>IFERROR(
IF(J18="","",ROUND(
IF($D$149&lt;&gt;"",$D$149*SUM(J148,J179),
IFERROR(SUMIFS('Mat Coletivo e Equipamentos'!$K6:$K1010,'Mat Coletivo e Equipamentos'!$E6:$E1010,"",'Mat Coletivo e Equipamentos'!$F$6:$F$1010,"")/SUM($E$29:$XX$29),0)
+
IFERROR(SUMIFS('Mat Coletivo e Equipamentos'!$K6:$K1010,'Mat Coletivo e Equipamentos'!$E6:$E1010,"Todos",'Mat Coletivo e Equipamentos'!$F$6:$F$1010,"Todos")/SUM($E$29:$XX$29),0)
+
IFERROR(SUMIFS('Mat Coletivo e Equipamentos'!$K6:$K1010,'Mat Coletivo e Equipamentos'!$E6:$E1010,"",'Mat Coletivo e Equipamentos'!$F$6:$F$1010,J25)/SUMIFS($E$29:$XX$29,$E$25:$XX$25,J25),0)
+
IFERROR(SUMIFS('Mat Coletivo e Equipamentos'!$K6:$K1010,'Mat Coletivo e Equipamentos'!$E6:$E1010,"Todos",'Mat Coletivo e Equipamentos'!$F$6:$F$1010,J25)/SUMIFS($E$29:$XX$29,$E$25:$XX$25,J25),0)
+
IFERROR(SUMIFS('Mat Coletivo e Equipamentos'!$K6:$K1010,'Mat Coletivo e Equipamentos'!$E6:$E1010,J17,'Mat Coletivo e Equipamentos'!$F$6:$F$1010,"")/SUMIFS($E$29:$XX$29,$E$19:$XX$19,J19),0)
+
IFERROR(SUMIFS('Mat Coletivo e Equipamentos'!$K6:$K1010,'Mat Coletivo e Equipamentos'!$E6:$E1010,J17,'Mat Coletivo e Equipamentos'!$F$6:$F$1010,J25)/SUMIFS($E$29:$XX$29,$E$19:$XX$19,J19,$E$25:$XX$25,J25)*J28,0)
),2)),"")</f>
        <v/>
      </c>
      <c r="K149" s="113" t="str">
        <f>IFERROR(
IF(K18="","",ROUND(
IF($D$149&lt;&gt;"",$D$149*SUM(K148,K179),
IFERROR(SUMIFS('Mat Coletivo e Equipamentos'!$K6:$K1010,'Mat Coletivo e Equipamentos'!$E6:$E1010,"",'Mat Coletivo e Equipamentos'!$F$6:$F$1010,"")/SUM($E$29:$XX$29),0)
+
IFERROR(SUMIFS('Mat Coletivo e Equipamentos'!$K6:$K1010,'Mat Coletivo e Equipamentos'!$E6:$E1010,"Todos",'Mat Coletivo e Equipamentos'!$F$6:$F$1010,"Todos")/SUM($E$29:$XX$29),0)
+
IFERROR(SUMIFS('Mat Coletivo e Equipamentos'!$K6:$K1010,'Mat Coletivo e Equipamentos'!$E6:$E1010,"",'Mat Coletivo e Equipamentos'!$F$6:$F$1010,K25)/SUMIFS($E$29:$XX$29,$E$25:$XX$25,K25),0)
+
IFERROR(SUMIFS('Mat Coletivo e Equipamentos'!$K6:$K1010,'Mat Coletivo e Equipamentos'!$E6:$E1010,"Todos",'Mat Coletivo e Equipamentos'!$F$6:$F$1010,K25)/SUMIFS($E$29:$XX$29,$E$25:$XX$25,K25),0)
+
IFERROR(SUMIFS('Mat Coletivo e Equipamentos'!$K6:$K1010,'Mat Coletivo e Equipamentos'!$E6:$E1010,K17,'Mat Coletivo e Equipamentos'!$F$6:$F$1010,"")/SUMIFS($E$29:$XX$29,$E$19:$XX$19,K19),0)
+
IFERROR(SUMIFS('Mat Coletivo e Equipamentos'!$K6:$K1010,'Mat Coletivo e Equipamentos'!$E6:$E1010,K17,'Mat Coletivo e Equipamentos'!$F$6:$F$1010,K25)/SUMIFS($E$29:$XX$29,$E$19:$XX$19,K19,$E$25:$XX$25,K25)*K28,0)
),2)),"")</f>
        <v/>
      </c>
      <c r="L149" s="113" t="str">
        <f>IFERROR(
IF(L18="","",ROUND(
IF($D$149&lt;&gt;"",$D$149*SUM(L148,L179),
IFERROR(SUMIFS('Mat Coletivo e Equipamentos'!$K6:$K1010,'Mat Coletivo e Equipamentos'!$E6:$E1010,"",'Mat Coletivo e Equipamentos'!$F$6:$F$1010,"")/SUM($E$29:$XX$29),0)
+
IFERROR(SUMIFS('Mat Coletivo e Equipamentos'!$K6:$K1010,'Mat Coletivo e Equipamentos'!$E6:$E1010,"Todos",'Mat Coletivo e Equipamentos'!$F$6:$F$1010,"Todos")/SUM($E$29:$XX$29),0)
+
IFERROR(SUMIFS('Mat Coletivo e Equipamentos'!$K6:$K1010,'Mat Coletivo e Equipamentos'!$E6:$E1010,"",'Mat Coletivo e Equipamentos'!$F$6:$F$1010,L25)/SUMIFS($E$29:$XX$29,$E$25:$XX$25,L25),0)
+
IFERROR(SUMIFS('Mat Coletivo e Equipamentos'!$K6:$K1010,'Mat Coletivo e Equipamentos'!$E6:$E1010,"Todos",'Mat Coletivo e Equipamentos'!$F$6:$F$1010,L25)/SUMIFS($E$29:$XX$29,$E$25:$XX$25,L25),0)
+
IFERROR(SUMIFS('Mat Coletivo e Equipamentos'!$K6:$K1010,'Mat Coletivo e Equipamentos'!$E6:$E1010,L17,'Mat Coletivo e Equipamentos'!$F$6:$F$1010,"")/SUMIFS($E$29:$XX$29,$E$19:$XX$19,L19),0)
+
IFERROR(SUMIFS('Mat Coletivo e Equipamentos'!$K6:$K1010,'Mat Coletivo e Equipamentos'!$E6:$E1010,L17,'Mat Coletivo e Equipamentos'!$F$6:$F$1010,L25)/SUMIFS($E$29:$XX$29,$E$19:$XX$19,L19,$E$25:$XX$25,L25)*L28,0)
),2)),"")</f>
        <v/>
      </c>
      <c r="M149" s="113" t="str">
        <f>IFERROR(
IF(M18="","",ROUND(
IF($D$149&lt;&gt;"",$D$149*SUM(M148,M179),
IFERROR(SUMIFS('Mat Coletivo e Equipamentos'!$K6:$K1010,'Mat Coletivo e Equipamentos'!$E6:$E1010,"",'Mat Coletivo e Equipamentos'!$F$6:$F$1010,"")/SUM($E$29:$XX$29),0)
+
IFERROR(SUMIFS('Mat Coletivo e Equipamentos'!$K6:$K1010,'Mat Coletivo e Equipamentos'!$E6:$E1010,"Todos",'Mat Coletivo e Equipamentos'!$F$6:$F$1010,"Todos")/SUM($E$29:$XX$29),0)
+
IFERROR(SUMIFS('Mat Coletivo e Equipamentos'!$K6:$K1010,'Mat Coletivo e Equipamentos'!$E6:$E1010,"",'Mat Coletivo e Equipamentos'!$F$6:$F$1010,M25)/SUMIFS($E$29:$XX$29,$E$25:$XX$25,M25),0)
+
IFERROR(SUMIFS('Mat Coletivo e Equipamentos'!$K6:$K1010,'Mat Coletivo e Equipamentos'!$E6:$E1010,"Todos",'Mat Coletivo e Equipamentos'!$F$6:$F$1010,M25)/SUMIFS($E$29:$XX$29,$E$25:$XX$25,M25),0)
+
IFERROR(SUMIFS('Mat Coletivo e Equipamentos'!$K6:$K1010,'Mat Coletivo e Equipamentos'!$E6:$E1010,M17,'Mat Coletivo e Equipamentos'!$F$6:$F$1010,"")/SUMIFS($E$29:$XX$29,$E$19:$XX$19,M19),0)
+
IFERROR(SUMIFS('Mat Coletivo e Equipamentos'!$K6:$K1010,'Mat Coletivo e Equipamentos'!$E6:$E1010,M17,'Mat Coletivo e Equipamentos'!$F$6:$F$1010,M25)/SUMIFS($E$29:$XX$29,$E$19:$XX$19,M19,$E$25:$XX$25,M25)*M28,0)
),2)),"")</f>
        <v/>
      </c>
      <c r="N149" s="113" t="str">
        <f>IFERROR(
IF(N18="","",ROUND(
IF($D$149&lt;&gt;"",$D$149*SUM(N148,N179),
IFERROR(SUMIFS('Mat Coletivo e Equipamentos'!$K6:$K1010,'Mat Coletivo e Equipamentos'!$E6:$E1010,"",'Mat Coletivo e Equipamentos'!$F$6:$F$1010,"")/SUM($E$29:$XX$29),0)
+
IFERROR(SUMIFS('Mat Coletivo e Equipamentos'!$K6:$K1010,'Mat Coletivo e Equipamentos'!$E6:$E1010,"Todos",'Mat Coletivo e Equipamentos'!$F$6:$F$1010,"Todos")/SUM($E$29:$XX$29),0)
+
IFERROR(SUMIFS('Mat Coletivo e Equipamentos'!$K6:$K1010,'Mat Coletivo e Equipamentos'!$E6:$E1010,"",'Mat Coletivo e Equipamentos'!$F$6:$F$1010,N25)/SUMIFS($E$29:$XX$29,$E$25:$XX$25,N25),0)
+
IFERROR(SUMIFS('Mat Coletivo e Equipamentos'!$K6:$K1010,'Mat Coletivo e Equipamentos'!$E6:$E1010,"Todos",'Mat Coletivo e Equipamentos'!$F$6:$F$1010,N25)/SUMIFS($E$29:$XX$29,$E$25:$XX$25,N25),0)
+
IFERROR(SUMIFS('Mat Coletivo e Equipamentos'!$K6:$K1010,'Mat Coletivo e Equipamentos'!$E6:$E1010,N17,'Mat Coletivo e Equipamentos'!$F$6:$F$1010,"")/SUMIFS($E$29:$XX$29,$E$19:$XX$19,N19),0)
+
IFERROR(SUMIFS('Mat Coletivo e Equipamentos'!$K6:$K1010,'Mat Coletivo e Equipamentos'!$E6:$E1010,N17,'Mat Coletivo e Equipamentos'!$F$6:$F$1010,N25)/SUMIFS($E$29:$XX$29,$E$19:$XX$19,N19,$E$25:$XX$25,N25)*N28,0)
),2)),"")</f>
        <v/>
      </c>
      <c r="O149" s="319"/>
      <c r="P149" s="319"/>
      <c r="Q149" s="319"/>
      <c r="R149" s="319"/>
      <c r="S149" s="319"/>
      <c r="T149" s="319"/>
      <c r="U149" s="319"/>
      <c r="V149" s="319"/>
      <c r="W149" s="319"/>
      <c r="X149" s="319"/>
      <c r="Y149" s="319"/>
      <c r="Z149" s="319"/>
      <c r="AA149" s="319"/>
      <c r="AB149" s="319"/>
      <c r="AC149" s="319"/>
      <c r="AD149" s="319"/>
      <c r="AE149" s="319"/>
      <c r="AF149" s="319"/>
      <c r="AG149" s="319"/>
      <c r="AH149" s="319"/>
      <c r="AI149" s="319"/>
      <c r="AJ149" s="319"/>
      <c r="AK149" s="319"/>
      <c r="AL149" s="319"/>
      <c r="AM149" s="319"/>
      <c r="AN149" s="319"/>
      <c r="AO149" s="319"/>
      <c r="AP149" s="319"/>
      <c r="AQ149" s="319"/>
      <c r="AR149" s="319"/>
      <c r="AS149" s="319"/>
      <c r="AT149" s="319"/>
      <c r="AU149" s="319"/>
      <c r="AV149" s="319"/>
      <c r="AW149" s="319"/>
    </row>
    <row r="150" spans="1:49" s="5" customFormat="1">
      <c r="A150" s="87"/>
      <c r="B150" s="172"/>
      <c r="C150" s="104" t="s">
        <v>271</v>
      </c>
      <c r="D150" s="168"/>
      <c r="E150" s="170">
        <f>IF(E18="","",SUM(E148:E149))</f>
        <v>581.29999999999995</v>
      </c>
      <c r="F150" s="170">
        <f t="shared" ref="F150:H150" si="79">IF(F18="","",SUM(F148:F149))</f>
        <v>545.04999999999995</v>
      </c>
      <c r="G150" s="170">
        <f t="shared" si="79"/>
        <v>545.04999999999995</v>
      </c>
      <c r="H150" s="170" t="str">
        <f t="shared" si="79"/>
        <v/>
      </c>
      <c r="I150" s="170" t="str">
        <f t="shared" ref="I150:N150" si="80">IF(I18="","",SUM(I148:I149))</f>
        <v/>
      </c>
      <c r="J150" s="170" t="str">
        <f t="shared" si="80"/>
        <v/>
      </c>
      <c r="K150" s="170" t="str">
        <f t="shared" si="80"/>
        <v/>
      </c>
      <c r="L150" s="170" t="str">
        <f t="shared" si="80"/>
        <v/>
      </c>
      <c r="M150" s="170" t="str">
        <f t="shared" si="80"/>
        <v/>
      </c>
      <c r="N150" s="170" t="str">
        <f t="shared" si="80"/>
        <v/>
      </c>
      <c r="O150" s="317"/>
      <c r="P150" s="317"/>
      <c r="Q150" s="317"/>
      <c r="R150" s="317"/>
      <c r="S150" s="317"/>
      <c r="T150" s="317"/>
      <c r="U150" s="317"/>
      <c r="V150" s="317"/>
      <c r="W150" s="317"/>
      <c r="X150" s="317"/>
      <c r="Y150" s="317"/>
      <c r="Z150" s="317"/>
      <c r="AA150" s="317"/>
      <c r="AB150" s="317"/>
      <c r="AC150" s="317"/>
      <c r="AD150" s="317"/>
      <c r="AE150" s="317"/>
      <c r="AF150" s="317"/>
      <c r="AG150" s="317"/>
      <c r="AH150" s="317"/>
      <c r="AI150" s="317"/>
      <c r="AJ150" s="317"/>
      <c r="AK150" s="317"/>
      <c r="AL150" s="317"/>
      <c r="AM150" s="317"/>
      <c r="AN150" s="317"/>
      <c r="AO150" s="317"/>
      <c r="AP150" s="317"/>
      <c r="AQ150" s="317"/>
      <c r="AR150" s="317"/>
      <c r="AS150" s="317"/>
      <c r="AT150" s="317"/>
      <c r="AU150" s="317"/>
      <c r="AV150" s="317"/>
      <c r="AW150" s="317"/>
    </row>
    <row r="151" spans="1:49">
      <c r="F151" s="9"/>
      <c r="G151" s="9"/>
      <c r="H151" s="9"/>
      <c r="I151" s="9"/>
      <c r="J151" s="9"/>
      <c r="K151" s="9"/>
      <c r="L151" s="9"/>
      <c r="M151" s="9"/>
      <c r="N151" s="9"/>
    </row>
    <row r="152" spans="1:49" s="6" customFormat="1">
      <c r="A152" s="88"/>
      <c r="B152" s="103"/>
      <c r="C152" s="104" t="s">
        <v>278</v>
      </c>
      <c r="D152" s="105"/>
      <c r="E152" s="395"/>
      <c r="F152" s="395"/>
      <c r="G152" s="395"/>
      <c r="H152" s="395"/>
      <c r="I152" s="395"/>
      <c r="J152" s="395"/>
      <c r="K152" s="395"/>
      <c r="L152" s="395"/>
      <c r="M152" s="395"/>
      <c r="N152" s="395"/>
      <c r="O152" s="319"/>
      <c r="P152" s="319"/>
      <c r="Q152" s="319"/>
      <c r="R152" s="319"/>
      <c r="S152" s="319"/>
      <c r="T152" s="319"/>
      <c r="U152" s="319"/>
      <c r="V152" s="319"/>
      <c r="W152" s="319"/>
      <c r="X152" s="319"/>
      <c r="Y152" s="319"/>
      <c r="Z152" s="319"/>
      <c r="AA152" s="319"/>
      <c r="AB152" s="319"/>
      <c r="AC152" s="319"/>
      <c r="AD152" s="319"/>
      <c r="AE152" s="319"/>
      <c r="AF152" s="319"/>
      <c r="AG152" s="319"/>
      <c r="AH152" s="319"/>
      <c r="AI152" s="319"/>
      <c r="AJ152" s="319"/>
      <c r="AK152" s="319"/>
      <c r="AL152" s="319"/>
      <c r="AM152" s="319"/>
      <c r="AN152" s="319"/>
      <c r="AO152" s="319"/>
      <c r="AP152" s="319"/>
      <c r="AQ152" s="319"/>
      <c r="AR152" s="319"/>
      <c r="AS152" s="319"/>
      <c r="AT152" s="319"/>
      <c r="AU152" s="319"/>
      <c r="AV152" s="319"/>
      <c r="AW152" s="319"/>
    </row>
    <row r="153" spans="1:49" customFormat="1" ht="3.75" customHeight="1"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</row>
    <row r="154" spans="1:49" s="6" customFormat="1">
      <c r="A154" s="89"/>
      <c r="B154" s="186"/>
      <c r="C154" s="187" t="s">
        <v>282</v>
      </c>
      <c r="D154" s="188"/>
      <c r="E154" s="191"/>
      <c r="F154" s="191"/>
      <c r="G154" s="191"/>
      <c r="H154" s="191"/>
      <c r="I154" s="191"/>
      <c r="J154" s="191"/>
      <c r="K154" s="191"/>
      <c r="L154" s="191"/>
      <c r="M154" s="191"/>
      <c r="N154" s="191"/>
      <c r="O154" s="319"/>
      <c r="P154" s="319"/>
      <c r="Q154" s="319"/>
      <c r="R154" s="319"/>
      <c r="S154" s="319"/>
      <c r="T154" s="319"/>
      <c r="U154" s="319"/>
      <c r="V154" s="319"/>
      <c r="W154" s="319"/>
      <c r="X154" s="319"/>
      <c r="Y154" s="319"/>
      <c r="Z154" s="319"/>
      <c r="AA154" s="319"/>
      <c r="AB154" s="319"/>
      <c r="AC154" s="319"/>
      <c r="AD154" s="319"/>
      <c r="AE154" s="319"/>
      <c r="AF154" s="319"/>
      <c r="AG154" s="319"/>
      <c r="AH154" s="319"/>
      <c r="AI154" s="319"/>
      <c r="AJ154" s="319"/>
      <c r="AK154" s="319"/>
      <c r="AL154" s="319"/>
      <c r="AM154" s="319"/>
      <c r="AN154" s="319"/>
      <c r="AO154" s="319"/>
      <c r="AP154" s="319"/>
      <c r="AQ154" s="319"/>
      <c r="AR154" s="319"/>
      <c r="AS154" s="319"/>
      <c r="AT154" s="319"/>
      <c r="AU154" s="319"/>
      <c r="AV154" s="319"/>
      <c r="AW154" s="319"/>
    </row>
    <row r="155" spans="1:49">
      <c r="A155" s="93"/>
      <c r="B155" s="101" t="s">
        <v>2</v>
      </c>
      <c r="C155" s="102" t="s">
        <v>279</v>
      </c>
      <c r="D155" s="442">
        <f>IFERROR(INDEX('Apoio - Notas Explicativas'!Q:Q,MATCH(C155,'Apoio - Notas Explicativas'!C:C,0)),"")</f>
        <v>0.05</v>
      </c>
      <c r="E155" s="113">
        <f>IF(E18="","",IFERROR(ROUND($D$155*SUM(E61,E114,E123,E145,E150),2),""))</f>
        <v>309.10000000000002</v>
      </c>
      <c r="F155" s="113">
        <f t="shared" ref="F155:H155" si="81">IF(F18="","",IFERROR(ROUND($D$155*SUM(F61,F114,F123,F145,F150),2),""))</f>
        <v>299.83999999999997</v>
      </c>
      <c r="G155" s="113">
        <f t="shared" si="81"/>
        <v>271.38</v>
      </c>
      <c r="H155" s="113" t="str">
        <f t="shared" si="81"/>
        <v/>
      </c>
      <c r="I155" s="113" t="str">
        <f t="shared" ref="I155:N155" si="82">IF(I18="","",IFERROR(ROUND($D$155*SUM(I61,I114,I123,I145,I150),2),""))</f>
        <v/>
      </c>
      <c r="J155" s="113" t="str">
        <f t="shared" si="82"/>
        <v/>
      </c>
      <c r="K155" s="113" t="str">
        <f t="shared" si="82"/>
        <v/>
      </c>
      <c r="L155" s="113" t="str">
        <f t="shared" si="82"/>
        <v/>
      </c>
      <c r="M155" s="113" t="str">
        <f t="shared" si="82"/>
        <v/>
      </c>
      <c r="N155" s="113" t="str">
        <f t="shared" si="82"/>
        <v/>
      </c>
    </row>
    <row r="156" spans="1:49">
      <c r="A156" s="92"/>
      <c r="B156" s="101" t="s">
        <v>1</v>
      </c>
      <c r="C156" s="102" t="s">
        <v>280</v>
      </c>
      <c r="D156" s="442">
        <f>IFERROR(INDEX('Apoio - Notas Explicativas'!Q:Q,MATCH(C156,'Apoio - Notas Explicativas'!C:C,0)),"")</f>
        <v>0.1</v>
      </c>
      <c r="E156" s="113">
        <f>IF(E18="","",IFERROR(ROUND($D$156*SUM(E155,E61,E114,E123,E145,E150),2),""))</f>
        <v>649.1</v>
      </c>
      <c r="F156" s="113">
        <f t="shared" ref="F156:H156" si="83">IF(F18="","",IFERROR(ROUND($D$156*SUM(F155,F61,F114,F123,F145,F150),2),""))</f>
        <v>629.66</v>
      </c>
      <c r="G156" s="113">
        <f t="shared" si="83"/>
        <v>569.89</v>
      </c>
      <c r="H156" s="113" t="str">
        <f t="shared" si="83"/>
        <v/>
      </c>
      <c r="I156" s="113" t="str">
        <f t="shared" ref="I156:N156" si="84">IF(I18="","",IFERROR(ROUND($D$156*SUM(I155,I61,I114,I123,I145,I150),2),""))</f>
        <v/>
      </c>
      <c r="J156" s="113" t="str">
        <f t="shared" si="84"/>
        <v/>
      </c>
      <c r="K156" s="113" t="str">
        <f t="shared" si="84"/>
        <v/>
      </c>
      <c r="L156" s="113" t="str">
        <f t="shared" si="84"/>
        <v/>
      </c>
      <c r="M156" s="113" t="str">
        <f t="shared" si="84"/>
        <v/>
      </c>
      <c r="N156" s="113" t="str">
        <f t="shared" si="84"/>
        <v/>
      </c>
    </row>
    <row r="157" spans="1:49" s="5" customFormat="1">
      <c r="A157" s="90"/>
      <c r="B157" s="186"/>
      <c r="C157" s="187" t="s">
        <v>283</v>
      </c>
      <c r="D157" s="190"/>
      <c r="E157" s="191">
        <f>IF(E18="","",SUM(E155:E156))</f>
        <v>958.2</v>
      </c>
      <c r="F157" s="191">
        <f t="shared" ref="F157:H157" si="85">IF(F18="","",SUM(F155:F156))</f>
        <v>929.5</v>
      </c>
      <c r="G157" s="191">
        <f t="shared" si="85"/>
        <v>841.27</v>
      </c>
      <c r="H157" s="191" t="str">
        <f t="shared" si="85"/>
        <v/>
      </c>
      <c r="I157" s="191" t="str">
        <f t="shared" ref="I157:N157" si="86">IF(I18="","",SUM(I155:I156))</f>
        <v/>
      </c>
      <c r="J157" s="191" t="str">
        <f t="shared" si="86"/>
        <v/>
      </c>
      <c r="K157" s="191" t="str">
        <f t="shared" si="86"/>
        <v/>
      </c>
      <c r="L157" s="191" t="str">
        <f t="shared" si="86"/>
        <v/>
      </c>
      <c r="M157" s="191" t="str">
        <f t="shared" si="86"/>
        <v/>
      </c>
      <c r="N157" s="191" t="str">
        <f t="shared" si="86"/>
        <v/>
      </c>
      <c r="O157" s="317"/>
      <c r="P157" s="317"/>
      <c r="Q157" s="317"/>
      <c r="R157" s="317"/>
      <c r="S157" s="317"/>
      <c r="T157" s="317"/>
      <c r="U157" s="317"/>
      <c r="V157" s="317"/>
      <c r="W157" s="317"/>
      <c r="X157" s="317"/>
      <c r="Y157" s="317"/>
      <c r="Z157" s="317"/>
      <c r="AA157" s="317"/>
      <c r="AB157" s="317"/>
      <c r="AC157" s="317"/>
      <c r="AD157" s="317"/>
      <c r="AE157" s="317"/>
      <c r="AF157" s="317"/>
      <c r="AG157" s="317"/>
      <c r="AH157" s="317"/>
      <c r="AI157" s="317"/>
      <c r="AJ157" s="317"/>
      <c r="AK157" s="317"/>
      <c r="AL157" s="317"/>
      <c r="AM157" s="317"/>
      <c r="AN157" s="317"/>
      <c r="AO157" s="317"/>
      <c r="AP157" s="317"/>
      <c r="AQ157" s="317"/>
      <c r="AR157" s="317"/>
      <c r="AS157" s="317"/>
      <c r="AT157" s="317"/>
      <c r="AU157" s="317"/>
      <c r="AV157" s="317"/>
      <c r="AW157" s="317"/>
    </row>
    <row r="158" spans="1:49" customFormat="1" ht="3.75" customHeight="1"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7"/>
      <c r="AV158" s="47"/>
      <c r="AW158" s="47"/>
    </row>
    <row r="159" spans="1:49" s="6" customFormat="1">
      <c r="A159" s="89"/>
      <c r="B159" s="186"/>
      <c r="C159" s="187" t="s">
        <v>400</v>
      </c>
      <c r="D159" s="188"/>
      <c r="E159" s="191"/>
      <c r="F159" s="191"/>
      <c r="G159" s="191"/>
      <c r="H159" s="191"/>
      <c r="I159" s="191"/>
      <c r="J159" s="191"/>
      <c r="K159" s="191"/>
      <c r="L159" s="191"/>
      <c r="M159" s="191"/>
      <c r="N159" s="191"/>
      <c r="O159" s="319"/>
      <c r="P159" s="319"/>
      <c r="Q159" s="319"/>
      <c r="R159" s="319"/>
      <c r="S159" s="319"/>
      <c r="T159" s="319"/>
      <c r="U159" s="319"/>
      <c r="V159" s="319"/>
      <c r="W159" s="319"/>
      <c r="X159" s="319"/>
      <c r="Y159" s="319"/>
      <c r="Z159" s="319"/>
      <c r="AA159" s="319"/>
      <c r="AB159" s="319"/>
      <c r="AC159" s="319"/>
      <c r="AD159" s="319"/>
      <c r="AE159" s="319"/>
      <c r="AF159" s="319"/>
      <c r="AG159" s="319"/>
      <c r="AH159" s="319"/>
      <c r="AI159" s="319"/>
      <c r="AJ159" s="319"/>
      <c r="AK159" s="319"/>
      <c r="AL159" s="319"/>
      <c r="AM159" s="319"/>
      <c r="AN159" s="319"/>
      <c r="AO159" s="319"/>
      <c r="AP159" s="319"/>
      <c r="AQ159" s="319"/>
      <c r="AR159" s="319"/>
      <c r="AS159" s="319"/>
      <c r="AT159" s="319"/>
      <c r="AU159" s="319"/>
      <c r="AV159" s="319"/>
      <c r="AW159" s="319"/>
    </row>
    <row r="160" spans="1:49">
      <c r="A160" s="92"/>
      <c r="B160" s="101" t="s">
        <v>2</v>
      </c>
      <c r="C160" s="102" t="s">
        <v>45</v>
      </c>
      <c r="D160" s="426">
        <f>IFERROR(INDEX('Apoio - Notas Explicativas'!Q:Q,MATCH(C160,'Apoio - Notas Explicativas'!C:C,0)),"")</f>
        <v>0.03</v>
      </c>
      <c r="E160" s="113">
        <f>IF(E18="","",IFERROR(ROUND(SUM(E$157,E$61,E$114,E$123,E$145,E$150)*$D160/(1-SUM($D$160:$D$165,E$163)),2),""))</f>
        <v>234.49</v>
      </c>
      <c r="F160" s="113">
        <f t="shared" ref="F160:H161" si="87">IF(F18="","",IFERROR(ROUND(SUM(F$157,F$61,F$114,F$123,F$145,F$150)*$D160/(1-SUM($D$160:$D$165,F$163)),2),""))</f>
        <v>227.46</v>
      </c>
      <c r="G160" s="113">
        <f t="shared" si="87"/>
        <v>205.87</v>
      </c>
      <c r="H160" s="113" t="str">
        <f t="shared" si="87"/>
        <v/>
      </c>
      <c r="I160" s="113" t="str">
        <f t="shared" ref="I160:N160" si="88">IF(I18="","",IFERROR(ROUND(SUM(I$157,I$61,I$114,I$123,I$145,I$150)*$D160/(1-SUM($D$160:$D$165,I$163)),2),""))</f>
        <v/>
      </c>
      <c r="J160" s="113" t="str">
        <f t="shared" si="88"/>
        <v/>
      </c>
      <c r="K160" s="113" t="str">
        <f t="shared" si="88"/>
        <v/>
      </c>
      <c r="L160" s="113" t="str">
        <f t="shared" si="88"/>
        <v/>
      </c>
      <c r="M160" s="113" t="str">
        <f t="shared" si="88"/>
        <v/>
      </c>
      <c r="N160" s="113" t="str">
        <f t="shared" si="88"/>
        <v/>
      </c>
    </row>
    <row r="161" spans="1:49">
      <c r="A161" s="93"/>
      <c r="B161" s="101" t="s">
        <v>1</v>
      </c>
      <c r="C161" s="102" t="s">
        <v>135</v>
      </c>
      <c r="D161" s="426">
        <f>IFERROR(INDEX('Apoio - Notas Explicativas'!Q:Q,MATCH(C161,'Apoio - Notas Explicativas'!C:C,0)),"")</f>
        <v>6.4999999999999997E-3</v>
      </c>
      <c r="E161" s="113">
        <f>IF(E19="","",IFERROR(ROUND(SUM(E$157,E$61,E$114,E$123,E$145,E$150)*$D161/(1-SUM($D$160:$D$165,E$163)),2),""))</f>
        <v>50.81</v>
      </c>
      <c r="F161" s="113">
        <f t="shared" si="87"/>
        <v>49.28</v>
      </c>
      <c r="G161" s="113">
        <f t="shared" si="87"/>
        <v>44.61</v>
      </c>
      <c r="H161" s="113" t="str">
        <f t="shared" si="87"/>
        <v/>
      </c>
      <c r="I161" s="113" t="str">
        <f t="shared" ref="I161:N161" si="89">IF(I19="","",IFERROR(ROUND(SUM(I$157,I$61,I$114,I$123,I$145,I$150)*$D161/(1-SUM($D$160:$D$165,I$163)),2),""))</f>
        <v/>
      </c>
      <c r="J161" s="113" t="str">
        <f t="shared" si="89"/>
        <v/>
      </c>
      <c r="K161" s="113" t="str">
        <f t="shared" si="89"/>
        <v/>
      </c>
      <c r="L161" s="113" t="str">
        <f t="shared" si="89"/>
        <v/>
      </c>
      <c r="M161" s="113" t="str">
        <f t="shared" si="89"/>
        <v/>
      </c>
      <c r="N161" s="113" t="str">
        <f t="shared" si="89"/>
        <v/>
      </c>
    </row>
    <row r="162" spans="1:49">
      <c r="A162" s="93"/>
      <c r="B162" s="707" t="s">
        <v>0</v>
      </c>
      <c r="C162" s="175" t="s">
        <v>46</v>
      </c>
      <c r="D162" s="453"/>
      <c r="E162" s="163"/>
      <c r="F162" s="163"/>
      <c r="G162" s="163"/>
      <c r="H162" s="163"/>
      <c r="I162" s="163"/>
      <c r="J162" s="163"/>
      <c r="K162" s="163"/>
      <c r="L162" s="163"/>
      <c r="M162" s="163"/>
      <c r="N162" s="163"/>
    </row>
    <row r="163" spans="1:49">
      <c r="A163" s="93"/>
      <c r="B163" s="708"/>
      <c r="C163" s="151" t="s">
        <v>449</v>
      </c>
      <c r="D163" s="196"/>
      <c r="E163" s="422">
        <f>IF(E18="","",
IF($D$13="Simples",INDEX('Apoio - Notas Explicativas'!$Q:$Q,MATCH($C$162,'Apoio - Notas Explicativas'!$C:$C,0)),
IFERROR(VLOOKUP(E$18,'Apoio - Posto'!$A:$AA,20,FALSE),
INDEX('Apoio - Notas Explicativas'!$Q:$Q,MATCH($C$162,'Apoio - Notas Explicativas'!$C:$C,0))
)))</f>
        <v>0.05</v>
      </c>
      <c r="F163" s="422">
        <f>IF(F18="","",
IF($D$13="Simples",INDEX('Apoio - Notas Explicativas'!$Q:$Q,MATCH($C$162,'Apoio - Notas Explicativas'!$C:$C,0)),
IFERROR(VLOOKUP(F$18,'Apoio - Posto'!$A:$AA,20,FALSE),
INDEX('Apoio - Notas Explicativas'!$Q:$Q,MATCH($C$162,'Apoio - Notas Explicativas'!$C:$C,0))
)))</f>
        <v>0.05</v>
      </c>
      <c r="G163" s="422">
        <f>IF(G18="","",
IF($D$13="Simples",INDEX('Apoio - Notas Explicativas'!$Q:$Q,MATCH($C$162,'Apoio - Notas Explicativas'!$C:$C,0)),
IFERROR(VLOOKUP(G$18,'Apoio - Posto'!$A:$AA,20,FALSE),
INDEX('Apoio - Notas Explicativas'!$Q:$Q,MATCH($C$162,'Apoio - Notas Explicativas'!$C:$C,0))
)))</f>
        <v>0.05</v>
      </c>
      <c r="H163" s="422" t="str">
        <f>IF(H18="","",
IF($D$13="Simples",INDEX('Apoio - Notas Explicativas'!$Q:$Q,MATCH($C$162,'Apoio - Notas Explicativas'!$C:$C,0)),
IFERROR(VLOOKUP(H$18,'Apoio - Posto'!$A:$AA,20,FALSE),
INDEX('Apoio - Notas Explicativas'!$Q:$Q,MATCH($C$162,'Apoio - Notas Explicativas'!$C:$C,0))
)))</f>
        <v/>
      </c>
      <c r="I163" s="422" t="str">
        <f>IF(I18="","",
IF($D$13="Simples",INDEX('Apoio - Notas Explicativas'!$Q:$Q,MATCH($C$162,'Apoio - Notas Explicativas'!$C:$C,0)),
IFERROR(VLOOKUP(I$18,'Apoio - Posto'!$A:$AA,20,FALSE),
INDEX('Apoio - Notas Explicativas'!$Q:$Q,MATCH($C$162,'Apoio - Notas Explicativas'!$C:$C,0))
)))</f>
        <v/>
      </c>
      <c r="J163" s="422" t="str">
        <f>IF(J18="","",
IF($D$13="Simples",INDEX('Apoio - Notas Explicativas'!$Q:$Q,MATCH($C$162,'Apoio - Notas Explicativas'!$C:$C,0)),
IFERROR(VLOOKUP(J$18,'Apoio - Posto'!$A:$AA,20,FALSE),
INDEX('Apoio - Notas Explicativas'!$Q:$Q,MATCH($C$162,'Apoio - Notas Explicativas'!$C:$C,0))
)))</f>
        <v/>
      </c>
      <c r="K163" s="422" t="str">
        <f>IF(K18="","",
IF($D$13="Simples",INDEX('Apoio - Notas Explicativas'!$Q:$Q,MATCH($C$162,'Apoio - Notas Explicativas'!$C:$C,0)),
IFERROR(VLOOKUP(K$18,'Apoio - Posto'!$A:$AA,20,FALSE),
INDEX('Apoio - Notas Explicativas'!$Q:$Q,MATCH($C$162,'Apoio - Notas Explicativas'!$C:$C,0))
)))</f>
        <v/>
      </c>
      <c r="L163" s="422" t="str">
        <f>IF(L18="","",
IF($D$13="Simples",INDEX('Apoio - Notas Explicativas'!$Q:$Q,MATCH($C$162,'Apoio - Notas Explicativas'!$C:$C,0)),
IFERROR(VLOOKUP(L$18,'Apoio - Posto'!$A:$AA,20,FALSE),
INDEX('Apoio - Notas Explicativas'!$Q:$Q,MATCH($C$162,'Apoio - Notas Explicativas'!$C:$C,0))
)))</f>
        <v/>
      </c>
      <c r="M163" s="422" t="str">
        <f>IF(M18="","",
IF($D$13="Simples",INDEX('Apoio - Notas Explicativas'!$Q:$Q,MATCH($C$162,'Apoio - Notas Explicativas'!$C:$C,0)),
IFERROR(VLOOKUP(M$18,'Apoio - Posto'!$A:$AA,20,FALSE),
INDEX('Apoio - Notas Explicativas'!$Q:$Q,MATCH($C$162,'Apoio - Notas Explicativas'!$C:$C,0))
)))</f>
        <v/>
      </c>
      <c r="N163" s="422" t="str">
        <f>IF(N18="","",
IF($D$13="Simples",INDEX('Apoio - Notas Explicativas'!$Q:$Q,MATCH($C$162,'Apoio - Notas Explicativas'!$C:$C,0)),
IFERROR(VLOOKUP(N$18,'Apoio - Posto'!$A:$AA,20,FALSE),
INDEX('Apoio - Notas Explicativas'!$Q:$Q,MATCH($C$162,'Apoio - Notas Explicativas'!$C:$C,0))
)))</f>
        <v/>
      </c>
    </row>
    <row r="164" spans="1:49">
      <c r="A164" s="92"/>
      <c r="B164" s="709"/>
      <c r="C164" s="102"/>
      <c r="D164" s="454" t="s">
        <v>43</v>
      </c>
      <c r="E164" s="162">
        <f>IF(E20="","",IFERROR(ROUND(SUM(E$157,E$61,E$114,E$123,E$145,E$150)*E163/(1-SUM($D$160:$D$165,E163)),2),""))</f>
        <v>390.81</v>
      </c>
      <c r="F164" s="162">
        <f t="shared" ref="F164:H164" si="90">IF(F20="","",IFERROR(ROUND(SUM(F$157,F$61,F$114,F$123,F$145,F$150)*F163/(1-SUM($D$160:$D$165,F163)),2),""))</f>
        <v>379.11</v>
      </c>
      <c r="G164" s="162">
        <f t="shared" si="90"/>
        <v>343.12</v>
      </c>
      <c r="H164" s="162" t="str">
        <f t="shared" si="90"/>
        <v/>
      </c>
      <c r="I164" s="162" t="str">
        <f t="shared" ref="I164:N164" si="91">IF(I20="","",IFERROR(ROUND(SUM(I$157,I$61,I$114,I$123,I$145,I$150)*I163/(1-SUM($D$160:$D$165,I163)),2),""))</f>
        <v/>
      </c>
      <c r="J164" s="162" t="str">
        <f t="shared" si="91"/>
        <v/>
      </c>
      <c r="K164" s="162" t="str">
        <f t="shared" si="91"/>
        <v/>
      </c>
      <c r="L164" s="162" t="str">
        <f t="shared" si="91"/>
        <v/>
      </c>
      <c r="M164" s="162" t="str">
        <f t="shared" si="91"/>
        <v/>
      </c>
      <c r="N164" s="162" t="str">
        <f t="shared" si="91"/>
        <v/>
      </c>
    </row>
    <row r="165" spans="1:49">
      <c r="A165" s="92"/>
      <c r="B165" s="424" t="s">
        <v>3</v>
      </c>
      <c r="C165" s="425" t="s">
        <v>394</v>
      </c>
      <c r="D165" s="426">
        <v>0</v>
      </c>
      <c r="E165" s="113">
        <f>IF(E21="","",IFERROR(ROUND(SUM(E$157,E$61,E$114,E$123,E$145,E$150)*$D165/(1-SUM($D$160:$D$165,E$163)),2),""))</f>
        <v>0</v>
      </c>
      <c r="F165" s="113">
        <f t="shared" ref="F165:H165" si="92">IF(F21="","",IFERROR(ROUND(SUM(F$157,F$61,F$114,F$123,F$145,F$150)*$D165/(1-SUM($D$160:$D$165,F$163)),2),""))</f>
        <v>0</v>
      </c>
      <c r="G165" s="113">
        <f t="shared" si="92"/>
        <v>0</v>
      </c>
      <c r="H165" s="113" t="str">
        <f t="shared" si="92"/>
        <v/>
      </c>
      <c r="I165" s="113" t="str">
        <f t="shared" ref="I165:N165" si="93">IF(I21="","",IFERROR(ROUND(SUM(I$157,I$61,I$114,I$123,I$145,I$150)*$D165/(1-SUM($D$160:$D$165,I$163)),2),""))</f>
        <v/>
      </c>
      <c r="J165" s="113" t="str">
        <f t="shared" si="93"/>
        <v/>
      </c>
      <c r="K165" s="113" t="str">
        <f t="shared" si="93"/>
        <v/>
      </c>
      <c r="L165" s="113" t="str">
        <f t="shared" si="93"/>
        <v/>
      </c>
      <c r="M165" s="113" t="str">
        <f t="shared" si="93"/>
        <v/>
      </c>
      <c r="N165" s="113" t="str">
        <f t="shared" si="93"/>
        <v/>
      </c>
    </row>
    <row r="166" spans="1:49" s="5" customFormat="1">
      <c r="A166" s="90"/>
      <c r="B166" s="186"/>
      <c r="C166" s="187" t="s">
        <v>284</v>
      </c>
      <c r="D166" s="190"/>
      <c r="E166" s="208">
        <f>IF(E18="","",SUM(E160:E161,E164:E165))</f>
        <v>676.11</v>
      </c>
      <c r="F166" s="208">
        <f t="shared" ref="F166:H166" si="94">IF(F18="","",SUM(F160:F161,F164:F165))</f>
        <v>655.85</v>
      </c>
      <c r="G166" s="208">
        <f t="shared" si="94"/>
        <v>593.6</v>
      </c>
      <c r="H166" s="208" t="str">
        <f t="shared" si="94"/>
        <v/>
      </c>
      <c r="I166" s="208" t="str">
        <f t="shared" ref="I166:N166" si="95">IF(I18="","",SUM(I160:I161,I164:I165))</f>
        <v/>
      </c>
      <c r="J166" s="208" t="str">
        <f t="shared" si="95"/>
        <v/>
      </c>
      <c r="K166" s="208" t="str">
        <f t="shared" si="95"/>
        <v/>
      </c>
      <c r="L166" s="208" t="str">
        <f t="shared" si="95"/>
        <v/>
      </c>
      <c r="M166" s="208" t="str">
        <f t="shared" si="95"/>
        <v/>
      </c>
      <c r="N166" s="208" t="str">
        <f t="shared" si="95"/>
        <v/>
      </c>
      <c r="O166" s="317"/>
      <c r="P166" s="317"/>
      <c r="Q166" s="317"/>
      <c r="R166" s="317"/>
      <c r="S166" s="317"/>
      <c r="T166" s="317"/>
      <c r="U166" s="317"/>
      <c r="V166" s="317"/>
      <c r="W166" s="317"/>
      <c r="X166" s="317"/>
      <c r="Y166" s="317"/>
      <c r="Z166" s="317"/>
      <c r="AA166" s="317"/>
      <c r="AB166" s="317"/>
      <c r="AC166" s="317"/>
      <c r="AD166" s="317"/>
      <c r="AE166" s="317"/>
      <c r="AF166" s="317"/>
      <c r="AG166" s="317"/>
      <c r="AH166" s="317"/>
      <c r="AI166" s="317"/>
      <c r="AJ166" s="317"/>
      <c r="AK166" s="317"/>
      <c r="AL166" s="317"/>
      <c r="AM166" s="317"/>
      <c r="AN166" s="317"/>
      <c r="AO166" s="317"/>
      <c r="AP166" s="317"/>
      <c r="AQ166" s="317"/>
      <c r="AR166" s="317"/>
      <c r="AS166" s="317"/>
      <c r="AT166" s="317"/>
      <c r="AU166" s="317"/>
      <c r="AV166" s="317"/>
      <c r="AW166" s="317"/>
    </row>
    <row r="167" spans="1:49" customFormat="1" ht="3.75" customHeight="1"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  <c r="AT167" s="47"/>
      <c r="AU167" s="47"/>
      <c r="AV167" s="47"/>
      <c r="AW167" s="47"/>
    </row>
    <row r="168" spans="1:49" s="5" customFormat="1">
      <c r="A168" s="87"/>
      <c r="B168" s="172"/>
      <c r="C168" s="104" t="s">
        <v>272</v>
      </c>
      <c r="D168" s="168"/>
      <c r="E168" s="170">
        <f>IF(E18="","",SUM(E166,E157))</f>
        <v>1634.31</v>
      </c>
      <c r="F168" s="170">
        <f t="shared" ref="F168:H168" si="96">IF(F18="","",SUM(F166,F157))</f>
        <v>1585.35</v>
      </c>
      <c r="G168" s="170">
        <f t="shared" si="96"/>
        <v>1434.87</v>
      </c>
      <c r="H168" s="170" t="str">
        <f t="shared" si="96"/>
        <v/>
      </c>
      <c r="I168" s="170" t="str">
        <f t="shared" ref="I168:N168" si="97">IF(I18="","",SUM(I166,I157))</f>
        <v/>
      </c>
      <c r="J168" s="170" t="str">
        <f t="shared" si="97"/>
        <v/>
      </c>
      <c r="K168" s="170" t="str">
        <f t="shared" si="97"/>
        <v/>
      </c>
      <c r="L168" s="170" t="str">
        <f t="shared" si="97"/>
        <v/>
      </c>
      <c r="M168" s="170" t="str">
        <f t="shared" si="97"/>
        <v/>
      </c>
      <c r="N168" s="170" t="str">
        <f t="shared" si="97"/>
        <v/>
      </c>
      <c r="O168" s="317"/>
      <c r="P168" s="317"/>
      <c r="Q168" s="317"/>
      <c r="R168" s="317"/>
      <c r="S168" s="317"/>
      <c r="T168" s="317"/>
      <c r="U168" s="317"/>
      <c r="V168" s="317"/>
      <c r="W168" s="317"/>
      <c r="X168" s="317"/>
      <c r="Y168" s="317"/>
      <c r="Z168" s="317"/>
      <c r="AA168" s="317"/>
      <c r="AB168" s="317"/>
      <c r="AC168" s="317"/>
      <c r="AD168" s="317"/>
      <c r="AE168" s="317"/>
      <c r="AF168" s="317"/>
      <c r="AG168" s="317"/>
      <c r="AH168" s="317"/>
      <c r="AI168" s="317"/>
      <c r="AJ168" s="317"/>
      <c r="AK168" s="317"/>
      <c r="AL168" s="317"/>
      <c r="AM168" s="317"/>
      <c r="AN168" s="317"/>
      <c r="AO168" s="317"/>
      <c r="AP168" s="317"/>
      <c r="AQ168" s="317"/>
      <c r="AR168" s="317"/>
      <c r="AS168" s="317"/>
      <c r="AT168" s="317"/>
      <c r="AU168" s="317"/>
      <c r="AV168" s="317"/>
      <c r="AW168" s="317"/>
    </row>
    <row r="169" spans="1:49">
      <c r="F169" s="9"/>
      <c r="G169" s="9"/>
      <c r="H169" s="9"/>
      <c r="I169" s="9"/>
      <c r="J169" s="9"/>
      <c r="K169" s="9"/>
      <c r="L169" s="9"/>
      <c r="M169" s="9"/>
      <c r="N169" s="9"/>
    </row>
    <row r="170" spans="1:49" s="6" customFormat="1">
      <c r="A170" s="88"/>
      <c r="B170" s="103"/>
      <c r="C170" s="104" t="s">
        <v>468</v>
      </c>
      <c r="D170" s="105"/>
      <c r="E170" s="395"/>
      <c r="F170" s="395"/>
      <c r="G170" s="395"/>
      <c r="H170" s="395"/>
      <c r="I170" s="395"/>
      <c r="J170" s="395"/>
      <c r="K170" s="395"/>
      <c r="L170" s="395"/>
      <c r="M170" s="395"/>
      <c r="N170" s="395"/>
      <c r="O170" s="319"/>
      <c r="P170" s="319"/>
      <c r="Q170" s="319"/>
      <c r="R170" s="319"/>
      <c r="S170" s="319"/>
      <c r="T170" s="319"/>
      <c r="U170" s="319"/>
      <c r="V170" s="319"/>
      <c r="W170" s="319"/>
      <c r="X170" s="319"/>
      <c r="Y170" s="319"/>
      <c r="Z170" s="319"/>
      <c r="AA170" s="319"/>
      <c r="AB170" s="319"/>
      <c r="AC170" s="319"/>
      <c r="AD170" s="319"/>
      <c r="AE170" s="319"/>
      <c r="AF170" s="319"/>
      <c r="AG170" s="319"/>
      <c r="AH170" s="319"/>
      <c r="AI170" s="319"/>
      <c r="AJ170" s="319"/>
      <c r="AK170" s="319"/>
      <c r="AL170" s="319"/>
      <c r="AM170" s="319"/>
      <c r="AN170" s="319"/>
      <c r="AO170" s="319"/>
      <c r="AP170" s="319"/>
      <c r="AQ170" s="319"/>
      <c r="AR170" s="319"/>
      <c r="AS170" s="319"/>
      <c r="AT170" s="319"/>
      <c r="AU170" s="319"/>
      <c r="AV170" s="319"/>
      <c r="AW170" s="319"/>
    </row>
    <row r="171" spans="1:49" ht="3.75" customHeight="1">
      <c r="A171" s="310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49">
      <c r="A172" s="310"/>
      <c r="B172" s="186"/>
      <c r="C172" s="187" t="s">
        <v>543</v>
      </c>
      <c r="D172" s="312"/>
      <c r="E172" s="430"/>
      <c r="F172" s="430"/>
      <c r="G172" s="430"/>
      <c r="H172" s="430"/>
      <c r="I172" s="430"/>
      <c r="J172" s="430"/>
      <c r="K172" s="430"/>
      <c r="L172" s="430"/>
      <c r="M172" s="430"/>
      <c r="N172" s="430"/>
    </row>
    <row r="173" spans="1:49">
      <c r="A173" s="94"/>
      <c r="B173" s="101" t="s">
        <v>2</v>
      </c>
      <c r="C173" s="102" t="s">
        <v>469</v>
      </c>
      <c r="D173" s="192"/>
      <c r="E173" s="113">
        <f>IFERROR(IF(E18="","",ROUND(E175/SUM(E52,INDEX('Apoio - Regime de Trabalho'!$I:$I,MATCH(E26,'Apoio - Regime de Trabalho'!$A:$A,0))),2)),"")</f>
        <v>40.71</v>
      </c>
      <c r="F173" s="113">
        <f>IFERROR(IF(F18="","",ROUND(F175/SUM(F52,INDEX('Apoio - Regime de Trabalho'!$I:$I,MATCH(F26,'Apoio - Regime de Trabalho'!$A:$A,0))),2)),"")</f>
        <v>39.49</v>
      </c>
      <c r="G173" s="113">
        <f>IFERROR(IF(G18="","",ROUND(G175/SUM(G52,INDEX('Apoio - Regime de Trabalho'!$I:$I,MATCH(G26,'Apoio - Regime de Trabalho'!$A:$A,0))),2)),"")</f>
        <v>35.74</v>
      </c>
      <c r="H173" s="113" t="str">
        <f>IFERROR(IF(H18="","",ROUND(H175/SUM(H52,INDEX('Apoio - Regime de Trabalho'!$I:$I,MATCH(H26,'Apoio - Regime de Trabalho'!$A:$A,0))),2)),"")</f>
        <v/>
      </c>
      <c r="I173" s="113" t="str">
        <f>IFERROR(IF(I18="","",ROUND(I175/SUM(I52,INDEX('Apoio - Regime de Trabalho'!$I:$I,MATCH(I26,'Apoio - Regime de Trabalho'!$A:$A,0))),2)),"")</f>
        <v/>
      </c>
      <c r="J173" s="113" t="str">
        <f>IFERROR(IF(J18="","",ROUND(J175/SUM(J52,INDEX('Apoio - Regime de Trabalho'!$I:$I,MATCH(J26,'Apoio - Regime de Trabalho'!$A:$A,0))),2)),"")</f>
        <v/>
      </c>
      <c r="K173" s="113" t="str">
        <f>IFERROR(IF(K18="","",ROUND(K175/SUM(K52,INDEX('Apoio - Regime de Trabalho'!$I:$I,MATCH(K26,'Apoio - Regime de Trabalho'!$A:$A,0))),2)),"")</f>
        <v/>
      </c>
      <c r="L173" s="113" t="str">
        <f>IFERROR(IF(L18="","",ROUND(L175/SUM(L52,INDEX('Apoio - Regime de Trabalho'!$I:$I,MATCH(L26,'Apoio - Regime de Trabalho'!$A:$A,0))),2)),"")</f>
        <v/>
      </c>
      <c r="M173" s="113" t="str">
        <f>IFERROR(IF(M18="","",ROUND(M175/SUM(M52,INDEX('Apoio - Regime de Trabalho'!$I:$I,MATCH(M26,'Apoio - Regime de Trabalho'!$A:$A,0))),2)),"")</f>
        <v/>
      </c>
      <c r="N173" s="113" t="str">
        <f>IFERROR(IF(N18="","",ROUND(N175/SUM(N52,INDEX('Apoio - Regime de Trabalho'!$I:$I,MATCH(N26,'Apoio - Regime de Trabalho'!$A:$A,0))),2)),"")</f>
        <v/>
      </c>
    </row>
    <row r="174" spans="1:49">
      <c r="A174" s="94"/>
      <c r="B174" s="101" t="s">
        <v>1</v>
      </c>
      <c r="C174" s="102" t="s">
        <v>473</v>
      </c>
      <c r="D174" s="192"/>
      <c r="E174" s="113">
        <f>IF(E18="","",ROUND(SUM(E61,E114,E123,E145,E150,E168)/INDEX('Apoio - Regime de Trabalho'!$G:$G,MATCH(E26,'Apoio - Regime de Trabalho'!$A:$A,0)),2))</f>
        <v>355.28</v>
      </c>
      <c r="F174" s="113">
        <f>IF(F18="","",ROUND(SUM(F61,F114,F123,F145,F150,F168)/INDEX('Apoio - Regime de Trabalho'!$G:$G,MATCH(F26,'Apoio - Regime de Trabalho'!$A:$A,0)),2))</f>
        <v>344.64</v>
      </c>
      <c r="G174" s="113">
        <f>IF(G18="","",ROUND(SUM(G61,G114,G123,G145,G150,G168)/INDEX('Apoio - Regime de Trabalho'!$G:$G,MATCH(G26,'Apoio - Regime de Trabalho'!$A:$A,0)),2))</f>
        <v>311.93</v>
      </c>
      <c r="H174" s="113" t="str">
        <f>IF(H18="","",ROUND(SUM(H61,H114,H123,H145,H150,H168)/INDEX('Apoio - Regime de Trabalho'!$G:$G,MATCH(H26,'Apoio - Regime de Trabalho'!$A:$A,0)),2))</f>
        <v/>
      </c>
      <c r="I174" s="113" t="str">
        <f>IF(I18="","",ROUND(SUM(I61,I114,I123,I145,I150,I168)/INDEX('Apoio - Regime de Trabalho'!$G:$G,MATCH(I26,'Apoio - Regime de Trabalho'!$A:$A,0)),2))</f>
        <v/>
      </c>
      <c r="J174" s="113" t="str">
        <f>IF(J18="","",ROUND(SUM(J61,J114,J123,J145,J150,J168)/INDEX('Apoio - Regime de Trabalho'!$G:$G,MATCH(J26,'Apoio - Regime de Trabalho'!$A:$A,0)),2))</f>
        <v/>
      </c>
      <c r="K174" s="113" t="str">
        <f>IF(K18="","",ROUND(SUM(K61,K114,K123,K145,K150,K168)/INDEX('Apoio - Regime de Trabalho'!$G:$G,MATCH(K26,'Apoio - Regime de Trabalho'!$A:$A,0)),2))</f>
        <v/>
      </c>
      <c r="L174" s="113" t="str">
        <f>IF(L18="","",ROUND(SUM(L61,L114,L123,L145,L150,L168)/INDEX('Apoio - Regime de Trabalho'!$G:$G,MATCH(L26,'Apoio - Regime de Trabalho'!$A:$A,0)),2))</f>
        <v/>
      </c>
      <c r="M174" s="113" t="str">
        <f>IF(M18="","",ROUND(SUM(M61,M114,M123,M145,M150,M168)/INDEX('Apoio - Regime de Trabalho'!$G:$G,MATCH(M26,'Apoio - Regime de Trabalho'!$A:$A,0)),2))</f>
        <v/>
      </c>
      <c r="N174" s="113" t="str">
        <f>IF(N18="","",ROUND(SUM(N61,N114,N123,N145,N150,N168)/INDEX('Apoio - Regime de Trabalho'!$G:$G,MATCH(N26,'Apoio - Regime de Trabalho'!$A:$A,0)),2))</f>
        <v/>
      </c>
    </row>
    <row r="175" spans="1:49">
      <c r="A175" s="94"/>
      <c r="B175" s="101" t="s">
        <v>0</v>
      </c>
      <c r="C175" s="102" t="s">
        <v>546</v>
      </c>
      <c r="D175" s="192"/>
      <c r="E175" s="113">
        <f>IF(E18="","",ROUND(SUM(E61,E114,E123,E145,E150,E168),2))</f>
        <v>7816.24</v>
      </c>
      <c r="F175" s="113">
        <f t="shared" ref="F175:H175" si="98">IF(F18="","",ROUND(SUM(F61,F114,F123,F145,F150,F168),2))</f>
        <v>7582.1</v>
      </c>
      <c r="G175" s="113">
        <f t="shared" si="98"/>
        <v>6862.43</v>
      </c>
      <c r="H175" s="113" t="str">
        <f t="shared" si="98"/>
        <v/>
      </c>
      <c r="I175" s="113" t="str">
        <f t="shared" ref="I175:N175" si="99">IF(I18="","",ROUND(SUM(I61,I114,I123,I145,I150,I168),2))</f>
        <v/>
      </c>
      <c r="J175" s="113" t="str">
        <f t="shared" si="99"/>
        <v/>
      </c>
      <c r="K175" s="113" t="str">
        <f t="shared" si="99"/>
        <v/>
      </c>
      <c r="L175" s="113" t="str">
        <f t="shared" si="99"/>
        <v/>
      </c>
      <c r="M175" s="113" t="str">
        <f t="shared" si="99"/>
        <v/>
      </c>
      <c r="N175" s="113" t="str">
        <f t="shared" si="99"/>
        <v/>
      </c>
    </row>
    <row r="176" spans="1:49">
      <c r="A176" s="94"/>
      <c r="B176" s="101" t="s">
        <v>3</v>
      </c>
      <c r="C176" s="102" t="s">
        <v>545</v>
      </c>
      <c r="D176" s="192"/>
      <c r="E176" s="113">
        <f>IFERROR(ROUND(E175*E28,2),"")</f>
        <v>7816.24</v>
      </c>
      <c r="F176" s="113">
        <f t="shared" ref="F176:H176" si="100">IFERROR(ROUND(F175*F28,2),"")</f>
        <v>7582.1</v>
      </c>
      <c r="G176" s="113">
        <f t="shared" si="100"/>
        <v>6862.43</v>
      </c>
      <c r="H176" s="113" t="str">
        <f t="shared" si="100"/>
        <v/>
      </c>
      <c r="I176" s="113" t="str">
        <f t="shared" ref="I176:N176" si="101">IFERROR(ROUND(I175*I28,2),"")</f>
        <v/>
      </c>
      <c r="J176" s="113" t="str">
        <f t="shared" si="101"/>
        <v/>
      </c>
      <c r="K176" s="113" t="str">
        <f t="shared" si="101"/>
        <v/>
      </c>
      <c r="L176" s="113" t="str">
        <f t="shared" si="101"/>
        <v/>
      </c>
      <c r="M176" s="113" t="str">
        <f t="shared" si="101"/>
        <v/>
      </c>
      <c r="N176" s="113" t="str">
        <f t="shared" si="101"/>
        <v/>
      </c>
    </row>
    <row r="177" spans="1:49" ht="3.75" customHeight="1">
      <c r="A177" s="310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1:49">
      <c r="A178" s="310"/>
      <c r="B178" s="186"/>
      <c r="C178" s="187" t="s">
        <v>592</v>
      </c>
      <c r="D178" s="312"/>
      <c r="E178" s="430"/>
      <c r="F178" s="430"/>
      <c r="G178" s="430"/>
      <c r="H178" s="430"/>
      <c r="I178" s="430"/>
      <c r="J178" s="430"/>
      <c r="K178" s="430"/>
      <c r="L178" s="430"/>
      <c r="M178" s="430"/>
      <c r="N178" s="430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</row>
    <row r="179" spans="1:49">
      <c r="A179" s="94"/>
      <c r="B179" s="101" t="s">
        <v>2</v>
      </c>
      <c r="C179" s="102" t="s">
        <v>470</v>
      </c>
      <c r="D179" s="192"/>
      <c r="E179" s="113">
        <f>IFERROR(ROUND(SUM(E61,E114,E123,E145)*E29,2),"")</f>
        <v>5600.63</v>
      </c>
      <c r="F179" s="113">
        <f t="shared" ref="F179:H179" si="102">IFERROR(ROUND(SUM(F61,F114,F123,F145)*F29,2),"")</f>
        <v>5451.7</v>
      </c>
      <c r="G179" s="113">
        <f t="shared" si="102"/>
        <v>4882.51</v>
      </c>
      <c r="H179" s="113" t="str">
        <f t="shared" si="102"/>
        <v/>
      </c>
      <c r="I179" s="113" t="str">
        <f t="shared" ref="I179:N179" si="103">IFERROR(ROUND(SUM(I61,I114,I123,I145)*I29,2),"")</f>
        <v/>
      </c>
      <c r="J179" s="113" t="str">
        <f t="shared" si="103"/>
        <v/>
      </c>
      <c r="K179" s="113" t="str">
        <f t="shared" si="103"/>
        <v/>
      </c>
      <c r="L179" s="113" t="str">
        <f t="shared" si="103"/>
        <v/>
      </c>
      <c r="M179" s="113" t="str">
        <f t="shared" si="103"/>
        <v/>
      </c>
      <c r="N179" s="113" t="str">
        <f t="shared" si="103"/>
        <v/>
      </c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</row>
    <row r="180" spans="1:49">
      <c r="A180" s="94"/>
      <c r="B180" s="101" t="s">
        <v>1</v>
      </c>
      <c r="C180" s="102" t="s">
        <v>540</v>
      </c>
      <c r="D180" s="192"/>
      <c r="E180" s="113">
        <f>IFERROR(ROUND(E150*E29,2),"")</f>
        <v>581.29999999999995</v>
      </c>
      <c r="F180" s="113">
        <f t="shared" ref="F180:H180" si="104">IFERROR(ROUND(F150*F29,2),"")</f>
        <v>545.04999999999995</v>
      </c>
      <c r="G180" s="113">
        <f t="shared" si="104"/>
        <v>545.04999999999995</v>
      </c>
      <c r="H180" s="113" t="str">
        <f t="shared" si="104"/>
        <v/>
      </c>
      <c r="I180" s="113" t="str">
        <f t="shared" ref="I180:N180" si="105">IFERROR(ROUND(I150*I29,2),"")</f>
        <v/>
      </c>
      <c r="J180" s="113" t="str">
        <f t="shared" si="105"/>
        <v/>
      </c>
      <c r="K180" s="113" t="str">
        <f t="shared" si="105"/>
        <v/>
      </c>
      <c r="L180" s="113" t="str">
        <f t="shared" si="105"/>
        <v/>
      </c>
      <c r="M180" s="113" t="str">
        <f t="shared" si="105"/>
        <v/>
      </c>
      <c r="N180" s="113" t="str">
        <f t="shared" si="105"/>
        <v/>
      </c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</row>
    <row r="181" spans="1:49">
      <c r="A181" s="95"/>
      <c r="B181" s="101" t="s">
        <v>0</v>
      </c>
      <c r="C181" s="102" t="s">
        <v>225</v>
      </c>
      <c r="D181" s="192"/>
      <c r="E181" s="113">
        <f>IFERROR(ROUND(E168*E29,2),"")</f>
        <v>1634.31</v>
      </c>
      <c r="F181" s="113">
        <f t="shared" ref="F181:H181" si="106">IFERROR(ROUND(F168*F29,2),"")</f>
        <v>1585.35</v>
      </c>
      <c r="G181" s="113">
        <f t="shared" si="106"/>
        <v>1434.87</v>
      </c>
      <c r="H181" s="113" t="str">
        <f t="shared" si="106"/>
        <v/>
      </c>
      <c r="I181" s="113" t="str">
        <f t="shared" ref="I181:N181" si="107">IFERROR(ROUND(I168*I29,2),"")</f>
        <v/>
      </c>
      <c r="J181" s="113" t="str">
        <f t="shared" si="107"/>
        <v/>
      </c>
      <c r="K181" s="113" t="str">
        <f t="shared" si="107"/>
        <v/>
      </c>
      <c r="L181" s="113" t="str">
        <f t="shared" si="107"/>
        <v/>
      </c>
      <c r="M181" s="113" t="str">
        <f t="shared" si="107"/>
        <v/>
      </c>
      <c r="N181" s="113" t="str">
        <f t="shared" si="107"/>
        <v/>
      </c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</row>
    <row r="182" spans="1:49">
      <c r="A182" s="95"/>
      <c r="B182" s="101" t="s">
        <v>3</v>
      </c>
      <c r="C182" s="102" t="s">
        <v>591</v>
      </c>
      <c r="D182" s="192"/>
      <c r="E182" s="113">
        <f>IFERROR(ROUND((E179+E180+E181),2),"")</f>
        <v>7816.24</v>
      </c>
      <c r="F182" s="113">
        <f t="shared" ref="F182:H182" si="108">IFERROR(ROUND((F179+F180+F181),2),"")</f>
        <v>7582.1</v>
      </c>
      <c r="G182" s="113">
        <f t="shared" si="108"/>
        <v>6862.43</v>
      </c>
      <c r="H182" s="113" t="str">
        <f t="shared" si="108"/>
        <v/>
      </c>
      <c r="I182" s="113" t="str">
        <f t="shared" ref="I182:N182" si="109">IFERROR(ROUND((I179+I180+I181),2),"")</f>
        <v/>
      </c>
      <c r="J182" s="113" t="str">
        <f t="shared" si="109"/>
        <v/>
      </c>
      <c r="K182" s="113" t="str">
        <f t="shared" si="109"/>
        <v/>
      </c>
      <c r="L182" s="113" t="str">
        <f t="shared" si="109"/>
        <v/>
      </c>
      <c r="M182" s="113" t="str">
        <f t="shared" si="109"/>
        <v/>
      </c>
      <c r="N182" s="113" t="str">
        <f t="shared" si="109"/>
        <v/>
      </c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</row>
    <row r="183" spans="1:49" ht="3.75" customHeight="1">
      <c r="A183" s="310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</row>
    <row r="184" spans="1:49">
      <c r="A184" s="310"/>
      <c r="B184" s="186"/>
      <c r="C184" s="187" t="s">
        <v>544</v>
      </c>
      <c r="D184" s="312"/>
      <c r="E184" s="430"/>
      <c r="F184" s="430"/>
      <c r="G184" s="430"/>
      <c r="H184" s="430"/>
      <c r="I184" s="430"/>
      <c r="J184" s="430"/>
      <c r="K184" s="430"/>
      <c r="L184" s="430"/>
      <c r="M184" s="430"/>
      <c r="N184" s="430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</row>
    <row r="185" spans="1:49" hidden="1">
      <c r="A185" s="491"/>
      <c r="B185" s="205"/>
      <c r="C185" s="206"/>
      <c r="D185" s="312"/>
      <c r="E185" s="430">
        <f>IFERROR(IF(INDEX('Apoio - Regime de Trabalho'!$C:$C,MATCH(E26,'Apoio - Regime de Trabalho'!$A:$A,0))="Diária",0,1),"")</f>
        <v>1</v>
      </c>
      <c r="F185" s="430">
        <f>IFERROR(IF(INDEX('Apoio - Regime de Trabalho'!$C:$C,MATCH(F26,'Apoio - Regime de Trabalho'!$A:$A,0))="Diária",0,1),"")</f>
        <v>1</v>
      </c>
      <c r="G185" s="430">
        <f>IFERROR(IF(INDEX('Apoio - Regime de Trabalho'!$C:$C,MATCH(G26,'Apoio - Regime de Trabalho'!$A:$A,0))="Diária",0,1),"")</f>
        <v>1</v>
      </c>
      <c r="H185" s="430" t="str">
        <f>IFERROR(IF(INDEX('Apoio - Regime de Trabalho'!$C:$C,MATCH(H26,'Apoio - Regime de Trabalho'!$A:$A,0))="Diária",0,1),"")</f>
        <v/>
      </c>
      <c r="I185" s="430" t="str">
        <f>IFERROR(IF(INDEX('Apoio - Regime de Trabalho'!$C:$C,MATCH(I26,'Apoio - Regime de Trabalho'!$A:$A,0))="Diária",0,1),"")</f>
        <v/>
      </c>
      <c r="J185" s="430" t="str">
        <f>IFERROR(IF(INDEX('Apoio - Regime de Trabalho'!$C:$C,MATCH(J26,'Apoio - Regime de Trabalho'!$A:$A,0))="Diária",0,1),"")</f>
        <v/>
      </c>
      <c r="K185" s="430" t="str">
        <f>IFERROR(IF(INDEX('Apoio - Regime de Trabalho'!$C:$C,MATCH(K26,'Apoio - Regime de Trabalho'!$A:$A,0))="Diária",0,1),"")</f>
        <v/>
      </c>
      <c r="L185" s="430" t="str">
        <f>IFERROR(IF(INDEX('Apoio - Regime de Trabalho'!$C:$C,MATCH(L26,'Apoio - Regime de Trabalho'!$A:$A,0))="Diária",0,1),"")</f>
        <v/>
      </c>
      <c r="M185" s="430" t="str">
        <f>IFERROR(IF(INDEX('Apoio - Regime de Trabalho'!$C:$C,MATCH(M26,'Apoio - Regime de Trabalho'!$A:$A,0))="Diária",0,1),"")</f>
        <v/>
      </c>
      <c r="N185" s="430" t="str">
        <f>IFERROR(IF(INDEX('Apoio - Regime de Trabalho'!$C:$C,MATCH(N26,'Apoio - Regime de Trabalho'!$A:$A,0))="Diária",0,1),"")</f>
        <v/>
      </c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</row>
    <row r="186" spans="1:49" hidden="1">
      <c r="A186" s="491"/>
      <c r="B186" s="205"/>
      <c r="C186" s="206"/>
      <c r="D186" s="312"/>
      <c r="E186" s="430">
        <f>IF(E185=1,$D$12,1)</f>
        <v>12</v>
      </c>
      <c r="F186" s="430">
        <f t="shared" ref="F186:H186" si="110">IF(F185=1,$D$12,1)</f>
        <v>12</v>
      </c>
      <c r="G186" s="430">
        <f t="shared" si="110"/>
        <v>12</v>
      </c>
      <c r="H186" s="430">
        <f t="shared" si="110"/>
        <v>1</v>
      </c>
      <c r="I186" s="430">
        <f t="shared" ref="I186:N186" si="111">IF(I185=1,$D$12,1)</f>
        <v>1</v>
      </c>
      <c r="J186" s="430">
        <f t="shared" si="111"/>
        <v>1</v>
      </c>
      <c r="K186" s="430">
        <f t="shared" si="111"/>
        <v>1</v>
      </c>
      <c r="L186" s="430">
        <f t="shared" si="111"/>
        <v>1</v>
      </c>
      <c r="M186" s="430">
        <f t="shared" si="111"/>
        <v>1</v>
      </c>
      <c r="N186" s="430">
        <f t="shared" si="111"/>
        <v>1</v>
      </c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</row>
    <row r="187" spans="1:49">
      <c r="A187" s="95"/>
      <c r="B187" s="101" t="s">
        <v>2</v>
      </c>
      <c r="C187" s="102" t="s">
        <v>470</v>
      </c>
      <c r="D187" s="192"/>
      <c r="E187" s="113">
        <f>IFERROR(ROUND(E179*IF(VLOOKUP(E$26,'Apoio - Regime de Trabalho'!$A:$I,3,FALSE)="Diária",1,$D$12),2),"")</f>
        <v>67207.56</v>
      </c>
      <c r="F187" s="113">
        <f>IFERROR(ROUND(F179*IF(VLOOKUP(F$26,'Apoio - Regime de Trabalho'!$A:$I,3,FALSE)="Diária",1,$D$12),2),"")</f>
        <v>65420.4</v>
      </c>
      <c r="G187" s="113">
        <f>IFERROR(ROUND(G179*IF(VLOOKUP(G$26,'Apoio - Regime de Trabalho'!$A:$I,3,FALSE)="Diária",1,$D$12),2),"")</f>
        <v>58590.12</v>
      </c>
      <c r="H187" s="113" t="str">
        <f>IFERROR(ROUND(H179*IF(VLOOKUP(H$26,'Apoio - Regime de Trabalho'!$A:$I,3,FALSE)="Diária",1,$D$12),2),"")</f>
        <v/>
      </c>
      <c r="I187" s="113" t="str">
        <f>IFERROR(ROUND(I179*IF(VLOOKUP(I$26,'Apoio - Regime de Trabalho'!$A:$I,3,FALSE)="Diária",1,$D$12),2),"")</f>
        <v/>
      </c>
      <c r="J187" s="113" t="str">
        <f>IFERROR(ROUND(J179*IF(VLOOKUP(J$26,'Apoio - Regime de Trabalho'!$A:$I,3,FALSE)="Diária",1,$D$12),2),"")</f>
        <v/>
      </c>
      <c r="K187" s="113" t="str">
        <f>IFERROR(ROUND(K179*IF(VLOOKUP(K$26,'Apoio - Regime de Trabalho'!$A:$I,3,FALSE)="Diária",1,$D$12),2),"")</f>
        <v/>
      </c>
      <c r="L187" s="113" t="str">
        <f>IFERROR(ROUND(L179*IF(VLOOKUP(L$26,'Apoio - Regime de Trabalho'!$A:$I,3,FALSE)="Diária",1,$D$12),2),"")</f>
        <v/>
      </c>
      <c r="M187" s="113" t="str">
        <f>IFERROR(ROUND(M179*IF(VLOOKUP(M$26,'Apoio - Regime de Trabalho'!$A:$I,3,FALSE)="Diária",1,$D$12),2),"")</f>
        <v/>
      </c>
      <c r="N187" s="113" t="str">
        <f>IFERROR(ROUND(N179*IF(VLOOKUP(N$26,'Apoio - Regime de Trabalho'!$A:$I,3,FALSE)="Diária",1,$D$12),2),"")</f>
        <v/>
      </c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</row>
    <row r="188" spans="1:49">
      <c r="A188" s="95"/>
      <c r="B188" s="101" t="s">
        <v>1</v>
      </c>
      <c r="C188" s="102" t="s">
        <v>540</v>
      </c>
      <c r="D188" s="192"/>
      <c r="E188" s="113">
        <f>IFERROR(ROUND(E180*IF(VLOOKUP(E$26,'Apoio - Regime de Trabalho'!$A:$I,3,FALSE)="Diária",1,$D$12),2),"")</f>
        <v>6975.6</v>
      </c>
      <c r="F188" s="113">
        <f>IFERROR(ROUND(F180*IF(VLOOKUP(F$26,'Apoio - Regime de Trabalho'!$A:$I,3,FALSE)="Diária",1,$D$12),2),"")</f>
        <v>6540.6</v>
      </c>
      <c r="G188" s="113">
        <f>IFERROR(ROUND(G180*IF(VLOOKUP(G$26,'Apoio - Regime de Trabalho'!$A:$I,3,FALSE)="Diária",1,$D$12),2),"")</f>
        <v>6540.6</v>
      </c>
      <c r="H188" s="113" t="str">
        <f>IFERROR(ROUND(H180*IF(VLOOKUP(H$26,'Apoio - Regime de Trabalho'!$A:$I,3,FALSE)="Diária",1,$D$12),2),"")</f>
        <v/>
      </c>
      <c r="I188" s="113" t="str">
        <f>IFERROR(ROUND(I180*IF(VLOOKUP(I$26,'Apoio - Regime de Trabalho'!$A:$I,3,FALSE)="Diária",1,$D$12),2),"")</f>
        <v/>
      </c>
      <c r="J188" s="113" t="str">
        <f>IFERROR(ROUND(J180*IF(VLOOKUP(J$26,'Apoio - Regime de Trabalho'!$A:$I,3,FALSE)="Diária",1,$D$12),2),"")</f>
        <v/>
      </c>
      <c r="K188" s="113" t="str">
        <f>IFERROR(ROUND(K180*IF(VLOOKUP(K$26,'Apoio - Regime de Trabalho'!$A:$I,3,FALSE)="Diária",1,$D$12),2),"")</f>
        <v/>
      </c>
      <c r="L188" s="113" t="str">
        <f>IFERROR(ROUND(L180*IF(VLOOKUP(L$26,'Apoio - Regime de Trabalho'!$A:$I,3,FALSE)="Diária",1,$D$12),2),"")</f>
        <v/>
      </c>
      <c r="M188" s="113" t="str">
        <f>IFERROR(ROUND(M180*IF(VLOOKUP(M$26,'Apoio - Regime de Trabalho'!$A:$I,3,FALSE)="Diária",1,$D$12),2),"")</f>
        <v/>
      </c>
      <c r="N188" s="113" t="str">
        <f>IFERROR(ROUND(N180*IF(VLOOKUP(N$26,'Apoio - Regime de Trabalho'!$A:$I,3,FALSE)="Diária",1,$D$12),2),"")</f>
        <v/>
      </c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</row>
    <row r="189" spans="1:49">
      <c r="A189" s="95"/>
      <c r="B189" s="101" t="s">
        <v>0</v>
      </c>
      <c r="C189" s="102" t="s">
        <v>225</v>
      </c>
      <c r="D189" s="192"/>
      <c r="E189" s="113">
        <f>IFERROR(ROUND(E181*IF(VLOOKUP(E$26,'Apoio - Regime de Trabalho'!$A:$I,3,FALSE)="Diária",1,$D$12),2),"")</f>
        <v>19611.72</v>
      </c>
      <c r="F189" s="113">
        <f>IFERROR(ROUND(F181*IF(VLOOKUP(F$26,'Apoio - Regime de Trabalho'!$A:$I,3,FALSE)="Diária",1,$D$12),2),"")</f>
        <v>19024.2</v>
      </c>
      <c r="G189" s="113">
        <f>IFERROR(ROUND(G181*IF(VLOOKUP(G$26,'Apoio - Regime de Trabalho'!$A:$I,3,FALSE)="Diária",1,$D$12),2),"")</f>
        <v>17218.439999999999</v>
      </c>
      <c r="H189" s="113" t="str">
        <f>IFERROR(ROUND(H181*IF(VLOOKUP(H$26,'Apoio - Regime de Trabalho'!$A:$I,3,FALSE)="Diária",1,$D$12),2),"")</f>
        <v/>
      </c>
      <c r="I189" s="113" t="str">
        <f>IFERROR(ROUND(I181*IF(VLOOKUP(I$26,'Apoio - Regime de Trabalho'!$A:$I,3,FALSE)="Diária",1,$D$12),2),"")</f>
        <v/>
      </c>
      <c r="J189" s="113" t="str">
        <f>IFERROR(ROUND(J181*IF(VLOOKUP(J$26,'Apoio - Regime de Trabalho'!$A:$I,3,FALSE)="Diária",1,$D$12),2),"")</f>
        <v/>
      </c>
      <c r="K189" s="113" t="str">
        <f>IFERROR(ROUND(K181*IF(VLOOKUP(K$26,'Apoio - Regime de Trabalho'!$A:$I,3,FALSE)="Diária",1,$D$12),2),"")</f>
        <v/>
      </c>
      <c r="L189" s="113" t="str">
        <f>IFERROR(ROUND(L181*IF(VLOOKUP(L$26,'Apoio - Regime de Trabalho'!$A:$I,3,FALSE)="Diária",1,$D$12),2),"")</f>
        <v/>
      </c>
      <c r="M189" s="113" t="str">
        <f>IFERROR(ROUND(M181*IF(VLOOKUP(M$26,'Apoio - Regime de Trabalho'!$A:$I,3,FALSE)="Diária",1,$D$12),2),"")</f>
        <v/>
      </c>
      <c r="N189" s="113" t="str">
        <f>IFERROR(ROUND(N181*IF(VLOOKUP(N$26,'Apoio - Regime de Trabalho'!$A:$I,3,FALSE)="Diária",1,$D$12),2),"")</f>
        <v/>
      </c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</row>
    <row r="190" spans="1:49">
      <c r="A190" s="95"/>
      <c r="B190" s="101" t="s">
        <v>3</v>
      </c>
      <c r="C190" s="102" t="s">
        <v>541</v>
      </c>
      <c r="D190" s="192"/>
      <c r="E190" s="113">
        <f>IFERROR(ROUND(E182*IF(VLOOKUP(E$26,'Apoio - Regime de Trabalho'!$A:$I,3,FALSE)="Diária",1,$D$12),2),"")</f>
        <v>93794.880000000005</v>
      </c>
      <c r="F190" s="113">
        <f>IFERROR(ROUND(F182*IF(VLOOKUP(F$26,'Apoio - Regime de Trabalho'!$A:$I,3,FALSE)="Diária",1,$D$12),2),"")</f>
        <v>90985.2</v>
      </c>
      <c r="G190" s="113">
        <f>IFERROR(ROUND(G182*IF(VLOOKUP(G$26,'Apoio - Regime de Trabalho'!$A:$I,3,FALSE)="Diária",1,$D$12),2),"")</f>
        <v>82349.16</v>
      </c>
      <c r="H190" s="113" t="str">
        <f>IFERROR(ROUND(H182*IF(VLOOKUP(H$26,'Apoio - Regime de Trabalho'!$A:$I,3,FALSE)="Diária",1,$D$12),2),"")</f>
        <v/>
      </c>
      <c r="I190" s="113" t="str">
        <f>IFERROR(ROUND(I182*IF(VLOOKUP(I$26,'Apoio - Regime de Trabalho'!$A:$I,3,FALSE)="Diária",1,$D$12),2),"")</f>
        <v/>
      </c>
      <c r="J190" s="113" t="str">
        <f>IFERROR(ROUND(J182*IF(VLOOKUP(J$26,'Apoio - Regime de Trabalho'!$A:$I,3,FALSE)="Diária",1,$D$12),2),"")</f>
        <v/>
      </c>
      <c r="K190" s="113" t="str">
        <f>IFERROR(ROUND(K182*IF(VLOOKUP(K$26,'Apoio - Regime de Trabalho'!$A:$I,3,FALSE)="Diária",1,$D$12),2),"")</f>
        <v/>
      </c>
      <c r="L190" s="113" t="str">
        <f>IFERROR(ROUND(L182*IF(VLOOKUP(L$26,'Apoio - Regime de Trabalho'!$A:$I,3,FALSE)="Diária",1,$D$12),2),"")</f>
        <v/>
      </c>
      <c r="M190" s="113" t="str">
        <f>IFERROR(ROUND(M182*IF(VLOOKUP(M$26,'Apoio - Regime de Trabalho'!$A:$I,3,FALSE)="Diária",1,$D$12),2),"")</f>
        <v/>
      </c>
      <c r="N190" s="113" t="str">
        <f>IFERROR(ROUND(N182*IF(VLOOKUP(N$26,'Apoio - Regime de Trabalho'!$A:$I,3,FALSE)="Diária",1,$D$12),2),"")</f>
        <v/>
      </c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</row>
    <row r="191" spans="1:49">
      <c r="F191" s="9"/>
      <c r="G191" s="9"/>
      <c r="H191" s="9"/>
      <c r="I191" s="9"/>
      <c r="J191" s="9"/>
      <c r="K191" s="9"/>
      <c r="L191" s="9"/>
      <c r="M191" s="9"/>
      <c r="N191" s="9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</row>
  </sheetData>
  <sheetProtection formatCells="0" formatColumns="0" formatRows="0" insertColumns="0" autoFilter="0"/>
  <dataConsolidate link="1"/>
  <mergeCells count="27">
    <mergeCell ref="D9:E9"/>
    <mergeCell ref="A2:H2"/>
    <mergeCell ref="D5:E5"/>
    <mergeCell ref="D6:E6"/>
    <mergeCell ref="D7:E7"/>
    <mergeCell ref="D8:E8"/>
    <mergeCell ref="B50:B53"/>
    <mergeCell ref="D10:E10"/>
    <mergeCell ref="D11:E11"/>
    <mergeCell ref="D12:E12"/>
    <mergeCell ref="D13:E13"/>
    <mergeCell ref="D14:E14"/>
    <mergeCell ref="D15:E15"/>
    <mergeCell ref="B33:B35"/>
    <mergeCell ref="B36:B39"/>
    <mergeCell ref="B40:B42"/>
    <mergeCell ref="B43:B46"/>
    <mergeCell ref="B47:B49"/>
    <mergeCell ref="B108:B111"/>
    <mergeCell ref="B140:B142"/>
    <mergeCell ref="B162:B164"/>
    <mergeCell ref="B54:B58"/>
    <mergeCell ref="B78:B81"/>
    <mergeCell ref="B86:B91"/>
    <mergeCell ref="B92:B96"/>
    <mergeCell ref="B97:B100"/>
    <mergeCell ref="B103:B106"/>
  </mergeCells>
  <conditionalFormatting sqref="D5:D12 E18:N27 E34:N34 E37:N38 E41:N41 E44:N45 E59:N60 E87:N90 E93:N95 E98:N99 E104:N105 E141:N141">
    <cfRule type="expression" dxfId="19" priority="6">
      <formula>$H$5=1</formula>
    </cfRule>
  </conditionalFormatting>
  <conditionalFormatting sqref="D9:D10 D13:D15 E19:N24 E34:N34 E37:N38 E41:N41 E44:N45 E59:N60 D79:D80 E88:N90 E93:N95 E98:N99 E104:N105 D128:D136 E141:N141">
    <cfRule type="expression" dxfId="18" priority="7">
      <formula>$H$5=2</formula>
    </cfRule>
  </conditionalFormatting>
  <conditionalFormatting sqref="D15 E20:N20 E23:N24 E87:N87 E93:N93 E98:N98 E101:N102 E104:N104 E107:N107 E109:N109">
    <cfRule type="expression" dxfId="17" priority="5">
      <formula>$H$5=4</formula>
    </cfRule>
  </conditionalFormatting>
  <conditionalFormatting sqref="E51:N52">
    <cfRule type="expression" dxfId="16" priority="3">
      <formula>$H$5=1</formula>
    </cfRule>
    <cfRule type="expression" dxfId="15" priority="4">
      <formula>$H$5=2</formula>
    </cfRule>
  </conditionalFormatting>
  <conditionalFormatting sqref="E163:N163">
    <cfRule type="expression" dxfId="14" priority="1">
      <formula>$H$5=1</formula>
    </cfRule>
    <cfRule type="expression" dxfId="13" priority="2">
      <formula>$H$5=2</formula>
    </cfRule>
  </conditionalFormatting>
  <dataValidations count="12">
    <dataValidation type="list" allowBlank="1" sqref="E51:N51" xr:uid="{00000000-0002-0000-0000-000000000000}">
      <formula1>"0%,50%,100%"</formula1>
    </dataValidation>
    <dataValidation type="list" allowBlank="1" sqref="E38:N38" xr:uid="{00000000-0002-0000-0000-000001000000}">
      <formula1>"0%,10%,20%,40%"</formula1>
    </dataValidation>
    <dataValidation type="list" sqref="E38:N38" xr:uid="{00000000-0002-0000-0000-000002000000}">
      <formula1>"0,10%,20%,40%"</formula1>
    </dataValidation>
    <dataValidation type="list" sqref="E37:N37" xr:uid="{00000000-0002-0000-0000-000003000000}">
      <formula1>"Salário Base, Salário Mínimo,Não incide"</formula1>
    </dataValidation>
    <dataValidation sqref="E40:N41 E43:N43 E47:N47 E50:N50 E54:N54 E33:N33 E36:N36" xr:uid="{00000000-0002-0000-0000-000004000000}"/>
    <dataValidation type="list" sqref="E34:N34" xr:uid="{00000000-0002-0000-0000-000005000000}">
      <formula1>"0%,30%"</formula1>
    </dataValidation>
    <dataValidation type="list" allowBlank="1" showInputMessage="1" sqref="E21:N21" xr:uid="{00000000-0002-0000-0000-000006000000}">
      <formula1>"180,200,220"</formula1>
    </dataValidation>
    <dataValidation type="list" allowBlank="1" showInputMessage="1" sqref="D11:E11" xr:uid="{00000000-0002-0000-0000-000007000000}">
      <formula1>"Valor Global,Mês,Dia,Hora"</formula1>
    </dataValidation>
    <dataValidation type="whole" allowBlank="1" showInputMessage="1" showErrorMessage="1" errorTitle="Erro de entrada" error="Informar a duração do contrato em meses" sqref="D12:E12" xr:uid="{00000000-0002-0000-0000-000008000000}">
      <formula1>1</formula1>
      <formula2>360</formula2>
    </dataValidation>
    <dataValidation type="list" showInputMessage="1" sqref="D139:D141 E141:N141" xr:uid="{00000000-0002-0000-0000-000009000000}">
      <formula1>"Indenização,Rendição,Não"</formula1>
    </dataValidation>
    <dataValidation type="list" allowBlank="1" showInputMessage="1" showErrorMessage="1" sqref="D56" xr:uid="{00000000-0002-0000-0000-00000A000000}">
      <formula1>"Sim,Não"</formula1>
    </dataValidation>
    <dataValidation showInputMessage="1" sqref="D142 D164" xr:uid="{00000000-0002-0000-0000-00000B000000}"/>
  </dataValidations>
  <hyperlinks>
    <hyperlink ref="C148" location="'Mat Individual e Uniformes func'!A1" display="Material Individual e Uniformes" xr:uid="{00000000-0004-0000-0000-000000000000}"/>
    <hyperlink ref="C149" location="'Mat Coletivo e Equipamentos'!A1" display="Material Coletivo e Equipamentos" xr:uid="{00000000-0004-0000-0000-000001000000}"/>
    <hyperlink ref="I24" r:id="rId1" display="http://www3.mte.gov.br/sistemas/mediador/ConsultarInstColetivo" xr:uid="{00000000-0004-0000-0000-000003000000}"/>
    <hyperlink ref="J24" r:id="rId2" display="http://www3.mte.gov.br/sistemas/mediador/ConsultarInstColetivo" xr:uid="{00000000-0004-0000-0000-000004000000}"/>
    <hyperlink ref="K24" r:id="rId3" display="http://www3.mte.gov.br/sistemas/mediador/ConsultarInstColetivo" xr:uid="{00000000-0004-0000-0000-000005000000}"/>
    <hyperlink ref="L24" r:id="rId4" display="http://www3.mte.gov.br/sistemas/mediador/ConsultarInstColetivo" xr:uid="{00000000-0004-0000-0000-000006000000}"/>
    <hyperlink ref="M24" r:id="rId5" display="http://www3.mte.gov.br/sistemas/mediador/ConsultarInstColetivo" xr:uid="{00000000-0004-0000-0000-000007000000}"/>
    <hyperlink ref="N24" r:id="rId6" display="http://www3.mte.gov.br/sistemas/mediador/ConsultarInstColetivo" xr:uid="{00000000-0004-0000-0000-000008000000}"/>
  </hyperlinks>
  <pageMargins left="0.51181102362204722" right="0.51181102362204722" top="0.78740157480314965" bottom="0.78740157480314965" header="0.31496062992125984" footer="0.31496062992125984"/>
  <pageSetup paperSize="9" fitToHeight="20" orientation="portrait" r:id="rId7"/>
  <headerFooter>
    <oddFooter>&amp;R&amp;P/&amp;N</oddFooter>
  </headerFooter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10" name="Group Box 1">
              <controlPr defaultSize="0" autoFill="0" autoPict="0">
                <anchor moveWithCells="1">
                  <from>
                    <xdr:col>5</xdr:col>
                    <xdr:colOff>323850</xdr:colOff>
                    <xdr:row>2</xdr:row>
                    <xdr:rowOff>238125</xdr:rowOff>
                  </from>
                  <to>
                    <xdr:col>6</xdr:col>
                    <xdr:colOff>1095375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11" name="Option Button 2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4</xdr:row>
                    <xdr:rowOff>9525</xdr:rowOff>
                  </from>
                  <to>
                    <xdr:col>6</xdr:col>
                    <xdr:colOff>533400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12" name="Option Button 3">
              <controlPr defaultSize="0" autoFill="0" autoLine="0" autoPict="0">
                <anchor moveWithCells="1">
                  <from>
                    <xdr:col>5</xdr:col>
                    <xdr:colOff>476250</xdr:colOff>
                    <xdr:row>5</xdr:row>
                    <xdr:rowOff>123825</xdr:rowOff>
                  </from>
                  <to>
                    <xdr:col>6</xdr:col>
                    <xdr:colOff>533400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13" name="Option Button 4">
              <controlPr defaultSize="0" autoFill="0" autoLine="0" autoPict="0">
                <anchor moveWithCells="1">
                  <from>
                    <xdr:col>5</xdr:col>
                    <xdr:colOff>476250</xdr:colOff>
                    <xdr:row>8</xdr:row>
                    <xdr:rowOff>180975</xdr:rowOff>
                  </from>
                  <to>
                    <xdr:col>6</xdr:col>
                    <xdr:colOff>533400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5" r:id="rId14" name="Option Button 5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7</xdr:row>
                    <xdr:rowOff>57150</xdr:rowOff>
                  </from>
                  <to>
                    <xdr:col>6</xdr:col>
                    <xdr:colOff>542925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xr:uid="{00000000-0002-0000-0000-00000D000000}">
          <x14:formula1>
            <xm:f>'Apoio - Posto'!$B:$B</xm:f>
          </x14:formula1>
          <xm:sqref>E19:N19</xm:sqref>
        </x14:dataValidation>
        <x14:dataValidation type="list" allowBlank="1" xr:uid="{00000000-0002-0000-0000-00000E000000}">
          <x14:formula1>
            <xm:f>'Apoio - Posto'!$A:$A</xm:f>
          </x14:formula1>
          <xm:sqref>E18:N18</xm:sqref>
        </x14:dataValidation>
        <x14:dataValidation type="list" xr:uid="{00000000-0002-0000-0000-00000F000000}">
          <x14:formula1>
            <xm:f>'Apoio - Posto'!$C:$C</xm:f>
          </x14:formula1>
          <xm:sqref>E22:N22</xm:sqref>
        </x14:dataValidation>
        <x14:dataValidation type="list" allowBlank="1" xr:uid="{00000000-0002-0000-0000-000010000000}">
          <x14:formula1>
            <xm:f>'Apoio - Dados'!$A:$A</xm:f>
          </x14:formula1>
          <xm:sqref>D5:E5</xm:sqref>
        </x14:dataValidation>
        <x14:dataValidation type="list" allowBlank="1" showInputMessage="1" showErrorMessage="1" xr:uid="{00000000-0002-0000-0000-000011000000}">
          <x14:formula1>
            <xm:f>'Apoio - Notas Explicativas'!$H$13:$K$13</xm:f>
          </x14:formula1>
          <xm:sqref>D13</xm:sqref>
        </x14:dataValidation>
        <x14:dataValidation type="list" allowBlank="1" showInputMessage="1" showErrorMessage="1" xr:uid="{00000000-0002-0000-0000-000012000000}">
          <x14:formula1>
            <xm:f>'Apoio - Posto'!#REF!</xm:f>
          </x14:formula1>
          <xm:sqref>G10:G11</xm:sqref>
        </x14:dataValidation>
        <x14:dataValidation type="list" allowBlank="1" showInputMessage="1" showErrorMessage="1" xr:uid="{00000000-0002-0000-0000-00000C000000}">
          <x14:formula1>
            <xm:f>'Apoio - Regime de Trabalho'!$A:$A</xm:f>
          </x14:formula1>
          <xm:sqref>E26:N26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>
    <pageSetUpPr fitToPage="1"/>
  </sheetPr>
  <dimension ref="A1:BA220"/>
  <sheetViews>
    <sheetView showGridLines="0" topLeftCell="A196" zoomScale="80" zoomScaleNormal="80" workbookViewId="0">
      <selection activeCell="E26" sqref="E26:G26"/>
    </sheetView>
  </sheetViews>
  <sheetFormatPr defaultColWidth="9.140625" defaultRowHeight="15"/>
  <cols>
    <col min="1" max="1" width="2.140625" style="1" customWidth="1"/>
    <col min="2" max="2" width="4.28515625" style="97" customWidth="1"/>
    <col min="3" max="3" width="57.140625" style="9" customWidth="1"/>
    <col min="4" max="4" width="17.140625" style="10" customWidth="1"/>
    <col min="5" max="5" width="17.140625" style="9" customWidth="1"/>
    <col min="6" max="7" width="17.140625" style="1" customWidth="1"/>
    <col min="8" max="8" width="15.5703125" style="1" bestFit="1" customWidth="1"/>
    <col min="9" max="9" width="7.42578125" style="1" hidden="1" customWidth="1"/>
    <col min="10" max="10" width="2.140625" style="316" customWidth="1"/>
    <col min="11" max="11" width="2.140625" style="316" hidden="1" customWidth="1"/>
    <col min="12" max="14" width="16" style="316" customWidth="1"/>
    <col min="15" max="15" width="15.85546875" style="316" customWidth="1"/>
    <col min="16" max="16" width="9.140625" style="316"/>
    <col min="17" max="17" width="12.42578125" style="316" bestFit="1" customWidth="1"/>
    <col min="18" max="18" width="12.85546875" style="316" customWidth="1"/>
    <col min="19" max="53" width="9.140625" style="316"/>
    <col min="54" max="16384" width="9.140625" style="1"/>
  </cols>
  <sheetData>
    <row r="1" spans="1:53" customFormat="1" ht="11.25" customHeight="1">
      <c r="A1" s="52"/>
      <c r="B1" s="96"/>
      <c r="C1" s="53"/>
      <c r="D1" s="53"/>
      <c r="E1" s="53"/>
      <c r="F1" s="53"/>
      <c r="G1" s="53"/>
      <c r="H1" s="53"/>
      <c r="I1" s="54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</row>
    <row r="2" spans="1:53" customFormat="1" ht="57" customHeight="1">
      <c r="A2" s="724" t="str">
        <f>CONCATENATE("PREFEITURA MUNICIPAL DE PORTO ALEGRE
",D5,"
FORMAÇÃO DE PREÇOS DE REFERÊNCIA - CESSÃO DE MÃO DE OBRA")</f>
        <v>PREFEITURA MUNICIPAL DE PORTO ALEGRE
FORMAÇÃO DE PREÇOS DE REFERÊNCIA - CESSÃO DE MÃO DE OBRA</v>
      </c>
      <c r="B2" s="725"/>
      <c r="C2" s="725"/>
      <c r="D2" s="725"/>
      <c r="E2" s="725"/>
      <c r="F2" s="725"/>
      <c r="G2" s="725"/>
      <c r="H2" s="725"/>
      <c r="I2" s="728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</row>
    <row r="3" spans="1:53" customFormat="1" ht="18.75" customHeight="1">
      <c r="A3" s="22"/>
      <c r="B3" s="12"/>
      <c r="C3" s="23"/>
      <c r="D3" s="23"/>
      <c r="E3" s="23"/>
      <c r="F3" s="23"/>
      <c r="G3" s="23"/>
      <c r="H3" s="23"/>
      <c r="I3" s="23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</row>
    <row r="4" spans="1:53" customFormat="1" ht="15" customHeight="1">
      <c r="A4" s="1"/>
      <c r="B4" s="103"/>
      <c r="C4" s="104"/>
      <c r="D4" s="141"/>
      <c r="E4" s="133"/>
      <c r="G4" s="11"/>
      <c r="H4" s="11"/>
      <c r="I4" s="1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</row>
    <row r="5" spans="1:53" customFormat="1" ht="15.75" customHeight="1">
      <c r="A5" s="1"/>
      <c r="B5" s="131" t="s">
        <v>2</v>
      </c>
      <c r="C5" s="132" t="s">
        <v>331</v>
      </c>
      <c r="D5" s="726"/>
      <c r="E5" s="726"/>
      <c r="F5" s="1"/>
      <c r="G5" s="54"/>
      <c r="H5" s="55">
        <v>3</v>
      </c>
      <c r="I5" s="1"/>
      <c r="J5" s="47"/>
      <c r="K5" s="47"/>
      <c r="L5" s="316"/>
      <c r="M5" s="316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</row>
    <row r="6" spans="1:53" customFormat="1">
      <c r="A6" s="1"/>
      <c r="B6" s="130" t="s">
        <v>1</v>
      </c>
      <c r="C6" s="132" t="s">
        <v>235</v>
      </c>
      <c r="D6" s="727"/>
      <c r="E6" s="727"/>
      <c r="F6" s="1"/>
      <c r="G6" s="22"/>
      <c r="H6" s="83"/>
      <c r="I6" s="1"/>
      <c r="J6" s="47"/>
      <c r="K6" s="47"/>
      <c r="L6" s="316"/>
      <c r="M6" s="316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</row>
    <row r="7" spans="1:53" customFormat="1">
      <c r="A7" s="1"/>
      <c r="B7" s="131" t="s">
        <v>0</v>
      </c>
      <c r="C7" s="132" t="s">
        <v>234</v>
      </c>
      <c r="D7" s="727"/>
      <c r="E7" s="727"/>
      <c r="F7" s="1"/>
      <c r="G7" s="22"/>
      <c r="H7" s="83"/>
      <c r="I7" s="1"/>
      <c r="J7" s="47"/>
      <c r="K7" s="47"/>
      <c r="L7" s="316"/>
      <c r="M7" s="316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</row>
    <row r="8" spans="1:53" customFormat="1">
      <c r="A8" s="1"/>
      <c r="B8" s="130" t="s">
        <v>3</v>
      </c>
      <c r="C8" s="132" t="s">
        <v>233</v>
      </c>
      <c r="D8" s="726"/>
      <c r="E8" s="726"/>
      <c r="F8" s="1"/>
      <c r="G8" s="84"/>
      <c r="H8" s="83"/>
      <c r="I8" s="1"/>
      <c r="J8" s="47"/>
      <c r="K8" s="47"/>
      <c r="L8" s="316"/>
      <c r="M8" s="316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</row>
    <row r="9" spans="1:53" customFormat="1">
      <c r="B9" s="131" t="s">
        <v>7</v>
      </c>
      <c r="C9" s="132" t="s">
        <v>569</v>
      </c>
      <c r="D9" s="723"/>
      <c r="E9" s="723"/>
      <c r="F9" s="1"/>
      <c r="J9" s="47"/>
      <c r="K9" s="47"/>
      <c r="L9" s="316"/>
      <c r="M9" s="316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</row>
    <row r="10" spans="1:53" customFormat="1">
      <c r="A10" s="1"/>
      <c r="B10" s="130" t="s">
        <v>6</v>
      </c>
      <c r="C10" s="9" t="s">
        <v>570</v>
      </c>
      <c r="D10" s="714"/>
      <c r="E10" s="714"/>
      <c r="F10" s="1"/>
      <c r="G10" s="1"/>
      <c r="I10" s="1"/>
      <c r="J10" s="47"/>
      <c r="K10" s="47"/>
      <c r="L10" s="316"/>
      <c r="M10" s="316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</row>
    <row r="11" spans="1:53" customFormat="1">
      <c r="A11" s="1"/>
      <c r="B11" s="130" t="s">
        <v>5</v>
      </c>
      <c r="C11" s="132" t="s">
        <v>549</v>
      </c>
      <c r="D11" s="715" t="s">
        <v>362</v>
      </c>
      <c r="E11" s="715"/>
      <c r="F11" s="1"/>
      <c r="G11" s="1"/>
      <c r="I11" s="1"/>
      <c r="J11" s="47"/>
      <c r="K11" s="47"/>
      <c r="L11" s="316"/>
      <c r="M11" s="316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</row>
    <row r="12" spans="1:53" customFormat="1">
      <c r="B12" s="131" t="s">
        <v>4</v>
      </c>
      <c r="C12" s="132" t="s">
        <v>504</v>
      </c>
      <c r="D12" s="716">
        <v>12</v>
      </c>
      <c r="E12" s="716"/>
      <c r="F12" s="1"/>
      <c r="G12" s="1"/>
      <c r="J12" s="47"/>
      <c r="K12" s="47"/>
      <c r="L12" s="316"/>
      <c r="M12" s="316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</row>
    <row r="13" spans="1:53">
      <c r="B13" s="130" t="s">
        <v>142</v>
      </c>
      <c r="C13" s="132" t="s">
        <v>74</v>
      </c>
      <c r="D13" s="715" t="s">
        <v>61</v>
      </c>
      <c r="E13" s="715"/>
    </row>
    <row r="14" spans="1:53">
      <c r="B14" s="131" t="s">
        <v>169</v>
      </c>
      <c r="C14" s="132" t="s">
        <v>355</v>
      </c>
      <c r="D14" s="717"/>
      <c r="E14" s="717"/>
    </row>
    <row r="15" spans="1:53">
      <c r="B15" s="131" t="s">
        <v>281</v>
      </c>
      <c r="C15" s="132" t="s">
        <v>408</v>
      </c>
      <c r="D15" s="718">
        <f>'Mão de Obra'!D15:E15</f>
        <v>1412</v>
      </c>
      <c r="E15" s="719"/>
    </row>
    <row r="16" spans="1:53">
      <c r="A16" s="49"/>
      <c r="B16" s="326"/>
      <c r="C16" s="327"/>
      <c r="D16" s="328"/>
      <c r="E16" s="327"/>
      <c r="F16" s="140"/>
      <c r="G16" s="140"/>
      <c r="H16" s="140"/>
      <c r="I16" s="140"/>
    </row>
    <row r="17" spans="1:53" s="12" customFormat="1">
      <c r="A17" s="85"/>
      <c r="B17" s="103"/>
      <c r="C17" s="104" t="s">
        <v>232</v>
      </c>
      <c r="D17" s="141"/>
      <c r="E17" s="423" t="s">
        <v>506</v>
      </c>
      <c r="F17" s="423" t="s">
        <v>507</v>
      </c>
      <c r="G17" s="423" t="s">
        <v>508</v>
      </c>
      <c r="H17" s="423"/>
      <c r="I17" s="423" t="str">
        <f>CONCATENATE("Posto ",CHAR(COLUMN()+60))</f>
        <v>Posto E</v>
      </c>
      <c r="J17" s="314"/>
      <c r="K17" s="314"/>
      <c r="L17" s="314"/>
      <c r="M17" s="314"/>
      <c r="N17" s="314"/>
      <c r="O17" s="314"/>
      <c r="P17" s="314"/>
      <c r="Q17" s="314"/>
      <c r="R17" s="314"/>
      <c r="S17" s="314"/>
      <c r="T17" s="314"/>
      <c r="U17" s="314"/>
      <c r="V17" s="314"/>
      <c r="W17" s="314"/>
      <c r="X17" s="314"/>
      <c r="Y17" s="314"/>
      <c r="Z17" s="314"/>
      <c r="AA17" s="314"/>
      <c r="AB17" s="314"/>
      <c r="AC17" s="314"/>
      <c r="AD17" s="314"/>
      <c r="AE17" s="314"/>
      <c r="AF17" s="314"/>
      <c r="AG17" s="314"/>
      <c r="AH17" s="314"/>
      <c r="AI17" s="314"/>
      <c r="AJ17" s="314"/>
      <c r="AK17" s="314"/>
      <c r="AL17" s="314"/>
      <c r="AM17" s="314"/>
      <c r="AN17" s="314"/>
      <c r="AO17" s="314"/>
      <c r="AP17" s="314"/>
      <c r="AQ17" s="314"/>
      <c r="AR17" s="314"/>
      <c r="AS17" s="314"/>
      <c r="AT17" s="314"/>
      <c r="AU17" s="314"/>
      <c r="AV17" s="314"/>
      <c r="AW17" s="314"/>
      <c r="AX17" s="314"/>
      <c r="AY17" s="314"/>
      <c r="AZ17" s="314"/>
      <c r="BA17" s="314"/>
    </row>
    <row r="18" spans="1:53" s="75" customFormat="1">
      <c r="A18" s="118"/>
      <c r="B18" s="129" t="s">
        <v>2</v>
      </c>
      <c r="C18" s="137" t="s">
        <v>358</v>
      </c>
      <c r="D18" s="134"/>
      <c r="E18" s="121"/>
      <c r="F18" s="121"/>
      <c r="G18" s="121"/>
      <c r="H18" s="121"/>
      <c r="I18" s="121"/>
      <c r="J18" s="315"/>
      <c r="K18" s="315"/>
      <c r="L18" s="315"/>
      <c r="M18" s="315"/>
      <c r="N18" s="315"/>
      <c r="O18" s="315"/>
      <c r="P18" s="315"/>
      <c r="Q18" s="315"/>
      <c r="R18" s="315"/>
      <c r="S18" s="315"/>
      <c r="T18" s="315"/>
      <c r="U18" s="315"/>
      <c r="V18" s="315"/>
      <c r="W18" s="315"/>
      <c r="X18" s="315"/>
      <c r="Y18" s="315"/>
      <c r="Z18" s="315"/>
      <c r="AA18" s="315"/>
      <c r="AB18" s="315"/>
      <c r="AC18" s="315"/>
      <c r="AD18" s="315"/>
      <c r="AE18" s="315"/>
      <c r="AF18" s="315"/>
      <c r="AG18" s="315"/>
      <c r="AH18" s="315"/>
      <c r="AI18" s="315"/>
      <c r="AJ18" s="315"/>
      <c r="AK18" s="315"/>
      <c r="AL18" s="315"/>
      <c r="AM18" s="315"/>
      <c r="AN18" s="315"/>
      <c r="AO18" s="315"/>
      <c r="AP18" s="315"/>
      <c r="AQ18" s="315"/>
      <c r="AR18" s="315"/>
      <c r="AS18" s="315"/>
      <c r="AT18" s="315"/>
      <c r="AU18" s="315"/>
      <c r="AV18" s="315"/>
      <c r="AW18" s="315"/>
      <c r="AX18" s="315"/>
      <c r="AY18" s="315"/>
      <c r="AZ18" s="315"/>
      <c r="BA18" s="315"/>
    </row>
    <row r="19" spans="1:53">
      <c r="A19" s="119"/>
      <c r="B19" s="130" t="s">
        <v>1</v>
      </c>
      <c r="C19" s="138" t="s">
        <v>82</v>
      </c>
      <c r="D19" s="135"/>
      <c r="E19" s="122"/>
      <c r="F19" s="122"/>
      <c r="G19" s="122"/>
      <c r="H19" s="122"/>
      <c r="I19" s="122" t="str">
        <f>IFERROR(VLOOKUP(I$18,'Apoio - Posto'!$A:$J,2,FALSE),"")</f>
        <v/>
      </c>
    </row>
    <row r="20" spans="1:53">
      <c r="A20" s="120"/>
      <c r="B20" s="131" t="s">
        <v>0</v>
      </c>
      <c r="C20" s="139" t="s">
        <v>17</v>
      </c>
      <c r="D20" s="136"/>
      <c r="E20" s="123"/>
      <c r="F20" s="123"/>
      <c r="G20" s="123"/>
      <c r="H20" s="123"/>
      <c r="I20" s="123" t="str">
        <f>IFERROR(VLOOKUP(I$18,'Apoio - Posto'!$A:$AA,7,FALSE),"")</f>
        <v/>
      </c>
    </row>
    <row r="21" spans="1:53">
      <c r="A21" s="119"/>
      <c r="B21" s="130" t="s">
        <v>3</v>
      </c>
      <c r="C21" s="138" t="s">
        <v>575</v>
      </c>
      <c r="D21" s="135"/>
      <c r="E21" s="124"/>
      <c r="F21" s="124"/>
      <c r="G21" s="124"/>
      <c r="H21" s="124"/>
      <c r="I21" s="124" t="str">
        <f>IFERROR(VLOOKUP(I$18,'Apoio - Posto'!$A:$AA,8,FALSE),"")</f>
        <v/>
      </c>
    </row>
    <row r="22" spans="1:53">
      <c r="A22" s="120"/>
      <c r="B22" s="131" t="s">
        <v>7</v>
      </c>
      <c r="C22" s="139" t="s">
        <v>18</v>
      </c>
      <c r="D22" s="136"/>
      <c r="E22" s="542"/>
      <c r="F22" s="542"/>
      <c r="G22" s="542"/>
      <c r="H22" s="542"/>
      <c r="I22" s="122" t="str">
        <f>IFERROR(VLOOKUP(I$18,'Apoio - Posto'!$A:$J,3,FALSE),"")</f>
        <v/>
      </c>
    </row>
    <row r="23" spans="1:53">
      <c r="A23" s="119"/>
      <c r="B23" s="130" t="s">
        <v>6</v>
      </c>
      <c r="C23" s="138" t="s">
        <v>80</v>
      </c>
      <c r="D23" s="135"/>
      <c r="E23" s="125"/>
      <c r="F23" s="125"/>
      <c r="G23" s="125"/>
      <c r="H23" s="125"/>
      <c r="I23" s="125" t="str">
        <f>IFERROR(VLOOKUP(I$18,'Apoio - Posto'!$A:$J,5,FALSE),"")</f>
        <v/>
      </c>
    </row>
    <row r="24" spans="1:53">
      <c r="A24" s="120"/>
      <c r="B24" s="131" t="s">
        <v>5</v>
      </c>
      <c r="C24" s="139" t="s">
        <v>81</v>
      </c>
      <c r="D24" s="136"/>
      <c r="E24" s="536"/>
      <c r="F24" s="536"/>
      <c r="G24" s="536"/>
      <c r="H24" s="536"/>
      <c r="I24" s="126" t="str">
        <f>IFERROR(VLOOKUP(I$18,'Apoio - Posto'!$A:$J,4,FALSE),"")</f>
        <v/>
      </c>
    </row>
    <row r="25" spans="1:53">
      <c r="A25" s="120"/>
      <c r="B25" s="130" t="s">
        <v>4</v>
      </c>
      <c r="C25" s="138" t="s">
        <v>567</v>
      </c>
      <c r="D25" s="135"/>
      <c r="E25" s="127"/>
      <c r="F25" s="127"/>
      <c r="G25" s="127"/>
      <c r="H25" s="127"/>
      <c r="I25" s="127"/>
    </row>
    <row r="26" spans="1:53">
      <c r="A26" s="119"/>
      <c r="B26" s="131" t="s">
        <v>142</v>
      </c>
      <c r="C26" s="139" t="s">
        <v>576</v>
      </c>
      <c r="D26" s="136"/>
      <c r="E26" s="126"/>
      <c r="F26" s="126"/>
      <c r="G26" s="126"/>
      <c r="H26" s="126"/>
      <c r="I26" s="126"/>
    </row>
    <row r="27" spans="1:53" hidden="1">
      <c r="A27" s="120"/>
      <c r="B27" s="131" t="s">
        <v>169</v>
      </c>
      <c r="C27" s="138" t="s">
        <v>566</v>
      </c>
      <c r="D27" s="135"/>
      <c r="E27" s="122">
        <f>SUMPRODUCT(K195:K220,L195:L220)-G27</f>
        <v>0</v>
      </c>
      <c r="F27" s="122">
        <f>1/30*E27</f>
        <v>0</v>
      </c>
      <c r="G27" s="122">
        <f>SUM(IFERROR(L212/D212,0),IFERROR(L217/D217,0))</f>
        <v>0</v>
      </c>
      <c r="H27" s="122">
        <f>1/4*G27</f>
        <v>0</v>
      </c>
      <c r="I27" s="128"/>
    </row>
    <row r="28" spans="1:53" hidden="1">
      <c r="A28" s="119"/>
      <c r="B28" s="130" t="s">
        <v>281</v>
      </c>
      <c r="C28" s="138" t="s">
        <v>564</v>
      </c>
      <c r="D28" s="135"/>
      <c r="E28" s="122" t="str">
        <f>IFERROR(VLOOKUP(E26,'Apoio - Regime de Trabalho'!$A:$I,2,FALSE),"")</f>
        <v/>
      </c>
      <c r="F28" s="122" t="str">
        <f>IFERROR(VLOOKUP(F26,'Apoio - Regime de Trabalho'!$A:$I,2,FALSE),"")</f>
        <v/>
      </c>
      <c r="G28" s="122" t="str">
        <f>IFERROR(VLOOKUP(G26,'Apoio - Regime de Trabalho'!$A:$I,2,FALSE),"")</f>
        <v/>
      </c>
      <c r="H28" s="122" t="str">
        <f>IFERROR(VLOOKUP(H26,'Apoio - Regime de Trabalho'!$A:$I,2,FALSE),"")</f>
        <v/>
      </c>
      <c r="I28" s="122" t="str">
        <f>IFERROR(VLOOKUP(I26,'Apoio - Regime de Trabalho'!$A:$I,10,FALSE),"")</f>
        <v/>
      </c>
    </row>
    <row r="29" spans="1:53" hidden="1">
      <c r="A29" s="119"/>
      <c r="B29" s="130" t="s">
        <v>359</v>
      </c>
      <c r="C29" s="138" t="s">
        <v>565</v>
      </c>
      <c r="D29" s="135"/>
      <c r="E29" s="128" t="str">
        <f>IFERROR(IF(E18="","",E28*E27),"")</f>
        <v/>
      </c>
      <c r="F29" s="128" t="str">
        <f>IFERROR(IF(F18="","",F28*F27),"")</f>
        <v/>
      </c>
      <c r="G29" s="128" t="str">
        <f>IFERROR(IF(G18="","",G28*G27),"")</f>
        <v/>
      </c>
      <c r="H29" s="128" t="str">
        <f>IFERROR(IF(H18="","",H28*H27),"")</f>
        <v/>
      </c>
      <c r="I29" s="128" t="str">
        <f>IFERROR(IF(I18="","",I28*I27),"")</f>
        <v/>
      </c>
    </row>
    <row r="30" spans="1:53">
      <c r="B30" s="98"/>
      <c r="C30" s="142"/>
      <c r="D30" s="143"/>
      <c r="E30" s="144"/>
      <c r="F30" s="144"/>
      <c r="G30" s="144"/>
      <c r="H30" s="144"/>
      <c r="I30" s="144"/>
    </row>
    <row r="31" spans="1:53" s="12" customFormat="1">
      <c r="A31" s="86"/>
      <c r="B31" s="103"/>
      <c r="C31" s="104" t="s">
        <v>229</v>
      </c>
      <c r="D31" s="105"/>
      <c r="E31" s="395"/>
      <c r="F31" s="395"/>
      <c r="G31" s="395"/>
      <c r="H31" s="395"/>
      <c r="I31" s="395"/>
      <c r="J31" s="314"/>
      <c r="K31" s="314"/>
      <c r="L31" s="314"/>
      <c r="M31" s="314"/>
      <c r="N31" s="314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  <c r="Z31" s="314"/>
      <c r="AA31" s="314"/>
      <c r="AB31" s="314"/>
      <c r="AC31" s="314"/>
      <c r="AD31" s="314"/>
      <c r="AE31" s="314"/>
      <c r="AF31" s="314"/>
      <c r="AG31" s="314"/>
      <c r="AH31" s="314"/>
      <c r="AI31" s="314"/>
      <c r="AJ31" s="314"/>
      <c r="AK31" s="314"/>
      <c r="AL31" s="314"/>
      <c r="AM31" s="314"/>
      <c r="AN31" s="314"/>
      <c r="AO31" s="314"/>
      <c r="AP31" s="314"/>
      <c r="AQ31" s="314"/>
      <c r="AR31" s="314"/>
      <c r="AS31" s="314"/>
      <c r="AT31" s="314"/>
      <c r="AU31" s="314"/>
      <c r="AV31" s="314"/>
      <c r="AW31" s="314"/>
      <c r="AX31" s="314"/>
      <c r="AY31" s="314"/>
      <c r="AZ31" s="314"/>
      <c r="BA31" s="314"/>
    </row>
    <row r="32" spans="1:53">
      <c r="A32" s="100"/>
      <c r="B32" s="200" t="s">
        <v>2</v>
      </c>
      <c r="C32" s="193" t="s">
        <v>241</v>
      </c>
      <c r="D32" s="245"/>
      <c r="E32" s="113" t="str">
        <f>IFERROR(E20*VLOOKUP(E26,'Apoio - Regime de Trabalho'!$A:$I,8,FALSE)/(E21),"")</f>
        <v/>
      </c>
      <c r="F32" s="113" t="str">
        <f>IFERROR(F20*VLOOKUP(F26,'Apoio - Regime de Trabalho'!$A:$I,8,FALSE)/(F21),"")</f>
        <v/>
      </c>
      <c r="G32" s="113" t="str">
        <f>IFERROR(G20*VLOOKUP(G26,'Apoio - Regime de Trabalho'!$A:$I,8,FALSE)/(G21),"")</f>
        <v/>
      </c>
      <c r="H32" s="113" t="str">
        <f>IFERROR(H20*VLOOKUP(H26,'Apoio - Regime de Trabalho'!$A:$I,8,FALSE)/(H21),"")</f>
        <v/>
      </c>
      <c r="I32" s="113" t="str">
        <f>IFERROR(ROUND(I20*VLOOKUP(I26,'Apoio - Regime de Trabalho'!$A:$I,8,FALSE)/(I21),2),"")</f>
        <v/>
      </c>
    </row>
    <row r="33" spans="1:9">
      <c r="A33" s="100"/>
      <c r="B33" s="720" t="s">
        <v>1</v>
      </c>
      <c r="C33" s="244" t="s">
        <v>237</v>
      </c>
      <c r="D33" s="185"/>
      <c r="E33" s="262"/>
      <c r="F33" s="262"/>
      <c r="G33" s="262"/>
      <c r="H33" s="262"/>
      <c r="I33" s="262"/>
    </row>
    <row r="34" spans="1:9">
      <c r="A34" s="100"/>
      <c r="B34" s="721"/>
      <c r="C34" s="252" t="s">
        <v>133</v>
      </c>
      <c r="D34" s="157"/>
      <c r="E34" s="263">
        <v>0.3</v>
      </c>
      <c r="F34" s="263" t="str">
        <f>IFERROR(VLOOKUP(F$18,'Apoio - Posto'!$A:$AA,15,FALSE),"")</f>
        <v/>
      </c>
      <c r="G34" s="263" t="str">
        <f>IFERROR(VLOOKUP(G$18,'Apoio - Posto'!$A:$AA,15,FALSE),"")</f>
        <v/>
      </c>
      <c r="H34" s="263" t="str">
        <f>IFERROR(VLOOKUP(H$18,'Apoio - Posto'!$A:$AA,15,FALSE),"")</f>
        <v/>
      </c>
      <c r="I34" s="263" t="str">
        <f>IFERROR(VLOOKUP(I$18,'Apoio - Posto'!$A:$AA,15,FALSE),"")</f>
        <v/>
      </c>
    </row>
    <row r="35" spans="1:9">
      <c r="A35" s="100"/>
      <c r="B35" s="722"/>
      <c r="C35" s="246"/>
      <c r="D35" s="108" t="s">
        <v>43</v>
      </c>
      <c r="E35" s="115" t="str">
        <f>IFERROR((E32)*E34,"")</f>
        <v/>
      </c>
      <c r="F35" s="115" t="str">
        <f t="shared" ref="F35:H35" si="0">IFERROR((F32)*F34,"")</f>
        <v/>
      </c>
      <c r="G35" s="115" t="str">
        <f t="shared" si="0"/>
        <v/>
      </c>
      <c r="H35" s="115" t="str">
        <f t="shared" si="0"/>
        <v/>
      </c>
      <c r="I35" s="115" t="str">
        <f>IFERROR(ROUND((I32)*I34,2),"")</f>
        <v/>
      </c>
    </row>
    <row r="36" spans="1:9">
      <c r="A36" s="100"/>
      <c r="B36" s="708" t="s">
        <v>0</v>
      </c>
      <c r="C36" s="242" t="s">
        <v>238</v>
      </c>
      <c r="D36" s="243"/>
      <c r="E36" s="253"/>
      <c r="F36" s="253"/>
      <c r="G36" s="253"/>
      <c r="H36" s="253"/>
      <c r="I36" s="253"/>
    </row>
    <row r="37" spans="1:9">
      <c r="A37" s="100"/>
      <c r="B37" s="708"/>
      <c r="C37" s="116" t="s">
        <v>93</v>
      </c>
      <c r="D37" s="106"/>
      <c r="E37" s="264" t="str">
        <f>IFERROR(VLOOKUP(E$18,'Apoio - Posto'!$A:$AA,14,FALSE),"")</f>
        <v/>
      </c>
      <c r="F37" s="264" t="s">
        <v>408</v>
      </c>
      <c r="G37" s="264" t="s">
        <v>408</v>
      </c>
      <c r="H37" s="264" t="str">
        <f>IFERROR(VLOOKUP(H$18,'Apoio - Posto'!$A:$AA,14,FALSE),"")</f>
        <v/>
      </c>
      <c r="I37" s="264" t="str">
        <f>IFERROR(VLOOKUP(I$18,'Apoio - Posto'!$A:$AA,14,FALSE),"")</f>
        <v/>
      </c>
    </row>
    <row r="38" spans="1:9">
      <c r="A38" s="100"/>
      <c r="B38" s="708"/>
      <c r="C38" s="117" t="s">
        <v>94</v>
      </c>
      <c r="D38" s="107"/>
      <c r="E38" s="265"/>
      <c r="F38" s="265">
        <v>0.4</v>
      </c>
      <c r="G38" s="265">
        <v>0.4</v>
      </c>
      <c r="H38" s="265"/>
      <c r="I38" s="265" t="str">
        <f>IFERROR(VLOOKUP(I$18,'Apoio - Posto'!$A:$AA,13,FALSE),"")</f>
        <v/>
      </c>
    </row>
    <row r="39" spans="1:9">
      <c r="A39" s="100"/>
      <c r="B39" s="709"/>
      <c r="C39" s="111"/>
      <c r="D39" s="108" t="s">
        <v>43</v>
      </c>
      <c r="E39" s="115" t="str">
        <f>IF(E20="","",IFERROR(IF(E37="Salário Base",E$32,IF(E37="Salário Mínimo",$D$15,0))*E38,""))</f>
        <v/>
      </c>
      <c r="F39" s="115" t="str">
        <f t="shared" ref="F39:H39" si="1">IF(F20="","",IFERROR(IF(F37="Salário Base",F$32,IF(F37="Salário Mínimo",$D$15,0))*F38,""))</f>
        <v/>
      </c>
      <c r="G39" s="115" t="str">
        <f t="shared" si="1"/>
        <v/>
      </c>
      <c r="H39" s="115" t="str">
        <f t="shared" si="1"/>
        <v/>
      </c>
      <c r="I39" s="115" t="str">
        <f>IF(I20="","",IFERROR(ROUND(IF(I37="Salário Base",I$32,IF(I37="Salário Mínimo",$D$15,0))*I38,2),""))</f>
        <v/>
      </c>
    </row>
    <row r="40" spans="1:9">
      <c r="A40" s="249"/>
      <c r="B40" s="720" t="s">
        <v>3</v>
      </c>
      <c r="C40" s="244" t="s">
        <v>84</v>
      </c>
      <c r="D40" s="156"/>
      <c r="E40" s="254"/>
      <c r="F40" s="254"/>
      <c r="G40" s="254"/>
      <c r="H40" s="254"/>
      <c r="I40" s="254"/>
    </row>
    <row r="41" spans="1:9">
      <c r="A41" s="249"/>
      <c r="B41" s="721"/>
      <c r="C41" s="250" t="s">
        <v>94</v>
      </c>
      <c r="D41" s="157"/>
      <c r="E41" s="251"/>
      <c r="F41" s="251"/>
      <c r="G41" s="251"/>
      <c r="H41" s="251"/>
      <c r="I41" s="251"/>
    </row>
    <row r="42" spans="1:9">
      <c r="A42" s="249"/>
      <c r="B42" s="722"/>
      <c r="C42" s="111"/>
      <c r="D42" s="108" t="s">
        <v>43</v>
      </c>
      <c r="E42" s="115" t="str">
        <f>IFERROR(E41*E$32,"")</f>
        <v/>
      </c>
      <c r="F42" s="115" t="str">
        <f t="shared" ref="F42:H42" si="2">IFERROR(F41*F$32,"")</f>
        <v/>
      </c>
      <c r="G42" s="115" t="str">
        <f t="shared" si="2"/>
        <v/>
      </c>
      <c r="H42" s="115" t="str">
        <f t="shared" si="2"/>
        <v/>
      </c>
      <c r="I42" s="115" t="str">
        <f>IFERROR(ROUND(I41*I$32,2),"")</f>
        <v/>
      </c>
    </row>
    <row r="43" spans="1:9">
      <c r="A43" s="100"/>
      <c r="B43" s="708" t="s">
        <v>7</v>
      </c>
      <c r="C43" s="248" t="s">
        <v>62</v>
      </c>
      <c r="D43" s="247"/>
      <c r="E43" s="255"/>
      <c r="F43" s="255"/>
      <c r="G43" s="255"/>
      <c r="H43" s="255"/>
      <c r="I43" s="255"/>
    </row>
    <row r="44" spans="1:9">
      <c r="A44" s="100"/>
      <c r="B44" s="708"/>
      <c r="C44" s="116" t="s">
        <v>88</v>
      </c>
      <c r="D44" s="154"/>
      <c r="E44" s="160" t="str">
        <f>IF(AND(E19=5173,E26="12x36 Noturno"),8,"")</f>
        <v/>
      </c>
      <c r="F44" s="160" t="str">
        <f t="shared" ref="F44:H44" si="3">IF(AND(F19=5173,F26="12x36 Noturno"),8,"")</f>
        <v/>
      </c>
      <c r="G44" s="160" t="str">
        <f t="shared" si="3"/>
        <v/>
      </c>
      <c r="H44" s="160" t="str">
        <f t="shared" si="3"/>
        <v/>
      </c>
      <c r="I44" s="160" t="str">
        <f>IF(AND(I19=5173,I26="12x36 Noturno"),8,"")</f>
        <v/>
      </c>
    </row>
    <row r="45" spans="1:9">
      <c r="A45" s="100"/>
      <c r="B45" s="708"/>
      <c r="C45" s="117" t="s">
        <v>170</v>
      </c>
      <c r="D45" s="155"/>
      <c r="E45" s="161" t="str">
        <f>IF(E44="","",VLOOKUP(E26,'Apoio - Regime de Trabalho'!$A:$I,7,FALSE))</f>
        <v/>
      </c>
      <c r="F45" s="161" t="str">
        <f>IF(F44="","",VLOOKUP(F26,'Apoio - Regime de Trabalho'!$A:$I,7,FALSE))</f>
        <v/>
      </c>
      <c r="G45" s="161" t="str">
        <f>IF(G44="","",VLOOKUP(G26,'Apoio - Regime de Trabalho'!$A:$I,7,FALSE))</f>
        <v/>
      </c>
      <c r="H45" s="161" t="str">
        <f>IF(H44="","",VLOOKUP(H26,'Apoio - Regime de Trabalho'!$A:$I,7,FALSE))</f>
        <v/>
      </c>
      <c r="I45" s="161" t="str">
        <f>IF(I44="","",VLOOKUP(I26,'Apoio - Regime de Trabalho'!$A:$I,7,FALSE))</f>
        <v/>
      </c>
    </row>
    <row r="46" spans="1:9">
      <c r="A46" s="100"/>
      <c r="B46" s="709"/>
      <c r="C46" s="102"/>
      <c r="D46" s="108" t="s">
        <v>43</v>
      </c>
      <c r="E46" s="162" t="str">
        <f>IFERROR(SUM(E$32,E$35,E$39)/(VLOOKUP(E$26,'Apoio - Regime de Trabalho'!$A:$I,8,FALSE))*20%*E$44*E$45,"")</f>
        <v/>
      </c>
      <c r="F46" s="162" t="str">
        <f>IFERROR(SUM(F$32,F$35,F$39)/(VLOOKUP(F$26,'Apoio - Regime de Trabalho'!$A:$I,8,FALSE))*20%*F$44*F$45,"")</f>
        <v/>
      </c>
      <c r="G46" s="162" t="str">
        <f>IFERROR(SUM(G$32,G$35,G$39)/(VLOOKUP(G$26,'Apoio - Regime de Trabalho'!$A:$I,8,FALSE))*20%*G$44*G$45,"")</f>
        <v/>
      </c>
      <c r="H46" s="162" t="str">
        <f>IFERROR(SUM(H$32,H$35,H$39)/(VLOOKUP(H$26,'Apoio - Regime de Trabalho'!$A:$I,8,FALSE))*20%*H$44*H$45,"")</f>
        <v/>
      </c>
      <c r="I46" s="162" t="str">
        <f>IFERROR(ROUND(SUM(I$32,I$35,I$39)/(VLOOKUP(I$26,'Apoio - Regime de Trabalho'!$A:$I,8,FALSE))*20%*I$44*I$45,2),"")</f>
        <v/>
      </c>
    </row>
    <row r="47" spans="1:9">
      <c r="A47" s="100"/>
      <c r="B47" s="710" t="s">
        <v>6</v>
      </c>
      <c r="C47" s="150" t="s">
        <v>168</v>
      </c>
      <c r="D47" s="156"/>
      <c r="E47" s="256"/>
      <c r="F47" s="256"/>
      <c r="G47" s="256"/>
      <c r="H47" s="256"/>
      <c r="I47" s="256"/>
    </row>
    <row r="48" spans="1:9">
      <c r="A48" s="145"/>
      <c r="B48" s="711"/>
      <c r="C48" s="151" t="s">
        <v>19</v>
      </c>
      <c r="D48" s="157"/>
      <c r="E48" s="164" t="str">
        <f>IF(E44="","",E45*E44*('Apoio - Notas Explicativas'!$D$9/'Apoio - Notas Explicativas'!$D$10-1)
*IF(AND(E19=5173,E26="12x36 Noturno"),0,1))</f>
        <v/>
      </c>
      <c r="F48" s="164" t="str">
        <f>IF(F44="","",F45*F44*('Apoio - Notas Explicativas'!$D$9/'Apoio - Notas Explicativas'!$D$10-1)
*IF(AND(F19=5173,F26="12x36 Noturno"),0,1))</f>
        <v/>
      </c>
      <c r="G48" s="164" t="str">
        <f>IF(G44="","",G45*G44*('Apoio - Notas Explicativas'!$D$9/'Apoio - Notas Explicativas'!$D$10-1)
*IF(AND(G19=5173,G26="12x36 Noturno"),0,1))</f>
        <v/>
      </c>
      <c r="H48" s="164" t="str">
        <f>IF(H44="","",H45*H44*('Apoio - Notas Explicativas'!$D$9/'Apoio - Notas Explicativas'!$D$10-1)
*IF(AND(H19=5173,H26="12x36 Noturno"),0,1))</f>
        <v/>
      </c>
      <c r="I48" s="164" t="str">
        <f>IF(I44="","",I45*I44*('Apoio - Notas Explicativas'!$D$9/'Apoio - Notas Explicativas'!$D$10-1)
*IF(AND(I19=5173,I26="12x36 Noturno"),0,1))</f>
        <v/>
      </c>
    </row>
    <row r="49" spans="1:53">
      <c r="A49" s="145"/>
      <c r="B49" s="712"/>
      <c r="C49" s="114"/>
      <c r="D49" s="108" t="s">
        <v>43</v>
      </c>
      <c r="E49" s="115" t="str">
        <f>IFERROR(E48*(SUM(E$32,E$35,E$39)/(VLOOKUP(E$26,'Apoio - Regime de Trabalho'!$A:$I,8,FALSE))*120%),"")</f>
        <v/>
      </c>
      <c r="F49" s="115" t="str">
        <f>IFERROR(F48*(SUM(F$32,F$35,F$39)/(VLOOKUP(F$26,'Apoio - Regime de Trabalho'!$A:$I,8,FALSE))*120%),"")</f>
        <v/>
      </c>
      <c r="G49" s="115" t="str">
        <f>IFERROR(G48*(SUM(G$32,G$35,G$39)/(VLOOKUP(G$26,'Apoio - Regime de Trabalho'!$A:$I,8,FALSE))*120%),"")</f>
        <v/>
      </c>
      <c r="H49" s="115" t="str">
        <f>IFERROR(H48*(SUM(H$32,H$35,H$39)/(VLOOKUP(H$26,'Apoio - Regime de Trabalho'!$A:$I,8,FALSE))*120%),"")</f>
        <v/>
      </c>
      <c r="I49" s="115" t="str">
        <f>IFERROR(ROUND(I48*(SUM(I$32+I$35+I$39)/(VLOOKUP(I$26,'Apoio - Regime de Trabalho'!$A:$I,8,FALSE))*120%),2),"")</f>
        <v/>
      </c>
    </row>
    <row r="50" spans="1:53">
      <c r="A50" s="145"/>
      <c r="B50" s="707" t="s">
        <v>5</v>
      </c>
      <c r="C50" s="175" t="s">
        <v>182</v>
      </c>
      <c r="D50" s="156"/>
      <c r="E50" s="254"/>
      <c r="F50" s="254"/>
      <c r="G50" s="254"/>
      <c r="H50" s="254"/>
      <c r="I50" s="254"/>
    </row>
    <row r="51" spans="1:53">
      <c r="A51" s="100"/>
      <c r="B51" s="708"/>
      <c r="C51" s="116" t="s">
        <v>94</v>
      </c>
      <c r="D51" s="173"/>
      <c r="E51" s="174" t="str">
        <f>IF(E$26="56h (7 dias)",100%,
IF(OR(E19=7823,E19=7825),50%,""))</f>
        <v/>
      </c>
      <c r="F51" s="174" t="str">
        <f t="shared" ref="F51:H51" si="4">IF(F$26="56h (7 dias)",100%,
IF(OR(F19=7823,F19=7825),50%,""))</f>
        <v/>
      </c>
      <c r="G51" s="174" t="str">
        <f t="shared" si="4"/>
        <v/>
      </c>
      <c r="H51" s="174" t="str">
        <f t="shared" si="4"/>
        <v/>
      </c>
      <c r="I51" s="174"/>
    </row>
    <row r="52" spans="1:53">
      <c r="A52" s="100"/>
      <c r="B52" s="708"/>
      <c r="C52" s="117" t="s">
        <v>20</v>
      </c>
      <c r="D52" s="158"/>
      <c r="E52" s="165" t="str">
        <f>IF(OR(E$26="56h (7 dias)",E19=7823,E19=7825),8,"")</f>
        <v/>
      </c>
      <c r="F52" s="165" t="str">
        <f t="shared" ref="F52:H52" si="5">IF(OR(F$26="56h (7 dias)",F19=7823,F19=7825),8,"")</f>
        <v/>
      </c>
      <c r="G52" s="165" t="str">
        <f t="shared" si="5"/>
        <v/>
      </c>
      <c r="H52" s="165" t="str">
        <f t="shared" si="5"/>
        <v/>
      </c>
      <c r="I52" s="165"/>
    </row>
    <row r="53" spans="1:53">
      <c r="A53" s="100"/>
      <c r="B53" s="709"/>
      <c r="C53" s="102"/>
      <c r="D53" s="108" t="s">
        <v>43</v>
      </c>
      <c r="E53" s="110" t="str">
        <f>IFERROR(SUM(E$32,E$35,E$39,E$46)/(VLOOKUP(E$26,'Apoio - Regime de Trabalho'!$A:$I,8,FALSE))*(1+E$51)*E$52,"")</f>
        <v/>
      </c>
      <c r="F53" s="110" t="str">
        <f>IFERROR(SUM(F$32,F$35,F$39,F$46)/(VLOOKUP(F$26,'Apoio - Regime de Trabalho'!$A:$I,8,FALSE))*(1+F$51)*F$52,"")</f>
        <v/>
      </c>
      <c r="G53" s="110" t="str">
        <f>IFERROR(SUM(G$32,G$35,G$39,G$46)/(VLOOKUP(G$26,'Apoio - Regime de Trabalho'!$A:$I,8,FALSE))*(1+G$51)*G$52,"")</f>
        <v/>
      </c>
      <c r="H53" s="110" t="str">
        <f>IFERROR(SUM(H$32,H$35,H$39,H$46)/(VLOOKUP(H$26,'Apoio - Regime de Trabalho'!$A:$I,8,FALSE))*(1+H$51)*H$52,"")</f>
        <v/>
      </c>
      <c r="I53" s="110" t="str">
        <f>IFERROR(ROUND(SUM(I$32,I$35,I$39,I$46)/(VLOOKUP(I$26,'Apoio - Regime de Trabalho'!$A:$I,8,FALSE))*(1+I$51)*I$52,2),"")</f>
        <v/>
      </c>
    </row>
    <row r="54" spans="1:53">
      <c r="A54" s="100"/>
      <c r="B54" s="710" t="s">
        <v>4</v>
      </c>
      <c r="C54" s="150" t="s">
        <v>85</v>
      </c>
      <c r="D54" s="156"/>
      <c r="E54" s="257"/>
      <c r="F54" s="257"/>
      <c r="G54" s="257"/>
      <c r="H54" s="257"/>
      <c r="I54" s="257"/>
    </row>
    <row r="55" spans="1:53">
      <c r="A55" s="100"/>
      <c r="B55" s="711"/>
      <c r="C55" s="151" t="s">
        <v>87</v>
      </c>
      <c r="D55" s="157"/>
      <c r="E55" s="458" t="str">
        <f>IF(E18="","",IFERROR(SUM(E$46,E49)*20%,""))</f>
        <v/>
      </c>
      <c r="F55" s="458" t="str">
        <f t="shared" ref="F55:H55" si="6">IF(F18="","",IFERROR(SUM(F$46,F49)*20%,""))</f>
        <v/>
      </c>
      <c r="G55" s="458" t="str">
        <f t="shared" si="6"/>
        <v/>
      </c>
      <c r="H55" s="458" t="str">
        <f t="shared" si="6"/>
        <v/>
      </c>
      <c r="I55" s="176" t="str">
        <f>IF(I18="","",IFERROR(ROUND(SUM(I$46,I49)*20%,2),""))</f>
        <v/>
      </c>
    </row>
    <row r="56" spans="1:53">
      <c r="A56" s="100"/>
      <c r="B56" s="711"/>
      <c r="C56" s="177" t="s">
        <v>86</v>
      </c>
      <c r="D56" s="159" t="s">
        <v>415</v>
      </c>
      <c r="E56" s="459" t="str">
        <f>IFERROR(IF(E18="","",IF(D56="Não",0,E53*20%)),"")</f>
        <v/>
      </c>
      <c r="F56" s="459" t="str">
        <f t="shared" ref="F56:H56" si="7">IFERROR(IF(F18="","",IF(E56="Não",0,F53*20%)),"")</f>
        <v/>
      </c>
      <c r="G56" s="459" t="str">
        <f t="shared" si="7"/>
        <v/>
      </c>
      <c r="H56" s="459" t="str">
        <f t="shared" si="7"/>
        <v/>
      </c>
      <c r="I56" s="166" t="str">
        <f>IFERROR(IF(I18="","",IF(H56="Não",0,ROUND(I53*20%,2))),"")</f>
        <v/>
      </c>
    </row>
    <row r="57" spans="1:53">
      <c r="A57" s="100"/>
      <c r="B57" s="711"/>
      <c r="C57" s="177" t="s">
        <v>167</v>
      </c>
      <c r="D57" s="159"/>
      <c r="E57" s="459" t="str">
        <f>IF(E20="","",IFERROR(E$59*20%,""))</f>
        <v/>
      </c>
      <c r="F57" s="459" t="str">
        <f t="shared" ref="F57:H57" si="8">IF(F20="","",IFERROR(F$59*20%,""))</f>
        <v/>
      </c>
      <c r="G57" s="459" t="str">
        <f t="shared" si="8"/>
        <v/>
      </c>
      <c r="H57" s="459" t="str">
        <f t="shared" si="8"/>
        <v/>
      </c>
      <c r="I57" s="416" t="str">
        <f>IF(I20="","",IFERROR(ROUND(I$59*20%,2),""))</f>
        <v/>
      </c>
    </row>
    <row r="58" spans="1:53">
      <c r="A58" s="100"/>
      <c r="B58" s="712"/>
      <c r="C58" s="114"/>
      <c r="D58" s="108" t="s">
        <v>43</v>
      </c>
      <c r="E58" s="223" t="str">
        <f>IF(SUM(E55:E57)=0,"",SUM(E55:E57))</f>
        <v/>
      </c>
      <c r="F58" s="223" t="str">
        <f t="shared" ref="F58:H58" si="9">IF(SUM(F55:F57)=0,"",SUM(F55:F57))</f>
        <v/>
      </c>
      <c r="G58" s="223" t="str">
        <f t="shared" si="9"/>
        <v/>
      </c>
      <c r="H58" s="223" t="str">
        <f t="shared" si="9"/>
        <v/>
      </c>
      <c r="I58" s="115" t="str">
        <f>IF(SUM(I55:I57)=0,"",SUM(I55:I57))</f>
        <v/>
      </c>
    </row>
    <row r="59" spans="1:53">
      <c r="A59" s="100"/>
      <c r="B59" s="146" t="s">
        <v>142</v>
      </c>
      <c r="C59" s="147" t="s">
        <v>166</v>
      </c>
      <c r="D59" s="112"/>
      <c r="E59" s="277" t="str">
        <f>IFERROR(IFERROR(VLOOKUP(E$18,'Apoio - Posto'!$A:$AA,12,FALSE),"")*VLOOKUP(E26,'Apoio - Regime de Trabalho'!$A:$I,7,FALSE),"")</f>
        <v/>
      </c>
      <c r="F59" s="277" t="str">
        <f>IFERROR(IFERROR(VLOOKUP(F$18,'Apoio - Posto'!$A:$AA,12,FALSE),"")*VLOOKUP(F26,'Apoio - Regime de Trabalho'!$A:$I,7,FALSE),"")</f>
        <v/>
      </c>
      <c r="G59" s="277" t="str">
        <f>IFERROR(IFERROR(VLOOKUP(G$18,'Apoio - Posto'!$A:$AA,12,FALSE),"")*VLOOKUP(G26,'Apoio - Regime de Trabalho'!$A:$I,7,FALSE),"")</f>
        <v/>
      </c>
      <c r="H59" s="277" t="str">
        <f>IFERROR(IFERROR(VLOOKUP(H$18,'Apoio - Posto'!$A:$AA,12,FALSE),"")*VLOOKUP(H26,'Apoio - Regime de Trabalho'!$A:$I,7,FALSE),"")</f>
        <v/>
      </c>
      <c r="I59" s="277" t="str">
        <f>IFERROR(IFERROR(VLOOKUP(I$18,'Apoio - Posto'!$A:$AA,12,FALSE),"")*VLOOKUP(I26,'Apoio - Regime de Trabalho'!$A:$I,7,FALSE),"")</f>
        <v/>
      </c>
    </row>
    <row r="60" spans="1:53">
      <c r="A60" s="148"/>
      <c r="B60" s="149" t="s">
        <v>169</v>
      </c>
      <c r="C60" s="479" t="s">
        <v>223</v>
      </c>
      <c r="D60" s="480"/>
      <c r="E60" s="167"/>
      <c r="F60" s="167"/>
      <c r="G60" s="167"/>
      <c r="H60" s="167"/>
      <c r="I60" s="167"/>
    </row>
    <row r="61" spans="1:53" s="5" customFormat="1">
      <c r="A61" s="87"/>
      <c r="B61" s="172"/>
      <c r="C61" s="104" t="s">
        <v>395</v>
      </c>
      <c r="D61" s="168"/>
      <c r="E61" s="170" t="str">
        <f>IF(E20="","",SUM(E32,E35,E39,E42,E46,E49,E53,E58,E59,E60))</f>
        <v/>
      </c>
      <c r="F61" s="171" t="str">
        <f t="shared" ref="F61:H61" si="10">IF(F20="","",SUM(F32,F35,F39,F42,F46,F49,F53,F58,F59,F60))</f>
        <v/>
      </c>
      <c r="G61" s="171" t="str">
        <f t="shared" si="10"/>
        <v/>
      </c>
      <c r="H61" s="169" t="str">
        <f t="shared" si="10"/>
        <v/>
      </c>
      <c r="I61" s="171" t="str">
        <f>IF(I20="","",SUM(I32,I35,I39,I42,I46,I49,I53,I58,I59,I60))</f>
        <v/>
      </c>
      <c r="J61" s="494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7"/>
      <c r="AE61" s="317"/>
      <c r="AF61" s="317"/>
      <c r="AG61" s="317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7"/>
      <c r="AT61" s="317"/>
      <c r="AU61" s="317"/>
      <c r="AV61" s="317"/>
      <c r="AW61" s="317"/>
      <c r="AX61" s="317"/>
      <c r="AY61" s="317"/>
      <c r="AZ61" s="317"/>
      <c r="BA61" s="317"/>
    </row>
    <row r="62" spans="1:53" s="17" customFormat="1">
      <c r="A62" s="20"/>
      <c r="D62" s="14"/>
      <c r="E62" s="21"/>
      <c r="F62" s="21"/>
      <c r="G62" s="21"/>
      <c r="H62" s="21"/>
      <c r="I62" s="21"/>
      <c r="J62" s="318"/>
      <c r="K62" s="318"/>
      <c r="L62" s="318"/>
      <c r="M62" s="318"/>
      <c r="N62" s="318"/>
      <c r="O62" s="318"/>
      <c r="P62" s="318"/>
      <c r="Q62" s="318"/>
      <c r="R62" s="318"/>
      <c r="S62" s="318"/>
      <c r="T62" s="318"/>
      <c r="U62" s="318"/>
      <c r="V62" s="318"/>
      <c r="W62" s="318"/>
      <c r="X62" s="318"/>
      <c r="Y62" s="318"/>
      <c r="Z62" s="318"/>
      <c r="AA62" s="318"/>
      <c r="AB62" s="318"/>
      <c r="AC62" s="318"/>
      <c r="AD62" s="318"/>
      <c r="AE62" s="318"/>
      <c r="AF62" s="318"/>
      <c r="AG62" s="318"/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18"/>
      <c r="AT62" s="318"/>
      <c r="AU62" s="318"/>
      <c r="AV62" s="318"/>
      <c r="AW62" s="318"/>
      <c r="AX62" s="318"/>
      <c r="AY62" s="318"/>
      <c r="AZ62" s="318"/>
      <c r="BA62" s="318"/>
    </row>
    <row r="63" spans="1:53" s="6" customFormat="1">
      <c r="A63" s="88"/>
      <c r="B63" s="103"/>
      <c r="C63" s="104" t="s">
        <v>153</v>
      </c>
      <c r="D63" s="105"/>
      <c r="E63" s="395"/>
      <c r="F63" s="395"/>
      <c r="G63" s="395"/>
      <c r="H63" s="395"/>
      <c r="I63" s="395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G63" s="319"/>
      <c r="AH63" s="319"/>
      <c r="AI63" s="319"/>
      <c r="AJ63" s="319"/>
      <c r="AK63" s="319"/>
      <c r="AL63" s="319"/>
      <c r="AM63" s="319"/>
      <c r="AN63" s="319"/>
      <c r="AO63" s="319"/>
      <c r="AP63" s="319"/>
      <c r="AQ63" s="319"/>
      <c r="AR63" s="319"/>
      <c r="AS63" s="319"/>
      <c r="AT63" s="319"/>
      <c r="AU63" s="319"/>
      <c r="AV63" s="319"/>
      <c r="AW63" s="319"/>
      <c r="AX63" s="319"/>
      <c r="AY63" s="319"/>
      <c r="AZ63" s="319"/>
      <c r="BA63" s="319"/>
    </row>
    <row r="64" spans="1:53" customFormat="1" ht="3.75" customHeight="1"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</row>
    <row r="65" spans="1:53" s="6" customFormat="1">
      <c r="A65" s="89"/>
      <c r="B65" s="186"/>
      <c r="C65" s="187" t="s">
        <v>154</v>
      </c>
      <c r="D65" s="188"/>
      <c r="E65" s="191"/>
      <c r="F65" s="191"/>
      <c r="G65" s="191"/>
      <c r="H65" s="189"/>
      <c r="I65" s="191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G65" s="319"/>
      <c r="AH65" s="319"/>
      <c r="AI65" s="319"/>
      <c r="AJ65" s="319"/>
      <c r="AK65" s="319"/>
      <c r="AL65" s="319"/>
      <c r="AM65" s="319"/>
      <c r="AN65" s="319"/>
      <c r="AO65" s="319"/>
      <c r="AP65" s="319"/>
      <c r="AQ65" s="319"/>
      <c r="AR65" s="319"/>
      <c r="AS65" s="319"/>
      <c r="AT65" s="319"/>
      <c r="AU65" s="319"/>
      <c r="AV65" s="319"/>
      <c r="AW65" s="319"/>
      <c r="AX65" s="319"/>
      <c r="AY65" s="319"/>
      <c r="AZ65" s="319"/>
      <c r="BA65" s="319"/>
    </row>
    <row r="66" spans="1:53">
      <c r="A66" s="88"/>
      <c r="B66" s="101" t="s">
        <v>2</v>
      </c>
      <c r="C66" s="102" t="s">
        <v>58</v>
      </c>
      <c r="D66" s="192">
        <f>IFERROR(INDEX('Apoio - Notas Explicativas'!Q:Q,MATCH(C66,'Apoio - Notas Explicativas'!C:C,0)),"")</f>
        <v>8.3299999999999999E-2</v>
      </c>
      <c r="E66" s="113" t="str">
        <f>IFERROR($D66*E$61,"")</f>
        <v/>
      </c>
      <c r="F66" s="113" t="str">
        <f t="shared" ref="F66:H68" si="11">IFERROR($D66*F$61,"")</f>
        <v/>
      </c>
      <c r="G66" s="113" t="str">
        <f t="shared" si="11"/>
        <v/>
      </c>
      <c r="H66" s="113" t="str">
        <f t="shared" si="11"/>
        <v/>
      </c>
      <c r="I66" s="152" t="str">
        <f t="shared" ref="I66:I68" si="12">IFERROR(ROUND($D66*I$61,2),"")</f>
        <v/>
      </c>
    </row>
    <row r="67" spans="1:53">
      <c r="A67" s="88"/>
      <c r="B67" s="101" t="s">
        <v>1</v>
      </c>
      <c r="C67" s="102" t="s">
        <v>21</v>
      </c>
      <c r="D67" s="192">
        <f>IFERROR(INDEX('Apoio - Notas Explicativas'!Q:Q,MATCH(C67,'Apoio - Notas Explicativas'!C:C,0)),"")</f>
        <v>0.1111</v>
      </c>
      <c r="E67" s="113" t="str">
        <f>IFERROR($D67*E$61,"")</f>
        <v/>
      </c>
      <c r="F67" s="113" t="str">
        <f t="shared" si="11"/>
        <v/>
      </c>
      <c r="G67" s="113" t="str">
        <f t="shared" si="11"/>
        <v/>
      </c>
      <c r="H67" s="113" t="str">
        <f t="shared" si="11"/>
        <v/>
      </c>
      <c r="I67" s="152" t="str">
        <f t="shared" si="12"/>
        <v/>
      </c>
    </row>
    <row r="68" spans="1:53">
      <c r="A68" s="88"/>
      <c r="B68" s="101" t="s">
        <v>0</v>
      </c>
      <c r="C68" s="421" t="s">
        <v>83</v>
      </c>
      <c r="D68" s="192">
        <f>IFERROR(INDEX('Apoio - Notas Explicativas'!Q:Q,MATCH(C68,'Apoio - Notas Explicativas'!C:C,0)),"")</f>
        <v>7.1599999999999997E-2</v>
      </c>
      <c r="E68" s="113" t="str">
        <f>IFERROR($D68*E$61,"")</f>
        <v/>
      </c>
      <c r="F68" s="113" t="str">
        <f t="shared" si="11"/>
        <v/>
      </c>
      <c r="G68" s="113" t="str">
        <f t="shared" si="11"/>
        <v/>
      </c>
      <c r="H68" s="113" t="str">
        <f t="shared" si="11"/>
        <v/>
      </c>
      <c r="I68" s="152" t="str">
        <f t="shared" si="12"/>
        <v/>
      </c>
    </row>
    <row r="69" spans="1:53" s="5" customFormat="1">
      <c r="A69" s="90"/>
      <c r="B69" s="186"/>
      <c r="C69" s="187" t="s">
        <v>148</v>
      </c>
      <c r="D69" s="190"/>
      <c r="E69" s="191" t="str">
        <f>IF(SUM(E66:E68)=0,"",SUM(E66:E68))</f>
        <v/>
      </c>
      <c r="F69" s="191" t="str">
        <f t="shared" ref="F69:H69" si="13">IF(SUM(F66:F68)=0,"",SUM(F66:F68))</f>
        <v/>
      </c>
      <c r="G69" s="189" t="str">
        <f t="shared" si="13"/>
        <v/>
      </c>
      <c r="H69" s="191" t="str">
        <f t="shared" si="13"/>
        <v/>
      </c>
      <c r="I69" s="189" t="str">
        <f>IF(SUM(I66:I68)=0,"",SUM(I66:I68))</f>
        <v/>
      </c>
      <c r="J69" s="317"/>
      <c r="K69" s="317"/>
      <c r="L69" s="317"/>
      <c r="M69" s="317"/>
      <c r="N69" s="317"/>
      <c r="O69" s="317"/>
      <c r="P69" s="317"/>
      <c r="Q69" s="317"/>
      <c r="R69" s="317"/>
      <c r="S69" s="317"/>
      <c r="T69" s="317"/>
      <c r="U69" s="317"/>
      <c r="V69" s="317"/>
      <c r="W69" s="317"/>
      <c r="X69" s="317"/>
      <c r="Y69" s="317"/>
      <c r="Z69" s="317"/>
      <c r="AA69" s="317"/>
      <c r="AB69" s="317"/>
      <c r="AC69" s="317"/>
      <c r="AD69" s="317"/>
      <c r="AE69" s="317"/>
      <c r="AF69" s="317"/>
      <c r="AG69" s="317"/>
      <c r="AH69" s="317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17"/>
      <c r="AT69" s="317"/>
      <c r="AU69" s="317"/>
      <c r="AV69" s="317"/>
      <c r="AW69" s="317"/>
      <c r="AX69" s="317"/>
      <c r="AY69" s="317"/>
      <c r="AZ69" s="317"/>
      <c r="BA69" s="317"/>
    </row>
    <row r="70" spans="1:53" customFormat="1" ht="3.75" customHeight="1"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  <c r="AX70" s="47"/>
      <c r="AY70" s="47"/>
      <c r="AZ70" s="47"/>
      <c r="BA70" s="47"/>
    </row>
    <row r="71" spans="1:53" s="6" customFormat="1">
      <c r="A71" s="90"/>
      <c r="B71" s="186"/>
      <c r="C71" s="187" t="s">
        <v>191</v>
      </c>
      <c r="D71" s="188"/>
      <c r="E71" s="191"/>
      <c r="F71" s="189"/>
      <c r="G71" s="189"/>
      <c r="H71" s="191"/>
      <c r="I71" s="18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  <c r="AG71" s="319"/>
      <c r="AH71" s="319"/>
      <c r="AI71" s="319"/>
      <c r="AJ71" s="319"/>
      <c r="AK71" s="319"/>
      <c r="AL71" s="319"/>
      <c r="AM71" s="319"/>
      <c r="AN71" s="319"/>
      <c r="AO71" s="319"/>
      <c r="AP71" s="319"/>
      <c r="AQ71" s="319"/>
      <c r="AR71" s="319"/>
      <c r="AS71" s="319"/>
      <c r="AT71" s="319"/>
      <c r="AU71" s="319"/>
      <c r="AV71" s="319"/>
      <c r="AW71" s="319"/>
      <c r="AX71" s="319"/>
      <c r="AY71" s="319"/>
      <c r="AZ71" s="319"/>
      <c r="BA71" s="319"/>
    </row>
    <row r="72" spans="1:53">
      <c r="A72" s="90"/>
      <c r="B72" s="101" t="s">
        <v>2</v>
      </c>
      <c r="C72" s="102" t="s">
        <v>51</v>
      </c>
      <c r="D72" s="192">
        <f>IFERROR(INDEX('Apoio - Notas Explicativas'!Q:Q,MATCH(C72,'Apoio - Notas Explicativas'!C:C,0)),"")</f>
        <v>0.2</v>
      </c>
      <c r="E72" s="113" t="str">
        <f t="shared" ref="E72:E77" si="14">IFERROR($D72*E$61,"")</f>
        <v/>
      </c>
      <c r="F72" s="152" t="str">
        <f t="shared" ref="F72:H77" si="15">IFERROR($D72*F$61,"")</f>
        <v/>
      </c>
      <c r="G72" s="152" t="str">
        <f t="shared" si="15"/>
        <v/>
      </c>
      <c r="H72" s="113" t="str">
        <f t="shared" si="15"/>
        <v/>
      </c>
      <c r="I72" s="152" t="str">
        <f t="shared" ref="I72:I77" si="16">IFERROR(ROUND($D72*I$61,2),"")</f>
        <v/>
      </c>
    </row>
    <row r="73" spans="1:53">
      <c r="A73" s="88"/>
      <c r="B73" s="101" t="s">
        <v>1</v>
      </c>
      <c r="C73" s="147" t="s">
        <v>52</v>
      </c>
      <c r="D73" s="192">
        <f>IFERROR(INDEX('Apoio - Notas Explicativas'!Q:Q,MATCH(C73,'Apoio - Notas Explicativas'!C:C,0)),"")</f>
        <v>1.4999999999999999E-2</v>
      </c>
      <c r="E73" s="113" t="str">
        <f t="shared" si="14"/>
        <v/>
      </c>
      <c r="F73" s="152" t="str">
        <f t="shared" si="15"/>
        <v/>
      </c>
      <c r="G73" s="152" t="str">
        <f t="shared" si="15"/>
        <v/>
      </c>
      <c r="H73" s="113" t="str">
        <f t="shared" si="15"/>
        <v/>
      </c>
      <c r="I73" s="152" t="str">
        <f t="shared" si="16"/>
        <v/>
      </c>
    </row>
    <row r="74" spans="1:53">
      <c r="A74" s="88"/>
      <c r="B74" s="101" t="s">
        <v>0</v>
      </c>
      <c r="C74" s="102" t="s">
        <v>53</v>
      </c>
      <c r="D74" s="192">
        <f>IFERROR(INDEX('Apoio - Notas Explicativas'!Q:Q,MATCH(C74,'Apoio - Notas Explicativas'!C:C,0)),"")</f>
        <v>0.01</v>
      </c>
      <c r="E74" s="113" t="str">
        <f t="shared" si="14"/>
        <v/>
      </c>
      <c r="F74" s="152" t="str">
        <f t="shared" si="15"/>
        <v/>
      </c>
      <c r="G74" s="152" t="str">
        <f t="shared" si="15"/>
        <v/>
      </c>
      <c r="H74" s="113" t="str">
        <f t="shared" si="15"/>
        <v/>
      </c>
      <c r="I74" s="152" t="str">
        <f t="shared" si="16"/>
        <v/>
      </c>
    </row>
    <row r="75" spans="1:53">
      <c r="A75" s="88"/>
      <c r="B75" s="101" t="s">
        <v>3</v>
      </c>
      <c r="C75" s="102" t="s">
        <v>54</v>
      </c>
      <c r="D75" s="192">
        <f>IFERROR(INDEX('Apoio - Notas Explicativas'!Q:Q,MATCH(C75,'Apoio - Notas Explicativas'!C:C,0)),"")</f>
        <v>2E-3</v>
      </c>
      <c r="E75" s="113" t="str">
        <f t="shared" si="14"/>
        <v/>
      </c>
      <c r="F75" s="152" t="str">
        <f t="shared" si="15"/>
        <v/>
      </c>
      <c r="G75" s="152" t="str">
        <f t="shared" si="15"/>
        <v/>
      </c>
      <c r="H75" s="113" t="str">
        <f t="shared" si="15"/>
        <v/>
      </c>
      <c r="I75" s="152" t="str">
        <f t="shared" si="16"/>
        <v/>
      </c>
    </row>
    <row r="76" spans="1:53">
      <c r="A76" s="88"/>
      <c r="B76" s="101" t="s">
        <v>7</v>
      </c>
      <c r="C76" s="102" t="s">
        <v>55</v>
      </c>
      <c r="D76" s="192">
        <f>IFERROR(INDEX('Apoio - Notas Explicativas'!Q:Q,MATCH(C76,'Apoio - Notas Explicativas'!C:C,0)),"")</f>
        <v>2.5000000000000001E-2</v>
      </c>
      <c r="E76" s="113" t="str">
        <f t="shared" si="14"/>
        <v/>
      </c>
      <c r="F76" s="152" t="str">
        <f t="shared" si="15"/>
        <v/>
      </c>
      <c r="G76" s="152" t="str">
        <f t="shared" si="15"/>
        <v/>
      </c>
      <c r="H76" s="113" t="str">
        <f t="shared" si="15"/>
        <v/>
      </c>
      <c r="I76" s="152" t="str">
        <f t="shared" si="16"/>
        <v/>
      </c>
    </row>
    <row r="77" spans="1:53">
      <c r="A77" s="88"/>
      <c r="B77" s="101" t="s">
        <v>6</v>
      </c>
      <c r="C77" s="102" t="s">
        <v>56</v>
      </c>
      <c r="D77" s="192">
        <f>IFERROR(INDEX('Apoio - Notas Explicativas'!Q:Q,MATCH(C77,'Apoio - Notas Explicativas'!C:C,0)),"")</f>
        <v>0.08</v>
      </c>
      <c r="E77" s="113" t="str">
        <f t="shared" si="14"/>
        <v/>
      </c>
      <c r="F77" s="152" t="str">
        <f t="shared" si="15"/>
        <v/>
      </c>
      <c r="G77" s="152" t="str">
        <f t="shared" si="15"/>
        <v/>
      </c>
      <c r="H77" s="113" t="str">
        <f t="shared" si="15"/>
        <v/>
      </c>
      <c r="I77" s="152" t="str">
        <f t="shared" si="16"/>
        <v/>
      </c>
    </row>
    <row r="78" spans="1:53">
      <c r="A78" s="88"/>
      <c r="B78" s="704" t="s">
        <v>5</v>
      </c>
      <c r="C78" s="178" t="str">
        <f>CONCATENATE("GILL/RAT (RAT ",D79," x FAP ",D80,")")</f>
        <v>GILL/RAT (RAT 0,03 x FAP 1)</v>
      </c>
      <c r="D78" s="185"/>
      <c r="E78" s="256"/>
      <c r="F78" s="460"/>
      <c r="G78" s="460"/>
      <c r="H78" s="256"/>
      <c r="I78" s="153"/>
    </row>
    <row r="79" spans="1:53">
      <c r="A79" s="88"/>
      <c r="B79" s="705"/>
      <c r="C79" s="179" t="s">
        <v>49</v>
      </c>
      <c r="D79" s="182">
        <f>VLOOKUP(C79,'Apoio - Notas Explicativas'!$C:$Q,14,FALSE)</f>
        <v>0.03</v>
      </c>
      <c r="E79" s="461"/>
      <c r="F79" s="461"/>
      <c r="G79" s="461"/>
      <c r="H79" s="495"/>
      <c r="I79" s="182"/>
    </row>
    <row r="80" spans="1:53">
      <c r="A80" s="88"/>
      <c r="B80" s="713"/>
      <c r="C80" s="238" t="s">
        <v>44</v>
      </c>
      <c r="D80" s="325">
        <f>VLOOKUP(C80,'Apoio - Notas Explicativas'!$C:$Q,14,FALSE)</f>
        <v>1</v>
      </c>
      <c r="E80" s="462"/>
      <c r="F80" s="462"/>
      <c r="G80" s="462"/>
      <c r="H80" s="462"/>
      <c r="I80" s="183"/>
    </row>
    <row r="81" spans="1:53">
      <c r="A81" s="88"/>
      <c r="B81" s="706"/>
      <c r="C81" s="102"/>
      <c r="D81" s="278">
        <f>D80*D79</f>
        <v>0.03</v>
      </c>
      <c r="E81" s="184" t="str">
        <f>IFERROR($D81*E$61,"")</f>
        <v/>
      </c>
      <c r="F81" s="184" t="str">
        <f t="shared" ref="F81:H82" si="17">IFERROR($D81*F$61,"")</f>
        <v/>
      </c>
      <c r="G81" s="184" t="str">
        <f t="shared" si="17"/>
        <v/>
      </c>
      <c r="H81" s="184" t="str">
        <f t="shared" si="17"/>
        <v/>
      </c>
      <c r="I81" s="184" t="str">
        <f t="shared" ref="I81:I82" si="18">IFERROR(ROUND($D81*I$61,2),"")</f>
        <v/>
      </c>
    </row>
    <row r="82" spans="1:53">
      <c r="A82" s="90"/>
      <c r="B82" s="101" t="s">
        <v>4</v>
      </c>
      <c r="C82" s="102" t="s">
        <v>57</v>
      </c>
      <c r="D82" s="192">
        <f>IFERROR(INDEX('Apoio - Notas Explicativas'!Q:Q,MATCH(C82,'Apoio - Notas Explicativas'!C:C,0)),"")</f>
        <v>6.0000000000000001E-3</v>
      </c>
      <c r="E82" s="152" t="str">
        <f>IFERROR($D82*E$61,"")</f>
        <v/>
      </c>
      <c r="F82" s="152" t="str">
        <f t="shared" si="17"/>
        <v/>
      </c>
      <c r="G82" s="152" t="str">
        <f t="shared" si="17"/>
        <v/>
      </c>
      <c r="H82" s="152" t="str">
        <f t="shared" si="17"/>
        <v/>
      </c>
      <c r="I82" s="152" t="str">
        <f t="shared" si="18"/>
        <v/>
      </c>
    </row>
    <row r="83" spans="1:53" s="5" customFormat="1">
      <c r="A83" s="90"/>
      <c r="B83" s="186"/>
      <c r="C83" s="187" t="s">
        <v>147</v>
      </c>
      <c r="D83" s="190"/>
      <c r="E83" s="191" t="str">
        <f>IF((SUM(E72:E77,E81,E82))=0,"",(SUM(E72:E77,E81,E82)))</f>
        <v/>
      </c>
      <c r="F83" s="191" t="str">
        <f t="shared" ref="F83:H83" si="19">IF((SUM(F72:F77,F81,F82))=0,"",(SUM(F72:F77,F81,F82)))</f>
        <v/>
      </c>
      <c r="G83" s="191" t="str">
        <f t="shared" si="19"/>
        <v/>
      </c>
      <c r="H83" s="191" t="str">
        <f t="shared" si="19"/>
        <v/>
      </c>
      <c r="I83" s="191" t="str">
        <f>IF((SUM(I72:I77,I81,I82))=0,"",(SUM(I72:I77,I81,I82)))</f>
        <v/>
      </c>
      <c r="J83" s="317"/>
      <c r="K83" s="317"/>
      <c r="L83" s="317"/>
      <c r="M83" s="317"/>
      <c r="N83" s="317"/>
      <c r="O83" s="317"/>
      <c r="P83" s="317"/>
      <c r="Q83" s="317"/>
      <c r="R83" s="317"/>
      <c r="S83" s="317"/>
      <c r="T83" s="317"/>
      <c r="U83" s="317"/>
      <c r="V83" s="317"/>
      <c r="W83" s="317"/>
      <c r="X83" s="317"/>
      <c r="Y83" s="317"/>
      <c r="Z83" s="317"/>
      <c r="AA83" s="317"/>
      <c r="AB83" s="317"/>
      <c r="AC83" s="317"/>
      <c r="AD83" s="317"/>
      <c r="AE83" s="317"/>
      <c r="AF83" s="317"/>
      <c r="AG83" s="317"/>
      <c r="AH83" s="317"/>
      <c r="AI83" s="317"/>
      <c r="AJ83" s="317"/>
      <c r="AK83" s="317"/>
      <c r="AL83" s="317"/>
      <c r="AM83" s="317"/>
      <c r="AN83" s="317"/>
      <c r="AO83" s="317"/>
      <c r="AP83" s="317"/>
      <c r="AQ83" s="317"/>
      <c r="AR83" s="317"/>
      <c r="AS83" s="317"/>
      <c r="AT83" s="317"/>
      <c r="AU83" s="317"/>
      <c r="AV83" s="317"/>
      <c r="AW83" s="317"/>
      <c r="AX83" s="317"/>
      <c r="AY83" s="317"/>
      <c r="AZ83" s="317"/>
      <c r="BA83" s="317"/>
    </row>
    <row r="84" spans="1:53" customFormat="1" ht="3.75" customHeight="1"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  <c r="AY84" s="47"/>
      <c r="AZ84" s="47"/>
      <c r="BA84" s="47"/>
    </row>
    <row r="85" spans="1:53" s="6" customFormat="1">
      <c r="A85" s="90"/>
      <c r="B85" s="197"/>
      <c r="C85" s="198" t="s">
        <v>155</v>
      </c>
      <c r="D85" s="199"/>
      <c r="E85" s="191"/>
      <c r="F85" s="191"/>
      <c r="G85" s="191"/>
      <c r="H85" s="191"/>
      <c r="I85" s="191"/>
      <c r="J85" s="319"/>
      <c r="K85" s="319"/>
      <c r="L85" s="319"/>
      <c r="M85" s="319"/>
      <c r="N85" s="319"/>
      <c r="O85" s="319"/>
      <c r="P85" s="319"/>
      <c r="Q85" s="319"/>
      <c r="R85" s="319"/>
      <c r="S85" s="319"/>
      <c r="T85" s="319"/>
      <c r="U85" s="319"/>
      <c r="V85" s="319"/>
      <c r="W85" s="319"/>
      <c r="X85" s="319"/>
      <c r="Y85" s="319"/>
      <c r="Z85" s="319"/>
      <c r="AA85" s="319"/>
      <c r="AB85" s="319"/>
      <c r="AC85" s="319"/>
      <c r="AD85" s="319"/>
      <c r="AE85" s="319"/>
      <c r="AF85" s="319"/>
      <c r="AG85" s="319"/>
      <c r="AH85" s="319"/>
      <c r="AI85" s="319"/>
      <c r="AJ85" s="319"/>
      <c r="AK85" s="319"/>
      <c r="AL85" s="319"/>
      <c r="AM85" s="319"/>
      <c r="AN85" s="319"/>
      <c r="AO85" s="319"/>
      <c r="AP85" s="319"/>
      <c r="AQ85" s="319"/>
      <c r="AR85" s="319"/>
      <c r="AS85" s="319"/>
      <c r="AT85" s="319"/>
      <c r="AU85" s="319"/>
      <c r="AV85" s="319"/>
      <c r="AW85" s="319"/>
      <c r="AX85" s="319"/>
      <c r="AY85" s="319"/>
      <c r="AZ85" s="319"/>
      <c r="BA85" s="319"/>
    </row>
    <row r="86" spans="1:53" s="12" customFormat="1">
      <c r="A86" s="88"/>
      <c r="B86" s="704" t="s">
        <v>2</v>
      </c>
      <c r="C86" s="178" t="s">
        <v>89</v>
      </c>
      <c r="D86" s="210"/>
      <c r="E86" s="258"/>
      <c r="F86" s="258"/>
      <c r="G86" s="258"/>
      <c r="H86" s="258"/>
      <c r="I86" s="258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  <c r="Z86" s="314"/>
      <c r="AA86" s="314"/>
      <c r="AB86" s="314"/>
      <c r="AC86" s="314"/>
      <c r="AD86" s="314"/>
      <c r="AE86" s="314"/>
      <c r="AF86" s="314"/>
      <c r="AG86" s="314"/>
      <c r="AH86" s="314"/>
      <c r="AI86" s="314"/>
      <c r="AJ86" s="314"/>
      <c r="AK86" s="314"/>
      <c r="AL86" s="314"/>
      <c r="AM86" s="314"/>
      <c r="AN86" s="314"/>
      <c r="AO86" s="314"/>
      <c r="AP86" s="314"/>
      <c r="AQ86" s="314"/>
      <c r="AR86" s="314"/>
      <c r="AS86" s="314"/>
      <c r="AT86" s="314"/>
      <c r="AU86" s="314"/>
      <c r="AV86" s="314"/>
      <c r="AW86" s="314"/>
      <c r="AX86" s="314"/>
      <c r="AY86" s="314"/>
      <c r="AZ86" s="314"/>
      <c r="BA86" s="314"/>
    </row>
    <row r="87" spans="1:53">
      <c r="A87" s="88"/>
      <c r="B87" s="705"/>
      <c r="C87" s="179" t="s">
        <v>90</v>
      </c>
      <c r="D87" s="230"/>
      <c r="E87" s="455" t="str">
        <f>IF(E18="","",4.8)</f>
        <v/>
      </c>
      <c r="F87" s="455" t="str">
        <f t="shared" ref="F87:H87" si="20">IF(F18="","",4.8)</f>
        <v/>
      </c>
      <c r="G87" s="455" t="str">
        <f t="shared" si="20"/>
        <v/>
      </c>
      <c r="H87" s="455" t="str">
        <f t="shared" si="20"/>
        <v/>
      </c>
      <c r="I87" s="212" t="str">
        <f>IF(I18="","",4.8)</f>
        <v/>
      </c>
    </row>
    <row r="88" spans="1:53">
      <c r="A88" s="88"/>
      <c r="B88" s="705"/>
      <c r="C88" s="117" t="s">
        <v>136</v>
      </c>
      <c r="D88" s="231"/>
      <c r="E88" s="214" t="str">
        <f>IF(E18="","",2)</f>
        <v/>
      </c>
      <c r="F88" s="214" t="str">
        <f t="shared" ref="F88:H88" si="21">IF(F18="","",2)</f>
        <v/>
      </c>
      <c r="G88" s="214" t="str">
        <f t="shared" si="21"/>
        <v/>
      </c>
      <c r="H88" s="214" t="str">
        <f t="shared" si="21"/>
        <v/>
      </c>
      <c r="I88" s="214" t="str">
        <f>IF(I18="","",2)</f>
        <v/>
      </c>
    </row>
    <row r="89" spans="1:53">
      <c r="A89" s="88"/>
      <c r="B89" s="705"/>
      <c r="C89" s="117" t="s">
        <v>91</v>
      </c>
      <c r="D89" s="232"/>
      <c r="E89" s="215" t="str">
        <f>IFERROR(IF(E18="","",VLOOKUP(E26,'Apoio - Regime de Trabalho'!$A:$G,7,FALSE)),"")</f>
        <v/>
      </c>
      <c r="F89" s="215" t="str">
        <f>IFERROR(IF(F18="","",VLOOKUP(F26,'Apoio - Regime de Trabalho'!$A:$G,7,FALSE)),"")</f>
        <v/>
      </c>
      <c r="G89" s="215" t="str">
        <f>IFERROR(IF(G18="","",VLOOKUP(G26,'Apoio - Regime de Trabalho'!$A:$G,7,FALSE)),"")</f>
        <v/>
      </c>
      <c r="H89" s="215" t="str">
        <f>IFERROR(IF(H18="","",VLOOKUP(H26,'Apoio - Regime de Trabalho'!$A:$G,7,FALSE)),"")</f>
        <v/>
      </c>
      <c r="I89" s="215" t="str">
        <f>IFERROR(IF(I18="","",VLOOKUP(I26,'Apoio - Regime de Trabalho'!$A:$G,7,FALSE)),"")</f>
        <v/>
      </c>
    </row>
    <row r="90" spans="1:53">
      <c r="A90" s="88"/>
      <c r="B90" s="705"/>
      <c r="C90" s="117" t="s">
        <v>22</v>
      </c>
      <c r="D90" s="231"/>
      <c r="E90" s="216" t="str">
        <f>IF(E18="","",IFERROR(VLOOKUP(E$18,'Apoio - Posto'!$A:$AA,16,FALSE),6%))</f>
        <v/>
      </c>
      <c r="F90" s="216" t="str">
        <f>IF(F18="","",IFERROR(VLOOKUP(F$18,'Apoio - Posto'!$A:$AA,16,FALSE),6%))</f>
        <v/>
      </c>
      <c r="G90" s="216" t="str">
        <f>IF(G18="","",IFERROR(VLOOKUP(G$18,'Apoio - Posto'!$A:$AA,16,FALSE),6%))</f>
        <v/>
      </c>
      <c r="H90" s="216" t="str">
        <f>IF(H18="","",IFERROR(VLOOKUP(H$18,'Apoio - Posto'!$A:$AA,16,FALSE),6%))</f>
        <v/>
      </c>
      <c r="I90" s="216" t="str">
        <f>IFERROR(VLOOKUP(I$18,'Apoio - Posto'!$A:$AA,16,FALSE),"")</f>
        <v/>
      </c>
    </row>
    <row r="91" spans="1:53">
      <c r="A91" s="88"/>
      <c r="B91" s="706"/>
      <c r="C91" s="237"/>
      <c r="D91" s="233" t="s">
        <v>43</v>
      </c>
      <c r="E91" s="162" t="str">
        <f>IFERROR((E87*E88*E89)-(E$90*E$32),"")</f>
        <v/>
      </c>
      <c r="F91" s="162" t="str">
        <f t="shared" ref="F91:H91" si="22">IFERROR((F87*F88*F89)-(F$90*F$32),"")</f>
        <v/>
      </c>
      <c r="G91" s="162" t="str">
        <f t="shared" si="22"/>
        <v/>
      </c>
      <c r="H91" s="162" t="str">
        <f t="shared" si="22"/>
        <v/>
      </c>
      <c r="I91" s="162" t="str">
        <f>IFERROR(ROUND((I87*I88*I89)-(I$90*I$32),2),"")</f>
        <v/>
      </c>
    </row>
    <row r="92" spans="1:53">
      <c r="A92" s="88"/>
      <c r="B92" s="704" t="s">
        <v>1</v>
      </c>
      <c r="C92" s="209" t="s">
        <v>23</v>
      </c>
      <c r="D92" s="234"/>
      <c r="E92" s="259"/>
      <c r="F92" s="259"/>
      <c r="G92" s="259"/>
      <c r="H92" s="259"/>
      <c r="I92" s="259"/>
    </row>
    <row r="93" spans="1:53">
      <c r="A93" s="88"/>
      <c r="B93" s="705"/>
      <c r="C93" s="229" t="s">
        <v>24</v>
      </c>
      <c r="D93" s="225"/>
      <c r="E93" s="218">
        <v>29.09</v>
      </c>
      <c r="F93" s="218">
        <v>29.09</v>
      </c>
      <c r="G93" s="218">
        <v>29.09</v>
      </c>
      <c r="H93" s="218" t="str">
        <f>IFERROR(VLOOKUP(H$18,'Apoio - Posto'!$A:$AA,IF(VLOOKUP(H26,'Apoio - Regime de Trabalho'!$A:$I,8,FALSE)&gt;=200,9,10),FALSE),"")</f>
        <v/>
      </c>
      <c r="I93" s="218" t="str">
        <f>IFERROR(VLOOKUP(I$18,'Apoio - Posto'!$A:$AA,IF(VLOOKUP(I26,'Apoio - Regime de Trabalho'!$A:$I,8,FALSE)&gt;180,9,10),FALSE),"")</f>
        <v/>
      </c>
    </row>
    <row r="94" spans="1:53">
      <c r="A94" s="88"/>
      <c r="B94" s="705"/>
      <c r="C94" s="177" t="s">
        <v>365</v>
      </c>
      <c r="D94" s="228"/>
      <c r="E94" s="220" t="str">
        <f>IFERROR(IF(E18="","",VLOOKUP(E26,'Apoio - Regime de Trabalho'!$A:$G,7,FALSE)),"")</f>
        <v/>
      </c>
      <c r="F94" s="220" t="str">
        <f>IFERROR(IF(F18="","",VLOOKUP(F26,'Apoio - Regime de Trabalho'!$A:$G,7,FALSE)),"")</f>
        <v/>
      </c>
      <c r="G94" s="220" t="str">
        <f>IFERROR(IF(G18="","",VLOOKUP(G26,'Apoio - Regime de Trabalho'!$A:$G,7,FALSE)),"")</f>
        <v/>
      </c>
      <c r="H94" s="220" t="str">
        <f>IFERROR(IF(H18="","",VLOOKUP(H26,'Apoio - Regime de Trabalho'!$A:$G,7,FALSE)),"")</f>
        <v/>
      </c>
      <c r="I94" s="220" t="str">
        <f>IFERROR(IF(I18="","",VLOOKUP(I26,'Apoio - Regime de Trabalho'!$A:$G,7,FALSE)),"")</f>
        <v/>
      </c>
    </row>
    <row r="95" spans="1:53">
      <c r="A95" s="88"/>
      <c r="B95" s="705"/>
      <c r="C95" s="177" t="s">
        <v>361</v>
      </c>
      <c r="D95" s="228"/>
      <c r="E95" s="221">
        <v>0.2</v>
      </c>
      <c r="F95" s="221">
        <v>0.2</v>
      </c>
      <c r="G95" s="221">
        <v>0.2</v>
      </c>
      <c r="H95" s="221" t="str">
        <f>IFERROR(VLOOKUP(H$18,'Apoio - Posto'!$A:$AA,17,FALSE),"")</f>
        <v/>
      </c>
      <c r="I95" s="221" t="str">
        <f>IFERROR(VLOOKUP(I$18,'Apoio - Posto'!$A:$AA,17,FALSE),"")</f>
        <v/>
      </c>
    </row>
    <row r="96" spans="1:53">
      <c r="A96" s="88"/>
      <c r="B96" s="706"/>
      <c r="C96" s="237"/>
      <c r="D96" s="233" t="s">
        <v>43</v>
      </c>
      <c r="E96" s="115" t="str">
        <f>IFERROR((E93*E94)-(E$93*E$94*E$95),"")</f>
        <v/>
      </c>
      <c r="F96" s="115" t="str">
        <f t="shared" ref="F96:H96" si="23">IFERROR((F93*F94)-(F$93*F$94*F$95),"")</f>
        <v/>
      </c>
      <c r="G96" s="115" t="str">
        <f t="shared" si="23"/>
        <v/>
      </c>
      <c r="H96" s="115" t="str">
        <f t="shared" si="23"/>
        <v/>
      </c>
      <c r="I96" s="115" t="str">
        <f>IFERROR(ROUND((I93*I94)-(I$93*I$94*I$95),2),"")</f>
        <v/>
      </c>
    </row>
    <row r="97" spans="1:53">
      <c r="A97" s="88"/>
      <c r="B97" s="704" t="s">
        <v>0</v>
      </c>
      <c r="C97" s="175" t="s">
        <v>25</v>
      </c>
      <c r="D97" s="234"/>
      <c r="E97" s="260"/>
      <c r="F97" s="260"/>
      <c r="G97" s="260"/>
      <c r="H97" s="260"/>
      <c r="I97" s="260"/>
    </row>
    <row r="98" spans="1:53">
      <c r="A98" s="88"/>
      <c r="B98" s="705"/>
      <c r="C98" s="211" t="s">
        <v>26</v>
      </c>
      <c r="D98" s="235"/>
      <c r="E98" s="222"/>
      <c r="F98" s="222"/>
      <c r="G98" s="222"/>
      <c r="H98" s="222"/>
      <c r="I98" s="222"/>
    </row>
    <row r="99" spans="1:53">
      <c r="A99" s="88"/>
      <c r="B99" s="705"/>
      <c r="C99" s="213" t="s">
        <v>361</v>
      </c>
      <c r="D99" s="232"/>
      <c r="E99" s="109"/>
      <c r="F99" s="109"/>
      <c r="G99" s="109"/>
      <c r="H99" s="109"/>
      <c r="I99" s="109"/>
    </row>
    <row r="100" spans="1:53">
      <c r="A100" s="88"/>
      <c r="B100" s="706"/>
      <c r="C100" s="237"/>
      <c r="D100" s="233" t="s">
        <v>43</v>
      </c>
      <c r="E100" s="266" t="str">
        <f>IF(E20="","",IFERROR((E$98)-(E$99*E$98),""))</f>
        <v/>
      </c>
      <c r="F100" s="266" t="str">
        <f t="shared" ref="F100:H100" si="24">IF(F20="","",IFERROR((F$98)-(F$99*F$98),""))</f>
        <v/>
      </c>
      <c r="G100" s="266" t="str">
        <f t="shared" si="24"/>
        <v/>
      </c>
      <c r="H100" s="266" t="str">
        <f t="shared" si="24"/>
        <v/>
      </c>
      <c r="I100" s="266" t="str">
        <f>IF(I20="","",IFERROR(ROUND((I$98)-(I$99*I$98),2),""))</f>
        <v/>
      </c>
    </row>
    <row r="101" spans="1:53">
      <c r="A101" s="88"/>
      <c r="B101" s="101" t="s">
        <v>3</v>
      </c>
      <c r="C101" s="102" t="s">
        <v>27</v>
      </c>
      <c r="D101" s="202"/>
      <c r="E101" s="417">
        <v>19.420000000000002</v>
      </c>
      <c r="F101" s="417">
        <v>19.420000000000002</v>
      </c>
      <c r="G101" s="417">
        <v>19.420000000000002</v>
      </c>
      <c r="H101" s="417" t="str">
        <f>IFERROR(VLOOKUP(H$18,'Apoio - Posto'!$A:$AA,19,FALSE),"")</f>
        <v/>
      </c>
      <c r="I101" s="417" t="str">
        <f>IFERROR(VLOOKUP(I$18,'Apoio - Posto'!$A:$AA,19,FALSE),"")</f>
        <v/>
      </c>
    </row>
    <row r="102" spans="1:53">
      <c r="A102" s="88"/>
      <c r="B102" s="200" t="s">
        <v>7</v>
      </c>
      <c r="C102" s="193" t="s">
        <v>28</v>
      </c>
      <c r="D102" s="201"/>
      <c r="E102" s="418"/>
      <c r="F102" s="418"/>
      <c r="G102" s="418"/>
      <c r="H102" s="418"/>
      <c r="I102" s="418"/>
    </row>
    <row r="103" spans="1:53">
      <c r="A103" s="88"/>
      <c r="B103" s="704" t="s">
        <v>6</v>
      </c>
      <c r="C103" s="209" t="s">
        <v>29</v>
      </c>
      <c r="D103" s="201"/>
      <c r="E103" s="259"/>
      <c r="F103" s="259"/>
      <c r="G103" s="259"/>
      <c r="H103" s="259"/>
      <c r="I103" s="259"/>
    </row>
    <row r="104" spans="1:53">
      <c r="A104" s="88"/>
      <c r="B104" s="705"/>
      <c r="C104" s="217" t="s">
        <v>26</v>
      </c>
      <c r="D104" s="236"/>
      <c r="E104" s="218"/>
      <c r="F104" s="218"/>
      <c r="G104" s="218"/>
      <c r="H104" s="218"/>
      <c r="I104" s="218"/>
    </row>
    <row r="105" spans="1:53">
      <c r="A105" s="88"/>
      <c r="B105" s="705"/>
      <c r="C105" s="219" t="s">
        <v>137</v>
      </c>
      <c r="D105" s="228"/>
      <c r="E105" s="221"/>
      <c r="F105" s="221"/>
      <c r="G105" s="221"/>
      <c r="H105" s="221"/>
      <c r="I105" s="221"/>
    </row>
    <row r="106" spans="1:53">
      <c r="A106" s="88"/>
      <c r="B106" s="706"/>
      <c r="C106" s="237"/>
      <c r="D106" s="233" t="s">
        <v>43</v>
      </c>
      <c r="E106" s="223" t="str">
        <f>IF(E20="","",IFERROR((E104)-(E$105*E$104),""))</f>
        <v/>
      </c>
      <c r="F106" s="223" t="str">
        <f t="shared" ref="F106:H106" si="25">IF(F20="","",IFERROR((F104)-(F$105*F$104),""))</f>
        <v/>
      </c>
      <c r="G106" s="223" t="str">
        <f t="shared" si="25"/>
        <v/>
      </c>
      <c r="H106" s="223" t="str">
        <f t="shared" si="25"/>
        <v/>
      </c>
      <c r="I106" s="223" t="str">
        <f>IF(I20="","",IFERROR(ROUND((I104)-(I$105*I$104),2),""))</f>
        <v/>
      </c>
    </row>
    <row r="107" spans="1:53">
      <c r="A107" s="88"/>
      <c r="B107" s="200" t="s">
        <v>5</v>
      </c>
      <c r="C107" s="193" t="s">
        <v>30</v>
      </c>
      <c r="D107" s="203" t="str">
        <f>IFERROR(VLOOKUP(E18,'Apoio - Posto'!A:J,14,FALSE),"")</f>
        <v/>
      </c>
      <c r="E107" s="456" t="str">
        <f>IFERROR(VLOOKUP(E$18,'Apoio - Posto'!$A:$AA,18,FALSE),"")</f>
        <v/>
      </c>
      <c r="F107" s="456" t="str">
        <f>IFERROR(VLOOKUP(F$18,'Apoio - Posto'!$A:$AA,18,FALSE),"")</f>
        <v/>
      </c>
      <c r="G107" s="456" t="str">
        <f>IFERROR(VLOOKUP(G$18,'Apoio - Posto'!$A:$AA,18,FALSE),"")</f>
        <v/>
      </c>
      <c r="H107" s="456" t="str">
        <f>IFERROR(VLOOKUP(H$18,'Apoio - Posto'!$A:$AA,18,FALSE),"")</f>
        <v/>
      </c>
      <c r="I107" s="204" t="str">
        <f>IFERROR(VLOOKUP(I$18,'Apoio - Posto'!$A:$AA,18,FALSE),"")</f>
        <v/>
      </c>
    </row>
    <row r="108" spans="1:53">
      <c r="A108" s="88"/>
      <c r="B108" s="704" t="s">
        <v>4</v>
      </c>
      <c r="C108" s="209" t="s">
        <v>143</v>
      </c>
      <c r="D108" s="201"/>
      <c r="E108" s="256"/>
      <c r="F108" s="256"/>
      <c r="G108" s="256"/>
      <c r="H108" s="256"/>
      <c r="I108" s="256"/>
    </row>
    <row r="109" spans="1:53">
      <c r="A109" s="88"/>
      <c r="B109" s="705"/>
      <c r="C109" s="229" t="s">
        <v>360</v>
      </c>
      <c r="D109" s="236"/>
      <c r="E109" s="457"/>
      <c r="F109" s="457"/>
      <c r="G109" s="457"/>
      <c r="H109" s="457"/>
      <c r="I109" s="224"/>
    </row>
    <row r="110" spans="1:53">
      <c r="A110" s="88"/>
      <c r="B110" s="705"/>
      <c r="C110" s="177" t="s">
        <v>361</v>
      </c>
      <c r="D110" s="228"/>
      <c r="E110" s="227"/>
      <c r="F110" s="227"/>
      <c r="G110" s="227"/>
      <c r="H110" s="227"/>
      <c r="I110" s="227"/>
    </row>
    <row r="111" spans="1:53">
      <c r="A111" s="88"/>
      <c r="B111" s="706"/>
      <c r="C111" s="111"/>
      <c r="D111" s="241" t="s">
        <v>43</v>
      </c>
      <c r="E111" s="226" t="str">
        <f>IF(E18="","",E109*(1-E110))</f>
        <v/>
      </c>
      <c r="F111" s="226" t="str">
        <f t="shared" ref="F111:H111" si="26">IF(F18="","",F109*(1-F110))</f>
        <v/>
      </c>
      <c r="G111" s="226" t="str">
        <f t="shared" si="26"/>
        <v/>
      </c>
      <c r="H111" s="226" t="str">
        <f t="shared" si="26"/>
        <v/>
      </c>
      <c r="I111" s="226" t="str">
        <f>IF(I18="","",I109*(1-I110))</f>
        <v/>
      </c>
    </row>
    <row r="112" spans="1:53" s="5" customFormat="1">
      <c r="A112" s="90"/>
      <c r="B112" s="205"/>
      <c r="C112" s="206" t="s">
        <v>146</v>
      </c>
      <c r="D112" s="207"/>
      <c r="E112" s="208" t="str">
        <f>IF(E20="","",SUM(E91,E96,E100,E101,E102,E106,E107,E111))</f>
        <v/>
      </c>
      <c r="F112" s="208" t="str">
        <f t="shared" ref="F112:H112" si="27">IF(F20="","",SUM(F91,F96,F100,F101,F102,F106,F107,F111))</f>
        <v/>
      </c>
      <c r="G112" s="208" t="str">
        <f t="shared" si="27"/>
        <v/>
      </c>
      <c r="H112" s="208" t="str">
        <f t="shared" si="27"/>
        <v/>
      </c>
      <c r="I112" s="208" t="str">
        <f>IF(I20="","",SUM(I91,I96,I100,I101,I102,I106,I107,I111))</f>
        <v/>
      </c>
      <c r="J112" s="317"/>
      <c r="K112" s="317"/>
      <c r="L112" s="317"/>
      <c r="M112" s="317"/>
      <c r="N112" s="317"/>
      <c r="O112" s="317"/>
      <c r="P112" s="317"/>
      <c r="Q112" s="317"/>
      <c r="R112" s="317"/>
      <c r="S112" s="317"/>
      <c r="T112" s="317"/>
      <c r="U112" s="317"/>
      <c r="V112" s="317"/>
      <c r="W112" s="317"/>
      <c r="X112" s="317"/>
      <c r="Y112" s="317"/>
      <c r="Z112" s="317"/>
      <c r="AA112" s="317"/>
      <c r="AB112" s="317"/>
      <c r="AC112" s="317"/>
      <c r="AD112" s="317"/>
      <c r="AE112" s="317"/>
      <c r="AF112" s="317"/>
      <c r="AG112" s="317"/>
      <c r="AH112" s="317"/>
      <c r="AI112" s="317"/>
      <c r="AJ112" s="317"/>
      <c r="AK112" s="317"/>
      <c r="AL112" s="317"/>
      <c r="AM112" s="317"/>
      <c r="AN112" s="317"/>
      <c r="AO112" s="317"/>
      <c r="AP112" s="317"/>
      <c r="AQ112" s="317"/>
      <c r="AR112" s="317"/>
      <c r="AS112" s="317"/>
      <c r="AT112" s="317"/>
      <c r="AU112" s="317"/>
      <c r="AV112" s="317"/>
      <c r="AW112" s="317"/>
      <c r="AX112" s="317"/>
      <c r="AY112" s="317"/>
      <c r="AZ112" s="317"/>
      <c r="BA112" s="317"/>
    </row>
    <row r="113" spans="1:53" customFormat="1" ht="3.75" customHeight="1"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</row>
    <row r="114" spans="1:53" s="5" customFormat="1">
      <c r="A114" s="87"/>
      <c r="B114" s="172"/>
      <c r="C114" s="104" t="s">
        <v>144</v>
      </c>
      <c r="D114" s="168"/>
      <c r="E114" s="169" t="str">
        <f>IF(E20="","",IFERROR(SUM(E112,E83,E69),""))</f>
        <v/>
      </c>
      <c r="F114" s="170" t="str">
        <f t="shared" ref="F114:H114" si="28">IF(F20="","",IFERROR(SUM(F112,F83,F69),""))</f>
        <v/>
      </c>
      <c r="G114" s="493" t="str">
        <f t="shared" si="28"/>
        <v/>
      </c>
      <c r="H114" s="170" t="str">
        <f t="shared" si="28"/>
        <v/>
      </c>
      <c r="I114" s="171" t="str">
        <f>IF(I20="","",IFERROR(SUM(I112,I83,I69),""))</f>
        <v/>
      </c>
      <c r="J114" s="317"/>
      <c r="K114" s="317"/>
      <c r="L114" s="317"/>
      <c r="M114" s="317"/>
      <c r="N114" s="317"/>
      <c r="O114" s="317"/>
      <c r="P114" s="317"/>
      <c r="Q114" s="317"/>
      <c r="R114" s="317"/>
      <c r="S114" s="317"/>
      <c r="T114" s="317"/>
      <c r="U114" s="317"/>
      <c r="V114" s="317"/>
      <c r="W114" s="317"/>
      <c r="X114" s="317"/>
      <c r="Y114" s="317"/>
      <c r="Z114" s="317"/>
      <c r="AA114" s="317"/>
      <c r="AB114" s="317"/>
      <c r="AC114" s="317"/>
      <c r="AD114" s="317"/>
      <c r="AE114" s="317"/>
      <c r="AF114" s="317"/>
      <c r="AG114" s="317"/>
      <c r="AH114" s="317"/>
      <c r="AI114" s="317"/>
      <c r="AJ114" s="317"/>
      <c r="AK114" s="317"/>
      <c r="AL114" s="317"/>
      <c r="AM114" s="317"/>
      <c r="AN114" s="317"/>
      <c r="AO114" s="317"/>
      <c r="AP114" s="317"/>
      <c r="AQ114" s="317"/>
      <c r="AR114" s="317"/>
      <c r="AS114" s="317"/>
      <c r="AT114" s="317"/>
      <c r="AU114" s="317"/>
      <c r="AV114" s="317"/>
      <c r="AW114" s="317"/>
      <c r="AX114" s="317"/>
      <c r="AY114" s="317"/>
      <c r="AZ114" s="317"/>
      <c r="BA114" s="317"/>
    </row>
    <row r="115" spans="1:53" s="6" customFormat="1">
      <c r="B115" s="7"/>
      <c r="C115" s="7"/>
      <c r="D115" s="7"/>
      <c r="E115" s="8"/>
      <c r="F115" s="8"/>
      <c r="G115" s="8"/>
      <c r="H115" s="8"/>
      <c r="I115" s="8"/>
      <c r="J115" s="319"/>
      <c r="K115" s="319"/>
      <c r="L115" s="319"/>
      <c r="M115" s="319"/>
      <c r="N115" s="319"/>
      <c r="O115" s="319"/>
      <c r="P115" s="319"/>
      <c r="Q115" s="319"/>
      <c r="R115" s="319"/>
      <c r="S115" s="319"/>
      <c r="T115" s="319"/>
      <c r="U115" s="319"/>
      <c r="V115" s="319"/>
      <c r="W115" s="319"/>
      <c r="X115" s="319"/>
      <c r="Y115" s="319"/>
      <c r="Z115" s="319"/>
      <c r="AA115" s="319"/>
      <c r="AB115" s="319"/>
      <c r="AC115" s="319"/>
      <c r="AD115" s="319"/>
      <c r="AE115" s="319"/>
      <c r="AF115" s="319"/>
      <c r="AG115" s="319"/>
      <c r="AH115" s="319"/>
      <c r="AI115" s="319"/>
      <c r="AJ115" s="319"/>
      <c r="AK115" s="319"/>
      <c r="AL115" s="319"/>
      <c r="AM115" s="319"/>
      <c r="AN115" s="319"/>
      <c r="AO115" s="319"/>
      <c r="AP115" s="319"/>
      <c r="AQ115" s="319"/>
      <c r="AR115" s="319"/>
      <c r="AS115" s="319"/>
      <c r="AT115" s="319"/>
      <c r="AU115" s="319"/>
      <c r="AV115" s="319"/>
      <c r="AW115" s="319"/>
      <c r="AX115" s="319"/>
      <c r="AY115" s="319"/>
      <c r="AZ115" s="319"/>
      <c r="BA115" s="319"/>
    </row>
    <row r="116" spans="1:53" s="6" customFormat="1">
      <c r="A116" s="88"/>
      <c r="B116" s="103"/>
      <c r="C116" s="104" t="s">
        <v>156</v>
      </c>
      <c r="D116" s="105"/>
      <c r="E116" s="395"/>
      <c r="F116" s="492"/>
      <c r="G116" s="395"/>
      <c r="H116" s="395"/>
      <c r="I116" s="395"/>
      <c r="J116" s="319"/>
      <c r="K116" s="319"/>
      <c r="L116" s="319"/>
      <c r="M116" s="319"/>
      <c r="N116" s="319"/>
      <c r="O116" s="319"/>
      <c r="P116" s="319"/>
      <c r="Q116" s="319"/>
      <c r="R116" s="319"/>
      <c r="S116" s="319"/>
      <c r="T116" s="319"/>
      <c r="U116" s="319"/>
      <c r="V116" s="319"/>
      <c r="W116" s="319"/>
      <c r="X116" s="319"/>
      <c r="Y116" s="319"/>
      <c r="Z116" s="319"/>
      <c r="AA116" s="319"/>
      <c r="AB116" s="319"/>
      <c r="AC116" s="319"/>
      <c r="AD116" s="319"/>
      <c r="AE116" s="319"/>
      <c r="AF116" s="319"/>
      <c r="AG116" s="319"/>
      <c r="AH116" s="319"/>
      <c r="AI116" s="319"/>
      <c r="AJ116" s="319"/>
      <c r="AK116" s="319"/>
      <c r="AL116" s="319"/>
      <c r="AM116" s="319"/>
      <c r="AN116" s="319"/>
      <c r="AO116" s="319"/>
      <c r="AP116" s="319"/>
      <c r="AQ116" s="319"/>
      <c r="AR116" s="319"/>
      <c r="AS116" s="319"/>
      <c r="AT116" s="319"/>
      <c r="AU116" s="319"/>
      <c r="AV116" s="319"/>
      <c r="AW116" s="319"/>
      <c r="AX116" s="319"/>
      <c r="AY116" s="319"/>
      <c r="AZ116" s="319"/>
      <c r="BA116" s="319"/>
    </row>
    <row r="117" spans="1:53" s="13" customFormat="1">
      <c r="A117" s="91"/>
      <c r="B117" s="101" t="s">
        <v>2</v>
      </c>
      <c r="C117" s="102" t="s">
        <v>273</v>
      </c>
      <c r="D117" s="442">
        <f>INDEX('Apoio - Notas Explicativas'!Q:Q,MATCH(C117,'Apoio - Notas Explicativas'!C:C,0))</f>
        <v>4.1999999999999997E-3</v>
      </c>
      <c r="E117" s="113" t="str">
        <f t="shared" ref="E117:E122" si="29">IFERROR($D117*E$61,"")</f>
        <v/>
      </c>
      <c r="F117" s="113" t="str">
        <f t="shared" ref="F117:H122" si="30">IFERROR($D117*F$61,"")</f>
        <v/>
      </c>
      <c r="G117" s="113" t="str">
        <f t="shared" si="30"/>
        <v/>
      </c>
      <c r="H117" s="113" t="str">
        <f t="shared" si="30"/>
        <v/>
      </c>
      <c r="I117" s="152" t="str">
        <f t="shared" ref="I117:I122" si="31">IFERROR(ROUND($D117*I$61,2),"")</f>
        <v/>
      </c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</row>
    <row r="118" spans="1:53" s="13" customFormat="1">
      <c r="A118" s="91"/>
      <c r="B118" s="101" t="s">
        <v>1</v>
      </c>
      <c r="C118" s="102" t="s">
        <v>31</v>
      </c>
      <c r="D118" s="442">
        <f>INDEX('Apoio - Notas Explicativas'!Q:Q,MATCH(C118,'Apoio - Notas Explicativas'!C:C,0))</f>
        <v>2.9999999999999997E-4</v>
      </c>
      <c r="E118" s="113" t="str">
        <f t="shared" si="29"/>
        <v/>
      </c>
      <c r="F118" s="113" t="str">
        <f t="shared" si="30"/>
        <v/>
      </c>
      <c r="G118" s="113" t="str">
        <f t="shared" si="30"/>
        <v/>
      </c>
      <c r="H118" s="113" t="str">
        <f t="shared" si="30"/>
        <v/>
      </c>
      <c r="I118" s="152" t="str">
        <f t="shared" si="31"/>
        <v/>
      </c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24"/>
      <c r="BA118" s="24"/>
    </row>
    <row r="119" spans="1:53" s="13" customFormat="1">
      <c r="A119" s="91"/>
      <c r="B119" s="101" t="s">
        <v>0</v>
      </c>
      <c r="C119" s="102" t="s">
        <v>32</v>
      </c>
      <c r="D119" s="442">
        <f>INDEX('Apoio - Notas Explicativas'!Q:Q,MATCH(C119,'Apoio - Notas Explicativas'!C:C,0))</f>
        <v>1E-4</v>
      </c>
      <c r="E119" s="113" t="str">
        <f t="shared" si="29"/>
        <v/>
      </c>
      <c r="F119" s="113" t="str">
        <f t="shared" si="30"/>
        <v/>
      </c>
      <c r="G119" s="113" t="str">
        <f t="shared" si="30"/>
        <v/>
      </c>
      <c r="H119" s="113" t="str">
        <f t="shared" si="30"/>
        <v/>
      </c>
      <c r="I119" s="152" t="str">
        <f t="shared" si="31"/>
        <v/>
      </c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</row>
    <row r="120" spans="1:53" s="13" customFormat="1">
      <c r="A120" s="91"/>
      <c r="B120" s="101" t="s">
        <v>3</v>
      </c>
      <c r="C120" s="102" t="s">
        <v>33</v>
      </c>
      <c r="D120" s="442">
        <f>INDEX('Apoio - Notas Explicativas'!Q:Q,MATCH(C120,'Apoio - Notas Explicativas'!C:C,0))</f>
        <v>1.9800000000000002E-2</v>
      </c>
      <c r="E120" s="113" t="str">
        <f t="shared" si="29"/>
        <v/>
      </c>
      <c r="F120" s="113" t="str">
        <f t="shared" si="30"/>
        <v/>
      </c>
      <c r="G120" s="113" t="str">
        <f t="shared" si="30"/>
        <v/>
      </c>
      <c r="H120" s="113" t="str">
        <f t="shared" si="30"/>
        <v/>
      </c>
      <c r="I120" s="152" t="str">
        <f t="shared" si="31"/>
        <v/>
      </c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</row>
    <row r="121" spans="1:53" s="13" customFormat="1">
      <c r="A121" s="91"/>
      <c r="B121" s="101" t="s">
        <v>7</v>
      </c>
      <c r="C121" s="102" t="s">
        <v>34</v>
      </c>
      <c r="D121" s="442">
        <f>INDEX('Apoio - Notas Explicativas'!Q:Q,MATCH(C121,'Apoio - Notas Explicativas'!C:C,0))</f>
        <v>7.3000000000000001E-3</v>
      </c>
      <c r="E121" s="113" t="str">
        <f t="shared" si="29"/>
        <v/>
      </c>
      <c r="F121" s="113" t="str">
        <f t="shared" si="30"/>
        <v/>
      </c>
      <c r="G121" s="113" t="str">
        <f t="shared" si="30"/>
        <v/>
      </c>
      <c r="H121" s="113" t="str">
        <f t="shared" si="30"/>
        <v/>
      </c>
      <c r="I121" s="152" t="str">
        <f t="shared" si="31"/>
        <v/>
      </c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</row>
    <row r="122" spans="1:53" s="13" customFormat="1">
      <c r="A122" s="91"/>
      <c r="B122" s="101" t="s">
        <v>6</v>
      </c>
      <c r="C122" s="102" t="s">
        <v>35</v>
      </c>
      <c r="D122" s="442">
        <f>INDEX('Apoio - Notas Explicativas'!Q:Q,MATCH(C122,'Apoio - Notas Explicativas'!C:C,0))</f>
        <v>0.04</v>
      </c>
      <c r="E122" s="113" t="str">
        <f t="shared" si="29"/>
        <v/>
      </c>
      <c r="F122" s="113" t="str">
        <f t="shared" si="30"/>
        <v/>
      </c>
      <c r="G122" s="113" t="str">
        <f t="shared" si="30"/>
        <v/>
      </c>
      <c r="H122" s="113" t="str">
        <f t="shared" si="30"/>
        <v/>
      </c>
      <c r="I122" s="152" t="str">
        <f t="shared" si="31"/>
        <v/>
      </c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</row>
    <row r="123" spans="1:53" s="5" customFormat="1">
      <c r="A123" s="87"/>
      <c r="B123" s="172"/>
      <c r="C123" s="104" t="s">
        <v>145</v>
      </c>
      <c r="D123" s="168"/>
      <c r="E123" s="170" t="str">
        <f>IF(SUM(E117:E122)=0,"",SUM(E117:E122))</f>
        <v/>
      </c>
      <c r="F123" s="170" t="str">
        <f t="shared" ref="F123:H123" si="32">IF(SUM(F117:F122)=0,"",SUM(F117:F122))</f>
        <v/>
      </c>
      <c r="G123" s="170" t="str">
        <f t="shared" si="32"/>
        <v/>
      </c>
      <c r="H123" s="170" t="str">
        <f t="shared" si="32"/>
        <v/>
      </c>
      <c r="I123" s="171" t="str">
        <f>IF(SUM(I117:I122)=0,"",SUM(I117:I122))</f>
        <v/>
      </c>
      <c r="J123" s="317"/>
      <c r="K123" s="317"/>
      <c r="L123" s="317"/>
      <c r="M123" s="317"/>
      <c r="N123" s="317"/>
      <c r="O123" s="317"/>
      <c r="P123" s="317"/>
      <c r="Q123" s="317"/>
      <c r="R123" s="317"/>
      <c r="S123" s="317"/>
      <c r="T123" s="317"/>
      <c r="U123" s="317"/>
      <c r="V123" s="317"/>
      <c r="W123" s="317"/>
      <c r="X123" s="317"/>
      <c r="Y123" s="317"/>
      <c r="Z123" s="317"/>
      <c r="AA123" s="317"/>
      <c r="AB123" s="317"/>
      <c r="AC123" s="317"/>
      <c r="AD123" s="317"/>
      <c r="AE123" s="317"/>
      <c r="AF123" s="317"/>
      <c r="AG123" s="317"/>
      <c r="AH123" s="317"/>
      <c r="AI123" s="317"/>
      <c r="AJ123" s="317"/>
      <c r="AK123" s="317"/>
      <c r="AL123" s="317"/>
      <c r="AM123" s="317"/>
      <c r="AN123" s="317"/>
      <c r="AO123" s="317"/>
      <c r="AP123" s="317"/>
      <c r="AQ123" s="317"/>
      <c r="AR123" s="317"/>
      <c r="AS123" s="317"/>
      <c r="AT123" s="317"/>
      <c r="AU123" s="317"/>
      <c r="AV123" s="317"/>
      <c r="AW123" s="317"/>
      <c r="AX123" s="317"/>
      <c r="AY123" s="317"/>
      <c r="AZ123" s="317"/>
      <c r="BA123" s="317"/>
    </row>
    <row r="124" spans="1:53" s="18" customFormat="1">
      <c r="A124" s="17"/>
      <c r="D124" s="14"/>
      <c r="E124" s="19"/>
      <c r="F124" s="19"/>
      <c r="G124" s="19"/>
      <c r="H124" s="19"/>
      <c r="I124" s="19"/>
      <c r="J124" s="320"/>
      <c r="K124" s="320"/>
      <c r="L124" s="320"/>
      <c r="M124" s="320"/>
      <c r="N124" s="320"/>
      <c r="O124" s="320"/>
      <c r="P124" s="320"/>
      <c r="Q124" s="320"/>
      <c r="R124" s="320"/>
      <c r="S124" s="320"/>
      <c r="T124" s="320"/>
      <c r="U124" s="320"/>
      <c r="V124" s="320"/>
      <c r="W124" s="320"/>
      <c r="X124" s="320"/>
      <c r="Y124" s="320"/>
      <c r="Z124" s="320"/>
      <c r="AA124" s="320"/>
      <c r="AB124" s="320"/>
      <c r="AC124" s="320"/>
      <c r="AD124" s="320"/>
      <c r="AE124" s="320"/>
      <c r="AF124" s="320"/>
      <c r="AG124" s="320"/>
      <c r="AH124" s="320"/>
      <c r="AI124" s="320"/>
      <c r="AJ124" s="320"/>
      <c r="AK124" s="320"/>
      <c r="AL124" s="320"/>
      <c r="AM124" s="320"/>
      <c r="AN124" s="320"/>
      <c r="AO124" s="320"/>
      <c r="AP124" s="320"/>
      <c r="AQ124" s="320"/>
      <c r="AR124" s="320"/>
      <c r="AS124" s="320"/>
      <c r="AT124" s="320"/>
      <c r="AU124" s="320"/>
      <c r="AV124" s="320"/>
      <c r="AW124" s="320"/>
      <c r="AX124" s="320"/>
      <c r="AY124" s="320"/>
      <c r="AZ124" s="320"/>
      <c r="BA124" s="320"/>
    </row>
    <row r="125" spans="1:53" s="6" customFormat="1">
      <c r="A125" s="88"/>
      <c r="B125" s="103"/>
      <c r="C125" s="104" t="s">
        <v>157</v>
      </c>
      <c r="D125" s="105"/>
      <c r="E125" s="395"/>
      <c r="F125" s="395"/>
      <c r="G125" s="395"/>
      <c r="H125" s="395"/>
      <c r="I125" s="395"/>
      <c r="J125" s="319"/>
      <c r="K125" s="319"/>
      <c r="L125" s="319"/>
      <c r="M125" s="319"/>
      <c r="N125" s="319"/>
      <c r="O125" s="319"/>
      <c r="P125" s="319"/>
      <c r="Q125" s="319"/>
      <c r="R125" s="319"/>
      <c r="S125" s="319"/>
      <c r="T125" s="319"/>
      <c r="U125" s="319"/>
      <c r="V125" s="319"/>
      <c r="W125" s="319"/>
      <c r="X125" s="319"/>
      <c r="Y125" s="319"/>
      <c r="Z125" s="319"/>
      <c r="AA125" s="319"/>
      <c r="AB125" s="319"/>
      <c r="AC125" s="319"/>
      <c r="AD125" s="319"/>
      <c r="AE125" s="319"/>
      <c r="AF125" s="319"/>
      <c r="AG125" s="319"/>
      <c r="AH125" s="319"/>
      <c r="AI125" s="319"/>
      <c r="AJ125" s="319"/>
      <c r="AK125" s="319"/>
      <c r="AL125" s="319"/>
      <c r="AM125" s="319"/>
      <c r="AN125" s="319"/>
      <c r="AO125" s="319"/>
      <c r="AP125" s="319"/>
      <c r="AQ125" s="319"/>
      <c r="AR125" s="319"/>
      <c r="AS125" s="319"/>
      <c r="AT125" s="319"/>
      <c r="AU125" s="319"/>
      <c r="AV125" s="319"/>
      <c r="AW125" s="319"/>
      <c r="AX125" s="319"/>
      <c r="AY125" s="319"/>
      <c r="AZ125" s="319"/>
      <c r="BA125" s="319"/>
    </row>
    <row r="126" spans="1:53" customFormat="1" ht="3.75" customHeight="1"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  <c r="AX126" s="47"/>
      <c r="AY126" s="47"/>
      <c r="AZ126" s="47"/>
      <c r="BA126" s="47"/>
    </row>
    <row r="127" spans="1:53" s="6" customFormat="1">
      <c r="A127" s="89"/>
      <c r="B127" s="186"/>
      <c r="C127" s="187" t="s">
        <v>231</v>
      </c>
      <c r="D127" s="188"/>
      <c r="E127" s="191"/>
      <c r="F127" s="189"/>
      <c r="G127" s="189"/>
      <c r="H127" s="189"/>
      <c r="I127" s="189"/>
      <c r="J127" s="319"/>
      <c r="K127" s="319"/>
      <c r="L127" s="319"/>
      <c r="M127" s="319"/>
      <c r="N127" s="319"/>
      <c r="O127" s="319"/>
      <c r="P127" s="319"/>
      <c r="Q127" s="319"/>
      <c r="R127" s="319"/>
      <c r="S127" s="319"/>
      <c r="T127" s="319"/>
      <c r="U127" s="319"/>
      <c r="V127" s="319"/>
      <c r="W127" s="319"/>
      <c r="X127" s="319"/>
      <c r="Y127" s="319"/>
      <c r="Z127" s="319"/>
      <c r="AA127" s="319"/>
      <c r="AB127" s="319"/>
      <c r="AC127" s="319"/>
      <c r="AD127" s="319"/>
      <c r="AE127" s="319"/>
      <c r="AF127" s="319"/>
      <c r="AG127" s="319"/>
      <c r="AH127" s="319"/>
      <c r="AI127" s="319"/>
      <c r="AJ127" s="319"/>
      <c r="AK127" s="319"/>
      <c r="AL127" s="319"/>
      <c r="AM127" s="319"/>
      <c r="AN127" s="319"/>
      <c r="AO127" s="319"/>
      <c r="AP127" s="319"/>
      <c r="AQ127" s="319"/>
      <c r="AR127" s="319"/>
      <c r="AS127" s="319"/>
      <c r="AT127" s="319"/>
      <c r="AU127" s="319"/>
      <c r="AV127" s="319"/>
      <c r="AW127" s="319"/>
      <c r="AX127" s="319"/>
      <c r="AY127" s="319"/>
      <c r="AZ127" s="319"/>
      <c r="BA127" s="319"/>
    </row>
    <row r="128" spans="1:53" s="13" customFormat="1">
      <c r="A128" s="92"/>
      <c r="B128" s="101" t="s">
        <v>2</v>
      </c>
      <c r="C128" s="102" t="s">
        <v>36</v>
      </c>
      <c r="D128" s="442">
        <f>INDEX('Apoio - Notas Explicativas'!$Q:$Q,MATCH(C128,'Apoio - Notas Explicativas'!$C:$C,0))</f>
        <v>1.6199999999999999E-2</v>
      </c>
      <c r="E128" s="113" t="str">
        <f>IF(E20="","",IFERROR($D128*SUM(E$61),""))</f>
        <v/>
      </c>
      <c r="F128" s="152" t="str">
        <f t="shared" ref="F128:H128" si="33">IF(F20="","",IFERROR($D128*SUM(F$61),""))</f>
        <v/>
      </c>
      <c r="G128" s="152" t="str">
        <f t="shared" si="33"/>
        <v/>
      </c>
      <c r="H128" s="152" t="str">
        <f t="shared" si="33"/>
        <v/>
      </c>
      <c r="I128" s="152" t="str">
        <f>IF(I20="","",IFERROR(ROUND($D128*SUM(I$61),2),""))</f>
        <v/>
      </c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  <c r="AY128" s="24"/>
      <c r="AZ128" s="24"/>
      <c r="BA128" s="24"/>
    </row>
    <row r="129" spans="1:53" s="13" customFormat="1">
      <c r="A129" s="92"/>
      <c r="B129" s="101" t="s">
        <v>1</v>
      </c>
      <c r="C129" s="102" t="s">
        <v>239</v>
      </c>
      <c r="D129" s="442">
        <f>INDEX('Apoio - Notas Explicativas'!$Q:$Q,MATCH(C129,'Apoio - Notas Explicativas'!$C:$C,0))</f>
        <v>1.3899999999999999E-2</v>
      </c>
      <c r="E129" s="113" t="str">
        <f>IFERROR($D129*(E61+E66+E67),"")</f>
        <v/>
      </c>
      <c r="F129" s="152" t="str">
        <f t="shared" ref="F129:H129" si="34">IFERROR($D129*(F61+F66+F67),"")</f>
        <v/>
      </c>
      <c r="G129" s="152" t="str">
        <f t="shared" si="34"/>
        <v/>
      </c>
      <c r="H129" s="152" t="str">
        <f t="shared" si="34"/>
        <v/>
      </c>
      <c r="I129" s="152" t="str">
        <f>IFERROR(ROUND($D129*(I61+I66+I67),2),"")</f>
        <v/>
      </c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</row>
    <row r="130" spans="1:53" s="13" customFormat="1">
      <c r="A130" s="92"/>
      <c r="B130" s="101" t="s">
        <v>0</v>
      </c>
      <c r="C130" s="102" t="s">
        <v>37</v>
      </c>
      <c r="D130" s="442">
        <f>INDEX('Apoio - Notas Explicativas'!$Q:$Q,MATCH(C130,'Apoio - Notas Explicativas'!$C:$C,0))</f>
        <v>2.0000000000000001E-4</v>
      </c>
      <c r="E130" s="113" t="str">
        <f>IFERROR($D130*(E61+E66+E67),"")</f>
        <v/>
      </c>
      <c r="F130" s="152" t="str">
        <f t="shared" ref="F130:H130" si="35">IFERROR($D130*(F61+F66+F67),"")</f>
        <v/>
      </c>
      <c r="G130" s="152" t="str">
        <f t="shared" si="35"/>
        <v/>
      </c>
      <c r="H130" s="152" t="str">
        <f t="shared" si="35"/>
        <v/>
      </c>
      <c r="I130" s="152" t="str">
        <f>IFERROR(ROUND($D130*(I61+I66+I67),2),"")</f>
        <v/>
      </c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  <c r="AY130" s="24"/>
      <c r="AZ130" s="24"/>
      <c r="BA130" s="24"/>
    </row>
    <row r="131" spans="1:53" s="13" customFormat="1">
      <c r="A131" s="92"/>
      <c r="B131" s="101" t="s">
        <v>3</v>
      </c>
      <c r="C131" s="102" t="s">
        <v>38</v>
      </c>
      <c r="D131" s="442">
        <f>INDEX('Apoio - Notas Explicativas'!$Q:$Q,MATCH(C131,'Apoio - Notas Explicativas'!$C:$C,0))</f>
        <v>8.2000000000000007E-3</v>
      </c>
      <c r="E131" s="113" t="str">
        <f>IFERROR($D131*(E61+E66+E67),"")</f>
        <v/>
      </c>
      <c r="F131" s="152" t="str">
        <f t="shared" ref="F131:H131" si="36">IFERROR($D131*(F61+F66+F67),"")</f>
        <v/>
      </c>
      <c r="G131" s="152" t="str">
        <f t="shared" si="36"/>
        <v/>
      </c>
      <c r="H131" s="152" t="str">
        <f t="shared" si="36"/>
        <v/>
      </c>
      <c r="I131" s="152" t="str">
        <f>IFERROR(ROUND($D131*(I61+I66+I67),2),"")</f>
        <v/>
      </c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</row>
    <row r="132" spans="1:53" s="13" customFormat="1">
      <c r="A132" s="92"/>
      <c r="B132" s="101" t="s">
        <v>7</v>
      </c>
      <c r="C132" s="102" t="s">
        <v>240</v>
      </c>
      <c r="D132" s="442">
        <f>INDEX('Apoio - Notas Explicativas'!$Q:$Q,MATCH(C132,'Apoio - Notas Explicativas'!$C:$C,0))</f>
        <v>2.9999999999999997E-4</v>
      </c>
      <c r="E132" s="113" t="str">
        <f>IFERROR($D132*(E61+E66+E67),"")</f>
        <v/>
      </c>
      <c r="F132" s="152" t="str">
        <f t="shared" ref="F132:H132" si="37">IFERROR($D132*(F61+F66+F67),"")</f>
        <v/>
      </c>
      <c r="G132" s="152" t="str">
        <f t="shared" si="37"/>
        <v/>
      </c>
      <c r="H132" s="152" t="str">
        <f t="shared" si="37"/>
        <v/>
      </c>
      <c r="I132" s="152" t="str">
        <f>IFERROR(ROUND($D132*(I61+I66+I67),2),"")</f>
        <v/>
      </c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</row>
    <row r="133" spans="1:53" s="13" customFormat="1">
      <c r="A133" s="92"/>
      <c r="B133" s="101" t="s">
        <v>6</v>
      </c>
      <c r="C133" s="102" t="s">
        <v>39</v>
      </c>
      <c r="D133" s="442">
        <f>INDEX('Apoio - Notas Explicativas'!$Q:$Q,MATCH(C133,'Apoio - Notas Explicativas'!$C:$C,0))</f>
        <v>6.9999999999999999E-4</v>
      </c>
      <c r="E133" s="113" t="str">
        <f>IFERROR((E$61+E67)*$D$133,"")</f>
        <v/>
      </c>
      <c r="F133" s="152" t="str">
        <f t="shared" ref="F133:H133" si="38">IFERROR((F$61+F67)*$D$133,"")</f>
        <v/>
      </c>
      <c r="G133" s="152" t="str">
        <f t="shared" si="38"/>
        <v/>
      </c>
      <c r="H133" s="152" t="str">
        <f t="shared" si="38"/>
        <v/>
      </c>
      <c r="I133" s="152" t="str">
        <f>IFERROR(ROUND((I$61+I67)*$D$133,2),"")</f>
        <v/>
      </c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</row>
    <row r="134" spans="1:53" s="13" customFormat="1">
      <c r="A134" s="92"/>
      <c r="B134" s="101" t="s">
        <v>5</v>
      </c>
      <c r="C134" s="102" t="s">
        <v>95</v>
      </c>
      <c r="D134" s="442">
        <f>SUM(D128:D133)*SUM(D81:D82,D72:D77)</f>
        <v>1.4536000000000002E-2</v>
      </c>
      <c r="E134" s="113" t="str">
        <f>IF(E18="","",SUM(E128:E133)*SUM($D$72:$D$77,$D$81:$D$82))</f>
        <v/>
      </c>
      <c r="F134" s="152" t="str">
        <f t="shared" ref="F134:H134" si="39">IF(F18="","",SUM(F128:F133)*SUM($D$72:$D$77,$D$81:$D$82))</f>
        <v/>
      </c>
      <c r="G134" s="152" t="str">
        <f t="shared" si="39"/>
        <v/>
      </c>
      <c r="H134" s="152" t="str">
        <f t="shared" si="39"/>
        <v/>
      </c>
      <c r="I134" s="152" t="str">
        <f>IF(I18="","",ROUND(SUM(I128:I133)*SUM($D$72:$D$77,$D$81:$D$82),2))</f>
        <v/>
      </c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</row>
    <row r="135" spans="1:53" s="13" customFormat="1">
      <c r="A135" s="92"/>
      <c r="B135" s="101" t="s">
        <v>4</v>
      </c>
      <c r="C135" s="102" t="s">
        <v>92</v>
      </c>
      <c r="D135" s="452">
        <f>INDEX('Apoio - Notas Explicativas'!$Q:$Q,MATCH(C135,'Apoio - Notas Explicativas'!$C:$C,0))</f>
        <v>37.96</v>
      </c>
      <c r="E135" s="113" t="str">
        <f>IFERROR(((E112-SUM(E91,E96))/(30*12))*$D$135,"")</f>
        <v/>
      </c>
      <c r="F135" s="152" t="str">
        <f t="shared" ref="F135:H135" si="40">IFERROR(((F112-SUM(F91,F96))/(30*12))*$D$135,"")</f>
        <v/>
      </c>
      <c r="G135" s="152" t="str">
        <f t="shared" si="40"/>
        <v/>
      </c>
      <c r="H135" s="152" t="str">
        <f t="shared" si="40"/>
        <v/>
      </c>
      <c r="I135" s="152" t="str">
        <f>IFERROR(ROUND(((I112-SUM(I91,I96))/(30*12))*$D$135,2),"")</f>
        <v/>
      </c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</row>
    <row r="136" spans="1:53" s="13" customFormat="1">
      <c r="A136" s="92"/>
      <c r="B136" s="101" t="s">
        <v>142</v>
      </c>
      <c r="C136" s="102" t="s">
        <v>40</v>
      </c>
      <c r="D136" s="452">
        <f>INDEX('Apoio - Notas Explicativas'!$Q:$Q,MATCH(C136,'Apoio - Notas Explicativas'!$C:$C,0))</f>
        <v>37.96</v>
      </c>
      <c r="E136" s="113" t="str">
        <f>IFERROR(((((E$123/12)*$D$136))/30),"")</f>
        <v/>
      </c>
      <c r="F136" s="152" t="str">
        <f t="shared" ref="F136:H136" si="41">IFERROR(((((F$123/12)*$D$136))/30),"")</f>
        <v/>
      </c>
      <c r="G136" s="152" t="str">
        <f t="shared" si="41"/>
        <v/>
      </c>
      <c r="H136" s="152" t="str">
        <f t="shared" si="41"/>
        <v/>
      </c>
      <c r="I136" s="152" t="str">
        <f>IFERROR(ROUND(((((I$123/12)*$D$136))/30),2),"")</f>
        <v/>
      </c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</row>
    <row r="137" spans="1:53" s="5" customFormat="1">
      <c r="A137" s="90"/>
      <c r="B137" s="186"/>
      <c r="C137" s="187" t="s">
        <v>149</v>
      </c>
      <c r="D137" s="190"/>
      <c r="E137" s="191" t="str">
        <f>IF(SUM(E128:E136)=0,"",SUM(E128:E136))</f>
        <v/>
      </c>
      <c r="F137" s="189" t="str">
        <f t="shared" ref="F137:H137" si="42">IF(SUM(F128:F136)=0,"",SUM(F128:F136))</f>
        <v/>
      </c>
      <c r="G137" s="191" t="str">
        <f t="shared" si="42"/>
        <v/>
      </c>
      <c r="H137" s="189" t="str">
        <f t="shared" si="42"/>
        <v/>
      </c>
      <c r="I137" s="189" t="str">
        <f>IF(SUM(I128:I136)=0,"",SUM(I128:I136))</f>
        <v/>
      </c>
      <c r="J137" s="317"/>
      <c r="K137" s="317"/>
      <c r="L137" s="317"/>
      <c r="M137" s="317"/>
      <c r="N137" s="317"/>
      <c r="O137" s="317"/>
      <c r="P137" s="317"/>
      <c r="Q137" s="317"/>
      <c r="R137" s="317"/>
      <c r="S137" s="317"/>
      <c r="T137" s="317"/>
      <c r="U137" s="317"/>
      <c r="V137" s="317"/>
      <c r="W137" s="317"/>
      <c r="X137" s="317"/>
      <c r="Y137" s="317"/>
      <c r="Z137" s="317"/>
      <c r="AA137" s="317"/>
      <c r="AB137" s="317"/>
      <c r="AC137" s="317"/>
      <c r="AD137" s="317"/>
      <c r="AE137" s="317"/>
      <c r="AF137" s="317"/>
      <c r="AG137" s="317"/>
      <c r="AH137" s="317"/>
      <c r="AI137" s="317"/>
      <c r="AJ137" s="317"/>
      <c r="AK137" s="317"/>
      <c r="AL137" s="317"/>
      <c r="AM137" s="317"/>
      <c r="AN137" s="317"/>
      <c r="AO137" s="317"/>
      <c r="AP137" s="317"/>
      <c r="AQ137" s="317"/>
      <c r="AR137" s="317"/>
      <c r="AS137" s="317"/>
      <c r="AT137" s="317"/>
      <c r="AU137" s="317"/>
      <c r="AV137" s="317"/>
      <c r="AW137" s="317"/>
      <c r="AX137" s="317"/>
      <c r="AY137" s="317"/>
      <c r="AZ137" s="317"/>
      <c r="BA137" s="317"/>
    </row>
    <row r="138" spans="1:53" customFormat="1" hidden="1"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7"/>
      <c r="AV138" s="47"/>
      <c r="AW138" s="47"/>
      <c r="AX138" s="47"/>
      <c r="AY138" s="47"/>
      <c r="AZ138" s="47"/>
      <c r="BA138" s="47"/>
    </row>
    <row r="139" spans="1:53" s="6" customFormat="1" hidden="1">
      <c r="A139" s="89"/>
      <c r="B139" s="186"/>
      <c r="C139" s="187" t="s">
        <v>438</v>
      </c>
      <c r="D139" s="188"/>
      <c r="E139" s="191"/>
      <c r="F139" s="191"/>
      <c r="G139" s="191"/>
      <c r="H139" s="191"/>
      <c r="I139" s="191"/>
      <c r="J139" s="319"/>
      <c r="K139" s="319"/>
      <c r="L139" s="319"/>
      <c r="M139" s="319"/>
      <c r="N139" s="319"/>
      <c r="O139" s="319"/>
      <c r="P139" s="319"/>
      <c r="Q139" s="319"/>
      <c r="R139" s="319"/>
      <c r="S139" s="319"/>
      <c r="T139" s="319"/>
      <c r="U139" s="319"/>
      <c r="V139" s="319"/>
      <c r="W139" s="319"/>
      <c r="X139" s="319"/>
      <c r="Y139" s="319"/>
      <c r="Z139" s="319"/>
      <c r="AA139" s="319"/>
      <c r="AB139" s="319"/>
      <c r="AC139" s="319"/>
      <c r="AD139" s="319"/>
      <c r="AE139" s="319"/>
      <c r="AF139" s="319"/>
      <c r="AG139" s="319"/>
      <c r="AH139" s="319"/>
      <c r="AI139" s="319"/>
      <c r="AJ139" s="319"/>
      <c r="AK139" s="319"/>
      <c r="AL139" s="319"/>
      <c r="AM139" s="319"/>
      <c r="AN139" s="319"/>
      <c r="AO139" s="319"/>
      <c r="AP139" s="319"/>
      <c r="AQ139" s="319"/>
      <c r="AR139" s="319"/>
      <c r="AS139" s="319"/>
      <c r="AT139" s="319"/>
      <c r="AU139" s="319"/>
      <c r="AV139" s="319"/>
      <c r="AW139" s="319"/>
      <c r="AX139" s="319"/>
      <c r="AY139" s="319"/>
      <c r="AZ139" s="319"/>
      <c r="BA139" s="319"/>
    </row>
    <row r="140" spans="1:53" s="13" customFormat="1" hidden="1">
      <c r="A140" s="93"/>
      <c r="B140" s="704" t="s">
        <v>2</v>
      </c>
      <c r="C140" s="150" t="s">
        <v>403</v>
      </c>
      <c r="D140" s="201"/>
      <c r="E140" s="163"/>
      <c r="F140" s="163"/>
      <c r="G140" s="163"/>
      <c r="H140" s="163"/>
      <c r="I140" s="153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</row>
    <row r="141" spans="1:53" s="24" customFormat="1" hidden="1">
      <c r="A141" s="93"/>
      <c r="B141" s="705"/>
      <c r="C141" s="151" t="s">
        <v>366</v>
      </c>
      <c r="D141" s="194"/>
      <c r="E141" s="195"/>
      <c r="F141" s="195"/>
      <c r="G141" s="195"/>
      <c r="H141" s="195"/>
      <c r="I141" s="196"/>
    </row>
    <row r="142" spans="1:53" s="24" customFormat="1" hidden="1">
      <c r="A142" s="93"/>
      <c r="B142" s="706"/>
      <c r="C142" s="239"/>
      <c r="D142" s="240" t="s">
        <v>43</v>
      </c>
      <c r="E142" s="115" t="str">
        <f>IF(E141="Rendição",(((SUM(E61,E$83,E$112,E148)/VLOOKUP(E$26,'Apoio - Regime de Trabalho'!$A:$I,8,FALSE)))*VLOOKUP(E$26,'Apoio - Regime de Trabalho'!$A:$I,7,FALSE)),
IF(E141="Não",0,
IF(E141="Indenização",(((SUM(E32,E42)/VLOOKUP(E$26,'Apoio - Regime de Trabalho'!$A:$I,8,FALSE))*1.5)*VLOOKUP(E$26,'Apoio - Regime de Trabalho'!$A:$I,7,FALSE)),"")))</f>
        <v/>
      </c>
      <c r="F142" s="115" t="str">
        <f>IF(F141="Rendição",(((SUM(F61,F$83,F$112,F148)/VLOOKUP(F$26,'Apoio - Regime de Trabalho'!$A:$I,8,FALSE)))*VLOOKUP(F$26,'Apoio - Regime de Trabalho'!$A:$I,7,FALSE)),
IF(F141="Não",0,
IF(F141="Indenização",(((SUM(F32,F42)/VLOOKUP(F$26,'Apoio - Regime de Trabalho'!$A:$I,8,FALSE))*1.5)*VLOOKUP(F$26,'Apoio - Regime de Trabalho'!$A:$I,7,FALSE)),"")))</f>
        <v/>
      </c>
      <c r="G142" s="115" t="str">
        <f>IF(G141="Rendição",(((SUM(G61,G$83,G$112,G148)/VLOOKUP(G$26,'Apoio - Regime de Trabalho'!$A:$I,8,FALSE)))*VLOOKUP(G$26,'Apoio - Regime de Trabalho'!$A:$I,7,FALSE)),
IF(G141="Não",0,
IF(G141="Indenização",(((SUM(G32,G42)/VLOOKUP(G$26,'Apoio - Regime de Trabalho'!$A:$I,8,FALSE))*1.5)*VLOOKUP(G$26,'Apoio - Regime de Trabalho'!$A:$I,7,FALSE)),"")))</f>
        <v/>
      </c>
      <c r="H142" s="115" t="str">
        <f>IF(H141="Rendição",(((SUM(H61,H$83,H$112,H148)/VLOOKUP(H$26,'Apoio - Regime de Trabalho'!$A:$I,8,FALSE)))*VLOOKUP(H$26,'Apoio - Regime de Trabalho'!$A:$I,7,FALSE)),
IF(H141="Não",0,
IF(H141="Indenização",(((SUM(H32,H42)/VLOOKUP(H$26,'Apoio - Regime de Trabalho'!$A:$I,8,FALSE))*1.5)*VLOOKUP(H$26,'Apoio - Regime de Trabalho'!$A:$I,7,FALSE)),"")))</f>
        <v/>
      </c>
      <c r="I142" s="115" t="str">
        <f>IF(I141="Rendição",(((SUM(I61,I$83,I$112,I148)/VLOOKUP(I$26,'Apoio - Regime de Trabalho'!$A:$I,8,FALSE)))*VLOOKUP(I$26,'Apoio - Regime de Trabalho'!$A:$I,7,FALSE)),IF(I141="Não",0,IF(I141="Indenização",(((I61/VLOOKUP(I$26,'Apoio - Regime de Trabalho'!$A:$I,8,FALSE))*1.5)*VLOOKUP(I$26,'Apoio - Regime de Trabalho'!$A:$I,7,FALSE)),"")))</f>
        <v/>
      </c>
    </row>
    <row r="143" spans="1:53" s="5" customFormat="1" hidden="1">
      <c r="A143" s="90"/>
      <c r="B143" s="186"/>
      <c r="C143" s="187" t="s">
        <v>150</v>
      </c>
      <c r="D143" s="190"/>
      <c r="E143" s="189" t="str">
        <f>E142</f>
        <v/>
      </c>
      <c r="F143" s="189" t="str">
        <f t="shared" ref="F143:H143" si="43">F142</f>
        <v/>
      </c>
      <c r="G143" s="189" t="str">
        <f t="shared" si="43"/>
        <v/>
      </c>
      <c r="H143" s="189" t="str">
        <f t="shared" si="43"/>
        <v/>
      </c>
      <c r="I143" s="189" t="str">
        <f>I142</f>
        <v/>
      </c>
      <c r="J143" s="317"/>
      <c r="K143" s="317"/>
      <c r="L143" s="317"/>
      <c r="M143" s="317"/>
      <c r="N143" s="317"/>
      <c r="O143" s="317"/>
      <c r="P143" s="317"/>
      <c r="Q143" s="317"/>
      <c r="R143" s="317"/>
      <c r="S143" s="317"/>
      <c r="T143" s="317"/>
      <c r="U143" s="317"/>
      <c r="V143" s="317"/>
      <c r="W143" s="317"/>
      <c r="X143" s="317"/>
      <c r="Y143" s="317"/>
      <c r="Z143" s="317"/>
      <c r="AA143" s="317"/>
      <c r="AB143" s="317"/>
      <c r="AC143" s="317"/>
      <c r="AD143" s="317"/>
      <c r="AE143" s="317"/>
      <c r="AF143" s="317"/>
      <c r="AG143" s="317"/>
      <c r="AH143" s="317"/>
      <c r="AI143" s="317"/>
      <c r="AJ143" s="317"/>
      <c r="AK143" s="317"/>
      <c r="AL143" s="317"/>
      <c r="AM143" s="317"/>
      <c r="AN143" s="317"/>
      <c r="AO143" s="317"/>
      <c r="AP143" s="317"/>
      <c r="AQ143" s="317"/>
      <c r="AR143" s="317"/>
      <c r="AS143" s="317"/>
      <c r="AT143" s="317"/>
      <c r="AU143" s="317"/>
      <c r="AV143" s="317"/>
      <c r="AW143" s="317"/>
      <c r="AX143" s="317"/>
      <c r="AY143" s="317"/>
      <c r="AZ143" s="317"/>
      <c r="BA143" s="317"/>
    </row>
    <row r="144" spans="1:53" customFormat="1" ht="3.75" customHeight="1">
      <c r="J144" s="47"/>
      <c r="K144" s="47"/>
      <c r="L144" s="47"/>
      <c r="M144" s="47"/>
      <c r="N144" s="47"/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  <c r="AX144" s="47"/>
      <c r="AY144" s="47"/>
      <c r="AZ144" s="47"/>
      <c r="BA144" s="47"/>
    </row>
    <row r="145" spans="1:53" s="5" customFormat="1">
      <c r="A145" s="87"/>
      <c r="B145" s="172"/>
      <c r="C145" s="104" t="s">
        <v>151</v>
      </c>
      <c r="D145" s="168"/>
      <c r="E145" s="170" t="str">
        <f>IF(E143="",E137,SUM(E143,E137))</f>
        <v/>
      </c>
      <c r="F145" s="170" t="str">
        <f t="shared" ref="F145:H145" si="44">IF(F143="",F137,SUM(F143,F137))</f>
        <v/>
      </c>
      <c r="G145" s="169" t="str">
        <f t="shared" si="44"/>
        <v/>
      </c>
      <c r="H145" s="493" t="str">
        <f t="shared" si="44"/>
        <v/>
      </c>
      <c r="I145" s="171" t="str">
        <f>IF(I143="",I137,SUM(I143,I137))</f>
        <v/>
      </c>
      <c r="J145" s="494"/>
      <c r="K145" s="317"/>
      <c r="L145" s="317"/>
      <c r="M145" s="317"/>
      <c r="N145" s="317"/>
      <c r="O145" s="317"/>
      <c r="P145" s="317"/>
      <c r="Q145" s="317"/>
      <c r="R145" s="317"/>
      <c r="S145" s="317"/>
      <c r="T145" s="317"/>
      <c r="U145" s="317"/>
      <c r="V145" s="317"/>
      <c r="W145" s="317"/>
      <c r="X145" s="317"/>
      <c r="Y145" s="317"/>
      <c r="Z145" s="317"/>
      <c r="AA145" s="317"/>
      <c r="AB145" s="317"/>
      <c r="AC145" s="317"/>
      <c r="AD145" s="317"/>
      <c r="AE145" s="317"/>
      <c r="AF145" s="317"/>
      <c r="AG145" s="317"/>
      <c r="AH145" s="317"/>
      <c r="AI145" s="317"/>
      <c r="AJ145" s="317"/>
      <c r="AK145" s="317"/>
      <c r="AL145" s="317"/>
      <c r="AM145" s="317"/>
      <c r="AN145" s="317"/>
      <c r="AO145" s="317"/>
      <c r="AP145" s="317"/>
      <c r="AQ145" s="317"/>
      <c r="AR145" s="317"/>
      <c r="AS145" s="317"/>
      <c r="AT145" s="317"/>
      <c r="AU145" s="317"/>
      <c r="AV145" s="317"/>
      <c r="AW145" s="317"/>
      <c r="AX145" s="317"/>
      <c r="AY145" s="317"/>
      <c r="AZ145" s="317"/>
      <c r="BA145" s="317"/>
    </row>
    <row r="146" spans="1:53" s="5" customFormat="1">
      <c r="B146" s="99"/>
      <c r="C146" s="15"/>
      <c r="D146" s="16"/>
      <c r="E146" s="15"/>
      <c r="F146" s="15"/>
      <c r="G146" s="15"/>
      <c r="H146" s="15"/>
      <c r="I146" s="15"/>
      <c r="J146" s="317"/>
      <c r="K146" s="317"/>
      <c r="L146" s="317"/>
      <c r="M146" s="317"/>
      <c r="N146" s="317"/>
      <c r="O146" s="317"/>
      <c r="P146" s="317"/>
      <c r="Q146" s="317"/>
      <c r="R146" s="317"/>
      <c r="S146" s="317"/>
      <c r="T146" s="317"/>
      <c r="U146" s="317"/>
      <c r="V146" s="317"/>
      <c r="W146" s="317"/>
      <c r="X146" s="317"/>
      <c r="Y146" s="317"/>
      <c r="Z146" s="317"/>
      <c r="AA146" s="317"/>
      <c r="AB146" s="317"/>
      <c r="AC146" s="317"/>
      <c r="AD146" s="317"/>
      <c r="AE146" s="317"/>
      <c r="AF146" s="317"/>
      <c r="AG146" s="317"/>
      <c r="AH146" s="317"/>
      <c r="AI146" s="317"/>
      <c r="AJ146" s="317"/>
      <c r="AK146" s="317"/>
      <c r="AL146" s="317"/>
      <c r="AM146" s="317"/>
      <c r="AN146" s="317"/>
      <c r="AO146" s="317"/>
      <c r="AP146" s="317"/>
      <c r="AQ146" s="317"/>
      <c r="AR146" s="317"/>
      <c r="AS146" s="317"/>
      <c r="AT146" s="317"/>
      <c r="AU146" s="317"/>
      <c r="AV146" s="317"/>
      <c r="AW146" s="317"/>
      <c r="AX146" s="317"/>
      <c r="AY146" s="317"/>
      <c r="AZ146" s="317"/>
      <c r="BA146" s="317"/>
    </row>
    <row r="147" spans="1:53" s="6" customFormat="1">
      <c r="A147" s="88"/>
      <c r="B147" s="103"/>
      <c r="C147" s="104" t="s">
        <v>418</v>
      </c>
      <c r="D147" s="105"/>
      <c r="E147" s="395"/>
      <c r="F147" s="395"/>
      <c r="G147" s="395"/>
      <c r="H147" s="395"/>
      <c r="I147" s="395"/>
      <c r="J147" s="319"/>
      <c r="K147" s="319"/>
      <c r="L147" s="319"/>
      <c r="M147" s="319"/>
      <c r="N147" s="319"/>
      <c r="O147" s="319"/>
      <c r="P147" s="319"/>
      <c r="Q147" s="319"/>
      <c r="R147" s="319"/>
      <c r="S147" s="319"/>
      <c r="T147" s="319"/>
      <c r="U147" s="319"/>
      <c r="V147" s="319"/>
      <c r="W147" s="319"/>
      <c r="X147" s="319"/>
      <c r="Y147" s="319"/>
      <c r="Z147" s="319"/>
      <c r="AA147" s="319"/>
      <c r="AB147" s="319"/>
      <c r="AC147" s="319"/>
      <c r="AD147" s="319"/>
      <c r="AE147" s="319"/>
      <c r="AF147" s="319"/>
      <c r="AG147" s="319"/>
      <c r="AH147" s="319"/>
      <c r="AI147" s="319"/>
      <c r="AJ147" s="319"/>
      <c r="AK147" s="319"/>
      <c r="AL147" s="319"/>
      <c r="AM147" s="319"/>
      <c r="AN147" s="319"/>
      <c r="AO147" s="319"/>
      <c r="AP147" s="319"/>
      <c r="AQ147" s="319"/>
      <c r="AR147" s="319"/>
      <c r="AS147" s="319"/>
      <c r="AT147" s="319"/>
      <c r="AU147" s="319"/>
      <c r="AV147" s="319"/>
      <c r="AW147" s="319"/>
      <c r="AX147" s="319"/>
      <c r="AY147" s="319"/>
      <c r="AZ147" s="319"/>
      <c r="BA147" s="319"/>
    </row>
    <row r="148" spans="1:53" s="6" customFormat="1">
      <c r="A148" s="92"/>
      <c r="B148" s="101" t="s">
        <v>2</v>
      </c>
      <c r="C148" s="337" t="s">
        <v>276</v>
      </c>
      <c r="D148" s="442"/>
      <c r="E148" s="113" t="str">
        <f>IF(E18="","",ROUND(IF($D$148&lt;&gt;"",$D$148*E170,IFERROR('Mat Individual e Uniformes func'!H28/Proposta!$J$6,"")),2))</f>
        <v/>
      </c>
      <c r="F148" s="113" t="str">
        <f>IF(F18="","",ROUND(IF($D$148&lt;&gt;"",$D$148*F170,IFERROR('Mat Individual e Uniformes func'!I28/Proposta!$J$6,"")),2))</f>
        <v/>
      </c>
      <c r="G148" s="113" t="str">
        <f>IF(G18="","",ROUND(IF($D$148&lt;&gt;"",$D$148*G170,IFERROR('Mat Individual e Uniformes func'!J28/Proposta!$J$6,"")),2))</f>
        <v/>
      </c>
      <c r="H148" s="113" t="str">
        <f>IF(H18="","",ROUND(IF($D$148&lt;&gt;"",$D$148*H170,IFERROR('Mat Individual e Uniformes func'!K28/Proposta!$J$6,"")),2))</f>
        <v/>
      </c>
      <c r="I148" s="113" t="str">
        <f>IF(I18="","",IF($D$148&lt;&gt;"",$D$148*I179,IFERROR('Mat Individual e Uniformes func'!L28,"")))</f>
        <v/>
      </c>
      <c r="J148" s="319"/>
      <c r="K148" s="319"/>
      <c r="L148" s="319"/>
      <c r="M148" s="319"/>
      <c r="N148" s="319"/>
      <c r="O148" s="319"/>
      <c r="P148" s="319"/>
      <c r="Q148" s="319"/>
      <c r="R148" s="319"/>
      <c r="S148" s="319"/>
      <c r="T148" s="319"/>
      <c r="U148" s="319"/>
      <c r="V148" s="319"/>
      <c r="W148" s="319"/>
      <c r="X148" s="319"/>
      <c r="Y148" s="319"/>
      <c r="Z148" s="319"/>
      <c r="AA148" s="319"/>
      <c r="AB148" s="319"/>
      <c r="AC148" s="319"/>
      <c r="AD148" s="319"/>
      <c r="AE148" s="319"/>
      <c r="AF148" s="319"/>
      <c r="AG148" s="319"/>
      <c r="AH148" s="319"/>
      <c r="AI148" s="319"/>
      <c r="AJ148" s="319"/>
      <c r="AK148" s="319"/>
      <c r="AL148" s="319"/>
      <c r="AM148" s="319"/>
      <c r="AN148" s="319"/>
      <c r="AO148" s="319"/>
      <c r="AP148" s="319"/>
      <c r="AQ148" s="319"/>
      <c r="AR148" s="319"/>
      <c r="AS148" s="319"/>
      <c r="AT148" s="319"/>
      <c r="AU148" s="319"/>
      <c r="AV148" s="319"/>
      <c r="AW148" s="319"/>
      <c r="AX148" s="319"/>
      <c r="AY148" s="319"/>
      <c r="AZ148" s="319"/>
      <c r="BA148" s="319"/>
    </row>
    <row r="149" spans="1:53" s="6" customFormat="1">
      <c r="A149" s="92"/>
      <c r="B149" s="101" t="s">
        <v>1</v>
      </c>
      <c r="C149" s="337" t="s">
        <v>277</v>
      </c>
      <c r="D149" s="442">
        <f>12%/88%</f>
        <v>0.13636363636363635</v>
      </c>
      <c r="E149" s="113" t="str">
        <f>IFERROR(
IF(E18="","",ROUND(
IF($D$149&lt;&gt;"",$D$149*SUM(E148,E179),
IFERROR(SUMIFS('Mat Coletivo e Equipamentos'!$K6:$K1010,'Mat Coletivo e Equipamentos'!$E6:$E1010,"",'Mat Coletivo e Equipamentos'!$F$6:$F$1010,"")/SUM($E$29:$XX$29),0)
+
IFERROR(SUMIFS('Mat Coletivo e Equipamentos'!$K6:$K1010,'Mat Coletivo e Equipamentos'!$E6:$E1010,"Todos",'Mat Coletivo e Equipamentos'!$F$6:$F$1010,"Todos")/SUM($E$29:$XX$29),0)
+
IFERROR(SUMIFS('Mat Coletivo e Equipamentos'!$K6:$K1010,'Mat Coletivo e Equipamentos'!$E6:$E1010,"",'Mat Coletivo e Equipamentos'!$F$6:$F$1010,E25)/SUMIFS($E$29:$XX$29,$E$25:$XX$25,E25),0)
+
IFERROR(SUMIFS('Mat Coletivo e Equipamentos'!$K6:$K1010,'Mat Coletivo e Equipamentos'!$E6:$E1010,"Todos",'Mat Coletivo e Equipamentos'!$F$6:$F$1010,E25)/SUMIFS($E$29:$XX$29,$E$25:$XX$25,E25),0)
+
IFERROR(SUMIFS('Mat Coletivo e Equipamentos'!$K6:$K1010,'Mat Coletivo e Equipamentos'!$E6:$E1010,E17,'Mat Coletivo e Equipamentos'!$F$6:$F$1010,"")/SUMIFS($E$29:$XX$29,$E$19:$XX$19,E19),0)
+
IFERROR(SUMIFS('Mat Coletivo e Equipamentos'!$K6:$K1010,'Mat Coletivo e Equipamentos'!$E6:$E1010,E17,'Mat Coletivo e Equipamentos'!$F$6:$F$1010,E25)/SUMIFS($E$29:$XX$29,$E$19:$XX$19,E19,$E$25:$XX$25,E25)*E28,0)
),2)),"")</f>
        <v/>
      </c>
      <c r="F149" s="113" t="str">
        <f>IFERROR(
IF(F18="","",ROUND(
IF($D$149&lt;&gt;"",$D$149*SUM(F148,F179),
IFERROR(SUMIFS('Mat Coletivo e Equipamentos'!$K6:$K1010,'Mat Coletivo e Equipamentos'!$E6:$E1010,"",'Mat Coletivo e Equipamentos'!$F$6:$F$1010,"")/SUM($E$29:$XX$29),0)
+
IFERROR(SUMIFS('Mat Coletivo e Equipamentos'!$K6:$K1010,'Mat Coletivo e Equipamentos'!$E6:$E1010,"Todos",'Mat Coletivo e Equipamentos'!$F$6:$F$1010,"Todos")/SUM($E$29:$XX$29),0)
+
IFERROR(SUMIFS('Mat Coletivo e Equipamentos'!$K6:$K1010,'Mat Coletivo e Equipamentos'!$E6:$E1010,"",'Mat Coletivo e Equipamentos'!$F$6:$F$1010,F25)/SUMIFS($E$29:$XX$29,$E$25:$XX$25,F25),0)
+
IFERROR(SUMIFS('Mat Coletivo e Equipamentos'!$K6:$K1010,'Mat Coletivo e Equipamentos'!$E6:$E1010,"Todos",'Mat Coletivo e Equipamentos'!$F$6:$F$1010,F25)/SUMIFS($E$29:$XX$29,$E$25:$XX$25,F25),0)
+
IFERROR(SUMIFS('Mat Coletivo e Equipamentos'!$K6:$K1010,'Mat Coletivo e Equipamentos'!$E6:$E1010,F17,'Mat Coletivo e Equipamentos'!$F$6:$F$1010,"")/SUMIFS($E$29:$XX$29,$E$19:$XX$19,F19),0)
+
IFERROR(SUMIFS('Mat Coletivo e Equipamentos'!$K6:$K1010,'Mat Coletivo e Equipamentos'!$E6:$E1010,F17,'Mat Coletivo e Equipamentos'!$F$6:$F$1010,F25)/SUMIFS($E$29:$XX$29,$E$19:$XX$19,F19,$E$25:$XX$25,F25)*F28,0)
),2)),"")</f>
        <v/>
      </c>
      <c r="G149" s="113" t="str">
        <f>IFERROR(
IF(G18="","",ROUND(
IF($D$149&lt;&gt;"",$D$149*SUM(G148,G179),
IFERROR(SUMIFS('Mat Coletivo e Equipamentos'!$K6:$K1010,'Mat Coletivo e Equipamentos'!$E6:$E1010,"",'Mat Coletivo e Equipamentos'!$F$6:$F$1010,"")/SUM($E$29:$XX$29),0)
+
IFERROR(SUMIFS('Mat Coletivo e Equipamentos'!$K6:$K1010,'Mat Coletivo e Equipamentos'!$E6:$E1010,"Todos",'Mat Coletivo e Equipamentos'!$F$6:$F$1010,"Todos")/SUM($E$29:$XX$29),0)
+
IFERROR(SUMIFS('Mat Coletivo e Equipamentos'!$K6:$K1010,'Mat Coletivo e Equipamentos'!$E6:$E1010,"",'Mat Coletivo e Equipamentos'!$F$6:$F$1010,G25)/SUMIFS($E$29:$XX$29,$E$25:$XX$25,G25),0)
+
IFERROR(SUMIFS('Mat Coletivo e Equipamentos'!$K6:$K1010,'Mat Coletivo e Equipamentos'!$E6:$E1010,"Todos",'Mat Coletivo e Equipamentos'!$F$6:$F$1010,G25)/SUMIFS($E$29:$XX$29,$E$25:$XX$25,G25),0)
+
IFERROR(SUMIFS('Mat Coletivo e Equipamentos'!$K6:$K1010,'Mat Coletivo e Equipamentos'!$E6:$E1010,G17,'Mat Coletivo e Equipamentos'!$F$6:$F$1010,"")/SUMIFS($E$29:$XX$29,$E$19:$XX$19,G19),0)
+
IFERROR(SUMIFS('Mat Coletivo e Equipamentos'!$K6:$K1010,'Mat Coletivo e Equipamentos'!$E6:$E1010,G17,'Mat Coletivo e Equipamentos'!$F$6:$F$1010,G25)/SUMIFS($E$29:$XX$29,$E$19:$XX$19,G19,$E$25:$XX$25,G25)*G28,0)
),2)),"")</f>
        <v/>
      </c>
      <c r="H149" s="113" t="str">
        <f>IFERROR(
IF(H18="","",ROUND(
IF($D$149&lt;&gt;"",$D$149*SUM(H148,H179),
IFERROR(SUMIFS('Mat Coletivo e Equipamentos'!$K6:$K1010,'Mat Coletivo e Equipamentos'!$E6:$E1010,"",'Mat Coletivo e Equipamentos'!$F$6:$F$1010,"")/SUM($E$29:$XX$29),0)
+
IFERROR(SUMIFS('Mat Coletivo e Equipamentos'!$K6:$K1010,'Mat Coletivo e Equipamentos'!$E6:$E1010,"Todos",'Mat Coletivo e Equipamentos'!$F$6:$F$1010,"Todos")/SUM($E$29:$XX$29),0)
+
IFERROR(SUMIFS('Mat Coletivo e Equipamentos'!$K6:$K1010,'Mat Coletivo e Equipamentos'!$E6:$E1010,"",'Mat Coletivo e Equipamentos'!$F$6:$F$1010,H25)/SUMIFS($E$29:$XX$29,$E$25:$XX$25,H25),0)
+
IFERROR(SUMIFS('Mat Coletivo e Equipamentos'!$K6:$K1010,'Mat Coletivo e Equipamentos'!$E6:$E1010,"Todos",'Mat Coletivo e Equipamentos'!$F$6:$F$1010,H25)/SUMIFS($E$29:$XX$29,$E$25:$XX$25,H25),0)
+
IFERROR(SUMIFS('Mat Coletivo e Equipamentos'!$K6:$K1010,'Mat Coletivo e Equipamentos'!$E6:$E1010,H17,'Mat Coletivo e Equipamentos'!$F$6:$F$1010,"")/SUMIFS($E$29:$XX$29,$E$19:$XX$19,H19),0)
+
IFERROR(SUMIFS('Mat Coletivo e Equipamentos'!$K6:$K1010,'Mat Coletivo e Equipamentos'!$E6:$E1010,H17,'Mat Coletivo e Equipamentos'!$F$6:$F$1010,H25)/SUMIFS($E$29:$XX$29,$E$19:$XX$19,H19,$E$25:$XX$25,H25)*H28,0)
),2)),"")</f>
        <v/>
      </c>
      <c r="I149" s="113" t="str">
        <f>IFERROR(
IF(I18="","",
IF($D$149&lt;&gt;"",$D$149*SUM(I148,I179),
IFERROR(SUMIFS('Mat Coletivo e Equipamentos'!$K6:$K1010,'Mat Coletivo e Equipamentos'!$E6:$E1010,"",'Mat Coletivo e Equipamentos'!$F$6:$F$1010,"")/SUM(#REF!),0)
+
IFERROR(SUMIFS('Mat Coletivo e Equipamentos'!$K6:$K1010,'Mat Coletivo e Equipamentos'!$E6:$E1010,"Todos",'Mat Coletivo e Equipamentos'!$F$6:$F$1010,"Todos")/SUM(#REF!),0)
+
IFERROR(SUMIFS('Mat Coletivo e Equipamentos'!$K6:$K1010,'Mat Coletivo e Equipamentos'!$E6:$E1010,"",'Mat Coletivo e Equipamentos'!$F$6:$F$1010,I25)/SUMIFS(#REF!,#REF!,I25),0)
+
IFERROR(SUMIFS('Mat Coletivo e Equipamentos'!$K6:$K1010,'Mat Coletivo e Equipamentos'!$E6:$E1010,"Todos",'Mat Coletivo e Equipamentos'!$F$6:$F$1010,I25)/SUMIFS(#REF!,#REF!,I25),0)
+
IFERROR(SUMIFS('Mat Coletivo e Equipamentos'!$K6:$K1010,'Mat Coletivo e Equipamentos'!$E6:$E1010,I18,'Mat Coletivo e Equipamentos'!$F$6:$F$1010,"")/SUMIFS(#REF!,#REF!,I19),0)
+
IFERROR(SUMIFS('Mat Coletivo e Equipamentos'!$K6:$K1010,'Mat Coletivo e Equipamentos'!$E6:$E1010,I18,'Mat Coletivo e Equipamentos'!$F$6:$F$1010,I25)/SUMIFS(#REF!,#REF!,I19,#REF!,I25)*I28,0)
)),"")</f>
        <v/>
      </c>
      <c r="J149" s="319"/>
      <c r="K149" s="319"/>
      <c r="L149" s="319"/>
      <c r="M149" s="319"/>
      <c r="N149" s="319"/>
      <c r="O149" s="319"/>
      <c r="P149" s="319"/>
      <c r="Q149" s="319"/>
      <c r="R149" s="319"/>
      <c r="S149" s="319"/>
      <c r="T149" s="319"/>
      <c r="U149" s="319"/>
      <c r="V149" s="319"/>
      <c r="W149" s="319"/>
      <c r="X149" s="319"/>
      <c r="Y149" s="319"/>
      <c r="Z149" s="319"/>
      <c r="AA149" s="319"/>
      <c r="AB149" s="319"/>
      <c r="AC149" s="319"/>
      <c r="AD149" s="319"/>
      <c r="AE149" s="319"/>
      <c r="AF149" s="319"/>
      <c r="AG149" s="319"/>
      <c r="AH149" s="319"/>
      <c r="AI149" s="319"/>
      <c r="AJ149" s="319"/>
      <c r="AK149" s="319"/>
      <c r="AL149" s="319"/>
      <c r="AM149" s="319"/>
      <c r="AN149" s="319"/>
      <c r="AO149" s="319"/>
      <c r="AP149" s="319"/>
      <c r="AQ149" s="319"/>
      <c r="AR149" s="319"/>
      <c r="AS149" s="319"/>
      <c r="AT149" s="319"/>
      <c r="AU149" s="319"/>
      <c r="AV149" s="319"/>
      <c r="AW149" s="319"/>
      <c r="AX149" s="319"/>
      <c r="AY149" s="319"/>
      <c r="AZ149" s="319"/>
      <c r="BA149" s="319"/>
    </row>
    <row r="150" spans="1:53" s="5" customFormat="1">
      <c r="A150" s="87"/>
      <c r="B150" s="172"/>
      <c r="C150" s="104" t="s">
        <v>271</v>
      </c>
      <c r="D150" s="168"/>
      <c r="E150" s="170" t="str">
        <f>IF(E18="","",SUM(E148:E149))</f>
        <v/>
      </c>
      <c r="F150" s="170" t="str">
        <f t="shared" ref="F150:H150" si="45">IF(F18="","",SUM(F148:F149))</f>
        <v/>
      </c>
      <c r="G150" s="170" t="str">
        <f t="shared" si="45"/>
        <v/>
      </c>
      <c r="H150" s="170" t="str">
        <f t="shared" si="45"/>
        <v/>
      </c>
      <c r="I150" s="170" t="str">
        <f>IF(I18="","",SUM(#REF!,#REF!))</f>
        <v/>
      </c>
      <c r="J150" s="317"/>
      <c r="K150" s="317"/>
      <c r="L150" s="317"/>
      <c r="M150" s="317"/>
      <c r="N150" s="317"/>
      <c r="O150" s="317"/>
      <c r="P150" s="317"/>
      <c r="Q150" s="317"/>
      <c r="R150" s="317"/>
      <c r="S150" s="317"/>
      <c r="T150" s="317"/>
      <c r="U150" s="317"/>
      <c r="V150" s="317"/>
      <c r="W150" s="317"/>
      <c r="X150" s="317"/>
      <c r="Y150" s="317"/>
      <c r="Z150" s="317"/>
      <c r="AA150" s="317"/>
      <c r="AB150" s="317"/>
      <c r="AC150" s="317"/>
      <c r="AD150" s="317"/>
      <c r="AE150" s="317"/>
      <c r="AF150" s="317"/>
      <c r="AG150" s="317"/>
      <c r="AH150" s="317"/>
      <c r="AI150" s="317"/>
      <c r="AJ150" s="317"/>
      <c r="AK150" s="317"/>
      <c r="AL150" s="317"/>
      <c r="AM150" s="317"/>
      <c r="AN150" s="317"/>
      <c r="AO150" s="317"/>
      <c r="AP150" s="317"/>
      <c r="AQ150" s="317"/>
      <c r="AR150" s="317"/>
      <c r="AS150" s="317"/>
      <c r="AT150" s="317"/>
      <c r="AU150" s="317"/>
      <c r="AV150" s="317"/>
      <c r="AW150" s="317"/>
      <c r="AX150" s="317"/>
      <c r="AY150" s="317"/>
      <c r="AZ150" s="317"/>
      <c r="BA150" s="317"/>
    </row>
    <row r="151" spans="1:53">
      <c r="F151" s="9"/>
      <c r="G151" s="9"/>
      <c r="H151" s="9"/>
      <c r="I151" s="9"/>
    </row>
    <row r="152" spans="1:53" s="6" customFormat="1">
      <c r="A152" s="88"/>
      <c r="B152" s="103"/>
      <c r="C152" s="104" t="s">
        <v>278</v>
      </c>
      <c r="D152" s="105"/>
      <c r="E152" s="395"/>
      <c r="F152" s="395"/>
      <c r="G152" s="395"/>
      <c r="H152" s="395"/>
      <c r="I152" s="395"/>
      <c r="J152" s="319"/>
      <c r="K152" s="319"/>
      <c r="L152" s="319"/>
      <c r="M152" s="319"/>
      <c r="N152" s="319"/>
      <c r="O152" s="319"/>
      <c r="P152" s="319"/>
      <c r="Q152" s="319"/>
      <c r="R152" s="319"/>
      <c r="S152" s="319"/>
      <c r="T152" s="319"/>
      <c r="U152" s="319"/>
      <c r="V152" s="319"/>
      <c r="W152" s="319"/>
      <c r="X152" s="319"/>
      <c r="Y152" s="319"/>
      <c r="Z152" s="319"/>
      <c r="AA152" s="319"/>
      <c r="AB152" s="319"/>
      <c r="AC152" s="319"/>
      <c r="AD152" s="319"/>
      <c r="AE152" s="319"/>
      <c r="AF152" s="319"/>
      <c r="AG152" s="319"/>
      <c r="AH152" s="319"/>
      <c r="AI152" s="319"/>
      <c r="AJ152" s="319"/>
      <c r="AK152" s="319"/>
      <c r="AL152" s="319"/>
      <c r="AM152" s="319"/>
      <c r="AN152" s="319"/>
      <c r="AO152" s="319"/>
      <c r="AP152" s="319"/>
      <c r="AQ152" s="319"/>
      <c r="AR152" s="319"/>
      <c r="AS152" s="319"/>
      <c r="AT152" s="319"/>
      <c r="AU152" s="319"/>
      <c r="AV152" s="319"/>
      <c r="AW152" s="319"/>
      <c r="AX152" s="319"/>
      <c r="AY152" s="319"/>
      <c r="AZ152" s="319"/>
      <c r="BA152" s="319"/>
    </row>
    <row r="153" spans="1:53" customFormat="1" ht="3.75" customHeight="1"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  <c r="AX153" s="47"/>
      <c r="AY153" s="47"/>
      <c r="AZ153" s="47"/>
      <c r="BA153" s="47"/>
    </row>
    <row r="154" spans="1:53" s="6" customFormat="1">
      <c r="A154" s="89"/>
      <c r="B154" s="186"/>
      <c r="C154" s="187" t="s">
        <v>282</v>
      </c>
      <c r="D154" s="188"/>
      <c r="E154" s="191"/>
      <c r="F154" s="191"/>
      <c r="G154" s="191"/>
      <c r="H154" s="191"/>
      <c r="I154" s="191"/>
      <c r="J154" s="319"/>
      <c r="K154" s="319"/>
      <c r="L154" s="319"/>
      <c r="M154" s="319"/>
      <c r="N154" s="319"/>
      <c r="O154" s="319"/>
      <c r="P154" s="319"/>
      <c r="Q154" s="319"/>
      <c r="R154" s="319"/>
      <c r="S154" s="319"/>
      <c r="T154" s="319"/>
      <c r="U154" s="319"/>
      <c r="V154" s="319"/>
      <c r="W154" s="319"/>
      <c r="X154" s="319"/>
      <c r="Y154" s="319"/>
      <c r="Z154" s="319"/>
      <c r="AA154" s="319"/>
      <c r="AB154" s="319"/>
      <c r="AC154" s="319"/>
      <c r="AD154" s="319"/>
      <c r="AE154" s="319"/>
      <c r="AF154" s="319"/>
      <c r="AG154" s="319"/>
      <c r="AH154" s="319"/>
      <c r="AI154" s="319"/>
      <c r="AJ154" s="319"/>
      <c r="AK154" s="319"/>
      <c r="AL154" s="319"/>
      <c r="AM154" s="319"/>
      <c r="AN154" s="319"/>
      <c r="AO154" s="319"/>
      <c r="AP154" s="319"/>
      <c r="AQ154" s="319"/>
      <c r="AR154" s="319"/>
      <c r="AS154" s="319"/>
      <c r="AT154" s="319"/>
      <c r="AU154" s="319"/>
      <c r="AV154" s="319"/>
      <c r="AW154" s="319"/>
      <c r="AX154" s="319"/>
      <c r="AY154" s="319"/>
      <c r="AZ154" s="319"/>
      <c r="BA154" s="319"/>
    </row>
    <row r="155" spans="1:53">
      <c r="A155" s="93"/>
      <c r="B155" s="101" t="s">
        <v>2</v>
      </c>
      <c r="C155" s="102" t="s">
        <v>279</v>
      </c>
      <c r="D155" s="442">
        <f>IFERROR(INDEX('Apoio - Notas Explicativas'!Q:Q,MATCH(C155,'Apoio - Notas Explicativas'!C:C,0)),"")</f>
        <v>0.05</v>
      </c>
      <c r="E155" s="113" t="str">
        <f>IF(E18="","",IFERROR(ROUND($D$155*SUM(E61,E114,E123,E145,E150),2),""))</f>
        <v/>
      </c>
      <c r="F155" s="113" t="str">
        <f t="shared" ref="F155:H155" si="46">IF(F18="","",IFERROR(ROUND($D$155*SUM(F61,F114,F123,F145,F150),2),""))</f>
        <v/>
      </c>
      <c r="G155" s="113" t="str">
        <f t="shared" si="46"/>
        <v/>
      </c>
      <c r="H155" s="113" t="str">
        <f t="shared" si="46"/>
        <v/>
      </c>
      <c r="I155" s="113" t="str">
        <f>IF(I18="","",IFERROR($D$155*SUM(I61,I114,I123,I145,I150),""))</f>
        <v/>
      </c>
    </row>
    <row r="156" spans="1:53">
      <c r="A156" s="92"/>
      <c r="B156" s="101" t="s">
        <v>1</v>
      </c>
      <c r="C156" s="102" t="s">
        <v>280</v>
      </c>
      <c r="D156" s="442">
        <f>IFERROR(INDEX('Apoio - Notas Explicativas'!Q:Q,MATCH(C156,'Apoio - Notas Explicativas'!C:C,0)),"")</f>
        <v>0.1</v>
      </c>
      <c r="E156" s="113" t="str">
        <f>IF(E18="","",IFERROR(ROUND($D$156*SUM(E155,E61,E114,E123,E145,E150),2),""))</f>
        <v/>
      </c>
      <c r="F156" s="113" t="str">
        <f t="shared" ref="F156:H156" si="47">IF(F18="","",IFERROR(ROUND($D$156*SUM(F155,F61,F114,F123,F145,F150),2),""))</f>
        <v/>
      </c>
      <c r="G156" s="113" t="str">
        <f t="shared" si="47"/>
        <v/>
      </c>
      <c r="H156" s="113" t="str">
        <f t="shared" si="47"/>
        <v/>
      </c>
      <c r="I156" s="113" t="str">
        <f>IF(I18="","",IFERROR($D$156*SUM(I155,I61,I114,I123,I145,I150),""))</f>
        <v/>
      </c>
    </row>
    <row r="157" spans="1:53" s="5" customFormat="1">
      <c r="A157" s="90"/>
      <c r="B157" s="186"/>
      <c r="C157" s="187" t="s">
        <v>283</v>
      </c>
      <c r="D157" s="190"/>
      <c r="E157" s="191" t="str">
        <f>IF(E18="","",SUM(E155:E156))</f>
        <v/>
      </c>
      <c r="F157" s="191" t="str">
        <f t="shared" ref="F157:H157" si="48">IF(F18="","",SUM(F155:F156))</f>
        <v/>
      </c>
      <c r="G157" s="191" t="str">
        <f t="shared" si="48"/>
        <v/>
      </c>
      <c r="H157" s="191" t="str">
        <f t="shared" si="48"/>
        <v/>
      </c>
      <c r="I157" s="189" t="str">
        <f>IF(I18="","",SUM(I155:I156))</f>
        <v/>
      </c>
      <c r="J157" s="317"/>
      <c r="K157" s="317"/>
      <c r="L157" s="317"/>
      <c r="M157" s="317"/>
      <c r="N157" s="317"/>
      <c r="O157" s="317"/>
      <c r="P157" s="317"/>
      <c r="Q157" s="317"/>
      <c r="R157" s="317"/>
      <c r="S157" s="317"/>
      <c r="T157" s="317"/>
      <c r="U157" s="317"/>
      <c r="V157" s="317"/>
      <c r="W157" s="317"/>
      <c r="X157" s="317"/>
      <c r="Y157" s="317"/>
      <c r="Z157" s="317"/>
      <c r="AA157" s="317"/>
      <c r="AB157" s="317"/>
      <c r="AC157" s="317"/>
      <c r="AD157" s="317"/>
      <c r="AE157" s="317"/>
      <c r="AF157" s="317"/>
      <c r="AG157" s="317"/>
      <c r="AH157" s="317"/>
      <c r="AI157" s="317"/>
      <c r="AJ157" s="317"/>
      <c r="AK157" s="317"/>
      <c r="AL157" s="317"/>
      <c r="AM157" s="317"/>
      <c r="AN157" s="317"/>
      <c r="AO157" s="317"/>
      <c r="AP157" s="317"/>
      <c r="AQ157" s="317"/>
      <c r="AR157" s="317"/>
      <c r="AS157" s="317"/>
      <c r="AT157" s="317"/>
      <c r="AU157" s="317"/>
      <c r="AV157" s="317"/>
      <c r="AW157" s="317"/>
      <c r="AX157" s="317"/>
      <c r="AY157" s="317"/>
      <c r="AZ157" s="317"/>
      <c r="BA157" s="317"/>
    </row>
    <row r="158" spans="1:53" customFormat="1" ht="3.75" customHeight="1">
      <c r="J158" s="47"/>
      <c r="K158" s="47"/>
      <c r="L158" s="47"/>
      <c r="M158" s="47"/>
      <c r="N158" s="47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7"/>
      <c r="AV158" s="47"/>
      <c r="AW158" s="47"/>
      <c r="AX158" s="47"/>
      <c r="AY158" s="47"/>
      <c r="AZ158" s="47"/>
      <c r="BA158" s="47"/>
    </row>
    <row r="159" spans="1:53" s="6" customFormat="1">
      <c r="A159" s="89"/>
      <c r="B159" s="186"/>
      <c r="C159" s="187" t="s">
        <v>400</v>
      </c>
      <c r="D159" s="188"/>
      <c r="E159" s="191"/>
      <c r="F159" s="191"/>
      <c r="G159" s="191"/>
      <c r="H159" s="191"/>
      <c r="I159" s="191"/>
      <c r="J159" s="319"/>
      <c r="K159" s="319"/>
      <c r="L159" s="319"/>
      <c r="M159" s="319"/>
      <c r="N159" s="319"/>
      <c r="O159" s="319"/>
      <c r="P159" s="319"/>
      <c r="Q159" s="319"/>
      <c r="R159" s="319"/>
      <c r="S159" s="319"/>
      <c r="T159" s="319"/>
      <c r="U159" s="319"/>
      <c r="V159" s="319"/>
      <c r="W159" s="319"/>
      <c r="X159" s="319"/>
      <c r="Y159" s="319"/>
      <c r="Z159" s="319"/>
      <c r="AA159" s="319"/>
      <c r="AB159" s="319"/>
      <c r="AC159" s="319"/>
      <c r="AD159" s="319"/>
      <c r="AE159" s="319"/>
      <c r="AF159" s="319"/>
      <c r="AG159" s="319"/>
      <c r="AH159" s="319"/>
      <c r="AI159" s="319"/>
      <c r="AJ159" s="319"/>
      <c r="AK159" s="319"/>
      <c r="AL159" s="319"/>
      <c r="AM159" s="319"/>
      <c r="AN159" s="319"/>
      <c r="AO159" s="319"/>
      <c r="AP159" s="319"/>
      <c r="AQ159" s="319"/>
      <c r="AR159" s="319"/>
      <c r="AS159" s="319"/>
      <c r="AT159" s="319"/>
      <c r="AU159" s="319"/>
      <c r="AV159" s="319"/>
      <c r="AW159" s="319"/>
      <c r="AX159" s="319"/>
      <c r="AY159" s="319"/>
      <c r="AZ159" s="319"/>
      <c r="BA159" s="319"/>
    </row>
    <row r="160" spans="1:53">
      <c r="A160" s="92"/>
      <c r="B160" s="101" t="s">
        <v>2</v>
      </c>
      <c r="C160" s="102" t="s">
        <v>45</v>
      </c>
      <c r="D160" s="426">
        <f>IFERROR(INDEX('Apoio - Notas Explicativas'!Q:Q,MATCH(C160,'Apoio - Notas Explicativas'!C:C,0)),"")</f>
        <v>0.03</v>
      </c>
      <c r="E160" s="113" t="str">
        <f>IF(E18="","",IFERROR(ROUND(SUM(E$157,E$61,E$114,E$123,E$145,E$150)*$D160/(1-SUM($D$160:$D$165,E$163)),2),""))</f>
        <v/>
      </c>
      <c r="F160" s="113" t="str">
        <f t="shared" ref="F160:H160" si="49">IF(F18="","",IFERROR(ROUND(SUM(F$157,F$61,F$114,F$123,F$145,F$150)*$D160/(1-SUM($D$160:$D$165,F$163)),2),""))</f>
        <v/>
      </c>
      <c r="G160" s="113" t="str">
        <f t="shared" si="49"/>
        <v/>
      </c>
      <c r="H160" s="113" t="str">
        <f t="shared" si="49"/>
        <v/>
      </c>
      <c r="I160" s="113" t="str">
        <f t="shared" ref="I160:I161" si="50">IF(I18="","",IFERROR(SUM(I$157,I$61,I$114,I$123,I$145,I$150)*$D160/(1-SUM($D$160:$D$165,I$163)),""))</f>
        <v/>
      </c>
    </row>
    <row r="161" spans="1:53">
      <c r="A161" s="93"/>
      <c r="B161" s="101" t="s">
        <v>1</v>
      </c>
      <c r="C161" s="102" t="s">
        <v>135</v>
      </c>
      <c r="D161" s="426">
        <f>IFERROR(INDEX('Apoio - Notas Explicativas'!Q:Q,MATCH(C161,'Apoio - Notas Explicativas'!C:C,0)),"")</f>
        <v>6.4999999999999997E-3</v>
      </c>
      <c r="E161" s="113" t="str">
        <f>IF(E19="","",IFERROR(ROUND(SUM(E$157,E$61,E$114,E$123,E$145,E$150)*$D161/(1-SUM($D$160:$D$165,E$163)),2),""))</f>
        <v/>
      </c>
      <c r="F161" s="113" t="str">
        <f t="shared" ref="F161:H161" si="51">IF(F19="","",IFERROR(ROUND(SUM(F$157,F$61,F$114,F$123,F$145,F$150)*$D161/(1-SUM($D$160:$D$165,F$163)),2),""))</f>
        <v/>
      </c>
      <c r="G161" s="113" t="str">
        <f t="shared" si="51"/>
        <v/>
      </c>
      <c r="H161" s="113" t="str">
        <f t="shared" si="51"/>
        <v/>
      </c>
      <c r="I161" s="113" t="str">
        <f t="shared" si="50"/>
        <v/>
      </c>
    </row>
    <row r="162" spans="1:53">
      <c r="A162" s="93"/>
      <c r="B162" s="707" t="s">
        <v>0</v>
      </c>
      <c r="C162" s="175" t="s">
        <v>46</v>
      </c>
      <c r="D162" s="453"/>
      <c r="E162" s="163"/>
      <c r="F162" s="163"/>
      <c r="G162" s="163"/>
      <c r="H162" s="163"/>
      <c r="I162" s="163"/>
    </row>
    <row r="163" spans="1:53">
      <c r="A163" s="93"/>
      <c r="B163" s="708"/>
      <c r="C163" s="151" t="s">
        <v>449</v>
      </c>
      <c r="D163" s="196"/>
      <c r="E163" s="422" t="str">
        <f>IF(E18="","",
IF($D$13="Simples",INDEX('Apoio - Notas Explicativas'!$Q:$Q,MATCH($C$162,'Apoio - Notas Explicativas'!$C:$C,0)),
IFERROR(VLOOKUP(E$18,'Apoio - Posto'!$A:$AA,20,FALSE),
INDEX('Apoio - Notas Explicativas'!$Q:$Q,MATCH($C$162,'Apoio - Notas Explicativas'!$C:$C,0))
)))</f>
        <v/>
      </c>
      <c r="F163" s="422" t="str">
        <f>IF(F18="","",
IF($D$13="Simples",INDEX('Apoio - Notas Explicativas'!$Q:$Q,MATCH($C$162,'Apoio - Notas Explicativas'!$C:$C,0)),
IFERROR(VLOOKUP(F$18,'Apoio - Posto'!$A:$AA,20,FALSE),
INDEX('Apoio - Notas Explicativas'!$Q:$Q,MATCH($C$162,'Apoio - Notas Explicativas'!$C:$C,0))
)))</f>
        <v/>
      </c>
      <c r="G163" s="422" t="str">
        <f>IF(G18="","",
IF($D$13="Simples",INDEX('Apoio - Notas Explicativas'!$Q:$Q,MATCH($C$162,'Apoio - Notas Explicativas'!$C:$C,0)),
IFERROR(VLOOKUP(G$18,'Apoio - Posto'!$A:$AA,20,FALSE),
INDEX('Apoio - Notas Explicativas'!$Q:$Q,MATCH($C$162,'Apoio - Notas Explicativas'!$C:$C,0))
)))</f>
        <v/>
      </c>
      <c r="H163" s="422" t="str">
        <f>IF(H18="","",
IF($D$13="Simples",INDEX('Apoio - Notas Explicativas'!$Q:$Q,MATCH($C$162,'Apoio - Notas Explicativas'!$C:$C,0)),
IFERROR(VLOOKUP(H$18,'Apoio - Posto'!$A:$AA,20,FALSE),
INDEX('Apoio - Notas Explicativas'!$Q:$Q,MATCH($C$162,'Apoio - Notas Explicativas'!$C:$C,0))
)))</f>
        <v/>
      </c>
      <c r="I163" s="422" t="str">
        <f>IF(I18="","",IFERROR(VLOOKUP(I$18,'Apoio - Posto'!$A:$AA,20,FALSE),INDEX('Apoio - Notas Explicativas'!$Q:$Q,MATCH($C$162,'Apoio - Notas Explicativas'!$C:$C,0))))</f>
        <v/>
      </c>
    </row>
    <row r="164" spans="1:53">
      <c r="A164" s="92"/>
      <c r="B164" s="709"/>
      <c r="C164" s="102"/>
      <c r="D164" s="454" t="s">
        <v>43</v>
      </c>
      <c r="E164" s="162" t="str">
        <f>IF(E20="","",IFERROR(ROUND(SUM(E$157,E$61,E$114,E$123,E$145,E$150)*E163/(1-SUM($D$160:$D$165,E163)),2),""))</f>
        <v/>
      </c>
      <c r="F164" s="162" t="str">
        <f t="shared" ref="F164:H164" si="52">IF(F20="","",IFERROR(ROUND(SUM(F$157,F$61,F$114,F$123,F$145,F$150)*F163/(1-SUM($D$160:$D$165,F163)),2),""))</f>
        <v/>
      </c>
      <c r="G164" s="162" t="str">
        <f t="shared" si="52"/>
        <v/>
      </c>
      <c r="H164" s="162" t="str">
        <f t="shared" si="52"/>
        <v/>
      </c>
      <c r="I164" s="162" t="str">
        <f>IF(I20="","",IFERROR(SUM(I$157,I$61,I$114,I$123,I$145,I$150)*I163/(1-SUM($D$160:$D$165,I163)),""))</f>
        <v/>
      </c>
    </row>
    <row r="165" spans="1:53">
      <c r="A165" s="92"/>
      <c r="B165" s="424" t="s">
        <v>3</v>
      </c>
      <c r="C165" s="425" t="s">
        <v>394</v>
      </c>
      <c r="D165" s="426">
        <v>0</v>
      </c>
      <c r="E165" s="113" t="str">
        <f>IF(E21="","",IFERROR(ROUND(SUM(E$157,E$61,E$114,E$123,E$145,E$150)*$D165/(1-SUM($D$160:$D$165,E$163)),2),""))</f>
        <v/>
      </c>
      <c r="F165" s="113" t="str">
        <f t="shared" ref="F165:H165" si="53">IF(F21="","",IFERROR(ROUND(SUM(F$157,F$61,F$114,F$123,F$145,F$150)*$D165/(1-SUM($D$160:$D$165,F$163)),2),""))</f>
        <v/>
      </c>
      <c r="G165" s="113" t="str">
        <f t="shared" si="53"/>
        <v/>
      </c>
      <c r="H165" s="113" t="str">
        <f t="shared" si="53"/>
        <v/>
      </c>
      <c r="I165" s="113" t="str">
        <f>IF(I21="","",IFERROR(SUM(I$157,I$61,I$114,I$123,I$145,I$150)*$D165/(1-SUM($D$160:$D$165,I$163)),""))</f>
        <v/>
      </c>
    </row>
    <row r="166" spans="1:53" s="5" customFormat="1">
      <c r="A166" s="90"/>
      <c r="B166" s="186"/>
      <c r="C166" s="187" t="s">
        <v>284</v>
      </c>
      <c r="D166" s="190"/>
      <c r="E166" s="208" t="str">
        <f>IF(E18="","",SUM(E160:E161,E164:E165))</f>
        <v/>
      </c>
      <c r="F166" s="208" t="str">
        <f t="shared" ref="F166:H166" si="54">IF(F18="","",SUM(F160:F161,F164:F165))</f>
        <v/>
      </c>
      <c r="G166" s="208" t="str">
        <f t="shared" si="54"/>
        <v/>
      </c>
      <c r="H166" s="208" t="str">
        <f t="shared" si="54"/>
        <v/>
      </c>
      <c r="I166" s="208" t="str">
        <f>IF(I18="","",SUM(I160:I161,I164:I165))</f>
        <v/>
      </c>
      <c r="J166" s="317"/>
      <c r="K166" s="317"/>
      <c r="L166" s="317"/>
      <c r="M166" s="317"/>
      <c r="N166" s="317"/>
      <c r="O166" s="317"/>
      <c r="P166" s="317"/>
      <c r="Q166" s="317"/>
      <c r="R166" s="317"/>
      <c r="S166" s="317"/>
      <c r="T166" s="317"/>
      <c r="U166" s="317"/>
      <c r="V166" s="317"/>
      <c r="W166" s="317"/>
      <c r="X166" s="317"/>
      <c r="Y166" s="317"/>
      <c r="Z166" s="317"/>
      <c r="AA166" s="317"/>
      <c r="AB166" s="317"/>
      <c r="AC166" s="317"/>
      <c r="AD166" s="317"/>
      <c r="AE166" s="317"/>
      <c r="AF166" s="317"/>
      <c r="AG166" s="317"/>
      <c r="AH166" s="317"/>
      <c r="AI166" s="317"/>
      <c r="AJ166" s="317"/>
      <c r="AK166" s="317"/>
      <c r="AL166" s="317"/>
      <c r="AM166" s="317"/>
      <c r="AN166" s="317"/>
      <c r="AO166" s="317"/>
      <c r="AP166" s="317"/>
      <c r="AQ166" s="317"/>
      <c r="AR166" s="317"/>
      <c r="AS166" s="317"/>
      <c r="AT166" s="317"/>
      <c r="AU166" s="317"/>
      <c r="AV166" s="317"/>
      <c r="AW166" s="317"/>
      <c r="AX166" s="317"/>
      <c r="AY166" s="317"/>
      <c r="AZ166" s="317"/>
      <c r="BA166" s="317"/>
    </row>
    <row r="167" spans="1:53" customFormat="1" ht="3.75" customHeight="1"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  <c r="AT167" s="47"/>
      <c r="AU167" s="47"/>
      <c r="AV167" s="47"/>
      <c r="AW167" s="47"/>
      <c r="AX167" s="47"/>
      <c r="AY167" s="47"/>
      <c r="AZ167" s="47"/>
      <c r="BA167" s="47"/>
    </row>
    <row r="168" spans="1:53" s="5" customFormat="1">
      <c r="A168" s="87"/>
      <c r="B168" s="172"/>
      <c r="C168" s="104" t="s">
        <v>272</v>
      </c>
      <c r="D168" s="168"/>
      <c r="E168" s="170" t="str">
        <f>IF(E18="","",SUM(E166,E157))</f>
        <v/>
      </c>
      <c r="F168" s="170" t="str">
        <f t="shared" ref="F168:H168" si="55">IF(F18="","",SUM(F166,F157))</f>
        <v/>
      </c>
      <c r="G168" s="170" t="str">
        <f t="shared" si="55"/>
        <v/>
      </c>
      <c r="H168" s="170" t="str">
        <f t="shared" si="55"/>
        <v/>
      </c>
      <c r="I168" s="171" t="str">
        <f>IF(I18="","",SUM(I166,I157))</f>
        <v/>
      </c>
      <c r="J168" s="317"/>
      <c r="K168" s="317"/>
      <c r="L168" s="317"/>
      <c r="M168" s="317"/>
      <c r="N168" s="317"/>
      <c r="O168" s="317"/>
      <c r="P168" s="317"/>
      <c r="Q168" s="317"/>
      <c r="R168" s="317"/>
      <c r="S168" s="317"/>
      <c r="T168" s="317"/>
      <c r="U168" s="317"/>
      <c r="V168" s="317"/>
      <c r="W168" s="317"/>
      <c r="X168" s="317"/>
      <c r="Y168" s="317"/>
      <c r="Z168" s="317"/>
      <c r="AA168" s="317"/>
      <c r="AB168" s="317"/>
      <c r="AC168" s="317"/>
      <c r="AD168" s="317"/>
      <c r="AE168" s="317"/>
      <c r="AF168" s="317"/>
      <c r="AG168" s="317"/>
      <c r="AH168" s="317"/>
      <c r="AI168" s="317"/>
      <c r="AJ168" s="317"/>
      <c r="AK168" s="317"/>
      <c r="AL168" s="317"/>
      <c r="AM168" s="317"/>
      <c r="AN168" s="317"/>
      <c r="AO168" s="317"/>
      <c r="AP168" s="317"/>
      <c r="AQ168" s="317"/>
      <c r="AR168" s="317"/>
      <c r="AS168" s="317"/>
      <c r="AT168" s="317"/>
      <c r="AU168" s="317"/>
      <c r="AV168" s="317"/>
      <c r="AW168" s="317"/>
      <c r="AX168" s="317"/>
      <c r="AY168" s="317"/>
      <c r="AZ168" s="317"/>
      <c r="BA168" s="317"/>
    </row>
    <row r="169" spans="1:53">
      <c r="F169" s="9"/>
      <c r="G169" s="9"/>
      <c r="H169" s="9"/>
      <c r="I169" s="9"/>
      <c r="L169"/>
      <c r="M169"/>
      <c r="N169"/>
      <c r="O169"/>
      <c r="P169"/>
      <c r="Q169"/>
      <c r="R169"/>
    </row>
    <row r="170" spans="1:53" s="6" customFormat="1">
      <c r="A170" s="88"/>
      <c r="B170" s="103"/>
      <c r="C170" s="104" t="s">
        <v>468</v>
      </c>
      <c r="D170" s="105"/>
      <c r="E170" s="395"/>
      <c r="F170" s="395"/>
      <c r="G170" s="395"/>
      <c r="H170" s="395"/>
      <c r="I170" s="395"/>
      <c r="J170" s="319"/>
      <c r="K170" s="319"/>
      <c r="L170"/>
      <c r="M170"/>
      <c r="N170"/>
      <c r="O170"/>
      <c r="P170"/>
      <c r="Q170"/>
      <c r="R170"/>
      <c r="S170" s="319"/>
      <c r="T170" s="319"/>
      <c r="U170" s="319"/>
      <c r="V170" s="319"/>
      <c r="W170" s="319"/>
      <c r="X170" s="319"/>
      <c r="Y170" s="319"/>
      <c r="Z170" s="319"/>
      <c r="AA170" s="319"/>
      <c r="AB170" s="319"/>
      <c r="AC170" s="319"/>
      <c r="AD170" s="319"/>
      <c r="AE170" s="319"/>
      <c r="AF170" s="319"/>
      <c r="AG170" s="319"/>
      <c r="AH170" s="319"/>
      <c r="AI170" s="319"/>
      <c r="AJ170" s="319"/>
      <c r="AK170" s="319"/>
      <c r="AL170" s="319"/>
      <c r="AM170" s="319"/>
      <c r="AN170" s="319"/>
      <c r="AO170" s="319"/>
      <c r="AP170" s="319"/>
      <c r="AQ170" s="319"/>
      <c r="AR170" s="319"/>
      <c r="AS170" s="319"/>
      <c r="AT170" s="319"/>
      <c r="AU170" s="319"/>
      <c r="AV170" s="319"/>
      <c r="AW170" s="319"/>
      <c r="AX170" s="319"/>
      <c r="AY170" s="319"/>
      <c r="AZ170" s="319"/>
      <c r="BA170" s="319"/>
    </row>
    <row r="171" spans="1:53" ht="3.75" customHeight="1">
      <c r="A171" s="310"/>
      <c r="B171" s="3"/>
      <c r="C171" s="3"/>
      <c r="D171" s="3"/>
      <c r="E171" s="3"/>
      <c r="F171" s="3"/>
      <c r="G171" s="3"/>
      <c r="H171" s="3"/>
      <c r="I171" s="3"/>
      <c r="L171"/>
      <c r="M171"/>
      <c r="N171"/>
      <c r="O171"/>
      <c r="P171"/>
      <c r="Q171"/>
      <c r="R171"/>
    </row>
    <row r="172" spans="1:53">
      <c r="A172" s="310"/>
      <c r="B172" s="186"/>
      <c r="C172" s="187" t="s">
        <v>543</v>
      </c>
      <c r="D172" s="312"/>
      <c r="E172" s="430"/>
      <c r="F172" s="430"/>
      <c r="G172" s="430"/>
      <c r="H172" s="430"/>
      <c r="I172" s="430"/>
      <c r="L172"/>
      <c r="M172"/>
      <c r="N172"/>
      <c r="O172"/>
      <c r="P172"/>
      <c r="Q172"/>
      <c r="R172"/>
    </row>
    <row r="173" spans="1:53">
      <c r="A173" s="94"/>
      <c r="B173" s="101" t="s">
        <v>2</v>
      </c>
      <c r="C173" s="102" t="s">
        <v>469</v>
      </c>
      <c r="D173" s="192"/>
      <c r="E173" s="113" t="str">
        <f>IFERROR(IF(E18="","",ROUND(E175/SUM(E52,INDEX('Apoio - Regime de Trabalho'!$I:$I,MATCH(E26,'Apoio - Regime de Trabalho'!$A:$A,0))),2)),"")</f>
        <v/>
      </c>
      <c r="F173" s="113" t="str">
        <f>IFERROR(IF(F18="","",ROUND(F175/SUM(F52,INDEX('Apoio - Regime de Trabalho'!$I:$I,MATCH(F26,'Apoio - Regime de Trabalho'!$A:$A,0))),2)),"")</f>
        <v/>
      </c>
      <c r="G173" s="113" t="str">
        <f>IFERROR(IF(G18="","",ROUND(G175/SUM(G52,INDEX('Apoio - Regime de Trabalho'!$I:$I,MATCH(G26,'Apoio - Regime de Trabalho'!$A:$A,0))),2)),"")</f>
        <v/>
      </c>
      <c r="H173" s="113" t="str">
        <f>IFERROR(IF(H18="","",ROUND(H175/SUM(H52,INDEX('Apoio - Regime de Trabalho'!$I:$I,MATCH(H26,'Apoio - Regime de Trabalho'!$A:$A,0))),2)),"")</f>
        <v/>
      </c>
      <c r="I173" s="113" t="str">
        <f>IFERROR(IF(I18="","",I175/INDEX('Apoio - Regime de Trabalho'!$I:$I,MATCH(I26,'Apoio - Regime de Trabalho'!$A:$A,0))),"")</f>
        <v/>
      </c>
      <c r="L173"/>
      <c r="M173"/>
      <c r="N173"/>
      <c r="O173"/>
      <c r="P173"/>
      <c r="Q173"/>
      <c r="R173"/>
    </row>
    <row r="174" spans="1:53">
      <c r="A174" s="94"/>
      <c r="B174" s="101" t="s">
        <v>1</v>
      </c>
      <c r="C174" s="102" t="s">
        <v>473</v>
      </c>
      <c r="D174" s="192"/>
      <c r="E174" s="113" t="str">
        <f>IF(E18="","",ROUND(SUM(E61,E114,E123,E145,E150,E168)/INDEX('Apoio - Regime de Trabalho'!$G:$G,MATCH(E26,'Apoio - Regime de Trabalho'!$A:$A,0)),2))</f>
        <v/>
      </c>
      <c r="F174" s="113" t="str">
        <f>IF(F18="","",ROUND(SUM(F61,F114,F123,F145,F150,F168)/INDEX('Apoio - Regime de Trabalho'!$G:$G,MATCH(F26,'Apoio - Regime de Trabalho'!$A:$A,0)),2))</f>
        <v/>
      </c>
      <c r="G174" s="113" t="str">
        <f>IF(G18="","",ROUND(SUM(G61,G114,G123,G145,G150,G168)/INDEX('Apoio - Regime de Trabalho'!$G:$G,MATCH(G26,'Apoio - Regime de Trabalho'!$A:$A,0)),2))</f>
        <v/>
      </c>
      <c r="H174" s="113" t="str">
        <f>IF(H18="","",ROUND(SUM(H61,H114,H123,H145,H150,H168)/INDEX('Apoio - Regime de Trabalho'!$G:$G,MATCH(H26,'Apoio - Regime de Trabalho'!$A:$A,0)),2))</f>
        <v/>
      </c>
      <c r="I174" s="113" t="str">
        <f>IF(I18="","",I175/INDEX('Apoio - Regime de Trabalho'!$G:$G,MATCH(I26,'Apoio - Regime de Trabalho'!$A:$A,0)))</f>
        <v/>
      </c>
      <c r="L174"/>
      <c r="M174"/>
      <c r="N174"/>
      <c r="O174"/>
      <c r="P174"/>
      <c r="Q174"/>
      <c r="R174"/>
    </row>
    <row r="175" spans="1:53">
      <c r="A175" s="94"/>
      <c r="B175" s="101" t="s">
        <v>0</v>
      </c>
      <c r="C175" s="102" t="s">
        <v>546</v>
      </c>
      <c r="D175" s="192"/>
      <c r="E175" s="113" t="str">
        <f>IF(E18="","",ROUND(SUM(E61,E114,E123,E145,E150,E168),2))</f>
        <v/>
      </c>
      <c r="F175" s="113" t="str">
        <f t="shared" ref="F175:H175" si="56">IF(F18="","",ROUND(SUM(F61,F114,F123,F145,F150,F168),2))</f>
        <v/>
      </c>
      <c r="G175" s="113" t="str">
        <f t="shared" si="56"/>
        <v/>
      </c>
      <c r="H175" s="113" t="str">
        <f t="shared" si="56"/>
        <v/>
      </c>
      <c r="I175" s="113" t="str">
        <f>IF(I18="","",SUM(I61,I114,I123,I145,I150,I168))</f>
        <v/>
      </c>
      <c r="L175"/>
      <c r="M175"/>
      <c r="N175"/>
      <c r="O175"/>
      <c r="P175"/>
      <c r="Q175"/>
      <c r="R175"/>
    </row>
    <row r="176" spans="1:53">
      <c r="A176" s="94"/>
      <c r="B176" s="101" t="s">
        <v>3</v>
      </c>
      <c r="C176" s="102" t="s">
        <v>545</v>
      </c>
      <c r="D176" s="192"/>
      <c r="E176" s="113" t="str">
        <f>IFERROR(ROUND(E175*E28,2),"")</f>
        <v/>
      </c>
      <c r="F176" s="113" t="str">
        <f t="shared" ref="F176:H176" si="57">IFERROR(ROUND(F175*F28,2),"")</f>
        <v/>
      </c>
      <c r="G176" s="113" t="str">
        <f t="shared" si="57"/>
        <v/>
      </c>
      <c r="H176" s="113" t="str">
        <f t="shared" si="57"/>
        <v/>
      </c>
      <c r="I176" s="113" t="str">
        <f>IFERROR(I175*I28,"")</f>
        <v/>
      </c>
      <c r="L176"/>
      <c r="M176"/>
      <c r="N176"/>
      <c r="O176"/>
      <c r="P176"/>
      <c r="Q176"/>
      <c r="R176"/>
    </row>
    <row r="177" spans="1:53" ht="3.75" customHeight="1">
      <c r="A177" s="310"/>
      <c r="B177" s="3"/>
      <c r="C177" s="3"/>
      <c r="D177" s="3"/>
      <c r="E177" s="3"/>
      <c r="F177" s="3"/>
      <c r="G177" s="3"/>
      <c r="H177" s="3"/>
      <c r="I177" s="3"/>
      <c r="L177"/>
      <c r="M177"/>
      <c r="N177"/>
      <c r="O177"/>
      <c r="P177"/>
      <c r="Q177"/>
      <c r="R177"/>
    </row>
    <row r="178" spans="1:53">
      <c r="A178" s="310"/>
      <c r="B178" s="186"/>
      <c r="C178" s="187" t="s">
        <v>592</v>
      </c>
      <c r="D178" s="312"/>
      <c r="E178" s="430"/>
      <c r="F178" s="430"/>
      <c r="G178" s="430"/>
      <c r="H178" s="430"/>
      <c r="I178" s="430"/>
      <c r="L178"/>
      <c r="M178"/>
      <c r="N178"/>
      <c r="O178"/>
      <c r="P178"/>
      <c r="Q178"/>
      <c r="R178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94"/>
      <c r="B179" s="101" t="s">
        <v>2</v>
      </c>
      <c r="C179" s="102" t="s">
        <v>470</v>
      </c>
      <c r="D179" s="192"/>
      <c r="E179" s="113" t="str">
        <f>IFERROR(ROUND(SUM(E61,E114,E123,E145)*E29,2),"")</f>
        <v/>
      </c>
      <c r="F179" s="113" t="str">
        <f t="shared" ref="F179:H179" si="58">IFERROR(ROUND(SUM(F61,F114,F123,F145)*F29,2),"")</f>
        <v/>
      </c>
      <c r="G179" s="113" t="str">
        <f t="shared" si="58"/>
        <v/>
      </c>
      <c r="H179" s="113" t="str">
        <f t="shared" si="58"/>
        <v/>
      </c>
      <c r="I179" s="113" t="str">
        <f>IFERROR(SUM(I61,I114,I123,I145)*I29,"")</f>
        <v/>
      </c>
      <c r="L179"/>
      <c r="M179"/>
      <c r="N179"/>
      <c r="O179"/>
      <c r="P179"/>
      <c r="Q179"/>
      <c r="R179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94"/>
      <c r="B180" s="101" t="s">
        <v>1</v>
      </c>
      <c r="C180" s="102" t="s">
        <v>540</v>
      </c>
      <c r="D180" s="192"/>
      <c r="E180" s="113" t="str">
        <f>IFERROR(ROUND(E150*E29,2),"")</f>
        <v/>
      </c>
      <c r="F180" s="113" t="str">
        <f t="shared" ref="F180:H180" si="59">IFERROR(ROUND(F150*F29,2),"")</f>
        <v/>
      </c>
      <c r="G180" s="113" t="str">
        <f t="shared" si="59"/>
        <v/>
      </c>
      <c r="H180" s="113" t="str">
        <f t="shared" si="59"/>
        <v/>
      </c>
      <c r="I180" s="113" t="str">
        <f>IFERROR(I150*I29,"")</f>
        <v/>
      </c>
      <c r="L180"/>
      <c r="M180"/>
      <c r="N180"/>
      <c r="O180"/>
      <c r="P180"/>
      <c r="Q180"/>
      <c r="R180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95"/>
      <c r="B181" s="101" t="s">
        <v>0</v>
      </c>
      <c r="C181" s="102" t="s">
        <v>225</v>
      </c>
      <c r="D181" s="192"/>
      <c r="E181" s="113" t="str">
        <f>IFERROR(ROUND(E168*E29,2),"")</f>
        <v/>
      </c>
      <c r="F181" s="113" t="str">
        <f t="shared" ref="F181:H181" si="60">IFERROR(ROUND(F168*F29,2),"")</f>
        <v/>
      </c>
      <c r="G181" s="113" t="str">
        <f t="shared" si="60"/>
        <v/>
      </c>
      <c r="H181" s="113" t="str">
        <f t="shared" si="60"/>
        <v/>
      </c>
      <c r="I181" s="113" t="str">
        <f>IFERROR(I168*I29,"")</f>
        <v/>
      </c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95"/>
      <c r="B182" s="101" t="s">
        <v>3</v>
      </c>
      <c r="C182" s="102" t="s">
        <v>591</v>
      </c>
      <c r="D182" s="192"/>
      <c r="E182" s="113" t="str">
        <f>IFERROR(ROUND((E179+E180+E181),2),"")</f>
        <v/>
      </c>
      <c r="F182" s="113" t="str">
        <f t="shared" ref="F182:H182" si="61">IFERROR(ROUND((F179+F180+F181),2),"")</f>
        <v/>
      </c>
      <c r="G182" s="113" t="str">
        <f t="shared" si="61"/>
        <v/>
      </c>
      <c r="H182" s="113" t="str">
        <f t="shared" si="61"/>
        <v/>
      </c>
      <c r="I182" s="113" t="str">
        <f>IFERROR(I179+I180+I181,"")</f>
        <v/>
      </c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 ht="3.75" customHeight="1">
      <c r="A183" s="310"/>
      <c r="B183" s="3"/>
      <c r="C183" s="3"/>
      <c r="D183" s="3"/>
      <c r="E183" s="3"/>
      <c r="F183" s="3"/>
      <c r="G183" s="3"/>
      <c r="H183" s="3"/>
      <c r="I183" s="3"/>
      <c r="L183"/>
      <c r="M183"/>
      <c r="N183"/>
      <c r="O183"/>
      <c r="P183"/>
      <c r="Q183"/>
      <c r="R183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310"/>
      <c r="B184" s="186"/>
      <c r="C184" s="187" t="s">
        <v>544</v>
      </c>
      <c r="D184" s="312"/>
      <c r="E184" s="430"/>
      <c r="F184" s="430"/>
      <c r="G184" s="430"/>
      <c r="H184" s="430"/>
      <c r="I184" s="430"/>
      <c r="L184"/>
      <c r="M184"/>
      <c r="N184"/>
      <c r="O184"/>
      <c r="P184"/>
      <c r="Q184"/>
      <c r="R184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 hidden="1">
      <c r="A185" s="491"/>
      <c r="B185" s="205"/>
      <c r="C185" s="206"/>
      <c r="D185" s="312"/>
      <c r="E185" s="430" t="str">
        <f>IFERROR(IF(INDEX('Apoio - Regime de Trabalho'!$C:$C,MATCH(E26,'Apoio - Regime de Trabalho'!$A:$A,0))="Diária",0,1),"")</f>
        <v/>
      </c>
      <c r="F185" s="430" t="str">
        <f>IFERROR(IF(INDEX('Apoio - Regime de Trabalho'!$C:$C,MATCH(F26,'Apoio - Regime de Trabalho'!$A:$A,0))="Diária",0,1),"")</f>
        <v/>
      </c>
      <c r="G185" s="430" t="str">
        <f>IFERROR(IF(INDEX('Apoio - Regime de Trabalho'!$C:$C,MATCH(G26,'Apoio - Regime de Trabalho'!$A:$A,0))="Diária",0,1),"")</f>
        <v/>
      </c>
      <c r="H185" s="430" t="str">
        <f>IFERROR(IF(INDEX('Apoio - Regime de Trabalho'!$C:$C,MATCH(H26,'Apoio - Regime de Trabalho'!$A:$A,0))="Diária",0,1),"")</f>
        <v/>
      </c>
      <c r="I185" s="430" t="str">
        <f>IFERROR(IF(INDEX('Apoio - Regime de Trabalho'!$C:$C,MATCH(I26,'Apoio - Regime de Trabalho'!$A:$A,0))="Diária",0,1),"")</f>
        <v/>
      </c>
      <c r="L185"/>
      <c r="M185"/>
      <c r="N185"/>
      <c r="O185"/>
      <c r="P185"/>
      <c r="Q185"/>
      <c r="R18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 hidden="1">
      <c r="A186" s="491"/>
      <c r="B186" s="205"/>
      <c r="C186" s="206"/>
      <c r="D186" s="312"/>
      <c r="E186" s="430">
        <f>IF(E185=1,$D$12,1)</f>
        <v>1</v>
      </c>
      <c r="F186" s="430">
        <f t="shared" ref="F186:H186" si="62">IF(F185=1,$D$12,1)</f>
        <v>1</v>
      </c>
      <c r="G186" s="430">
        <f t="shared" si="62"/>
        <v>1</v>
      </c>
      <c r="H186" s="430">
        <f t="shared" si="62"/>
        <v>1</v>
      </c>
      <c r="I186" s="430">
        <f>IF(I185=1,$D$12,1)</f>
        <v>1</v>
      </c>
      <c r="L186"/>
      <c r="M186"/>
      <c r="N186"/>
      <c r="O186"/>
      <c r="P186"/>
      <c r="Q186"/>
      <c r="R186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95"/>
      <c r="B187" s="101" t="s">
        <v>2</v>
      </c>
      <c r="C187" s="102" t="s">
        <v>470</v>
      </c>
      <c r="D187" s="192"/>
      <c r="E187" s="113" t="str">
        <f>IFERROR(ROUND(E179*IF(VLOOKUP(E$26,'Apoio - Regime de Trabalho'!$A:$I,3,FALSE)="Diária",1,$D$12),2),"")</f>
        <v/>
      </c>
      <c r="F187" s="113" t="str">
        <f>IFERROR(ROUND(F179*IF(VLOOKUP(F$26,'Apoio - Regime de Trabalho'!$A:$I,3,FALSE)="Diária",1,$D$12),2),"")</f>
        <v/>
      </c>
      <c r="G187" s="113" t="str">
        <f>IFERROR(ROUND(G179*IF(VLOOKUP(G$26,'Apoio - Regime de Trabalho'!$A:$I,3,FALSE)="Diária",1,$D$12),2),"")</f>
        <v/>
      </c>
      <c r="H187" s="113" t="str">
        <f>IFERROR(ROUND(H179*IF(VLOOKUP(H$26,'Apoio - Regime de Trabalho'!$A:$I,3,FALSE)="Diária",1,$D$12),2),"")</f>
        <v/>
      </c>
      <c r="I187" s="113" t="str">
        <f>IFERROR(I179*IF(VLOOKUP(I$26,'Apoio - Regime de Trabalho'!$A:$I,3,FALSE)="Diária",1,$D$12),"")</f>
        <v/>
      </c>
      <c r="M187" s="448"/>
      <c r="N187" s="437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95"/>
      <c r="B188" s="101" t="s">
        <v>1</v>
      </c>
      <c r="C188" s="102" t="s">
        <v>540</v>
      </c>
      <c r="D188" s="192"/>
      <c r="E188" s="113" t="str">
        <f>IFERROR(ROUND(E180*IF(VLOOKUP(E$26,'Apoio - Regime de Trabalho'!$A:$I,3,FALSE)="Diária",1,$D$12),2),"")</f>
        <v/>
      </c>
      <c r="F188" s="113" t="str">
        <f>IFERROR(ROUND(F180*IF(VLOOKUP(F$26,'Apoio - Regime de Trabalho'!$A:$I,3,FALSE)="Diária",1,$D$12),2),"")</f>
        <v/>
      </c>
      <c r="G188" s="113" t="str">
        <f>IFERROR(ROUND(G180*IF(VLOOKUP(G$26,'Apoio - Regime de Trabalho'!$A:$I,3,FALSE)="Diária",1,$D$12),2),"")</f>
        <v/>
      </c>
      <c r="H188" s="113" t="str">
        <f>IFERROR(ROUND(H180*IF(VLOOKUP(H$26,'Apoio - Regime de Trabalho'!$A:$I,3,FALSE)="Diária",1,$D$12),2),"")</f>
        <v/>
      </c>
      <c r="I188" s="113" t="str">
        <f>IFERROR(I180*IF(VLOOKUP(I$26,'Apoio - Regime de Trabalho'!$A:$I,3,FALSE)="Diária",1,$D$12),"")</f>
        <v/>
      </c>
      <c r="M188" s="448"/>
      <c r="N188" s="437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95"/>
      <c r="B189" s="101" t="s">
        <v>0</v>
      </c>
      <c r="C189" s="102" t="s">
        <v>225</v>
      </c>
      <c r="D189" s="192"/>
      <c r="E189" s="113" t="str">
        <f>IFERROR(ROUND(E181*IF(VLOOKUP(E$26,'Apoio - Regime de Trabalho'!$A:$I,3,FALSE)="Diária",1,$D$12),2),"")</f>
        <v/>
      </c>
      <c r="F189" s="113" t="str">
        <f>IFERROR(ROUND(F181*IF(VLOOKUP(F$26,'Apoio - Regime de Trabalho'!$A:$I,3,FALSE)="Diária",1,$D$12),2),"")</f>
        <v/>
      </c>
      <c r="G189" s="113" t="str">
        <f>IFERROR(ROUND(G181*IF(VLOOKUP(G$26,'Apoio - Regime de Trabalho'!$A:$I,3,FALSE)="Diária",1,$D$12),2),"")</f>
        <v/>
      </c>
      <c r="H189" s="113" t="str">
        <f>IFERROR(ROUND(H181*IF(VLOOKUP(H$26,'Apoio - Regime de Trabalho'!$A:$I,3,FALSE)="Diária",1,$D$12),2),"")</f>
        <v/>
      </c>
      <c r="I189" s="113" t="str">
        <f>IFERROR(I181*IF(VLOOKUP(I$26,'Apoio - Regime de Trabalho'!$A:$I,3,FALSE)="Diária",1,$D$12),"")</f>
        <v/>
      </c>
      <c r="M189" s="448"/>
      <c r="N189" s="437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95"/>
      <c r="B190" s="101" t="s">
        <v>3</v>
      </c>
      <c r="C190" s="102" t="s">
        <v>541</v>
      </c>
      <c r="D190" s="192"/>
      <c r="E190" s="113" t="str">
        <f>IFERROR(ROUND(E182*IF(VLOOKUP(E$26,'Apoio - Regime de Trabalho'!$A:$I,3,FALSE)="Diária",1,$D$12),2),"")</f>
        <v/>
      </c>
      <c r="F190" s="113" t="str">
        <f>IFERROR(ROUND(F182*IF(VLOOKUP(F$26,'Apoio - Regime de Trabalho'!$A:$I,3,FALSE)="Diária",1,$D$12),2),"")</f>
        <v/>
      </c>
      <c r="G190" s="113" t="str">
        <f>IFERROR(ROUND(G182*IF(VLOOKUP(G$26,'Apoio - Regime de Trabalho'!$A:$I,3,FALSE)="Diária",1,$D$12),2),"")</f>
        <v/>
      </c>
      <c r="H190" s="113" t="str">
        <f>IFERROR(ROUND(H182*IF(VLOOKUP(H$26,'Apoio - Regime de Trabalho'!$A:$I,3,FALSE)="Diária",1,$D$12),2),"")</f>
        <v/>
      </c>
      <c r="I190" s="113"/>
      <c r="M190" s="448"/>
      <c r="N190" s="437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F191" s="9"/>
      <c r="G191" s="9"/>
      <c r="H191" s="9"/>
      <c r="I191" s="9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310"/>
      <c r="B192" s="103"/>
      <c r="C192" s="104" t="s">
        <v>474</v>
      </c>
      <c r="D192" s="104"/>
      <c r="E192" s="104"/>
      <c r="F192" s="104"/>
      <c r="G192" s="104"/>
      <c r="H192" s="104"/>
      <c r="I192" s="104"/>
      <c r="L192" s="104"/>
      <c r="M192" s="104"/>
      <c r="N192" s="104"/>
      <c r="O192" s="279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 ht="3.75" customHeight="1">
      <c r="A193" s="310"/>
      <c r="B193" s="3"/>
      <c r="C193" s="3"/>
      <c r="D193" s="3"/>
      <c r="E193" s="3"/>
      <c r="F193" s="3"/>
      <c r="G193" s="3"/>
      <c r="H193" s="3"/>
      <c r="I193" s="3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310"/>
      <c r="B194" s="186"/>
      <c r="C194" s="187" t="s">
        <v>493</v>
      </c>
      <c r="D194" s="313" t="s">
        <v>467</v>
      </c>
      <c r="E194" s="430"/>
      <c r="F194" s="430"/>
      <c r="G194" s="430"/>
      <c r="H194" s="430"/>
      <c r="I194" s="430"/>
      <c r="L194" s="430" t="s">
        <v>466</v>
      </c>
      <c r="M194" s="430" t="s">
        <v>463</v>
      </c>
      <c r="N194" s="430" t="s">
        <v>414</v>
      </c>
      <c r="O194" s="430" t="s">
        <v>498</v>
      </c>
      <c r="Q194" s="438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310"/>
      <c r="B195" s="449" t="s">
        <v>424</v>
      </c>
      <c r="C195" s="434" t="s">
        <v>454</v>
      </c>
      <c r="D195" s="441"/>
      <c r="E195" s="429" t="str">
        <f>IFERROR(ROUND((E$176/$D195),2),"")</f>
        <v/>
      </c>
      <c r="F195" s="429" t="str">
        <f>IFERROR(ROUND((F$176/$D195)*$F$27/$E$27,2),"")</f>
        <v/>
      </c>
      <c r="G195" s="429"/>
      <c r="H195" s="429"/>
      <c r="I195" s="429"/>
      <c r="K195" s="316" t="str">
        <f>IFERROR(1/D195,"")</f>
        <v/>
      </c>
      <c r="L195" s="445"/>
      <c r="M195" s="431">
        <f>SUM(E195:I195)</f>
        <v>0</v>
      </c>
      <c r="N195" s="431">
        <f>ROUND(L195*M195,2)</f>
        <v>0</v>
      </c>
      <c r="O195" s="431">
        <f>N195*$D$12</f>
        <v>0</v>
      </c>
      <c r="R195" s="443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310"/>
      <c r="B196" s="449" t="s">
        <v>425</v>
      </c>
      <c r="C196" s="434" t="s">
        <v>455</v>
      </c>
      <c r="D196" s="441"/>
      <c r="E196" s="429" t="str">
        <f t="shared" ref="E196:E201" si="63">IFERROR(ROUND((E$176/$D196),2),"")</f>
        <v/>
      </c>
      <c r="F196" s="429" t="str">
        <f t="shared" ref="F196:F201" si="64">IFERROR(ROUND((F$176/$D196)*$F$27/$E$27,2),"")</f>
        <v/>
      </c>
      <c r="G196" s="429"/>
      <c r="H196" s="429"/>
      <c r="I196" s="427"/>
      <c r="K196" s="316" t="str">
        <f t="shared" ref="K196:K220" si="65">IFERROR(1/D196,"")</f>
        <v/>
      </c>
      <c r="L196" s="444"/>
      <c r="M196" s="431">
        <f t="shared" ref="M196:M201" si="66">SUM(E196:I196)</f>
        <v>0</v>
      </c>
      <c r="N196" s="431">
        <f t="shared" ref="N196:N201" si="67">ROUND(L196*M196,2)</f>
        <v>0</v>
      </c>
      <c r="O196" s="431">
        <f t="shared" ref="O196:O201" si="68">N196*$D$12</f>
        <v>0</v>
      </c>
      <c r="Q196" s="443"/>
      <c r="R196" s="443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310"/>
      <c r="B197" s="449" t="s">
        <v>426</v>
      </c>
      <c r="C197" s="434" t="s">
        <v>456</v>
      </c>
      <c r="D197" s="441"/>
      <c r="E197" s="429" t="str">
        <f t="shared" si="63"/>
        <v/>
      </c>
      <c r="F197" s="429" t="str">
        <f t="shared" si="64"/>
        <v/>
      </c>
      <c r="G197" s="429"/>
      <c r="H197" s="429"/>
      <c r="I197" s="427"/>
      <c r="K197" s="316" t="str">
        <f t="shared" si="65"/>
        <v/>
      </c>
      <c r="L197" s="445"/>
      <c r="M197" s="431">
        <f t="shared" si="66"/>
        <v>0</v>
      </c>
      <c r="N197" s="431">
        <f t="shared" si="67"/>
        <v>0</v>
      </c>
      <c r="O197" s="431">
        <f t="shared" si="68"/>
        <v>0</v>
      </c>
      <c r="R197" s="443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310"/>
      <c r="B198" s="449" t="s">
        <v>427</v>
      </c>
      <c r="C198" s="434" t="s">
        <v>457</v>
      </c>
      <c r="D198" s="441"/>
      <c r="E198" s="429" t="str">
        <f t="shared" si="63"/>
        <v/>
      </c>
      <c r="F198" s="429" t="str">
        <f t="shared" si="64"/>
        <v/>
      </c>
      <c r="G198" s="429"/>
      <c r="H198" s="429"/>
      <c r="I198" s="427"/>
      <c r="K198" s="316" t="str">
        <f t="shared" si="65"/>
        <v/>
      </c>
      <c r="L198" s="444"/>
      <c r="M198" s="431">
        <f t="shared" si="66"/>
        <v>0</v>
      </c>
      <c r="N198" s="431">
        <f t="shared" si="67"/>
        <v>0</v>
      </c>
      <c r="O198" s="431">
        <f t="shared" si="68"/>
        <v>0</v>
      </c>
      <c r="R198" s="443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310"/>
      <c r="B199" s="449" t="s">
        <v>428</v>
      </c>
      <c r="C199" s="434" t="s">
        <v>452</v>
      </c>
      <c r="D199" s="441"/>
      <c r="E199" s="429" t="str">
        <f t="shared" si="63"/>
        <v/>
      </c>
      <c r="F199" s="429" t="str">
        <f t="shared" si="64"/>
        <v/>
      </c>
      <c r="G199" s="429"/>
      <c r="H199" s="429"/>
      <c r="I199" s="427"/>
      <c r="K199" s="316" t="str">
        <f t="shared" si="65"/>
        <v/>
      </c>
      <c r="L199" s="445"/>
      <c r="M199" s="431">
        <f t="shared" si="66"/>
        <v>0</v>
      </c>
      <c r="N199" s="431">
        <f t="shared" si="67"/>
        <v>0</v>
      </c>
      <c r="O199" s="431">
        <f t="shared" si="68"/>
        <v>0</v>
      </c>
      <c r="R199" s="443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310"/>
      <c r="B200" s="449" t="s">
        <v>490</v>
      </c>
      <c r="C200" s="436" t="s">
        <v>483</v>
      </c>
      <c r="D200" s="441"/>
      <c r="E200" s="429" t="str">
        <f t="shared" si="63"/>
        <v/>
      </c>
      <c r="F200" s="429" t="str">
        <f t="shared" si="64"/>
        <v/>
      </c>
      <c r="G200" s="429"/>
      <c r="H200" s="429"/>
      <c r="I200" s="427"/>
      <c r="K200" s="316" t="str">
        <f t="shared" si="65"/>
        <v/>
      </c>
      <c r="L200" s="444"/>
      <c r="M200" s="431">
        <f t="shared" si="66"/>
        <v>0</v>
      </c>
      <c r="N200" s="431">
        <f t="shared" si="67"/>
        <v>0</v>
      </c>
      <c r="O200" s="431">
        <f t="shared" si="68"/>
        <v>0</v>
      </c>
      <c r="R200" s="443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310"/>
      <c r="B201" s="449" t="s">
        <v>491</v>
      </c>
      <c r="C201" s="436" t="s">
        <v>484</v>
      </c>
      <c r="D201" s="441"/>
      <c r="E201" s="429" t="str">
        <f t="shared" si="63"/>
        <v/>
      </c>
      <c r="F201" s="429" t="str">
        <f t="shared" si="64"/>
        <v/>
      </c>
      <c r="G201" s="429"/>
      <c r="H201" s="429"/>
      <c r="I201" s="427"/>
      <c r="K201" s="316" t="str">
        <f t="shared" si="65"/>
        <v/>
      </c>
      <c r="L201" s="444"/>
      <c r="M201" s="431">
        <f t="shared" si="66"/>
        <v>0</v>
      </c>
      <c r="N201" s="431">
        <f t="shared" si="67"/>
        <v>0</v>
      </c>
      <c r="O201" s="431">
        <f t="shared" si="68"/>
        <v>0</v>
      </c>
      <c r="R201" s="443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 ht="3.75" customHeight="1">
      <c r="A202" s="310"/>
      <c r="B202" s="450"/>
      <c r="C202" s="435"/>
      <c r="D202" s="433"/>
      <c r="E202" s="429" t="str">
        <f t="shared" ref="E202" si="69">IFERROR(ROUND(E$176/$D202,2),"")</f>
        <v/>
      </c>
      <c r="F202" s="311"/>
      <c r="G202" s="311"/>
      <c r="H202" s="311"/>
      <c r="I202" s="311"/>
      <c r="K202" s="316" t="str">
        <f t="shared" si="65"/>
        <v/>
      </c>
      <c r="L202" s="446"/>
      <c r="M202" s="432"/>
      <c r="N202" s="432"/>
      <c r="O202" s="432"/>
      <c r="R202" s="443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310"/>
      <c r="B203" s="451"/>
      <c r="C203" s="187" t="s">
        <v>494</v>
      </c>
      <c r="D203" s="313" t="s">
        <v>467</v>
      </c>
      <c r="E203" s="430"/>
      <c r="F203" s="430"/>
      <c r="G203" s="430"/>
      <c r="H203" s="430"/>
      <c r="I203" s="430"/>
      <c r="K203" s="316" t="str">
        <f t="shared" si="65"/>
        <v/>
      </c>
      <c r="L203" s="447" t="s">
        <v>466</v>
      </c>
      <c r="M203" s="430" t="s">
        <v>463</v>
      </c>
      <c r="N203" s="430" t="s">
        <v>414</v>
      </c>
      <c r="O203" s="430" t="s">
        <v>498</v>
      </c>
      <c r="R203" s="443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310"/>
      <c r="B204" s="449" t="s">
        <v>430</v>
      </c>
      <c r="C204" s="434" t="s">
        <v>458</v>
      </c>
      <c r="D204" s="441"/>
      <c r="E204" s="429" t="str">
        <f>IFERROR(ROUND((E$176/$D204),2),"")</f>
        <v/>
      </c>
      <c r="F204" s="429" t="str">
        <f>IFERROR(ROUND((F$176/$D204)*($F$27/$E$27),2),"")</f>
        <v/>
      </c>
      <c r="G204" s="429"/>
      <c r="H204" s="429"/>
      <c r="I204" s="427"/>
      <c r="K204" s="316" t="str">
        <f t="shared" si="65"/>
        <v/>
      </c>
      <c r="L204" s="444"/>
      <c r="M204" s="431">
        <f t="shared" ref="M204:M209" si="70">SUM(E204:I204)</f>
        <v>0</v>
      </c>
      <c r="N204" s="431">
        <f t="shared" ref="N204:N209" si="71">ROUND(L204*M204,2)</f>
        <v>0</v>
      </c>
      <c r="O204" s="431">
        <f t="shared" ref="O204:O209" si="72">N204*$D$12</f>
        <v>0</v>
      </c>
      <c r="R204" s="443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310"/>
      <c r="B205" s="449" t="s">
        <v>431</v>
      </c>
      <c r="C205" s="434" t="s">
        <v>453</v>
      </c>
      <c r="D205" s="441"/>
      <c r="E205" s="429" t="str">
        <f t="shared" ref="E205:E209" si="73">IFERROR(ROUND((E$176/$D205),2),"")</f>
        <v/>
      </c>
      <c r="F205" s="429" t="str">
        <f t="shared" ref="F205:F209" si="74">IFERROR(ROUND((F$176/$D205)*($F$27/$E$27),2),"")</f>
        <v/>
      </c>
      <c r="G205" s="429"/>
      <c r="H205" s="429"/>
      <c r="I205" s="427"/>
      <c r="K205" s="316" t="str">
        <f t="shared" si="65"/>
        <v/>
      </c>
      <c r="L205" s="444"/>
      <c r="M205" s="431">
        <f t="shared" si="70"/>
        <v>0</v>
      </c>
      <c r="N205" s="431">
        <f t="shared" si="71"/>
        <v>0</v>
      </c>
      <c r="O205" s="431">
        <f t="shared" si="72"/>
        <v>0</v>
      </c>
      <c r="R205" s="443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310"/>
      <c r="B206" s="449" t="s">
        <v>432</v>
      </c>
      <c r="C206" s="434" t="s">
        <v>459</v>
      </c>
      <c r="D206" s="441"/>
      <c r="E206" s="429" t="str">
        <f t="shared" si="73"/>
        <v/>
      </c>
      <c r="F206" s="429" t="str">
        <f t="shared" si="74"/>
        <v/>
      </c>
      <c r="G206" s="429"/>
      <c r="H206" s="429"/>
      <c r="I206" s="429"/>
      <c r="K206" s="316" t="str">
        <f t="shared" si="65"/>
        <v/>
      </c>
      <c r="L206" s="444"/>
      <c r="M206" s="431">
        <f t="shared" si="70"/>
        <v>0</v>
      </c>
      <c r="N206" s="431">
        <f t="shared" si="71"/>
        <v>0</v>
      </c>
      <c r="O206" s="431">
        <f t="shared" si="72"/>
        <v>0</v>
      </c>
      <c r="R206" s="443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310"/>
      <c r="B207" s="449" t="s">
        <v>433</v>
      </c>
      <c r="C207" s="434" t="s">
        <v>460</v>
      </c>
      <c r="D207" s="441"/>
      <c r="E207" s="429" t="str">
        <f t="shared" si="73"/>
        <v/>
      </c>
      <c r="F207" s="429" t="str">
        <f t="shared" si="74"/>
        <v/>
      </c>
      <c r="G207" s="429"/>
      <c r="H207" s="429"/>
      <c r="I207" s="429"/>
      <c r="K207" s="316" t="str">
        <f t="shared" si="65"/>
        <v/>
      </c>
      <c r="L207" s="444"/>
      <c r="M207" s="431">
        <f t="shared" si="70"/>
        <v>0</v>
      </c>
      <c r="N207" s="431">
        <f t="shared" si="71"/>
        <v>0</v>
      </c>
      <c r="O207" s="431">
        <f t="shared" si="72"/>
        <v>0</v>
      </c>
      <c r="R207" s="443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310"/>
      <c r="B208" s="449" t="s">
        <v>434</v>
      </c>
      <c r="C208" s="434" t="s">
        <v>461</v>
      </c>
      <c r="D208" s="441"/>
      <c r="E208" s="429" t="str">
        <f t="shared" si="73"/>
        <v/>
      </c>
      <c r="F208" s="429" t="str">
        <f t="shared" si="74"/>
        <v/>
      </c>
      <c r="G208" s="429"/>
      <c r="H208" s="429"/>
      <c r="I208" s="429"/>
      <c r="K208" s="316" t="str">
        <f t="shared" si="65"/>
        <v/>
      </c>
      <c r="L208" s="444"/>
      <c r="M208" s="431">
        <f t="shared" si="70"/>
        <v>0</v>
      </c>
      <c r="N208" s="431">
        <f t="shared" si="71"/>
        <v>0</v>
      </c>
      <c r="O208" s="431">
        <f t="shared" si="72"/>
        <v>0</v>
      </c>
      <c r="R208" s="443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310"/>
      <c r="B209" s="449" t="s">
        <v>492</v>
      </c>
      <c r="C209" s="434" t="s">
        <v>462</v>
      </c>
      <c r="D209" s="441"/>
      <c r="E209" s="429" t="str">
        <f t="shared" si="73"/>
        <v/>
      </c>
      <c r="F209" s="429" t="str">
        <f t="shared" si="74"/>
        <v/>
      </c>
      <c r="G209" s="429"/>
      <c r="H209" s="429"/>
      <c r="I209" s="427"/>
      <c r="K209" s="316" t="str">
        <f t="shared" si="65"/>
        <v/>
      </c>
      <c r="L209" s="444"/>
      <c r="M209" s="431">
        <f t="shared" si="70"/>
        <v>0</v>
      </c>
      <c r="N209" s="431">
        <f t="shared" si="71"/>
        <v>0</v>
      </c>
      <c r="O209" s="431">
        <f t="shared" si="72"/>
        <v>0</v>
      </c>
      <c r="R209" s="443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 ht="3.75" customHeight="1">
      <c r="A210" s="310"/>
      <c r="B210" s="450"/>
      <c r="C210" s="435"/>
      <c r="D210" s="433"/>
      <c r="E210" s="311"/>
      <c r="F210" s="311"/>
      <c r="G210" s="311"/>
      <c r="H210" s="311"/>
      <c r="I210" s="311"/>
      <c r="K210" s="316" t="str">
        <f t="shared" si="65"/>
        <v/>
      </c>
      <c r="L210" s="446"/>
      <c r="M210" s="432"/>
      <c r="N210" s="432"/>
      <c r="O210" s="432"/>
      <c r="R210" s="443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310"/>
      <c r="B211" s="451"/>
      <c r="C211" s="187" t="s">
        <v>495</v>
      </c>
      <c r="D211" s="313" t="s">
        <v>467</v>
      </c>
      <c r="E211" s="430"/>
      <c r="F211" s="430"/>
      <c r="G211" s="430"/>
      <c r="H211" s="430"/>
      <c r="I211" s="430"/>
      <c r="K211" s="316" t="str">
        <f t="shared" si="65"/>
        <v/>
      </c>
      <c r="L211" s="447" t="s">
        <v>466</v>
      </c>
      <c r="M211" s="430" t="s">
        <v>463</v>
      </c>
      <c r="N211" s="430" t="s">
        <v>414</v>
      </c>
      <c r="O211" s="430" t="s">
        <v>498</v>
      </c>
      <c r="R211" s="443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310"/>
      <c r="B212" s="449" t="s">
        <v>435</v>
      </c>
      <c r="C212" s="436" t="s">
        <v>479</v>
      </c>
      <c r="D212" s="441"/>
      <c r="E212" s="429"/>
      <c r="F212" s="429"/>
      <c r="G212" s="429" t="str">
        <f>IFERROR(ROUND((G$176/$D212),2),"")</f>
        <v/>
      </c>
      <c r="H212" s="429" t="str">
        <f>IFERROR(ROUND((H$176/$D212)*($H$27/$G$27),2),"")</f>
        <v/>
      </c>
      <c r="I212" s="427"/>
      <c r="K212" s="316" t="str">
        <f t="shared" si="65"/>
        <v/>
      </c>
      <c r="L212" s="444"/>
      <c r="M212" s="431">
        <f>SUM(E212:I212)</f>
        <v>0</v>
      </c>
      <c r="N212" s="431">
        <f t="shared" ref="N212:N214" si="75">ROUND(L212*M212,2)</f>
        <v>0</v>
      </c>
      <c r="O212" s="431">
        <f t="shared" ref="O212:O214" si="76">N212*$D$12</f>
        <v>0</v>
      </c>
      <c r="R212" s="443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310"/>
      <c r="B213" s="449" t="s">
        <v>436</v>
      </c>
      <c r="C213" s="436" t="s">
        <v>480</v>
      </c>
      <c r="D213" s="441"/>
      <c r="E213" s="429" t="str">
        <f>IFERROR(ROUND((E$176/$D213),2),"")</f>
        <v/>
      </c>
      <c r="F213" s="429" t="str">
        <f>IFERROR(ROUND((F$176/$D213)*($F$27/$E$27),2),"")</f>
        <v/>
      </c>
      <c r="G213" s="429"/>
      <c r="H213" s="429"/>
      <c r="I213" s="427"/>
      <c r="K213" s="316" t="str">
        <f t="shared" si="65"/>
        <v/>
      </c>
      <c r="L213" s="444"/>
      <c r="M213" s="431">
        <f>SUM(E213:I213)</f>
        <v>0</v>
      </c>
      <c r="N213" s="431">
        <f t="shared" si="75"/>
        <v>0</v>
      </c>
      <c r="O213" s="431">
        <f t="shared" si="76"/>
        <v>0</v>
      </c>
      <c r="R213" s="443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310"/>
      <c r="B214" s="449" t="s">
        <v>485</v>
      </c>
      <c r="C214" s="436" t="s">
        <v>481</v>
      </c>
      <c r="D214" s="441"/>
      <c r="E214" s="429" t="str">
        <f>IFERROR(ROUND((E$176/$D214),2),"")</f>
        <v/>
      </c>
      <c r="F214" s="429" t="str">
        <f>IFERROR(ROUND((F$176/$D214)*($F$27/$E$27),2),"")</f>
        <v/>
      </c>
      <c r="G214" s="429"/>
      <c r="H214" s="429"/>
      <c r="I214" s="427"/>
      <c r="K214" s="316" t="str">
        <f t="shared" si="65"/>
        <v/>
      </c>
      <c r="L214" s="444"/>
      <c r="M214" s="431">
        <f>SUM(E214:I214)</f>
        <v>0</v>
      </c>
      <c r="N214" s="431">
        <f t="shared" si="75"/>
        <v>0</v>
      </c>
      <c r="O214" s="431">
        <f t="shared" si="76"/>
        <v>0</v>
      </c>
      <c r="R214" s="443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 ht="3.75" customHeight="1">
      <c r="A215" s="310"/>
      <c r="B215" s="450"/>
      <c r="C215" s="435"/>
      <c r="D215" s="433"/>
      <c r="E215" s="311"/>
      <c r="F215" s="311"/>
      <c r="G215" s="311"/>
      <c r="H215" s="311"/>
      <c r="I215" s="311"/>
      <c r="K215" s="316" t="str">
        <f t="shared" si="65"/>
        <v/>
      </c>
      <c r="L215" s="446"/>
      <c r="M215" s="432"/>
      <c r="N215" s="432"/>
      <c r="O215" s="432"/>
      <c r="R215" s="443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310"/>
      <c r="B216" s="451"/>
      <c r="C216" s="187" t="s">
        <v>496</v>
      </c>
      <c r="D216" s="313" t="s">
        <v>467</v>
      </c>
      <c r="E216" s="430"/>
      <c r="F216" s="430"/>
      <c r="G216" s="430"/>
      <c r="H216" s="430"/>
      <c r="I216" s="430"/>
      <c r="K216" s="316" t="str">
        <f t="shared" si="65"/>
        <v/>
      </c>
      <c r="L216" s="447" t="s">
        <v>466</v>
      </c>
      <c r="M216" s="430" t="s">
        <v>463</v>
      </c>
      <c r="N216" s="430" t="s">
        <v>414</v>
      </c>
      <c r="O216" s="430" t="s">
        <v>498</v>
      </c>
      <c r="R216" s="443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310"/>
      <c r="B217" s="449" t="s">
        <v>501</v>
      </c>
      <c r="C217" s="434" t="s">
        <v>464</v>
      </c>
      <c r="D217" s="441"/>
      <c r="E217" s="429"/>
      <c r="F217" s="429"/>
      <c r="G217" s="429" t="str">
        <f>IFERROR(ROUND((G$176/$D217),2),"")</f>
        <v/>
      </c>
      <c r="H217" s="429" t="str">
        <f>IFERROR(ROUND((H$176/$D217)*($H$27/$G$27),2),"")</f>
        <v/>
      </c>
      <c r="I217" s="427"/>
      <c r="K217" s="316" t="str">
        <f t="shared" si="65"/>
        <v/>
      </c>
      <c r="L217" s="444"/>
      <c r="M217" s="431">
        <f>SUM(E217:I217)</f>
        <v>0</v>
      </c>
      <c r="N217" s="431">
        <f>ROUND(L217*M217,2)</f>
        <v>0</v>
      </c>
      <c r="O217" s="431">
        <f>N217*$D$12</f>
        <v>0</v>
      </c>
      <c r="R217" s="443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 ht="3.75" customHeight="1">
      <c r="A218" s="310"/>
      <c r="B218" s="450"/>
      <c r="C218" s="435"/>
      <c r="D218" s="433"/>
      <c r="E218" s="311"/>
      <c r="F218" s="311"/>
      <c r="G218" s="311"/>
      <c r="H218" s="311"/>
      <c r="I218" s="311"/>
      <c r="K218" s="316" t="str">
        <f t="shared" si="65"/>
        <v/>
      </c>
      <c r="L218" s="446"/>
      <c r="M218" s="431"/>
      <c r="N218" s="432"/>
      <c r="O218" s="432"/>
      <c r="R218" s="443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310"/>
      <c r="B219" s="451"/>
      <c r="C219" s="187" t="s">
        <v>497</v>
      </c>
      <c r="D219" s="313" t="s">
        <v>467</v>
      </c>
      <c r="E219" s="430"/>
      <c r="F219" s="430"/>
      <c r="G219" s="430"/>
      <c r="H219" s="430"/>
      <c r="I219" s="430"/>
      <c r="K219" s="316" t="str">
        <f t="shared" si="65"/>
        <v/>
      </c>
      <c r="L219" s="447" t="s">
        <v>466</v>
      </c>
      <c r="M219" s="430" t="s">
        <v>463</v>
      </c>
      <c r="N219" s="430" t="s">
        <v>414</v>
      </c>
      <c r="O219" s="430" t="s">
        <v>498</v>
      </c>
      <c r="R219" s="443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310"/>
      <c r="B220" s="449" t="s">
        <v>502</v>
      </c>
      <c r="C220" s="434" t="s">
        <v>465</v>
      </c>
      <c r="D220" s="441"/>
      <c r="E220" s="429" t="str">
        <f>IFERROR(ROUND((E$176/$D220),2),"")</f>
        <v/>
      </c>
      <c r="F220" s="429" t="str">
        <f>IFERROR(ROUND((F$176/$D220)*($F$27/$E$27),2),"")</f>
        <v/>
      </c>
      <c r="G220" s="429"/>
      <c r="H220" s="429"/>
      <c r="I220" s="427"/>
      <c r="K220" s="316" t="str">
        <f t="shared" si="65"/>
        <v/>
      </c>
      <c r="L220" s="444"/>
      <c r="M220" s="431">
        <f>SUM(E220:I220)</f>
        <v>0</v>
      </c>
      <c r="N220" s="431">
        <f>ROUND(L220*M220,2)</f>
        <v>0</v>
      </c>
      <c r="O220" s="431">
        <f>N220*$D$12</f>
        <v>0</v>
      </c>
      <c r="R220" s="443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</sheetData>
  <sheetProtection algorithmName="SHA-512" hashValue="Mk7b+2s1Erxv/GsLgbT2X5rpkJ5Jv5QJfRl6UgV8JKb5OaMfzjHz2ZuWMl1Zr8piZJbMsrxY5TMxRs5b/+qEaw==" saltValue="V/45BtwYMBgye8bpaDXEMw==" spinCount="100000" sheet="1" objects="1" scenarios="1" formatCells="0" formatColumns="0" formatRows="0" insertColumns="0" autoFilter="0"/>
  <dataConsolidate link="1"/>
  <mergeCells count="27">
    <mergeCell ref="B108:B111"/>
    <mergeCell ref="B140:B142"/>
    <mergeCell ref="B162:B164"/>
    <mergeCell ref="B54:B58"/>
    <mergeCell ref="B78:B81"/>
    <mergeCell ref="B86:B91"/>
    <mergeCell ref="B92:B96"/>
    <mergeCell ref="B97:B100"/>
    <mergeCell ref="B103:B106"/>
    <mergeCell ref="B50:B53"/>
    <mergeCell ref="D10:E10"/>
    <mergeCell ref="D12:E12"/>
    <mergeCell ref="D11:E11"/>
    <mergeCell ref="D13:E13"/>
    <mergeCell ref="D14:E14"/>
    <mergeCell ref="D15:E15"/>
    <mergeCell ref="B33:B35"/>
    <mergeCell ref="B36:B39"/>
    <mergeCell ref="B40:B42"/>
    <mergeCell ref="B43:B46"/>
    <mergeCell ref="B47:B49"/>
    <mergeCell ref="D9:E9"/>
    <mergeCell ref="A2:I2"/>
    <mergeCell ref="D5:E5"/>
    <mergeCell ref="D6:E6"/>
    <mergeCell ref="D7:E7"/>
    <mergeCell ref="D8:E8"/>
  </mergeCells>
  <conditionalFormatting sqref="D5:D12 E18:I27 E34:I34 E37:I38 E41:I41 E44:I45 E59:I60 E87:I90 E93:I95 E98:I99 E104:I105 E141:I141 D195:D201 L195:L201 D204:D209 L204:L209 D212:D214 L212:L214 D217 L217 D220 L220">
    <cfRule type="expression" dxfId="12" priority="10">
      <formula>$H$5=1</formula>
    </cfRule>
  </conditionalFormatting>
  <conditionalFormatting sqref="D9:D10 D13:D15 E19:I24 E34:I34 E37:I38 E41:I41 E44:I45 E59:I60 D79:D80 E88:I90 E93:I95 E98:I99 E104:I105 D128:D136 E141:I141">
    <cfRule type="expression" dxfId="11" priority="11">
      <formula>$H$5=2</formula>
    </cfRule>
  </conditionalFormatting>
  <conditionalFormatting sqref="D15 E20:I20 E23:I24 E87:I87 E93:I93 E98:I98 E101:I102 E104:I104 E107:I107 E109:I109">
    <cfRule type="expression" dxfId="10" priority="7">
      <formula>$H$5=4</formula>
    </cfRule>
  </conditionalFormatting>
  <conditionalFormatting sqref="E163:H163">
    <cfRule type="expression" dxfId="9" priority="1">
      <formula>$H$5=1</formula>
    </cfRule>
  </conditionalFormatting>
  <conditionalFormatting sqref="E51:I52">
    <cfRule type="expression" dxfId="8" priority="3">
      <formula>$H$5=1</formula>
    </cfRule>
    <cfRule type="expression" dxfId="7" priority="4">
      <formula>$H$5=2</formula>
    </cfRule>
  </conditionalFormatting>
  <conditionalFormatting sqref="E163:I163">
    <cfRule type="expression" dxfId="6" priority="2">
      <formula>$H$5=2</formula>
    </cfRule>
  </conditionalFormatting>
  <dataValidations count="13">
    <dataValidation showInputMessage="1" sqref="D142 D164" xr:uid="{00000000-0002-0000-0100-000000000000}"/>
    <dataValidation type="list" allowBlank="1" showInputMessage="1" showErrorMessage="1" sqref="D56" xr:uid="{00000000-0002-0000-0100-000001000000}">
      <formula1>"Sim,Não"</formula1>
    </dataValidation>
    <dataValidation type="list" allowBlank="1" showInputMessage="1" showErrorMessage="1" sqref="I51" xr:uid="{00000000-0002-0000-0100-000002000000}">
      <formula1>"0%,50%,100%"</formula1>
    </dataValidation>
    <dataValidation type="list" showInputMessage="1" sqref="D139:D141 E141:I141" xr:uid="{00000000-0002-0000-0100-000003000000}">
      <formula1>"Indenização,Rendição,Não"</formula1>
    </dataValidation>
    <dataValidation type="whole" allowBlank="1" showInputMessage="1" showErrorMessage="1" errorTitle="Erro de entrada" error="Informar a duração do contrato em meses" sqref="D12:E12" xr:uid="{00000000-0002-0000-0100-000004000000}">
      <formula1>1</formula1>
      <formula2>360</formula2>
    </dataValidation>
    <dataValidation type="list" allowBlank="1" showInputMessage="1" sqref="D11:E11" xr:uid="{00000000-0002-0000-0100-000005000000}">
      <formula1>"Valor Global,Mês,Dia,Hora"</formula1>
    </dataValidation>
    <dataValidation type="list" allowBlank="1" showInputMessage="1" sqref="E21:I21" xr:uid="{00000000-0002-0000-0100-000006000000}">
      <formula1>"180,200,220"</formula1>
    </dataValidation>
    <dataValidation type="list" sqref="E34:I34" xr:uid="{00000000-0002-0000-0100-000007000000}">
      <formula1>"0%,30%"</formula1>
    </dataValidation>
    <dataValidation sqref="E40:I41 E43:I43 E47:I47 E50:I50 E54:I54 E33:I33 E36:I36" xr:uid="{00000000-0002-0000-0100-000008000000}"/>
    <dataValidation type="list" sqref="E37:I37" xr:uid="{00000000-0002-0000-0100-000009000000}">
      <formula1>"Salário Base, Salário Mínimo,Não incide"</formula1>
    </dataValidation>
    <dataValidation type="list" sqref="E38:I38" xr:uid="{00000000-0002-0000-0100-00000A000000}">
      <formula1>"0,10%,20%,40%"</formula1>
    </dataValidation>
    <dataValidation type="list" allowBlank="1" sqref="E38:I38" xr:uid="{00000000-0002-0000-0100-00000B000000}">
      <formula1>"0%,10%,20%,40%"</formula1>
    </dataValidation>
    <dataValidation type="list" allowBlank="1" sqref="E51:H51" xr:uid="{00000000-0002-0000-0100-00000C000000}">
      <formula1>"0%,50%,100%"</formula1>
    </dataValidation>
  </dataValidations>
  <hyperlinks>
    <hyperlink ref="C148" location="'Mat Individual e Uniformes func'!A1" display="Material Individual e Uniformes" xr:uid="{00000000-0004-0000-0100-000000000000}"/>
    <hyperlink ref="C149" location="'Mat Coletivo e Equipamentos'!A1" display="Material Coletivo e Equipamentos" xr:uid="{00000000-0004-0000-0100-000001000000}"/>
  </hyperlinks>
  <pageMargins left="0.51181102362204722" right="0.51181102362204722" top="0.78740157480314965" bottom="0.78740157480314965" header="0.31496062992125984" footer="0.31496062992125984"/>
  <pageSetup paperSize="9" fitToHeight="20" orientation="portrait" r:id="rId1"/>
  <headerFooter>
    <oddFooter>&amp;R&amp;P/&amp;N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Group Box 1">
              <controlPr defaultSize="0" autoFill="0" autoPict="0">
                <anchor moveWithCells="1">
                  <from>
                    <xdr:col>5</xdr:col>
                    <xdr:colOff>323850</xdr:colOff>
                    <xdr:row>2</xdr:row>
                    <xdr:rowOff>238125</xdr:rowOff>
                  </from>
                  <to>
                    <xdr:col>6</xdr:col>
                    <xdr:colOff>1095375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Option Button 2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4</xdr:row>
                    <xdr:rowOff>9525</xdr:rowOff>
                  </from>
                  <to>
                    <xdr:col>6</xdr:col>
                    <xdr:colOff>533400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Option Button 3">
              <controlPr defaultSize="0" autoFill="0" autoLine="0" autoPict="0">
                <anchor moveWithCells="1">
                  <from>
                    <xdr:col>5</xdr:col>
                    <xdr:colOff>476250</xdr:colOff>
                    <xdr:row>5</xdr:row>
                    <xdr:rowOff>123825</xdr:rowOff>
                  </from>
                  <to>
                    <xdr:col>6</xdr:col>
                    <xdr:colOff>533400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Option Button 4">
              <controlPr defaultSize="0" autoFill="0" autoLine="0" autoPict="0">
                <anchor moveWithCells="1">
                  <from>
                    <xdr:col>5</xdr:col>
                    <xdr:colOff>476250</xdr:colOff>
                    <xdr:row>8</xdr:row>
                    <xdr:rowOff>180975</xdr:rowOff>
                  </from>
                  <to>
                    <xdr:col>6</xdr:col>
                    <xdr:colOff>533400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6" r:id="rId8" name="Option Button 10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7</xdr:row>
                    <xdr:rowOff>57150</xdr:rowOff>
                  </from>
                  <to>
                    <xdr:col>6</xdr:col>
                    <xdr:colOff>542925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D000000}">
          <x14:formula1>
            <xm:f>'Apoio - Posto'!#REF!</xm:f>
          </x14:formula1>
          <xm:sqref>G10:G11</xm:sqref>
        </x14:dataValidation>
        <x14:dataValidation type="list" allowBlank="1" showInputMessage="1" showErrorMessage="1" xr:uid="{00000000-0002-0000-0100-00000E000000}">
          <x14:formula1>
            <xm:f>'Apoio - Notas Explicativas'!$H$13:$K$13</xm:f>
          </x14:formula1>
          <xm:sqref>D13</xm:sqref>
        </x14:dataValidation>
        <x14:dataValidation type="list" allowBlank="1" xr:uid="{00000000-0002-0000-0100-00000F000000}">
          <x14:formula1>
            <xm:f>'Apoio - Dados'!$A:$A</xm:f>
          </x14:formula1>
          <xm:sqref>D5:E5</xm:sqref>
        </x14:dataValidation>
        <x14:dataValidation type="list" xr:uid="{00000000-0002-0000-0100-000010000000}">
          <x14:formula1>
            <xm:f>'Apoio - Posto'!$C:$C</xm:f>
          </x14:formula1>
          <xm:sqref>E22:I22</xm:sqref>
        </x14:dataValidation>
        <x14:dataValidation type="list" allowBlank="1" xr:uid="{00000000-0002-0000-0100-000011000000}">
          <x14:formula1>
            <xm:f>'Apoio - Posto'!$A:$A</xm:f>
          </x14:formula1>
          <xm:sqref>E18:I18</xm:sqref>
        </x14:dataValidation>
        <x14:dataValidation type="list" allowBlank="1" xr:uid="{00000000-0002-0000-0100-000012000000}">
          <x14:formula1>
            <xm:f>'Apoio - Posto'!$B:$B</xm:f>
          </x14:formula1>
          <xm:sqref>E19:I19</xm:sqref>
        </x14:dataValidation>
        <x14:dataValidation type="list" allowBlank="1" showInputMessage="1" showErrorMessage="1" xr:uid="{00000000-0002-0000-0100-000013000000}">
          <x14:formula1>
            <xm:f>'Apoio - Regime de Trabalho'!$A:$A</xm:f>
          </x14:formula1>
          <xm:sqref>E26:I26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10"/>
  <dimension ref="A1:AA96"/>
  <sheetViews>
    <sheetView showGridLines="0" topLeftCell="A76" workbookViewId="0">
      <selection activeCell="E40" sqref="E40"/>
    </sheetView>
  </sheetViews>
  <sheetFormatPr defaultRowHeight="15"/>
  <cols>
    <col min="1" max="1" width="1.85546875" customWidth="1"/>
    <col min="2" max="2" width="4.85546875" style="324" customWidth="1"/>
    <col min="3" max="3" width="49" style="40" customWidth="1"/>
    <col min="4" max="4" width="21.28515625" style="40" customWidth="1"/>
    <col min="5" max="6" width="19.7109375" style="41" customWidth="1"/>
    <col min="7" max="9" width="19.7109375" customWidth="1"/>
    <col min="11" max="11" width="12.140625" bestFit="1" customWidth="1"/>
  </cols>
  <sheetData>
    <row r="1" spans="1:27" ht="9.75" customHeight="1">
      <c r="B1" s="361"/>
      <c r="C1" s="50"/>
      <c r="D1" s="50"/>
      <c r="E1" s="51"/>
      <c r="F1" s="51"/>
    </row>
    <row r="2" spans="1:27" s="12" customFormat="1">
      <c r="A2" s="86"/>
      <c r="B2" s="103"/>
      <c r="C2" s="104" t="s">
        <v>232</v>
      </c>
      <c r="D2" s="105"/>
      <c r="E2" s="170" t="s">
        <v>439</v>
      </c>
      <c r="F2" s="170" t="s">
        <v>440</v>
      </c>
      <c r="G2" s="170" t="s">
        <v>441</v>
      </c>
      <c r="H2" s="170" t="s">
        <v>442</v>
      </c>
      <c r="I2" s="170" t="s">
        <v>443</v>
      </c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</row>
    <row r="3" spans="1:27" s="3" customFormat="1">
      <c r="B3" s="338"/>
      <c r="C3" s="339" t="s">
        <v>336</v>
      </c>
      <c r="D3" s="344"/>
      <c r="E3" s="411" t="s">
        <v>618</v>
      </c>
      <c r="F3" s="412"/>
      <c r="G3" s="412"/>
      <c r="H3" s="412"/>
      <c r="I3" s="412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</row>
    <row r="4" spans="1:27">
      <c r="B4" s="340"/>
      <c r="C4" s="341" t="s">
        <v>325</v>
      </c>
      <c r="D4" s="139"/>
      <c r="E4" s="413">
        <v>1</v>
      </c>
      <c r="F4" s="413"/>
      <c r="G4" s="413"/>
      <c r="H4" s="413"/>
      <c r="I4" s="413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</row>
    <row r="5" spans="1:27">
      <c r="B5" s="342"/>
      <c r="C5" s="343" t="s">
        <v>329</v>
      </c>
      <c r="D5" s="345"/>
      <c r="E5" s="414">
        <v>1000</v>
      </c>
      <c r="F5" s="415"/>
      <c r="G5" s="415"/>
      <c r="H5" s="415"/>
      <c r="I5" s="415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</row>
    <row r="6" spans="1:27">
      <c r="A6" s="44"/>
      <c r="C6" s="50"/>
      <c r="G6" s="41"/>
      <c r="H6" s="41"/>
      <c r="I6" s="41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</row>
    <row r="7" spans="1:27" s="12" customFormat="1">
      <c r="A7" s="86"/>
      <c r="B7" s="103"/>
      <c r="C7" s="104" t="s">
        <v>578</v>
      </c>
      <c r="D7" s="105"/>
      <c r="E7" s="395"/>
      <c r="F7" s="395"/>
      <c r="G7" s="395"/>
      <c r="H7" s="395"/>
      <c r="I7" s="395"/>
      <c r="J7" s="314"/>
      <c r="K7" s="314"/>
      <c r="L7" s="314"/>
      <c r="M7" s="314"/>
      <c r="N7" s="314"/>
      <c r="O7" s="314"/>
      <c r="P7" s="314"/>
      <c r="Q7" s="314"/>
      <c r="R7" s="314"/>
      <c r="S7" s="314"/>
      <c r="T7" s="314"/>
      <c r="U7" s="314"/>
      <c r="V7" s="314"/>
      <c r="W7" s="314"/>
      <c r="X7" s="314"/>
      <c r="Y7" s="314"/>
      <c r="Z7" s="314"/>
      <c r="AA7" s="314"/>
    </row>
    <row r="8" spans="1:27">
      <c r="B8" s="729" t="s">
        <v>424</v>
      </c>
      <c r="C8" s="329" t="s">
        <v>321</v>
      </c>
      <c r="D8" s="330"/>
      <c r="E8" s="332"/>
      <c r="F8" s="332"/>
      <c r="G8" s="332"/>
      <c r="H8" s="332"/>
      <c r="I8" s="332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</row>
    <row r="9" spans="1:27">
      <c r="B9" s="730"/>
      <c r="C9" s="356" t="s">
        <v>317</v>
      </c>
      <c r="D9" s="350"/>
      <c r="E9" s="463">
        <v>9.5</v>
      </c>
      <c r="F9" s="463"/>
      <c r="G9" s="463"/>
      <c r="H9" s="463"/>
      <c r="I9" s="463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</row>
    <row r="10" spans="1:27">
      <c r="B10" s="730"/>
      <c r="C10" s="357" t="s">
        <v>318</v>
      </c>
      <c r="D10" s="351"/>
      <c r="E10" s="464" t="s">
        <v>619</v>
      </c>
      <c r="F10" s="464"/>
      <c r="G10" s="464"/>
      <c r="H10" s="464"/>
      <c r="I10" s="464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</row>
    <row r="11" spans="1:27">
      <c r="B11" s="730"/>
      <c r="C11" s="357" t="s">
        <v>319</v>
      </c>
      <c r="D11" s="351"/>
      <c r="E11" s="465">
        <v>5.75</v>
      </c>
      <c r="F11" s="465"/>
      <c r="G11" s="465"/>
      <c r="H11" s="465"/>
      <c r="I11" s="465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</row>
    <row r="12" spans="1:27">
      <c r="B12" s="731"/>
      <c r="C12" s="331"/>
      <c r="D12" s="331" t="s">
        <v>43</v>
      </c>
      <c r="E12" s="391">
        <f>IFERROR(E5*E11/E9,"")</f>
        <v>605.26315789473688</v>
      </c>
      <c r="F12" s="391" t="str">
        <f t="shared" ref="F12:I12" si="0">IFERROR(F5*F11/F9,"")</f>
        <v/>
      </c>
      <c r="G12" s="391" t="str">
        <f t="shared" si="0"/>
        <v/>
      </c>
      <c r="H12" s="391" t="str">
        <f t="shared" si="0"/>
        <v/>
      </c>
      <c r="I12" s="391" t="str">
        <f t="shared" si="0"/>
        <v/>
      </c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</row>
    <row r="13" spans="1:27">
      <c r="B13" s="733" t="s">
        <v>425</v>
      </c>
      <c r="C13" s="358" t="s">
        <v>320</v>
      </c>
      <c r="D13" s="352"/>
      <c r="E13" s="333"/>
      <c r="F13" s="333"/>
      <c r="G13" s="333"/>
      <c r="H13" s="333"/>
      <c r="I13" s="333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</row>
    <row r="14" spans="1:27">
      <c r="B14" s="713"/>
      <c r="C14" s="359" t="s">
        <v>333</v>
      </c>
      <c r="D14" s="353"/>
      <c r="E14" s="466">
        <v>4</v>
      </c>
      <c r="F14" s="466"/>
      <c r="G14" s="466"/>
      <c r="H14" s="466"/>
      <c r="I14" s="466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</row>
    <row r="15" spans="1:27">
      <c r="B15" s="713"/>
      <c r="C15" s="238" t="s">
        <v>334</v>
      </c>
      <c r="D15" s="354"/>
      <c r="E15" s="467">
        <v>10000</v>
      </c>
      <c r="F15" s="467"/>
      <c r="G15" s="467"/>
      <c r="H15" s="467"/>
      <c r="I15" s="46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</row>
    <row r="16" spans="1:27">
      <c r="B16" s="713"/>
      <c r="C16" s="238" t="s">
        <v>16</v>
      </c>
      <c r="D16" s="355"/>
      <c r="E16" s="468">
        <v>35</v>
      </c>
      <c r="F16" s="468"/>
      <c r="G16" s="468"/>
      <c r="H16" s="468"/>
      <c r="I16" s="468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</row>
    <row r="17" spans="2:27">
      <c r="B17" s="732"/>
      <c r="C17" s="331"/>
      <c r="D17" s="331" t="s">
        <v>43</v>
      </c>
      <c r="E17" s="390">
        <f>IFERROR(IF(E3="","",E16*E14*E5/E15),"")</f>
        <v>14</v>
      </c>
      <c r="F17" s="390" t="str">
        <f t="shared" ref="F17:I17" si="1">IFERROR(IF(F3="","",F16*F14*F5/F15),"")</f>
        <v/>
      </c>
      <c r="G17" s="390" t="str">
        <f t="shared" si="1"/>
        <v/>
      </c>
      <c r="H17" s="390" t="str">
        <f t="shared" si="1"/>
        <v/>
      </c>
      <c r="I17" s="390" t="str">
        <f t="shared" si="1"/>
        <v/>
      </c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</row>
    <row r="18" spans="2:27">
      <c r="B18" s="713" t="s">
        <v>426</v>
      </c>
      <c r="C18" s="389" t="s">
        <v>423</v>
      </c>
      <c r="D18" s="392"/>
      <c r="E18" s="393"/>
      <c r="F18" s="393"/>
      <c r="G18" s="393"/>
      <c r="H18" s="393"/>
      <c r="I18" s="393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</row>
    <row r="19" spans="2:27">
      <c r="B19" s="713"/>
      <c r="C19" s="238" t="s">
        <v>334</v>
      </c>
      <c r="D19" s="695"/>
      <c r="E19" s="467">
        <v>10000</v>
      </c>
      <c r="F19" s="467"/>
      <c r="G19" s="467"/>
      <c r="H19" s="467"/>
      <c r="I19" s="46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</row>
    <row r="20" spans="2:27">
      <c r="B20" s="713"/>
      <c r="C20" s="238" t="s">
        <v>429</v>
      </c>
      <c r="D20" s="355"/>
      <c r="E20" s="478">
        <v>40</v>
      </c>
      <c r="F20" s="478"/>
      <c r="G20" s="478"/>
      <c r="H20" s="478"/>
      <c r="I20" s="478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</row>
    <row r="21" spans="2:27">
      <c r="B21" s="732"/>
      <c r="C21" s="331"/>
      <c r="D21" s="331" t="s">
        <v>43</v>
      </c>
      <c r="E21" s="390">
        <f>IFERROR(IF(E3="","",E20*E5/E19),"")</f>
        <v>4</v>
      </c>
      <c r="F21" s="390" t="str">
        <f t="shared" ref="F21:I21" si="2">IFERROR(IF(F3="","",F20*F5/F19),"")</f>
        <v/>
      </c>
      <c r="G21" s="390" t="str">
        <f t="shared" si="2"/>
        <v/>
      </c>
      <c r="H21" s="390" t="str">
        <f t="shared" si="2"/>
        <v/>
      </c>
      <c r="I21" s="390" t="str">
        <f t="shared" si="2"/>
        <v/>
      </c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</row>
    <row r="22" spans="2:27">
      <c r="B22" s="734" t="s">
        <v>427</v>
      </c>
      <c r="C22" s="389" t="s">
        <v>322</v>
      </c>
      <c r="D22" s="392"/>
      <c r="E22" s="393"/>
      <c r="F22" s="393"/>
      <c r="G22" s="393"/>
      <c r="H22" s="393"/>
      <c r="I22" s="393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</row>
    <row r="23" spans="2:27">
      <c r="B23" s="735"/>
      <c r="C23" s="346" t="s">
        <v>323</v>
      </c>
      <c r="D23" s="347"/>
      <c r="E23" s="469">
        <v>900</v>
      </c>
      <c r="F23" s="469"/>
      <c r="G23" s="469"/>
      <c r="H23" s="469"/>
      <c r="I23" s="469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</row>
    <row r="24" spans="2:27">
      <c r="B24" s="735"/>
      <c r="C24" s="348" t="s">
        <v>15</v>
      </c>
      <c r="D24" s="349"/>
      <c r="E24" s="470">
        <v>4</v>
      </c>
      <c r="F24" s="470"/>
      <c r="G24" s="470"/>
      <c r="H24" s="470"/>
      <c r="I24" s="470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</row>
    <row r="25" spans="2:27">
      <c r="B25" s="735"/>
      <c r="C25" s="238" t="s">
        <v>562</v>
      </c>
      <c r="D25" s="355"/>
      <c r="E25" s="467">
        <v>50000</v>
      </c>
      <c r="F25" s="467"/>
      <c r="G25" s="467"/>
      <c r="H25" s="467"/>
      <c r="I25" s="46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</row>
    <row r="26" spans="2:27">
      <c r="B26" s="736"/>
      <c r="C26" s="331"/>
      <c r="D26" s="331" t="s">
        <v>43</v>
      </c>
      <c r="E26" s="390">
        <f>IFERROR((E23*E24*E5/E25),"")</f>
        <v>72</v>
      </c>
      <c r="F26" s="390" t="str">
        <f>IFERROR((F23*F24*F5/F25),"")</f>
        <v/>
      </c>
      <c r="G26" s="390" t="str">
        <f>IFERROR((G23*G24*G5/G25),"")</f>
        <v/>
      </c>
      <c r="H26" s="390" t="str">
        <f>IFERROR((H23*H24*H5/H25),"")</f>
        <v/>
      </c>
      <c r="I26" s="390" t="str">
        <f>IFERROR((I23*I24*I5/I25),"")</f>
        <v/>
      </c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</row>
    <row r="27" spans="2:27">
      <c r="B27" s="734" t="s">
        <v>428</v>
      </c>
      <c r="C27" s="329" t="s">
        <v>14</v>
      </c>
      <c r="D27" s="364"/>
      <c r="E27" s="332"/>
      <c r="F27" s="332"/>
      <c r="G27" s="332"/>
      <c r="H27" s="332"/>
      <c r="I27" s="332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</row>
    <row r="28" spans="2:27">
      <c r="B28" s="735"/>
      <c r="C28" s="356" t="s">
        <v>412</v>
      </c>
      <c r="D28" s="365"/>
      <c r="E28" s="471">
        <v>0.03</v>
      </c>
      <c r="F28" s="471"/>
      <c r="G28" s="471"/>
      <c r="H28" s="471"/>
      <c r="I28" s="471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</row>
    <row r="29" spans="2:27">
      <c r="B29" s="735"/>
      <c r="C29" s="693" t="s">
        <v>330</v>
      </c>
      <c r="D29" s="366"/>
      <c r="E29" s="472">
        <v>131782</v>
      </c>
      <c r="F29" s="472"/>
      <c r="G29" s="472"/>
      <c r="H29" s="472"/>
      <c r="I29" s="472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</row>
    <row r="30" spans="2:27">
      <c r="B30" s="735"/>
      <c r="C30" s="694" t="s">
        <v>590</v>
      </c>
      <c r="D30" s="367"/>
      <c r="E30" s="473"/>
      <c r="F30" s="473"/>
      <c r="G30" s="473"/>
      <c r="H30" s="473"/>
      <c r="I30" s="473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</row>
    <row r="31" spans="2:27">
      <c r="B31" s="735"/>
      <c r="C31" s="694" t="s">
        <v>590</v>
      </c>
      <c r="D31" s="360"/>
      <c r="E31" s="464"/>
      <c r="F31" s="464"/>
      <c r="G31" s="464"/>
      <c r="H31" s="464"/>
      <c r="I31" s="464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</row>
    <row r="32" spans="2:27">
      <c r="B32" s="735"/>
      <c r="C32" s="363" t="s">
        <v>326</v>
      </c>
      <c r="D32" s="362"/>
      <c r="E32" s="464">
        <f>IF(E3="","",SUM(E29:E31))</f>
        <v>131782</v>
      </c>
      <c r="F32" s="464" t="str">
        <f>IF(F3="","",SUM(F29:F31))</f>
        <v/>
      </c>
      <c r="G32" s="464" t="str">
        <f>IF(G3="","",SUM(G29:G31))</f>
        <v/>
      </c>
      <c r="H32" s="464" t="str">
        <f>IF(H3="","",SUM(H29:H31))</f>
        <v/>
      </c>
      <c r="I32" s="464" t="str">
        <f>IF(I3="","",SUM(I29:I31))</f>
        <v/>
      </c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</row>
    <row r="33" spans="1:27">
      <c r="B33" s="736"/>
      <c r="C33" s="331"/>
      <c r="D33" s="331" t="s">
        <v>43</v>
      </c>
      <c r="E33" s="394">
        <f>IF(E3="","",E28*E32/12)</f>
        <v>329.45499999999998</v>
      </c>
      <c r="F33" s="394" t="str">
        <f>IF(F3="","",F28*F32/12)</f>
        <v/>
      </c>
      <c r="G33" s="394" t="str">
        <f>IF(G3="","",G28*G32/12)</f>
        <v/>
      </c>
      <c r="H33" s="394" t="str">
        <f>IF(H3="","",H28*H32/12)</f>
        <v/>
      </c>
      <c r="I33" s="394" t="str">
        <f>IF(I3="","",I28*I32/12)</f>
        <v/>
      </c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</row>
    <row r="34" spans="1:27" s="12" customFormat="1">
      <c r="A34" s="86"/>
      <c r="B34" s="103"/>
      <c r="C34" s="105" t="s">
        <v>579</v>
      </c>
      <c r="D34" s="105"/>
      <c r="E34" s="395">
        <f>IF(E3="","",SUM(E12,E17,E21,E26,E33))</f>
        <v>1024.7181578947368</v>
      </c>
      <c r="F34" s="395" t="str">
        <f>IF(F3="","",SUM(F12,F17,F21,F26,F33))</f>
        <v/>
      </c>
      <c r="G34" s="395" t="str">
        <f>IF(G3="","",SUM(G12,G17,G21,G26,G33))</f>
        <v/>
      </c>
      <c r="H34" s="395" t="str">
        <f>IF(H3="","",SUM(H12,H17,H21,H26,H33))</f>
        <v/>
      </c>
      <c r="I34" s="395" t="str">
        <f>IF(I3="","",SUM(I12,I17,I21,I26,I33))</f>
        <v/>
      </c>
      <c r="J34" s="314"/>
      <c r="K34" s="314"/>
      <c r="L34" s="314"/>
      <c r="M34" s="314"/>
      <c r="N34" s="314"/>
      <c r="O34" s="314"/>
      <c r="P34" s="314"/>
      <c r="Q34" s="314"/>
      <c r="R34" s="314"/>
      <c r="S34" s="314"/>
      <c r="T34" s="314"/>
      <c r="U34" s="314"/>
      <c r="V34" s="314"/>
      <c r="W34" s="314"/>
      <c r="X34" s="314"/>
      <c r="Y34" s="314"/>
      <c r="Z34" s="314"/>
      <c r="AA34" s="314"/>
    </row>
    <row r="35" spans="1:27">
      <c r="A35" s="44"/>
      <c r="C35" s="42"/>
      <c r="D35" s="43"/>
      <c r="G35" s="41"/>
      <c r="H35" s="41"/>
      <c r="I35" s="41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</row>
    <row r="36" spans="1:27" s="12" customFormat="1">
      <c r="A36" s="86"/>
      <c r="B36" s="103"/>
      <c r="C36" s="104" t="s">
        <v>580</v>
      </c>
      <c r="D36" s="105"/>
      <c r="E36" s="395"/>
      <c r="F36" s="395"/>
      <c r="G36" s="395"/>
      <c r="H36" s="395"/>
      <c r="I36" s="395"/>
      <c r="J36" s="314"/>
      <c r="K36" s="314"/>
      <c r="L36" s="314"/>
      <c r="M36" s="314"/>
      <c r="N36" s="314"/>
      <c r="O36" s="314"/>
      <c r="P36" s="314"/>
      <c r="Q36" s="314"/>
      <c r="R36" s="314"/>
      <c r="S36" s="314"/>
      <c r="T36" s="314"/>
      <c r="U36" s="314"/>
      <c r="V36" s="314"/>
      <c r="W36" s="314"/>
      <c r="X36" s="314"/>
      <c r="Y36" s="314"/>
      <c r="Z36" s="314"/>
      <c r="AA36" s="314"/>
    </row>
    <row r="37" spans="1:27">
      <c r="B37" s="334" t="s">
        <v>430</v>
      </c>
      <c r="C37" s="335" t="s">
        <v>13</v>
      </c>
      <c r="D37" s="481">
        <v>0.01</v>
      </c>
      <c r="E37" s="336">
        <f>IF(E3="","",E29*$D$37/Proposta!$J$6)</f>
        <v>109.81833333333333</v>
      </c>
      <c r="F37" s="336" t="str">
        <f>IF(F3="","",F29*$D$37/Proposta!$J$6)</f>
        <v/>
      </c>
      <c r="G37" s="336" t="str">
        <f>IF(G3="","",G29*$D$37/Proposta!$J$6)</f>
        <v/>
      </c>
      <c r="H37" s="336" t="str">
        <f>IF(H3="","",H29*$D$37/Proposta!$J$6)</f>
        <v/>
      </c>
      <c r="I37" s="336" t="str">
        <f>IF(I3="","",I29*$D$37/Proposta!$J$6)</f>
        <v/>
      </c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</row>
    <row r="38" spans="1:27">
      <c r="B38" s="334" t="s">
        <v>431</v>
      </c>
      <c r="C38" s="335" t="s">
        <v>12</v>
      </c>
      <c r="D38" s="482">
        <v>286.94</v>
      </c>
      <c r="E38" s="336">
        <f>IF(E$3="","",$D$38/Proposta!$J$6)</f>
        <v>23.911666666666665</v>
      </c>
      <c r="F38" s="336" t="str">
        <f>IF(F$3="","",$D$38/Proposta!$J$6)</f>
        <v/>
      </c>
      <c r="G38" s="336" t="str">
        <f>IF(G$3="","",$D$38/Proposta!$J$6)</f>
        <v/>
      </c>
      <c r="H38" s="336" t="str">
        <f>IF(H$3="","",$D$38/Proposta!$J$6)</f>
        <v/>
      </c>
      <c r="I38" s="336" t="str">
        <f>IF(I$3="","",$D$38/Proposta!$J$6)</f>
        <v/>
      </c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</row>
    <row r="39" spans="1:27">
      <c r="B39" s="737" t="s">
        <v>432</v>
      </c>
      <c r="C39" s="329" t="s">
        <v>11</v>
      </c>
      <c r="D39" s="483"/>
      <c r="E39" s="332"/>
      <c r="F39" s="332"/>
      <c r="G39" s="332"/>
      <c r="H39" s="332"/>
      <c r="I39" s="332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</row>
    <row r="40" spans="1:27">
      <c r="B40" s="738"/>
      <c r="C40" s="346" t="s">
        <v>550</v>
      </c>
      <c r="D40" s="484"/>
      <c r="E40" s="496">
        <v>2</v>
      </c>
      <c r="F40" s="496"/>
      <c r="G40" s="496"/>
      <c r="H40" s="496"/>
      <c r="I40" s="496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</row>
    <row r="41" spans="1:27">
      <c r="B41" s="738"/>
      <c r="C41" s="363" t="s">
        <v>551</v>
      </c>
      <c r="D41" s="497">
        <v>73.44</v>
      </c>
      <c r="E41" s="464">
        <f>IF(E3="","",$D$41)</f>
        <v>73.44</v>
      </c>
      <c r="F41" s="464" t="str">
        <f>IF(F3="","",$D$41)</f>
        <v/>
      </c>
      <c r="G41" s="464" t="str">
        <f>IF(G3="","",$D$41)</f>
        <v/>
      </c>
      <c r="H41" s="464" t="str">
        <f>IF(H3="","",$D$41)</f>
        <v/>
      </c>
      <c r="I41" s="464" t="str">
        <f>IF(I3="","",$D$41)</f>
        <v/>
      </c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</row>
    <row r="42" spans="1:27">
      <c r="B42" s="739"/>
      <c r="C42" s="331"/>
      <c r="D42" s="331" t="s">
        <v>43</v>
      </c>
      <c r="E42" s="498">
        <f>IF(E$3="","",E40*E41/Proposta!$J$6)</f>
        <v>12.24</v>
      </c>
      <c r="F42" s="498" t="str">
        <f>IF(F$3="","",F40*F41/Proposta!$J$6)</f>
        <v/>
      </c>
      <c r="G42" s="498" t="str">
        <f>IF(G$3="","",G40*G41/Proposta!$J$6)</f>
        <v/>
      </c>
      <c r="H42" s="498" t="str">
        <f>IF(H$3="","",H40*H41/Proposta!$J$6)</f>
        <v/>
      </c>
      <c r="I42" s="498" t="str">
        <f>IF(I$3="","",I40*I41/Proposta!$J$6)</f>
        <v/>
      </c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</row>
    <row r="43" spans="1:27">
      <c r="B43" s="334" t="s">
        <v>433</v>
      </c>
      <c r="C43" s="335" t="s">
        <v>10</v>
      </c>
      <c r="D43" s="481">
        <v>0.02</v>
      </c>
      <c r="E43" s="336">
        <f>IF(E3="","",E32*$D$43/Proposta!$J$6)</f>
        <v>219.63666666666666</v>
      </c>
      <c r="F43" s="336" t="str">
        <f>IF(F3="","",F32*$D$43/Proposta!$J$6)</f>
        <v/>
      </c>
      <c r="G43" s="336" t="str">
        <f>IF(G3="","",G32*$D$43/Proposta!$J$6)</f>
        <v/>
      </c>
      <c r="H43" s="336" t="str">
        <f>IF(H3="","",H32*$D$43/Proposta!$J$6)</f>
        <v/>
      </c>
      <c r="I43" s="336" t="str">
        <f>IF(I3="","",I32*$D$43/Proposta!$J$6)</f>
        <v/>
      </c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</row>
    <row r="44" spans="1:27">
      <c r="B44" s="737" t="s">
        <v>434</v>
      </c>
      <c r="C44" s="329" t="s">
        <v>9</v>
      </c>
      <c r="D44" s="483"/>
      <c r="E44" s="332"/>
      <c r="F44" s="332"/>
      <c r="G44" s="332"/>
      <c r="H44" s="332"/>
      <c r="I44" s="332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</row>
    <row r="45" spans="1:27">
      <c r="B45" s="738"/>
      <c r="C45" s="346" t="s">
        <v>328</v>
      </c>
      <c r="D45" s="484"/>
      <c r="E45" s="474">
        <v>290</v>
      </c>
      <c r="F45" s="474"/>
      <c r="G45" s="474"/>
      <c r="H45" s="474"/>
      <c r="I45" s="474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</row>
    <row r="46" spans="1:27">
      <c r="B46" s="738"/>
      <c r="C46" s="363" t="s">
        <v>327</v>
      </c>
      <c r="D46" s="485"/>
      <c r="E46" s="464">
        <v>139</v>
      </c>
      <c r="F46" s="464"/>
      <c r="G46" s="464"/>
      <c r="H46" s="464"/>
      <c r="I46" s="464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</row>
    <row r="47" spans="1:27">
      <c r="B47" s="739"/>
      <c r="C47" s="331"/>
      <c r="D47" s="331" t="s">
        <v>43</v>
      </c>
      <c r="E47" s="394">
        <f>IF(E3="","",IFERROR((E45/Proposta!$J$6)+E46,0))</f>
        <v>163.16666666666666</v>
      </c>
      <c r="F47" s="394" t="str">
        <f>IF(F3="","",IFERROR((F45/Proposta!$J$6)+F46,0))</f>
        <v/>
      </c>
      <c r="G47" s="394" t="str">
        <f>IF(G3="","",IFERROR((G45/Proposta!$J$6)+G46,0))</f>
        <v/>
      </c>
      <c r="H47" s="394" t="str">
        <f>IF(H3="","",IFERROR((H45/Proposta!$J$6)+H46,0))</f>
        <v/>
      </c>
      <c r="I47" s="394" t="str">
        <f>IF(I3="","",IFERROR((I45/Proposta!$J$6)+I46,0))</f>
        <v/>
      </c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</row>
    <row r="48" spans="1:27" s="12" customFormat="1">
      <c r="A48" s="86"/>
      <c r="B48" s="103"/>
      <c r="C48" s="105" t="s">
        <v>581</v>
      </c>
      <c r="D48" s="105"/>
      <c r="E48" s="395">
        <f>IF(E3="","",SUM(E37,E38,E42,E43,E47))</f>
        <v>528.77333333333331</v>
      </c>
      <c r="F48" s="395" t="str">
        <f>IF(F3="","",SUM(F37,F38,F42,F43,F47))</f>
        <v/>
      </c>
      <c r="G48" s="395" t="str">
        <f>IF(G3="","",SUM(G37,G38,G42,G43,G47))</f>
        <v/>
      </c>
      <c r="H48" s="395" t="str">
        <f>IF(H3="","",SUM(H37,H38,H42,H43,H47))</f>
        <v/>
      </c>
      <c r="I48" s="395" t="str">
        <f>IF(I3="","",SUM(I37,I38,I42,I43,I47))</f>
        <v/>
      </c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  <c r="Z48" s="314"/>
      <c r="AA48" s="314"/>
    </row>
    <row r="49" spans="1:27">
      <c r="A49" s="44"/>
      <c r="C49" s="42"/>
      <c r="D49" s="43"/>
      <c r="G49" s="41"/>
      <c r="H49" s="41"/>
      <c r="I49" s="41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</row>
    <row r="50" spans="1:27" s="12" customFormat="1">
      <c r="A50" s="86"/>
      <c r="B50" s="103"/>
      <c r="C50" s="104" t="s">
        <v>582</v>
      </c>
      <c r="D50" s="105"/>
      <c r="E50" s="395"/>
      <c r="F50" s="395"/>
      <c r="G50" s="395"/>
      <c r="H50" s="395"/>
      <c r="I50" s="395"/>
      <c r="J50" s="314"/>
      <c r="K50" s="314"/>
      <c r="L50" s="314"/>
      <c r="M50" s="314"/>
      <c r="N50" s="314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  <c r="Z50" s="314"/>
      <c r="AA50" s="314"/>
    </row>
    <row r="51" spans="1:27">
      <c r="B51" s="740" t="s">
        <v>435</v>
      </c>
      <c r="C51" s="329" t="s">
        <v>324</v>
      </c>
      <c r="D51" s="475">
        <f>IFERROR(($D$53)/D52,"")</f>
        <v>6.6666666666666671E-3</v>
      </c>
      <c r="E51" s="332"/>
      <c r="F51" s="332"/>
      <c r="G51" s="332"/>
      <c r="H51" s="332"/>
      <c r="I51" s="332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</row>
    <row r="52" spans="1:27">
      <c r="B52" s="741"/>
      <c r="C52" s="346" t="s">
        <v>59</v>
      </c>
      <c r="D52" s="476">
        <v>60</v>
      </c>
      <c r="E52" s="474"/>
      <c r="F52" s="474"/>
      <c r="G52" s="474"/>
      <c r="H52" s="474"/>
      <c r="I52" s="474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</row>
    <row r="53" spans="1:27">
      <c r="B53" s="741"/>
      <c r="C53" s="363" t="s">
        <v>533</v>
      </c>
      <c r="D53" s="477">
        <v>0.4</v>
      </c>
      <c r="E53" s="464">
        <f>IF(E3="","",IFERROR(E32*$D$53,""))</f>
        <v>52712.800000000003</v>
      </c>
      <c r="F53" s="464" t="str">
        <f>IF(F3="","",IFERROR(F32*$D$53,""))</f>
        <v/>
      </c>
      <c r="G53" s="464" t="str">
        <f>IF(G3="","",IFERROR(G32*$D$53,""))</f>
        <v/>
      </c>
      <c r="H53" s="464" t="str">
        <f>IF(H3="","",IFERROR(H32*$D$53,""))</f>
        <v/>
      </c>
      <c r="I53" s="464" t="str">
        <f>IF(I3="","",IFERROR(I32*$D$53,""))</f>
        <v/>
      </c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</row>
    <row r="54" spans="1:27">
      <c r="B54" s="742"/>
      <c r="C54" s="331"/>
      <c r="D54" s="499" t="s">
        <v>43</v>
      </c>
      <c r="E54" s="394">
        <f>IF(E3="","",IFERROR(E32*$D$51,""))</f>
        <v>878.54666666666674</v>
      </c>
      <c r="F54" s="394" t="str">
        <f>IF(F3="","",IFERROR(F32*$D$51,""))</f>
        <v/>
      </c>
      <c r="G54" s="394" t="str">
        <f>IF(G3="","",IFERROR(G32*$D$51,""))</f>
        <v/>
      </c>
      <c r="H54" s="394" t="str">
        <f>IF(H3="","",IFERROR(H32*$D$51,""))</f>
        <v/>
      </c>
      <c r="I54" s="394" t="str">
        <f>IF(I3="","",IFERROR(I32*$D$51,""))</f>
        <v/>
      </c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</row>
    <row r="55" spans="1:27">
      <c r="B55" s="740" t="s">
        <v>436</v>
      </c>
      <c r="C55" s="329" t="s">
        <v>8</v>
      </c>
      <c r="D55" s="475"/>
      <c r="E55" s="332"/>
      <c r="F55" s="332"/>
      <c r="G55" s="332"/>
      <c r="H55" s="332"/>
      <c r="I55" s="332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</row>
    <row r="56" spans="1:27">
      <c r="B56" s="741"/>
      <c r="C56" s="346" t="s">
        <v>571</v>
      </c>
      <c r="D56" s="539">
        <v>0.105</v>
      </c>
      <c r="E56" s="474"/>
      <c r="F56" s="474"/>
      <c r="G56" s="474"/>
      <c r="H56" s="474"/>
      <c r="I56" s="474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</row>
    <row r="57" spans="1:27">
      <c r="B57" s="741"/>
      <c r="C57" s="363" t="s">
        <v>577</v>
      </c>
      <c r="D57" s="477">
        <f>ROUND(POWER((100%+D56),1/12)-100%,4)</f>
        <v>8.3999999999999995E-3</v>
      </c>
      <c r="E57" s="464"/>
      <c r="F57" s="464"/>
      <c r="G57" s="464"/>
      <c r="H57" s="464"/>
      <c r="I57" s="464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</row>
    <row r="58" spans="1:27">
      <c r="B58" s="742"/>
      <c r="C58" s="331"/>
      <c r="D58" s="499" t="s">
        <v>43</v>
      </c>
      <c r="E58" s="394">
        <f>IF(E3="","",IFERROR(E32*$D$57,""))</f>
        <v>1106.9687999999999</v>
      </c>
      <c r="F58" s="394" t="str">
        <f>IF(F3="","",IFERROR(F32*$D$57,""))</f>
        <v/>
      </c>
      <c r="G58" s="394" t="str">
        <f>IF(G3="","",IFERROR(G32*$D$57,""))</f>
        <v/>
      </c>
      <c r="H58" s="394" t="str">
        <f>IF(H3="","",IFERROR(H32*$D$57,""))</f>
        <v/>
      </c>
      <c r="I58" s="394" t="str">
        <f>IF(I3="","",IFERROR(I32*$D$57,""))</f>
        <v/>
      </c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</row>
    <row r="59" spans="1:27" s="12" customFormat="1">
      <c r="A59" s="86"/>
      <c r="B59" s="103"/>
      <c r="C59" s="105" t="s">
        <v>583</v>
      </c>
      <c r="D59" s="105"/>
      <c r="E59" s="395">
        <f>IF(E3="","",SUM(E58,E54))</f>
        <v>1985.5154666666667</v>
      </c>
      <c r="F59" s="395" t="str">
        <f>IF(F3="","",SUM(F58,F54))</f>
        <v/>
      </c>
      <c r="G59" s="395" t="str">
        <f>IF(G3="","",SUM(G58,G54))</f>
        <v/>
      </c>
      <c r="H59" s="395" t="str">
        <f>IF(H3="","",SUM(H58,H54))</f>
        <v/>
      </c>
      <c r="I59" s="395" t="str">
        <f>IF(I3="","",SUM(I58,I54))</f>
        <v/>
      </c>
      <c r="J59" s="314"/>
      <c r="K59" s="314"/>
      <c r="L59" s="314"/>
      <c r="M59" s="314"/>
      <c r="N59" s="314"/>
      <c r="O59" s="314"/>
      <c r="P59" s="314"/>
      <c r="Q59" s="314"/>
      <c r="R59" s="314"/>
      <c r="S59" s="314"/>
      <c r="T59" s="314"/>
      <c r="U59" s="314"/>
      <c r="V59" s="314"/>
      <c r="W59" s="314"/>
      <c r="X59" s="314"/>
      <c r="Y59" s="314"/>
      <c r="Z59" s="314"/>
      <c r="AA59" s="314"/>
    </row>
    <row r="60" spans="1:27">
      <c r="B60"/>
      <c r="C60"/>
      <c r="D60"/>
      <c r="E60"/>
      <c r="F60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</row>
    <row r="61" spans="1:27">
      <c r="B61" s="103"/>
      <c r="C61" s="104" t="s">
        <v>584</v>
      </c>
      <c r="D61" s="105"/>
      <c r="E61" s="395"/>
      <c r="F61" s="395"/>
      <c r="G61" s="395"/>
      <c r="H61" s="395"/>
      <c r="I61" s="395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</row>
    <row r="62" spans="1:27" ht="3.75" customHeight="1">
      <c r="B62"/>
      <c r="C62"/>
      <c r="D62"/>
      <c r="E62"/>
      <c r="F62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</row>
    <row r="63" spans="1:27">
      <c r="B63" s="186"/>
      <c r="C63" s="187" t="s">
        <v>585</v>
      </c>
      <c r="D63" s="188"/>
      <c r="E63" s="191"/>
      <c r="F63" s="191"/>
      <c r="G63" s="191"/>
      <c r="H63" s="191"/>
      <c r="I63" s="191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</row>
    <row r="64" spans="1:27">
      <c r="B64" s="101" t="s">
        <v>2</v>
      </c>
      <c r="C64" s="102" t="s">
        <v>279</v>
      </c>
      <c r="D64" s="442">
        <f>'Mão de Obra'!D155</f>
        <v>0.05</v>
      </c>
      <c r="E64" s="113">
        <f>IF(E3="","",IFERROR(ROUND($D64*E$88,2),""))</f>
        <v>176.95</v>
      </c>
      <c r="F64" s="113" t="str">
        <f>IF(F3="","",IFERROR(ROUND($D64*F$88,2),""))</f>
        <v/>
      </c>
      <c r="G64" s="113" t="str">
        <f>IF(G3="","",IFERROR(ROUND($D64*G$88,2),""))</f>
        <v/>
      </c>
      <c r="H64" s="113" t="str">
        <f>IF(H3="","",IFERROR(ROUND($D64*H$88,2),""))</f>
        <v/>
      </c>
      <c r="I64" s="113" t="str">
        <f>IF(I3="","",IFERROR(ROUND($D64*I$88,2),""))</f>
        <v/>
      </c>
      <c r="J64" s="47"/>
      <c r="K64" s="534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</row>
    <row r="65" spans="2:27">
      <c r="B65" s="101" t="s">
        <v>1</v>
      </c>
      <c r="C65" s="102" t="s">
        <v>280</v>
      </c>
      <c r="D65" s="442">
        <f>'Mão de Obra'!D156</f>
        <v>0.1</v>
      </c>
      <c r="E65" s="113">
        <f>IF(E4="","",IFERROR(ROUND($D65*SUM(E$64,E$88),2),""))</f>
        <v>371.6</v>
      </c>
      <c r="F65" s="113" t="str">
        <f>IF(F4="","",IFERROR(ROUND($D65*SUM(F$64,F$88),2),""))</f>
        <v/>
      </c>
      <c r="G65" s="113" t="str">
        <f>IF(G4="","",IFERROR(ROUND($D65*SUM(G$64,G$88),2),""))</f>
        <v/>
      </c>
      <c r="H65" s="113" t="str">
        <f>IF(H4="","",IFERROR(ROUND($D65*SUM(H$64,H$88),2),""))</f>
        <v/>
      </c>
      <c r="I65" s="113" t="str">
        <f>IF(I4="","",IFERROR(ROUND($D65*SUM(I$64,I$88),2),""))</f>
        <v/>
      </c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</row>
    <row r="66" spans="2:27">
      <c r="B66" s="186"/>
      <c r="C66" s="187" t="s">
        <v>586</v>
      </c>
      <c r="D66" s="190"/>
      <c r="E66" s="191">
        <f>IF(E3="","",SUM(E64:E65))</f>
        <v>548.54999999999995</v>
      </c>
      <c r="F66" s="191" t="str">
        <f>IF(F3="","",SUM(F64:F65))</f>
        <v/>
      </c>
      <c r="G66" s="191" t="str">
        <f>IF(G3="","",SUM(G64:G65))</f>
        <v/>
      </c>
      <c r="H66" s="191" t="str">
        <f>IF(H3="","",SUM(H64:H65))</f>
        <v/>
      </c>
      <c r="I66" s="191" t="str">
        <f>IF(I3="","",SUM(I64:I65))</f>
        <v/>
      </c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</row>
    <row r="67" spans="2:27" ht="3.75" customHeight="1">
      <c r="B67"/>
      <c r="C67"/>
      <c r="D67"/>
      <c r="E67"/>
      <c r="F6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</row>
    <row r="68" spans="2:27">
      <c r="B68" s="186"/>
      <c r="C68" s="187" t="s">
        <v>587</v>
      </c>
      <c r="D68" s="188"/>
      <c r="E68" s="191"/>
      <c r="F68" s="191"/>
      <c r="G68" s="191"/>
      <c r="H68" s="191"/>
      <c r="I68" s="191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</row>
    <row r="69" spans="2:27">
      <c r="B69" s="101" t="s">
        <v>2</v>
      </c>
      <c r="C69" s="102" t="s">
        <v>45</v>
      </c>
      <c r="D69" s="442">
        <f>'Mão de Obra'!D160</f>
        <v>0.03</v>
      </c>
      <c r="E69" s="113">
        <f t="shared" ref="E69:I70" si="3">IF(E$3="","",IFERROR(ROUND(SUM(E$88,E$66)*$D69/(1-SUM($D$69:$D$74,E$72)),2),""))</f>
        <v>130.66</v>
      </c>
      <c r="F69" s="113" t="str">
        <f t="shared" si="3"/>
        <v/>
      </c>
      <c r="G69" s="113" t="str">
        <f t="shared" si="3"/>
        <v/>
      </c>
      <c r="H69" s="113" t="str">
        <f t="shared" si="3"/>
        <v/>
      </c>
      <c r="I69" s="113" t="str">
        <f t="shared" si="3"/>
        <v/>
      </c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</row>
    <row r="70" spans="2:27">
      <c r="B70" s="101" t="s">
        <v>1</v>
      </c>
      <c r="C70" s="102" t="s">
        <v>135</v>
      </c>
      <c r="D70" s="442">
        <f>'Mão de Obra'!D161</f>
        <v>6.4999999999999997E-3</v>
      </c>
      <c r="E70" s="113">
        <f t="shared" si="3"/>
        <v>28.31</v>
      </c>
      <c r="F70" s="113" t="str">
        <f t="shared" si="3"/>
        <v/>
      </c>
      <c r="G70" s="113" t="str">
        <f t="shared" si="3"/>
        <v/>
      </c>
      <c r="H70" s="113" t="str">
        <f t="shared" si="3"/>
        <v/>
      </c>
      <c r="I70" s="113" t="str">
        <f t="shared" si="3"/>
        <v/>
      </c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</row>
    <row r="71" spans="2:27">
      <c r="B71" s="707" t="s">
        <v>0</v>
      </c>
      <c r="C71" s="175" t="s">
        <v>46</v>
      </c>
      <c r="D71" s="453"/>
      <c r="E71" s="163"/>
      <c r="F71" s="163"/>
      <c r="G71" s="163"/>
      <c r="H71" s="163"/>
      <c r="I71" s="163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</row>
    <row r="72" spans="2:27">
      <c r="B72" s="708"/>
      <c r="C72" s="363" t="s">
        <v>449</v>
      </c>
      <c r="D72" s="477"/>
      <c r="E72" s="502">
        <v>2.5000000000000001E-2</v>
      </c>
      <c r="F72" s="502">
        <v>2.5000000000000001E-2</v>
      </c>
      <c r="G72" s="502">
        <v>2.5000000000000001E-2</v>
      </c>
      <c r="H72" s="502">
        <v>2.5000000000000001E-2</v>
      </c>
      <c r="I72" s="502">
        <v>2.5000000000000001E-2</v>
      </c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</row>
    <row r="73" spans="2:27">
      <c r="B73" s="709"/>
      <c r="C73" s="331"/>
      <c r="D73" s="499" t="s">
        <v>43</v>
      </c>
      <c r="E73" s="394">
        <f>IF(E$3="","",IFERROR(ROUND(SUM(E$88,E$66)*$E72/(1-SUM($D$69:$D$74,E$72)),2),""))</f>
        <v>108.89</v>
      </c>
      <c r="F73" s="394" t="str">
        <f>IF(F$3="","",IFERROR(ROUND(SUM(F$88,F$66)*$E72/(1-SUM($D$69:$D$74,F$72)),2),""))</f>
        <v/>
      </c>
      <c r="G73" s="394" t="str">
        <f>IF(G$3="","",IFERROR(ROUND(SUM(G$88,G$66)*$E72/(1-SUM($D$69:$D$74,G$72)),2),""))</f>
        <v/>
      </c>
      <c r="H73" s="394" t="str">
        <f>IF(H$3="","",IFERROR(ROUND(SUM(H$88,H$66)*$E72/(1-SUM($D$69:$D$74,H$72)),2),""))</f>
        <v/>
      </c>
      <c r="I73" s="394" t="str">
        <f>IF(I$3="","",IFERROR(ROUND(SUM(I$88,I$66)*$E72/(1-SUM($D$69:$D$74,I$72)),2),""))</f>
        <v/>
      </c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</row>
    <row r="74" spans="2:27">
      <c r="B74" s="424" t="s">
        <v>3</v>
      </c>
      <c r="C74" s="425" t="s">
        <v>394</v>
      </c>
      <c r="D74" s="442">
        <f>'Mão de Obra'!D165</f>
        <v>0</v>
      </c>
      <c r="E74" s="113">
        <f>IF(E$3="","",IFERROR(ROUND(SUM(E$88,E$66)*$D74/(1-SUM($D$69:$D$74,E$72)),2),""))</f>
        <v>0</v>
      </c>
      <c r="F74" s="113" t="str">
        <f>IF(F$3="","",IFERROR(ROUND(SUM(F$88,F$66)*$D74/(1-SUM($D$69:$D$74,F$72)),2),""))</f>
        <v/>
      </c>
      <c r="G74" s="113" t="str">
        <f>IF(G$3="","",IFERROR(ROUND(SUM(G$88,G$66)*$D74/(1-SUM($D$69:$D$74,G$72)),2),""))</f>
        <v/>
      </c>
      <c r="H74" s="113" t="str">
        <f>IF(H$3="","",IFERROR(ROUND(SUM(H$88,H$66)*$D74/(1-SUM($D$69:$D$74,H$72)),2),""))</f>
        <v/>
      </c>
      <c r="I74" s="113" t="str">
        <f>IF(I$3="","",IFERROR(ROUND(SUM(I$88,I$66)*$D74/(1-SUM($D$69:$D$74,I$72)),2),""))</f>
        <v/>
      </c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</row>
    <row r="75" spans="2:27">
      <c r="B75" s="186"/>
      <c r="C75" s="187" t="s">
        <v>588</v>
      </c>
      <c r="D75" s="190"/>
      <c r="E75" s="208">
        <f>IF(E4="","",SUM(E69:E70,E73:E74))</f>
        <v>267.86</v>
      </c>
      <c r="F75" s="208" t="str">
        <f>IF(F4="","",SUM(F69:F70,F73:F74))</f>
        <v/>
      </c>
      <c r="G75" s="208" t="str">
        <f>IF(G4="","",SUM(G69:G70,G73:G74))</f>
        <v/>
      </c>
      <c r="H75" s="208" t="str">
        <f>IF(H4="","",SUM(H69:H70,H73:H74))</f>
        <v/>
      </c>
      <c r="I75" s="208" t="str">
        <f>IF(I4="","",SUM(I69:I70,I73:I74))</f>
        <v/>
      </c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</row>
    <row r="76" spans="2:27" ht="3.75" customHeight="1">
      <c r="B76"/>
      <c r="C76"/>
      <c r="D76"/>
      <c r="E76"/>
      <c r="F76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</row>
    <row r="77" spans="2:27">
      <c r="B77" s="172"/>
      <c r="C77" s="104" t="s">
        <v>589</v>
      </c>
      <c r="D77" s="168"/>
      <c r="E77" s="170">
        <f>IF(E$3="","",SUM(E75,E66))</f>
        <v>816.41</v>
      </c>
      <c r="F77" s="170" t="str">
        <f>IF(F$3="","",SUM(F75,F66))</f>
        <v/>
      </c>
      <c r="G77" s="170" t="str">
        <f>IF(G$3="","",SUM(G75,G66))</f>
        <v/>
      </c>
      <c r="H77" s="170" t="str">
        <f>IF(H$3="","",SUM(H75,H66))</f>
        <v/>
      </c>
      <c r="I77" s="170" t="str">
        <f>IF(I$3="","",SUM(I75,I66))</f>
        <v/>
      </c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</row>
    <row r="78" spans="2:27"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</row>
    <row r="79" spans="2:27">
      <c r="B79" s="103"/>
      <c r="C79" s="104" t="s">
        <v>527</v>
      </c>
      <c r="D79" s="105"/>
      <c r="E79" s="395"/>
      <c r="F79" s="395"/>
      <c r="G79" s="395"/>
      <c r="H79" s="395"/>
      <c r="I79" s="395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</row>
    <row r="80" spans="2:27" ht="3.75" customHeight="1">
      <c r="B80" s="3"/>
      <c r="C80" s="3"/>
      <c r="D80" s="3"/>
      <c r="E80" s="3"/>
      <c r="F80" s="3"/>
      <c r="G80" s="3"/>
      <c r="H80" s="3"/>
      <c r="I80" s="3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</row>
    <row r="81" spans="2:27">
      <c r="B81" s="186"/>
      <c r="C81" s="187" t="s">
        <v>553</v>
      </c>
      <c r="D81" s="312"/>
      <c r="E81" s="430"/>
      <c r="F81" s="430"/>
      <c r="G81" s="430"/>
      <c r="H81" s="430"/>
      <c r="I81" s="430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</row>
    <row r="82" spans="2:27">
      <c r="B82" s="101" t="s">
        <v>2</v>
      </c>
      <c r="C82" s="102" t="s">
        <v>554</v>
      </c>
      <c r="D82" s="192"/>
      <c r="E82" s="113">
        <f>IFERROR(ROUND(E34*(1+E89/E88),2)/E5,"")</f>
        <v>1.26111</v>
      </c>
      <c r="F82" s="113" t="str">
        <f t="shared" ref="F82:I82" si="4">IFERROR(ROUND(F34*(1+F89/F88),2)/F5,"")</f>
        <v/>
      </c>
      <c r="G82" s="113" t="str">
        <f t="shared" si="4"/>
        <v/>
      </c>
      <c r="H82" s="113" t="str">
        <f t="shared" si="4"/>
        <v/>
      </c>
      <c r="I82" s="113" t="str">
        <f t="shared" si="4"/>
        <v/>
      </c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</row>
    <row r="83" spans="2:27">
      <c r="B83" s="707" t="s">
        <v>1</v>
      </c>
      <c r="C83" s="175" t="s">
        <v>469</v>
      </c>
      <c r="D83" s="453"/>
      <c r="E83" s="163"/>
      <c r="F83" s="163"/>
      <c r="G83" s="163"/>
      <c r="H83" s="163"/>
      <c r="I83" s="163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</row>
    <row r="84" spans="2:27">
      <c r="B84" s="708"/>
      <c r="C84" s="363" t="s">
        <v>555</v>
      </c>
      <c r="D84" s="477"/>
      <c r="E84" s="501">
        <f>IF(E3="","",200)</f>
        <v>200</v>
      </c>
      <c r="F84" s="501" t="str">
        <f t="shared" ref="F84:I84" si="5">IF(F3="","",200)</f>
        <v/>
      </c>
      <c r="G84" s="501" t="str">
        <f t="shared" si="5"/>
        <v/>
      </c>
      <c r="H84" s="501" t="str">
        <f t="shared" si="5"/>
        <v/>
      </c>
      <c r="I84" s="501" t="str">
        <f t="shared" si="5"/>
        <v/>
      </c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</row>
    <row r="85" spans="2:27">
      <c r="B85" s="709"/>
      <c r="C85" s="331"/>
      <c r="D85" s="499" t="s">
        <v>43</v>
      </c>
      <c r="E85" s="500">
        <f>IFERROR(ROUND(SUM(E48,E59)*(1+E89/E88),2)/E84,"")</f>
        <v>15.471550000000001</v>
      </c>
      <c r="F85" s="500" t="str">
        <f t="shared" ref="F85:I85" si="6">IFERROR(ROUND(SUM(F48,F59)*(1+F89/F88),2)/F84,"")</f>
        <v/>
      </c>
      <c r="G85" s="500" t="str">
        <f t="shared" si="6"/>
        <v/>
      </c>
      <c r="H85" s="500" t="str">
        <f t="shared" si="6"/>
        <v/>
      </c>
      <c r="I85" s="500" t="str">
        <f t="shared" si="6"/>
        <v/>
      </c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</row>
    <row r="86" spans="2:27" ht="3.75" customHeight="1">
      <c r="B86" s="3"/>
      <c r="C86" s="3"/>
      <c r="D86" s="3"/>
      <c r="E86" s="3"/>
      <c r="F86" s="3"/>
      <c r="G86" s="3"/>
      <c r="H86" s="3"/>
      <c r="I86" s="3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</row>
    <row r="87" spans="2:27">
      <c r="B87" s="186"/>
      <c r="C87" s="187" t="s">
        <v>525</v>
      </c>
      <c r="D87" s="312"/>
      <c r="E87" s="430"/>
      <c r="F87" s="430"/>
      <c r="G87" s="430"/>
      <c r="H87" s="430"/>
      <c r="I87" s="430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</row>
    <row r="88" spans="2:27">
      <c r="B88" s="101" t="s">
        <v>2</v>
      </c>
      <c r="C88" s="102" t="s">
        <v>526</v>
      </c>
      <c r="D88" s="192"/>
      <c r="E88" s="113">
        <f>IF(E3="","",ROUND(SUM(E59,E48,E34),2))</f>
        <v>3539.01</v>
      </c>
      <c r="F88" s="113" t="str">
        <f>IF(F3="","",ROUND(SUM(F59,F48,F34),2))</f>
        <v/>
      </c>
      <c r="G88" s="113" t="str">
        <f>IF(G3="","",ROUND(SUM(G59,G48,G34),2))</f>
        <v/>
      </c>
      <c r="H88" s="113" t="str">
        <f>IF(H3="","",ROUND(SUM(H59,H48,H34),2))</f>
        <v/>
      </c>
      <c r="I88" s="113" t="str">
        <f>IF(I3="","",ROUND(SUM(I59,I48,I34),2))</f>
        <v/>
      </c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</row>
    <row r="89" spans="2:27">
      <c r="B89" s="101" t="s">
        <v>1</v>
      </c>
      <c r="C89" s="102" t="s">
        <v>471</v>
      </c>
      <c r="D89" s="192"/>
      <c r="E89" s="113">
        <f>IFERROR(ROUND(E77,2),"")</f>
        <v>816.41</v>
      </c>
      <c r="F89" s="113" t="str">
        <f t="shared" ref="F89:I89" si="7">IFERROR(ROUND(F77,2),"")</f>
        <v/>
      </c>
      <c r="G89" s="113" t="str">
        <f t="shared" si="7"/>
        <v/>
      </c>
      <c r="H89" s="113" t="str">
        <f t="shared" si="7"/>
        <v/>
      </c>
      <c r="I89" s="113" t="str">
        <f t="shared" si="7"/>
        <v/>
      </c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</row>
    <row r="90" spans="2:27">
      <c r="B90" s="101" t="s">
        <v>0</v>
      </c>
      <c r="C90" s="102" t="s">
        <v>472</v>
      </c>
      <c r="D90" s="192"/>
      <c r="E90" s="113">
        <f>IF(E3="","",IFERROR(SUM(E88:E89),2))</f>
        <v>4355.42</v>
      </c>
      <c r="F90" s="113" t="str">
        <f>IF(F3="","",IFERROR(SUM(F88:F89),2))</f>
        <v/>
      </c>
      <c r="G90" s="113" t="str">
        <f>IF(G3="","",IFERROR(SUM(G88:G89),2))</f>
        <v/>
      </c>
      <c r="H90" s="113" t="str">
        <f>IF(H3="","",IFERROR(SUM(H88:H89),2))</f>
        <v/>
      </c>
      <c r="I90" s="113" t="str">
        <f>IF(I3="","",IFERROR(SUM(I88:I89),2))</f>
        <v/>
      </c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</row>
    <row r="91" spans="2:27" ht="3.75" customHeight="1">
      <c r="B91" s="3"/>
      <c r="C91" s="3"/>
      <c r="D91" s="3"/>
      <c r="E91" s="3"/>
      <c r="F91" s="3"/>
      <c r="G91" s="3"/>
      <c r="H91" s="3"/>
      <c r="I91" s="3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</row>
    <row r="92" spans="2:27">
      <c r="B92" s="186"/>
      <c r="C92" s="187" t="s">
        <v>524</v>
      </c>
      <c r="D92" s="312"/>
      <c r="E92" s="430"/>
      <c r="F92" s="430"/>
      <c r="G92" s="430"/>
      <c r="H92" s="430"/>
      <c r="I92" s="430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</row>
    <row r="93" spans="2:27">
      <c r="B93" s="101" t="s">
        <v>2</v>
      </c>
      <c r="C93" s="102" t="s">
        <v>526</v>
      </c>
      <c r="D93" s="192"/>
      <c r="E93" s="113">
        <f>IF(E$3="","",ROUND(E88*E$4,2))</f>
        <v>3539.01</v>
      </c>
      <c r="F93" s="113" t="str">
        <f t="shared" ref="F93:I93" si="8">IF(F$3="","",ROUND(F88*F$4,2))</f>
        <v/>
      </c>
      <c r="G93" s="113" t="str">
        <f t="shared" si="8"/>
        <v/>
      </c>
      <c r="H93" s="113" t="str">
        <f t="shared" si="8"/>
        <v/>
      </c>
      <c r="I93" s="113" t="str">
        <f t="shared" si="8"/>
        <v/>
      </c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</row>
    <row r="94" spans="2:27">
      <c r="B94" s="101" t="s">
        <v>1</v>
      </c>
      <c r="C94" s="102" t="s">
        <v>471</v>
      </c>
      <c r="D94" s="192"/>
      <c r="E94" s="113">
        <f>IF(E$3="","",ROUND(E89*E$4,2))</f>
        <v>816.41</v>
      </c>
      <c r="F94" s="113" t="str">
        <f t="shared" ref="F94:I94" si="9">IF(F$3="","",ROUND(F89*F$4,2))</f>
        <v/>
      </c>
      <c r="G94" s="113" t="str">
        <f t="shared" si="9"/>
        <v/>
      </c>
      <c r="H94" s="113" t="str">
        <f t="shared" si="9"/>
        <v/>
      </c>
      <c r="I94" s="113" t="str">
        <f t="shared" si="9"/>
        <v/>
      </c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</row>
    <row r="95" spans="2:27">
      <c r="B95" s="101" t="s">
        <v>0</v>
      </c>
      <c r="C95" s="102" t="s">
        <v>472</v>
      </c>
      <c r="D95" s="192"/>
      <c r="E95" s="113">
        <f>IF(E$3="","",ROUND(E90*E$4,2))</f>
        <v>4355.42</v>
      </c>
      <c r="F95" s="113" t="str">
        <f t="shared" ref="F95:I95" si="10">IF(F$3="","",ROUND(F90*F$4,2))</f>
        <v/>
      </c>
      <c r="G95" s="113" t="str">
        <f t="shared" si="10"/>
        <v/>
      </c>
      <c r="H95" s="113" t="str">
        <f t="shared" si="10"/>
        <v/>
      </c>
      <c r="I95" s="113" t="str">
        <f t="shared" si="10"/>
        <v/>
      </c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</row>
    <row r="96" spans="2:27">
      <c r="B96" s="101" t="s">
        <v>3</v>
      </c>
      <c r="C96" s="102" t="s">
        <v>475</v>
      </c>
      <c r="D96" s="192"/>
      <c r="E96" s="113">
        <f>IF(E3="","",IFERROR(ROUND(E95*Proposta!$J$6,2),""))</f>
        <v>52265.04</v>
      </c>
      <c r="F96" s="113" t="str">
        <f>IF(F3="","",IFERROR(ROUND(F95*Proposta!$J$6,2),""))</f>
        <v/>
      </c>
      <c r="G96" s="113" t="str">
        <f>IF(G3="","",IFERROR(ROUND(G95*Proposta!$J$6,2),""))</f>
        <v/>
      </c>
      <c r="H96" s="113" t="str">
        <f>IF(H3="","",IFERROR(ROUND(H95*Proposta!$J$6,2),""))</f>
        <v/>
      </c>
      <c r="I96" s="113" t="str">
        <f>IF(I3="","",IFERROR(ROUND(I95*Proposta!$J$6,2),""))</f>
        <v/>
      </c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</row>
  </sheetData>
  <sheetProtection formatColumns="0"/>
  <mergeCells count="11">
    <mergeCell ref="B83:B85"/>
    <mergeCell ref="B71:B73"/>
    <mergeCell ref="B44:B47"/>
    <mergeCell ref="B51:B54"/>
    <mergeCell ref="B27:B33"/>
    <mergeCell ref="B55:B58"/>
    <mergeCell ref="B8:B12"/>
    <mergeCell ref="B18:B21"/>
    <mergeCell ref="B13:B17"/>
    <mergeCell ref="B22:B26"/>
    <mergeCell ref="B39:B42"/>
  </mergeCells>
  <dataValidations count="2">
    <dataValidation type="list" allowBlank="1" showInputMessage="1" showErrorMessage="1" sqref="E10:I10" xr:uid="{00000000-0002-0000-0200-000000000000}">
      <formula1>"Etanol,Gasolina,Diesel,Elétrico"</formula1>
    </dataValidation>
    <dataValidation showInputMessage="1" sqref="D73 D54:D56 D85 D58" xr:uid="{00000000-0002-0000-0200-000001000000}"/>
  </dataValidation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6">
    <pageSetUpPr fitToPage="1"/>
  </sheetPr>
  <dimension ref="B1:EO171"/>
  <sheetViews>
    <sheetView showGridLines="0" zoomScaleNormal="100" workbookViewId="0">
      <pane ySplit="3" topLeftCell="A4" activePane="bottomLeft" state="frozen"/>
      <selection pane="bottomLeft" activeCell="H5" sqref="H5:J21"/>
    </sheetView>
  </sheetViews>
  <sheetFormatPr defaultRowHeight="15"/>
  <cols>
    <col min="1" max="1" width="1.42578125" customWidth="1"/>
    <col min="2" max="2" width="7.42578125" customWidth="1"/>
    <col min="3" max="3" width="10.7109375" style="12" customWidth="1"/>
    <col min="4" max="4" width="90.85546875" customWidth="1"/>
    <col min="5" max="5" width="14" style="2" customWidth="1"/>
    <col min="6" max="6" width="18.7109375" customWidth="1"/>
    <col min="7" max="7" width="0.7109375" customWidth="1"/>
    <col min="8" max="12" width="14.7109375" customWidth="1"/>
    <col min="13" max="13" width="9.140625" style="47" customWidth="1"/>
    <col min="14" max="145" width="9.140625" style="47"/>
  </cols>
  <sheetData>
    <row r="1" spans="2:12" ht="9.75" customHeight="1"/>
    <row r="2" spans="2:12">
      <c r="B2" s="440" t="s">
        <v>444</v>
      </c>
      <c r="C2" s="440"/>
      <c r="D2" s="440"/>
      <c r="E2" s="440"/>
      <c r="F2" s="440"/>
      <c r="H2" s="503" t="s">
        <v>505</v>
      </c>
      <c r="I2" s="503"/>
      <c r="J2" s="504"/>
      <c r="K2" s="506"/>
      <c r="L2" s="505"/>
    </row>
    <row r="3" spans="2:12">
      <c r="B3" s="439" t="s">
        <v>236</v>
      </c>
      <c r="C3" s="439" t="s">
        <v>486</v>
      </c>
      <c r="D3" s="439" t="s">
        <v>42</v>
      </c>
      <c r="E3" s="439" t="s">
        <v>487</v>
      </c>
      <c r="F3" s="439" t="s">
        <v>43</v>
      </c>
      <c r="H3" s="439" t="str">
        <f xml:space="preserve">
IF(IFERROR(SUM(Produtividade!$L$195:$L$220)&gt;0,FALSE()),Produtividade!E17,'Mão de Obra'!E17)</f>
        <v>Posto A</v>
      </c>
      <c r="I3" s="439" t="str">
        <f xml:space="preserve">
IF(IFERROR(SUM(Produtividade!$L$195:$L$220)&gt;0,FALSE()),Produtividade!F17,'Mão de Obra'!F17)</f>
        <v>Posto B</v>
      </c>
      <c r="J3" s="439" t="str">
        <f xml:space="preserve">
IF(IFERROR(SUM(Produtividade!$L$195:$L$220)&gt;0,FALSE()),Produtividade!G17,'Mão de Obra'!G17)</f>
        <v>Posto C</v>
      </c>
      <c r="K3" s="439" t="str">
        <f xml:space="preserve">
IF(IFERROR(SUM(Produtividade!$L$195:$L$220)&gt;0,FALSE()),Produtividade!H17,'Mão de Obra'!H17)</f>
        <v>Posto D</v>
      </c>
      <c r="L3" s="439" t="str">
        <f xml:space="preserve">
IF(IFERROR(SUM(Produtividade!$L$195:$L$220)&gt;0,FALSE()),Produtividade!I17,'Mão de Obra'!I17)</f>
        <v>Posto E</v>
      </c>
    </row>
    <row r="4" spans="2:12" s="47" customFormat="1"/>
    <row r="5" spans="2:12" s="47" customFormat="1">
      <c r="B5" s="267">
        <v>1</v>
      </c>
      <c r="C5" s="268"/>
      <c r="D5" s="269" t="s">
        <v>620</v>
      </c>
      <c r="E5" s="267" t="s">
        <v>621</v>
      </c>
      <c r="F5" s="270">
        <v>49.7</v>
      </c>
      <c r="G5"/>
      <c r="H5" s="267">
        <v>2</v>
      </c>
      <c r="I5" s="267">
        <v>2</v>
      </c>
      <c r="J5" s="267">
        <v>2</v>
      </c>
      <c r="K5" s="267"/>
      <c r="L5" s="267"/>
    </row>
    <row r="6" spans="2:12" s="47" customFormat="1">
      <c r="B6" s="267">
        <v>2</v>
      </c>
      <c r="C6" s="268"/>
      <c r="D6" s="269" t="s">
        <v>622</v>
      </c>
      <c r="E6" s="267" t="s">
        <v>621</v>
      </c>
      <c r="F6" s="270">
        <v>82.14</v>
      </c>
      <c r="G6"/>
      <c r="H6" s="267">
        <v>2</v>
      </c>
      <c r="I6" s="267">
        <v>2</v>
      </c>
      <c r="J6" s="267">
        <v>2</v>
      </c>
      <c r="K6" s="267"/>
      <c r="L6" s="267"/>
    </row>
    <row r="7" spans="2:12" s="47" customFormat="1">
      <c r="B7" s="267">
        <v>3</v>
      </c>
      <c r="C7" s="268"/>
      <c r="D7" s="269" t="s">
        <v>695</v>
      </c>
      <c r="E7" s="267" t="s">
        <v>621</v>
      </c>
      <c r="F7" s="270">
        <v>17.260000000000002</v>
      </c>
      <c r="G7"/>
      <c r="H7" s="267">
        <v>1</v>
      </c>
      <c r="I7" s="267">
        <v>1</v>
      </c>
      <c r="J7" s="267">
        <v>1</v>
      </c>
      <c r="K7" s="267"/>
      <c r="L7" s="267"/>
    </row>
    <row r="8" spans="2:12" s="47" customFormat="1">
      <c r="B8" s="267">
        <v>4</v>
      </c>
      <c r="C8" s="268"/>
      <c r="D8" s="269" t="s">
        <v>623</v>
      </c>
      <c r="E8" s="267" t="s">
        <v>621</v>
      </c>
      <c r="F8" s="270">
        <v>1.36</v>
      </c>
      <c r="G8"/>
      <c r="H8" s="267">
        <v>1</v>
      </c>
      <c r="I8" s="267">
        <v>1</v>
      </c>
      <c r="J8" s="267">
        <v>1</v>
      </c>
      <c r="K8" s="267"/>
      <c r="L8" s="267"/>
    </row>
    <row r="9" spans="2:12" s="47" customFormat="1">
      <c r="B9" s="267">
        <v>5</v>
      </c>
      <c r="C9" s="268"/>
      <c r="D9" s="269" t="s">
        <v>624</v>
      </c>
      <c r="E9" s="267" t="s">
        <v>621</v>
      </c>
      <c r="F9" s="270">
        <v>27.33</v>
      </c>
      <c r="G9"/>
      <c r="H9" s="267">
        <v>3</v>
      </c>
      <c r="I9" s="267">
        <v>3</v>
      </c>
      <c r="J9" s="267">
        <v>3</v>
      </c>
      <c r="K9" s="267"/>
      <c r="L9" s="267"/>
    </row>
    <row r="10" spans="2:12" s="47" customFormat="1">
      <c r="B10" s="267">
        <v>6</v>
      </c>
      <c r="C10" s="268"/>
      <c r="D10" s="269" t="s">
        <v>625</v>
      </c>
      <c r="E10" s="267" t="s">
        <v>621</v>
      </c>
      <c r="F10" s="270">
        <v>35.270000000000003</v>
      </c>
      <c r="G10"/>
      <c r="H10" s="267">
        <v>2</v>
      </c>
      <c r="I10" s="267">
        <v>2</v>
      </c>
      <c r="J10" s="267">
        <v>2</v>
      </c>
      <c r="K10" s="267"/>
      <c r="L10" s="267"/>
    </row>
    <row r="11" spans="2:12" s="47" customFormat="1">
      <c r="B11" s="267">
        <v>7</v>
      </c>
      <c r="C11" s="268"/>
      <c r="D11" s="269" t="s">
        <v>693</v>
      </c>
      <c r="E11" s="267" t="s">
        <v>621</v>
      </c>
      <c r="F11" s="270">
        <v>8.4</v>
      </c>
      <c r="G11"/>
      <c r="H11" s="267">
        <v>3</v>
      </c>
      <c r="I11" s="267">
        <v>6</v>
      </c>
      <c r="J11" s="267">
        <v>6</v>
      </c>
      <c r="K11" s="267"/>
      <c r="L11" s="267"/>
    </row>
    <row r="12" spans="2:12" s="47" customFormat="1">
      <c r="B12" s="267">
        <v>8</v>
      </c>
      <c r="C12" s="268"/>
      <c r="D12" s="269" t="s">
        <v>694</v>
      </c>
      <c r="E12" s="267" t="s">
        <v>621</v>
      </c>
      <c r="F12" s="270">
        <v>12.92</v>
      </c>
      <c r="G12"/>
      <c r="H12" s="267">
        <v>2</v>
      </c>
      <c r="I12" s="267">
        <v>2</v>
      </c>
      <c r="J12" s="267">
        <v>2</v>
      </c>
      <c r="K12" s="267"/>
      <c r="L12" s="267"/>
    </row>
    <row r="13" spans="2:12" s="47" customFormat="1">
      <c r="B13" s="267">
        <v>9</v>
      </c>
      <c r="C13" s="268"/>
      <c r="D13" s="269" t="s">
        <v>626</v>
      </c>
      <c r="E13" s="267" t="s">
        <v>621</v>
      </c>
      <c r="F13" s="270">
        <v>52.57</v>
      </c>
      <c r="G13"/>
      <c r="H13" s="267">
        <v>1</v>
      </c>
      <c r="I13" s="267">
        <v>1</v>
      </c>
      <c r="J13" s="267">
        <v>1</v>
      </c>
      <c r="K13" s="267"/>
      <c r="L13" s="267"/>
    </row>
    <row r="14" spans="2:12" s="47" customFormat="1">
      <c r="B14" s="267">
        <v>10</v>
      </c>
      <c r="C14" s="268"/>
      <c r="D14" s="269" t="s">
        <v>627</v>
      </c>
      <c r="E14" s="267" t="s">
        <v>621</v>
      </c>
      <c r="F14" s="270">
        <v>84.64</v>
      </c>
      <c r="G14"/>
      <c r="H14" s="267">
        <v>2</v>
      </c>
      <c r="I14" s="267">
        <v>2</v>
      </c>
      <c r="J14" s="267">
        <v>2</v>
      </c>
      <c r="K14" s="267"/>
      <c r="L14" s="267"/>
    </row>
    <row r="15" spans="2:12">
      <c r="B15" s="267">
        <v>11</v>
      </c>
      <c r="C15" s="268"/>
      <c r="D15" s="269" t="s">
        <v>628</v>
      </c>
      <c r="E15" s="267" t="s">
        <v>621</v>
      </c>
      <c r="F15" s="270">
        <v>142.6</v>
      </c>
      <c r="H15" s="267">
        <v>1</v>
      </c>
      <c r="I15" s="267">
        <v>1</v>
      </c>
      <c r="J15" s="267">
        <v>1</v>
      </c>
      <c r="K15" s="267"/>
      <c r="L15" s="267"/>
    </row>
    <row r="16" spans="2:12">
      <c r="B16" s="267">
        <v>12</v>
      </c>
      <c r="C16" s="268"/>
      <c r="D16" s="269" t="s">
        <v>629</v>
      </c>
      <c r="E16" s="267" t="s">
        <v>621</v>
      </c>
      <c r="F16" s="270">
        <v>285.25</v>
      </c>
      <c r="H16" s="267">
        <v>1</v>
      </c>
      <c r="I16" s="267">
        <v>1</v>
      </c>
      <c r="J16" s="267">
        <v>1</v>
      </c>
      <c r="K16" s="267"/>
      <c r="L16" s="267"/>
    </row>
    <row r="17" spans="2:12">
      <c r="B17" s="267">
        <v>13</v>
      </c>
      <c r="C17" s="268"/>
      <c r="D17" s="269" t="s">
        <v>696</v>
      </c>
      <c r="E17" s="267" t="s">
        <v>621</v>
      </c>
      <c r="F17" s="270">
        <v>15.73</v>
      </c>
      <c r="H17" s="267"/>
      <c r="I17" s="267">
        <v>2</v>
      </c>
      <c r="J17" s="267">
        <v>2</v>
      </c>
      <c r="K17" s="267"/>
      <c r="L17" s="267"/>
    </row>
    <row r="18" spans="2:12">
      <c r="B18" s="267">
        <v>14</v>
      </c>
      <c r="C18" s="268"/>
      <c r="D18" s="269" t="s">
        <v>630</v>
      </c>
      <c r="E18" s="267" t="s">
        <v>621</v>
      </c>
      <c r="F18" s="270">
        <v>110.87</v>
      </c>
      <c r="H18" s="267"/>
      <c r="I18" s="267">
        <v>1</v>
      </c>
      <c r="J18" s="267">
        <v>1</v>
      </c>
      <c r="K18" s="267"/>
      <c r="L18" s="267"/>
    </row>
    <row r="19" spans="2:12">
      <c r="B19" s="267">
        <v>15</v>
      </c>
      <c r="C19" s="268"/>
      <c r="D19" s="269" t="s">
        <v>697</v>
      </c>
      <c r="E19" s="267" t="s">
        <v>621</v>
      </c>
      <c r="F19" s="270">
        <v>304.83</v>
      </c>
      <c r="H19" s="267">
        <v>1</v>
      </c>
      <c r="I19" s="267"/>
      <c r="J19" s="267"/>
      <c r="K19" s="267"/>
      <c r="L19" s="267"/>
    </row>
    <row r="20" spans="2:12">
      <c r="B20" s="267">
        <v>16</v>
      </c>
      <c r="C20" s="268"/>
      <c r="D20" s="269" t="s">
        <v>631</v>
      </c>
      <c r="E20" s="267" t="s">
        <v>621</v>
      </c>
      <c r="F20" s="270">
        <v>27.74</v>
      </c>
      <c r="H20" s="267">
        <v>1</v>
      </c>
      <c r="I20" s="267"/>
      <c r="J20" s="267"/>
      <c r="K20" s="267"/>
      <c r="L20" s="267"/>
    </row>
    <row r="21" spans="2:12">
      <c r="B21" s="267">
        <v>17</v>
      </c>
      <c r="C21" s="268"/>
      <c r="D21" s="269" t="s">
        <v>698</v>
      </c>
      <c r="E21" s="267" t="s">
        <v>621</v>
      </c>
      <c r="F21" s="270">
        <v>42.06</v>
      </c>
      <c r="H21" s="267">
        <v>1</v>
      </c>
      <c r="I21" s="267">
        <v>1</v>
      </c>
      <c r="J21" s="267">
        <v>1</v>
      </c>
      <c r="K21" s="267"/>
      <c r="L21" s="267"/>
    </row>
    <row r="22" spans="2:12" ht="30">
      <c r="B22" s="267">
        <v>18</v>
      </c>
      <c r="C22" s="268"/>
      <c r="D22" s="698" t="s">
        <v>793</v>
      </c>
      <c r="E22" s="267" t="s">
        <v>621</v>
      </c>
      <c r="F22" s="270">
        <v>145.66999999999999</v>
      </c>
      <c r="H22" s="267">
        <v>1</v>
      </c>
      <c r="I22" s="267">
        <v>1</v>
      </c>
      <c r="J22" s="267">
        <v>1</v>
      </c>
      <c r="K22" s="267"/>
      <c r="L22" s="267"/>
    </row>
    <row r="23" spans="2:12" ht="45">
      <c r="B23" s="267">
        <v>19</v>
      </c>
      <c r="C23" s="268"/>
      <c r="D23" s="698" t="s">
        <v>794</v>
      </c>
      <c r="E23" s="267" t="s">
        <v>621</v>
      </c>
      <c r="F23" s="270">
        <v>69.63</v>
      </c>
      <c r="H23" s="267">
        <v>1</v>
      </c>
      <c r="I23" s="267">
        <v>1</v>
      </c>
      <c r="J23" s="267">
        <v>1</v>
      </c>
      <c r="K23" s="267"/>
      <c r="L23" s="267"/>
    </row>
    <row r="24" spans="2:12" ht="30">
      <c r="B24" s="267">
        <v>20</v>
      </c>
      <c r="C24" s="268"/>
      <c r="D24" s="698" t="s">
        <v>795</v>
      </c>
      <c r="E24" s="267" t="s">
        <v>621</v>
      </c>
      <c r="F24" s="270">
        <v>270</v>
      </c>
      <c r="H24" s="267">
        <v>1</v>
      </c>
      <c r="I24" s="267"/>
      <c r="J24" s="267"/>
      <c r="K24" s="267"/>
      <c r="L24" s="267"/>
    </row>
    <row r="25" spans="2:12">
      <c r="B25" s="267">
        <v>21</v>
      </c>
      <c r="C25" s="268"/>
      <c r="D25" s="698" t="s">
        <v>796</v>
      </c>
      <c r="E25" s="267" t="s">
        <v>621</v>
      </c>
      <c r="F25" s="270">
        <v>148.30000000000001</v>
      </c>
      <c r="H25" s="267">
        <v>1</v>
      </c>
      <c r="I25" s="267">
        <v>1</v>
      </c>
      <c r="J25" s="267">
        <v>1</v>
      </c>
      <c r="K25" s="267"/>
      <c r="L25" s="267"/>
    </row>
    <row r="26" spans="2:12">
      <c r="B26" s="699"/>
      <c r="C26" s="700"/>
      <c r="D26" s="701"/>
      <c r="E26" s="699"/>
      <c r="F26" s="702"/>
      <c r="H26" s="699"/>
      <c r="I26" s="699"/>
      <c r="J26" s="699"/>
      <c r="K26" s="699"/>
      <c r="L26" s="699"/>
    </row>
    <row r="27" spans="2:12" s="47" customFormat="1">
      <c r="C27" s="314"/>
      <c r="E27" s="321"/>
      <c r="G27"/>
    </row>
    <row r="28" spans="2:12" s="47" customFormat="1">
      <c r="C28" s="314"/>
      <c r="E28" s="321"/>
      <c r="F28" s="271" t="s">
        <v>532</v>
      </c>
      <c r="G28"/>
      <c r="H28" s="272">
        <f>IFERROR(ROUND(SUMPRODUCT(H4:H27,$F$4:$F$27),2),"")</f>
        <v>2143.8000000000002</v>
      </c>
      <c r="I28" s="272">
        <f>IFERROR(ROUND(SUMPRODUCT(I4:I27,$F$4:$F$27),2),"")</f>
        <v>1708.76</v>
      </c>
      <c r="J28" s="272">
        <f>IFERROR(ROUND(SUMPRODUCT(J4:J27,$F$4:$F$27),2),"")</f>
        <v>1708.76</v>
      </c>
      <c r="K28" s="272">
        <f>IFERROR(ROUND(SUMPRODUCT(K4:K27,$F$4:$F$27),2),"")</f>
        <v>0</v>
      </c>
      <c r="L28" s="272">
        <f>IFERROR(ROUND(SUMPRODUCT(L4:L27,$F$4:$F$27),2),"")</f>
        <v>0</v>
      </c>
    </row>
    <row r="29" spans="2:12" s="47" customFormat="1">
      <c r="C29" s="314"/>
      <c r="E29" s="321"/>
      <c r="G29"/>
    </row>
    <row r="30" spans="2:12" s="47" customFormat="1">
      <c r="C30" s="314"/>
      <c r="E30" s="321"/>
      <c r="G30"/>
    </row>
    <row r="31" spans="2:12" s="47" customFormat="1">
      <c r="C31" s="314"/>
      <c r="E31" s="321"/>
      <c r="G31"/>
    </row>
    <row r="32" spans="2:12" s="47" customFormat="1">
      <c r="C32" s="314"/>
      <c r="E32" s="321"/>
      <c r="G32"/>
    </row>
    <row r="33" spans="3:7" s="47" customFormat="1">
      <c r="C33" s="314"/>
      <c r="E33" s="321"/>
      <c r="G33"/>
    </row>
    <row r="34" spans="3:7" s="47" customFormat="1">
      <c r="C34" s="314"/>
      <c r="E34" s="321"/>
      <c r="G34"/>
    </row>
    <row r="35" spans="3:7" s="47" customFormat="1">
      <c r="C35" s="314"/>
      <c r="E35" s="321"/>
      <c r="G35"/>
    </row>
    <row r="36" spans="3:7" s="47" customFormat="1">
      <c r="C36" s="314"/>
      <c r="E36" s="321"/>
      <c r="G36"/>
    </row>
    <row r="37" spans="3:7" s="47" customFormat="1">
      <c r="C37" s="314"/>
      <c r="E37" s="321"/>
      <c r="G37"/>
    </row>
    <row r="38" spans="3:7" s="47" customFormat="1">
      <c r="C38" s="314"/>
      <c r="E38" s="321"/>
      <c r="G38"/>
    </row>
    <row r="39" spans="3:7" s="47" customFormat="1">
      <c r="C39" s="314"/>
      <c r="E39" s="321"/>
      <c r="G39"/>
    </row>
    <row r="40" spans="3:7" s="47" customFormat="1">
      <c r="C40" s="314"/>
      <c r="E40" s="321"/>
      <c r="G40"/>
    </row>
    <row r="41" spans="3:7" s="47" customFormat="1">
      <c r="C41" s="314"/>
      <c r="E41" s="321"/>
      <c r="G41"/>
    </row>
    <row r="42" spans="3:7" s="47" customFormat="1">
      <c r="C42" s="314"/>
      <c r="E42" s="321"/>
      <c r="G42"/>
    </row>
    <row r="43" spans="3:7" s="47" customFormat="1">
      <c r="C43" s="314"/>
      <c r="E43" s="321"/>
      <c r="G43"/>
    </row>
    <row r="44" spans="3:7" s="47" customFormat="1">
      <c r="C44" s="314"/>
      <c r="E44" s="321"/>
      <c r="G44"/>
    </row>
    <row r="45" spans="3:7" s="47" customFormat="1">
      <c r="C45" s="314"/>
      <c r="E45" s="321"/>
      <c r="G45"/>
    </row>
    <row r="46" spans="3:7" s="47" customFormat="1">
      <c r="C46" s="314"/>
      <c r="E46" s="321"/>
      <c r="G46"/>
    </row>
    <row r="47" spans="3:7" s="47" customFormat="1">
      <c r="C47" s="314"/>
      <c r="E47" s="321"/>
      <c r="G47"/>
    </row>
    <row r="48" spans="3:7" s="47" customFormat="1">
      <c r="C48" s="314"/>
      <c r="E48" s="321"/>
      <c r="G48"/>
    </row>
    <row r="49" spans="3:7" s="47" customFormat="1">
      <c r="C49" s="314"/>
      <c r="E49" s="321"/>
      <c r="G49"/>
    </row>
    <row r="50" spans="3:7" s="47" customFormat="1">
      <c r="C50" s="314"/>
      <c r="E50" s="321"/>
      <c r="G50"/>
    </row>
    <row r="51" spans="3:7" s="47" customFormat="1">
      <c r="C51" s="314"/>
      <c r="E51" s="321"/>
      <c r="G51"/>
    </row>
    <row r="52" spans="3:7" s="47" customFormat="1">
      <c r="C52" s="314"/>
      <c r="E52" s="321"/>
      <c r="G52"/>
    </row>
    <row r="53" spans="3:7" s="47" customFormat="1">
      <c r="C53" s="314"/>
      <c r="E53" s="321"/>
      <c r="G53"/>
    </row>
    <row r="54" spans="3:7" s="47" customFormat="1">
      <c r="C54" s="314"/>
      <c r="E54" s="321"/>
      <c r="G54"/>
    </row>
    <row r="55" spans="3:7" s="47" customFormat="1">
      <c r="C55" s="314"/>
      <c r="E55" s="321"/>
      <c r="G55"/>
    </row>
    <row r="56" spans="3:7" s="47" customFormat="1">
      <c r="C56" s="314"/>
      <c r="E56" s="321"/>
      <c r="G56"/>
    </row>
    <row r="57" spans="3:7" s="47" customFormat="1">
      <c r="C57" s="314"/>
      <c r="E57" s="321"/>
      <c r="G57"/>
    </row>
    <row r="58" spans="3:7" s="47" customFormat="1">
      <c r="C58" s="314"/>
      <c r="E58" s="321"/>
      <c r="G58"/>
    </row>
    <row r="59" spans="3:7" s="47" customFormat="1">
      <c r="C59" s="314"/>
      <c r="E59" s="321"/>
      <c r="G59"/>
    </row>
    <row r="60" spans="3:7" s="47" customFormat="1">
      <c r="C60" s="314"/>
      <c r="E60" s="321"/>
      <c r="G60"/>
    </row>
    <row r="61" spans="3:7" s="47" customFormat="1">
      <c r="C61" s="314"/>
      <c r="E61" s="321"/>
      <c r="G61"/>
    </row>
    <row r="62" spans="3:7" s="47" customFormat="1">
      <c r="C62" s="314"/>
      <c r="E62" s="321"/>
      <c r="G62"/>
    </row>
    <row r="63" spans="3:7" s="47" customFormat="1">
      <c r="C63" s="314"/>
      <c r="E63" s="321"/>
      <c r="G63"/>
    </row>
    <row r="64" spans="3:7" s="47" customFormat="1">
      <c r="C64" s="314"/>
      <c r="E64" s="321"/>
      <c r="G64"/>
    </row>
    <row r="65" spans="3:7" s="47" customFormat="1">
      <c r="C65" s="314"/>
      <c r="E65" s="321"/>
      <c r="G65"/>
    </row>
    <row r="66" spans="3:7" s="47" customFormat="1">
      <c r="C66" s="314"/>
      <c r="E66" s="321"/>
      <c r="G66"/>
    </row>
    <row r="67" spans="3:7" s="47" customFormat="1">
      <c r="C67" s="314"/>
      <c r="E67" s="321"/>
      <c r="G67"/>
    </row>
    <row r="68" spans="3:7" s="47" customFormat="1">
      <c r="C68" s="314"/>
      <c r="E68" s="321"/>
      <c r="G68"/>
    </row>
    <row r="69" spans="3:7" s="47" customFormat="1">
      <c r="C69" s="314"/>
      <c r="E69" s="321"/>
      <c r="G69"/>
    </row>
    <row r="70" spans="3:7" s="47" customFormat="1">
      <c r="C70" s="314"/>
      <c r="E70" s="321"/>
      <c r="G70"/>
    </row>
    <row r="71" spans="3:7" s="47" customFormat="1">
      <c r="C71" s="314"/>
      <c r="E71" s="321"/>
      <c r="G71"/>
    </row>
    <row r="72" spans="3:7" s="47" customFormat="1">
      <c r="C72" s="314"/>
      <c r="E72" s="321"/>
      <c r="G72"/>
    </row>
    <row r="73" spans="3:7" s="47" customFormat="1">
      <c r="C73" s="314"/>
      <c r="E73" s="321"/>
      <c r="G73"/>
    </row>
    <row r="74" spans="3:7" s="47" customFormat="1">
      <c r="C74" s="314"/>
      <c r="E74" s="321"/>
      <c r="G74"/>
    </row>
    <row r="75" spans="3:7" s="47" customFormat="1">
      <c r="C75" s="314"/>
      <c r="E75" s="321"/>
      <c r="G75"/>
    </row>
    <row r="76" spans="3:7" s="47" customFormat="1">
      <c r="C76" s="314"/>
      <c r="E76" s="321"/>
      <c r="G76"/>
    </row>
    <row r="77" spans="3:7" s="47" customFormat="1">
      <c r="C77" s="314"/>
      <c r="E77" s="321"/>
      <c r="G77"/>
    </row>
    <row r="78" spans="3:7" s="47" customFormat="1">
      <c r="C78" s="314"/>
      <c r="E78" s="321"/>
      <c r="G78"/>
    </row>
    <row r="79" spans="3:7" s="47" customFormat="1">
      <c r="C79" s="314"/>
      <c r="E79" s="321"/>
      <c r="G79"/>
    </row>
    <row r="80" spans="3:7" s="47" customFormat="1">
      <c r="C80" s="314"/>
      <c r="E80" s="321"/>
      <c r="G80"/>
    </row>
    <row r="81" spans="3:7" s="47" customFormat="1">
      <c r="C81" s="314"/>
      <c r="E81" s="321"/>
      <c r="G81"/>
    </row>
    <row r="82" spans="3:7" s="47" customFormat="1">
      <c r="C82" s="314"/>
      <c r="E82" s="321"/>
      <c r="G82"/>
    </row>
    <row r="83" spans="3:7" s="47" customFormat="1">
      <c r="C83" s="314"/>
      <c r="E83" s="321"/>
      <c r="G83"/>
    </row>
    <row r="84" spans="3:7" s="47" customFormat="1">
      <c r="C84" s="314"/>
      <c r="E84" s="321"/>
      <c r="G84"/>
    </row>
    <row r="85" spans="3:7" s="47" customFormat="1">
      <c r="C85" s="314"/>
      <c r="E85" s="321"/>
      <c r="G85"/>
    </row>
    <row r="86" spans="3:7" s="47" customFormat="1">
      <c r="C86" s="314"/>
      <c r="E86" s="321"/>
      <c r="G86"/>
    </row>
    <row r="87" spans="3:7" s="47" customFormat="1">
      <c r="C87" s="314"/>
      <c r="E87" s="321"/>
      <c r="G87"/>
    </row>
    <row r="88" spans="3:7" s="47" customFormat="1">
      <c r="C88" s="314"/>
      <c r="E88" s="321"/>
      <c r="G88"/>
    </row>
    <row r="89" spans="3:7" s="47" customFormat="1">
      <c r="C89" s="314"/>
      <c r="E89" s="321"/>
      <c r="G89"/>
    </row>
    <row r="90" spans="3:7" s="47" customFormat="1">
      <c r="C90" s="314"/>
      <c r="E90" s="321"/>
      <c r="G90"/>
    </row>
    <row r="91" spans="3:7" s="47" customFormat="1">
      <c r="C91" s="314"/>
      <c r="E91" s="321"/>
      <c r="G91"/>
    </row>
    <row r="92" spans="3:7" s="47" customFormat="1">
      <c r="C92" s="314"/>
      <c r="E92" s="321"/>
      <c r="G92"/>
    </row>
    <row r="93" spans="3:7" s="47" customFormat="1">
      <c r="C93" s="314"/>
      <c r="E93" s="321"/>
      <c r="G93"/>
    </row>
    <row r="94" spans="3:7" s="47" customFormat="1">
      <c r="C94" s="314"/>
      <c r="E94" s="321"/>
      <c r="G94"/>
    </row>
    <row r="95" spans="3:7" s="47" customFormat="1">
      <c r="C95" s="314"/>
      <c r="E95" s="321"/>
      <c r="G95"/>
    </row>
    <row r="96" spans="3:7" s="47" customFormat="1">
      <c r="C96" s="314"/>
      <c r="E96" s="321"/>
      <c r="G96"/>
    </row>
    <row r="97" spans="3:7" s="47" customFormat="1">
      <c r="C97" s="314"/>
      <c r="E97" s="321"/>
      <c r="G97"/>
    </row>
    <row r="98" spans="3:7" s="47" customFormat="1">
      <c r="C98" s="314"/>
      <c r="E98" s="321"/>
      <c r="G98"/>
    </row>
    <row r="99" spans="3:7" s="47" customFormat="1">
      <c r="C99" s="314"/>
      <c r="E99" s="321"/>
      <c r="G99"/>
    </row>
    <row r="100" spans="3:7" s="47" customFormat="1">
      <c r="C100" s="314"/>
      <c r="E100" s="321"/>
      <c r="G100"/>
    </row>
    <row r="101" spans="3:7" s="47" customFormat="1">
      <c r="C101" s="314"/>
      <c r="E101" s="321"/>
      <c r="G101"/>
    </row>
    <row r="102" spans="3:7" s="47" customFormat="1">
      <c r="C102" s="314"/>
      <c r="E102" s="321"/>
      <c r="G102"/>
    </row>
    <row r="103" spans="3:7" s="47" customFormat="1">
      <c r="C103" s="314"/>
      <c r="E103" s="321"/>
      <c r="G103"/>
    </row>
    <row r="104" spans="3:7" s="47" customFormat="1">
      <c r="C104" s="314"/>
      <c r="E104" s="321"/>
      <c r="G104"/>
    </row>
    <row r="105" spans="3:7" s="47" customFormat="1">
      <c r="C105" s="314"/>
      <c r="E105" s="321"/>
      <c r="G105"/>
    </row>
    <row r="106" spans="3:7" s="47" customFormat="1">
      <c r="C106" s="314"/>
      <c r="E106" s="321"/>
      <c r="G106"/>
    </row>
    <row r="107" spans="3:7" s="47" customFormat="1">
      <c r="C107" s="314"/>
      <c r="E107" s="321"/>
      <c r="G107"/>
    </row>
    <row r="108" spans="3:7" s="47" customFormat="1">
      <c r="C108" s="314"/>
      <c r="E108" s="321"/>
      <c r="G108"/>
    </row>
    <row r="109" spans="3:7" s="47" customFormat="1">
      <c r="C109" s="314"/>
      <c r="E109" s="321"/>
      <c r="G109"/>
    </row>
    <row r="110" spans="3:7" s="47" customFormat="1">
      <c r="C110" s="314"/>
      <c r="E110" s="321"/>
      <c r="G110"/>
    </row>
    <row r="111" spans="3:7" s="47" customFormat="1">
      <c r="C111" s="314"/>
      <c r="E111" s="321"/>
      <c r="G111"/>
    </row>
    <row r="112" spans="3:7" s="47" customFormat="1">
      <c r="C112" s="314"/>
      <c r="E112" s="321"/>
      <c r="G112"/>
    </row>
    <row r="113" spans="3:7" s="47" customFormat="1">
      <c r="C113" s="314"/>
      <c r="E113" s="321"/>
      <c r="G113"/>
    </row>
    <row r="114" spans="3:7" s="47" customFormat="1">
      <c r="C114" s="314"/>
      <c r="E114" s="321"/>
      <c r="G114"/>
    </row>
    <row r="115" spans="3:7" s="47" customFormat="1">
      <c r="C115" s="314"/>
      <c r="E115" s="321"/>
      <c r="G115"/>
    </row>
    <row r="116" spans="3:7" s="47" customFormat="1">
      <c r="C116" s="314"/>
      <c r="E116" s="321"/>
      <c r="G116"/>
    </row>
    <row r="117" spans="3:7" s="47" customFormat="1">
      <c r="C117" s="314"/>
      <c r="E117" s="321"/>
      <c r="G117"/>
    </row>
    <row r="118" spans="3:7" s="47" customFormat="1">
      <c r="C118" s="314"/>
      <c r="E118" s="321"/>
      <c r="G118"/>
    </row>
    <row r="119" spans="3:7" s="47" customFormat="1">
      <c r="C119" s="314"/>
      <c r="E119" s="321"/>
      <c r="G119"/>
    </row>
    <row r="120" spans="3:7" s="47" customFormat="1">
      <c r="C120" s="314"/>
      <c r="E120" s="321"/>
      <c r="G120"/>
    </row>
    <row r="121" spans="3:7" s="47" customFormat="1">
      <c r="C121" s="314"/>
      <c r="E121" s="321"/>
      <c r="G121"/>
    </row>
    <row r="122" spans="3:7" s="47" customFormat="1">
      <c r="C122" s="314"/>
      <c r="E122" s="321"/>
      <c r="G122"/>
    </row>
    <row r="123" spans="3:7" s="47" customFormat="1">
      <c r="C123" s="314"/>
      <c r="E123" s="321"/>
      <c r="G123"/>
    </row>
    <row r="124" spans="3:7" s="47" customFormat="1">
      <c r="C124" s="314"/>
      <c r="E124" s="321"/>
      <c r="G124"/>
    </row>
    <row r="125" spans="3:7" s="47" customFormat="1">
      <c r="C125" s="314"/>
      <c r="E125" s="321"/>
      <c r="G125"/>
    </row>
    <row r="126" spans="3:7" s="47" customFormat="1">
      <c r="C126" s="314"/>
      <c r="E126" s="321"/>
      <c r="G126"/>
    </row>
    <row r="127" spans="3:7" s="47" customFormat="1">
      <c r="C127" s="314"/>
      <c r="E127" s="321"/>
      <c r="G127"/>
    </row>
    <row r="128" spans="3:7" s="47" customFormat="1">
      <c r="C128" s="314"/>
      <c r="E128" s="321"/>
      <c r="G128"/>
    </row>
    <row r="129" spans="3:7" s="47" customFormat="1">
      <c r="C129" s="314"/>
      <c r="E129" s="321"/>
      <c r="G129"/>
    </row>
    <row r="130" spans="3:7" s="47" customFormat="1">
      <c r="C130" s="314"/>
      <c r="E130" s="321"/>
      <c r="G130"/>
    </row>
    <row r="131" spans="3:7" s="47" customFormat="1">
      <c r="C131" s="314"/>
      <c r="E131" s="321"/>
      <c r="G131"/>
    </row>
    <row r="132" spans="3:7" s="47" customFormat="1">
      <c r="C132" s="314"/>
      <c r="E132" s="321"/>
      <c r="G132"/>
    </row>
    <row r="133" spans="3:7" s="47" customFormat="1">
      <c r="C133" s="314"/>
      <c r="E133" s="321"/>
      <c r="G133"/>
    </row>
    <row r="134" spans="3:7" s="47" customFormat="1">
      <c r="C134" s="314"/>
      <c r="E134" s="321"/>
      <c r="G134"/>
    </row>
    <row r="135" spans="3:7" s="47" customFormat="1">
      <c r="C135" s="314"/>
      <c r="E135" s="321"/>
      <c r="G135"/>
    </row>
    <row r="136" spans="3:7" s="47" customFormat="1">
      <c r="C136" s="314"/>
      <c r="E136" s="321"/>
      <c r="G136"/>
    </row>
    <row r="137" spans="3:7" s="47" customFormat="1">
      <c r="C137" s="314"/>
      <c r="E137" s="321"/>
      <c r="G137"/>
    </row>
    <row r="138" spans="3:7" s="47" customFormat="1">
      <c r="C138" s="314"/>
      <c r="E138" s="321"/>
      <c r="G138"/>
    </row>
    <row r="139" spans="3:7" s="47" customFormat="1">
      <c r="C139" s="314"/>
      <c r="E139" s="321"/>
      <c r="G139"/>
    </row>
    <row r="140" spans="3:7" s="47" customFormat="1">
      <c r="C140" s="314"/>
      <c r="E140" s="321"/>
      <c r="G140"/>
    </row>
    <row r="141" spans="3:7" s="47" customFormat="1">
      <c r="C141" s="314"/>
      <c r="E141" s="321"/>
      <c r="G141"/>
    </row>
    <row r="142" spans="3:7" s="47" customFormat="1">
      <c r="C142" s="314"/>
      <c r="E142" s="321"/>
      <c r="G142"/>
    </row>
    <row r="143" spans="3:7" s="47" customFormat="1">
      <c r="C143" s="314"/>
      <c r="E143" s="321"/>
      <c r="G143"/>
    </row>
    <row r="144" spans="3:7" s="47" customFormat="1">
      <c r="C144" s="314"/>
      <c r="E144" s="321"/>
      <c r="G144"/>
    </row>
    <row r="145" spans="3:7" s="47" customFormat="1">
      <c r="C145" s="314"/>
      <c r="E145" s="321"/>
      <c r="G145"/>
    </row>
    <row r="146" spans="3:7" s="47" customFormat="1">
      <c r="C146" s="314"/>
      <c r="E146" s="321"/>
      <c r="G146"/>
    </row>
    <row r="147" spans="3:7" s="47" customFormat="1">
      <c r="C147" s="314"/>
      <c r="E147" s="321"/>
      <c r="G147"/>
    </row>
    <row r="148" spans="3:7" s="47" customFormat="1">
      <c r="C148" s="314"/>
      <c r="E148" s="321"/>
      <c r="G148"/>
    </row>
    <row r="149" spans="3:7" s="47" customFormat="1">
      <c r="C149" s="314"/>
      <c r="E149" s="321"/>
      <c r="G149"/>
    </row>
    <row r="150" spans="3:7" s="47" customFormat="1">
      <c r="C150" s="314"/>
      <c r="E150" s="321"/>
      <c r="G150"/>
    </row>
    <row r="151" spans="3:7" s="47" customFormat="1">
      <c r="C151" s="314"/>
      <c r="E151" s="321"/>
      <c r="G151"/>
    </row>
    <row r="152" spans="3:7" s="47" customFormat="1">
      <c r="C152" s="314"/>
      <c r="E152" s="321"/>
      <c r="G152"/>
    </row>
    <row r="153" spans="3:7" s="47" customFormat="1">
      <c r="C153" s="314"/>
      <c r="E153" s="321"/>
      <c r="G153"/>
    </row>
    <row r="154" spans="3:7" s="47" customFormat="1">
      <c r="C154" s="314"/>
      <c r="E154" s="321"/>
      <c r="G154"/>
    </row>
    <row r="155" spans="3:7" s="47" customFormat="1">
      <c r="C155" s="314"/>
      <c r="E155" s="321"/>
      <c r="G155"/>
    </row>
    <row r="156" spans="3:7" s="47" customFormat="1">
      <c r="C156" s="314"/>
      <c r="E156" s="321"/>
      <c r="G156"/>
    </row>
    <row r="157" spans="3:7" s="47" customFormat="1">
      <c r="C157" s="314"/>
      <c r="E157" s="321"/>
      <c r="G157"/>
    </row>
    <row r="158" spans="3:7" s="47" customFormat="1">
      <c r="C158" s="314"/>
      <c r="E158" s="321"/>
      <c r="G158"/>
    </row>
    <row r="159" spans="3:7" s="47" customFormat="1">
      <c r="C159" s="314"/>
      <c r="E159" s="321"/>
      <c r="G159"/>
    </row>
    <row r="160" spans="3:7" s="47" customFormat="1">
      <c r="C160" s="314"/>
      <c r="E160" s="321"/>
      <c r="G160"/>
    </row>
    <row r="161" spans="3:7" s="47" customFormat="1">
      <c r="C161" s="314"/>
      <c r="E161" s="321"/>
      <c r="G161"/>
    </row>
    <row r="162" spans="3:7" s="47" customFormat="1">
      <c r="C162" s="314"/>
      <c r="E162" s="321"/>
      <c r="G162"/>
    </row>
    <row r="163" spans="3:7" s="47" customFormat="1">
      <c r="C163" s="314"/>
      <c r="E163" s="321"/>
      <c r="G163"/>
    </row>
    <row r="164" spans="3:7" s="47" customFormat="1">
      <c r="C164" s="314"/>
      <c r="E164" s="321"/>
      <c r="G164"/>
    </row>
    <row r="165" spans="3:7" s="47" customFormat="1">
      <c r="C165" s="314"/>
      <c r="E165" s="321"/>
      <c r="G165"/>
    </row>
    <row r="166" spans="3:7" s="47" customFormat="1">
      <c r="C166" s="314"/>
      <c r="E166" s="321"/>
      <c r="G166"/>
    </row>
    <row r="167" spans="3:7" s="47" customFormat="1">
      <c r="C167" s="314"/>
      <c r="E167" s="321"/>
      <c r="G167"/>
    </row>
    <row r="168" spans="3:7" s="47" customFormat="1">
      <c r="C168" s="314"/>
      <c r="E168" s="321"/>
      <c r="G168"/>
    </row>
    <row r="169" spans="3:7" s="47" customFormat="1">
      <c r="C169" s="314"/>
      <c r="E169" s="321"/>
      <c r="G169"/>
    </row>
    <row r="170" spans="3:7" s="47" customFormat="1">
      <c r="C170" s="314"/>
      <c r="E170" s="321"/>
      <c r="G170"/>
    </row>
    <row r="171" spans="3:7" s="47" customFormat="1">
      <c r="C171" s="314"/>
      <c r="E171" s="321"/>
      <c r="G171"/>
    </row>
  </sheetData>
  <sheetProtection formatCells="0" formatColumns="0" formatRows="0" insertColumns="0" insertRows="0" insertHyperlinks="0" deleteColumns="0" deleteRows="0" sort="0" autoFilter="0" pivotTables="0"/>
  <pageMargins left="0.511811024" right="0.511811024" top="0.78740157499999996" bottom="0.78740157499999996" header="0.31496062000000002" footer="0.31496062000000002"/>
  <pageSetup paperSize="9" scale="6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7">
    <pageSetUpPr fitToPage="1"/>
  </sheetPr>
  <dimension ref="B1:L153"/>
  <sheetViews>
    <sheetView showGridLines="0" topLeftCell="A72" zoomScaleNormal="100" workbookViewId="0">
      <selection activeCell="I106" sqref="I106"/>
    </sheetView>
  </sheetViews>
  <sheetFormatPr defaultRowHeight="15"/>
  <cols>
    <col min="1" max="1" width="1.85546875" customWidth="1"/>
    <col min="2" max="2" width="7.7109375" customWidth="1"/>
    <col min="3" max="3" width="10.42578125" style="12" customWidth="1"/>
    <col min="4" max="4" width="95.42578125" bestFit="1" customWidth="1"/>
    <col min="5" max="6" width="14.28515625" customWidth="1"/>
    <col min="7" max="7" width="15.42578125" bestFit="1" customWidth="1"/>
    <col min="8" max="8" width="14.28515625" customWidth="1"/>
    <col min="9" max="9" width="14.28515625" style="46" customWidth="1"/>
    <col min="10" max="10" width="14.85546875" style="47" customWidth="1"/>
    <col min="11" max="11" width="13.42578125" style="46" bestFit="1" customWidth="1"/>
    <col min="12" max="12" width="20.28515625" style="46" customWidth="1"/>
    <col min="13" max="15" width="16" customWidth="1"/>
  </cols>
  <sheetData>
    <row r="1" spans="2:12" ht="9" customHeight="1">
      <c r="J1"/>
    </row>
    <row r="2" spans="2:12">
      <c r="B2" s="743" t="s">
        <v>332</v>
      </c>
      <c r="C2" s="744"/>
      <c r="D2" s="744"/>
      <c r="E2" s="744"/>
      <c r="F2" s="744"/>
      <c r="G2" s="744"/>
      <c r="H2" s="744"/>
      <c r="I2" s="744"/>
      <c r="J2" s="744"/>
      <c r="K2" s="744"/>
      <c r="L2" s="745"/>
    </row>
    <row r="3" spans="2:12" ht="45">
      <c r="B3" s="273" t="s">
        <v>236</v>
      </c>
      <c r="C3" s="273" t="s">
        <v>41</v>
      </c>
      <c r="D3" s="273" t="s">
        <v>42</v>
      </c>
      <c r="E3" s="273" t="s">
        <v>72</v>
      </c>
      <c r="F3" s="273" t="s">
        <v>138</v>
      </c>
      <c r="G3" s="273" t="s">
        <v>445</v>
      </c>
      <c r="H3" s="273" t="s">
        <v>401</v>
      </c>
      <c r="I3" s="273" t="s">
        <v>447</v>
      </c>
      <c r="J3" s="696" t="s">
        <v>446</v>
      </c>
      <c r="K3" s="274" t="s">
        <v>414</v>
      </c>
      <c r="L3" s="273" t="s">
        <v>448</v>
      </c>
    </row>
    <row r="4" spans="2:12">
      <c r="C4"/>
      <c r="I4"/>
      <c r="K4" s="323">
        <f>SUM(K5:K260)</f>
        <v>1207.9574073333338</v>
      </c>
      <c r="L4" s="323">
        <f>SUM(L5:L260)</f>
        <v>14495.488888000002</v>
      </c>
    </row>
    <row r="5" spans="2:12" ht="3.75" customHeight="1">
      <c r="C5"/>
      <c r="I5"/>
      <c r="K5"/>
      <c r="L5"/>
    </row>
    <row r="6" spans="2:12">
      <c r="B6" s="268">
        <v>1</v>
      </c>
      <c r="C6" s="268" t="s">
        <v>724</v>
      </c>
      <c r="D6" s="419" t="s">
        <v>632</v>
      </c>
      <c r="E6" s="268"/>
      <c r="F6" s="268"/>
      <c r="G6" s="268" t="s">
        <v>621</v>
      </c>
      <c r="H6" s="489">
        <v>1</v>
      </c>
      <c r="I6" s="275">
        <v>55.84</v>
      </c>
      <c r="J6" s="697"/>
      <c r="K6" s="692">
        <f>IFERROR(L6/'Mão de Obra'!$D$12,"")</f>
        <v>4.6533333333333333</v>
      </c>
      <c r="L6" s="692">
        <f>IFERROR(IF(ISNUMBER(J6),J6*'Mão de Obra'!$D$12,1)*I6*H6,"")</f>
        <v>55.84</v>
      </c>
    </row>
    <row r="7" spans="2:12">
      <c r="B7" s="268">
        <v>2</v>
      </c>
      <c r="C7" s="268" t="s">
        <v>733</v>
      </c>
      <c r="D7" s="419" t="s">
        <v>633</v>
      </c>
      <c r="E7" s="268"/>
      <c r="F7" s="268"/>
      <c r="G7" s="268" t="s">
        <v>621</v>
      </c>
      <c r="H7" s="489">
        <v>2</v>
      </c>
      <c r="I7" s="275">
        <v>59.9</v>
      </c>
      <c r="J7" s="697"/>
      <c r="K7" s="692">
        <f>IFERROR(L7/'Mão de Obra'!$D$12,"")</f>
        <v>9.9833333333333325</v>
      </c>
      <c r="L7" s="692">
        <f>IFERROR(IF(ISNUMBER(J7),J7*'Mão de Obra'!$D$12,1)*I7*H7,"")</f>
        <v>119.8</v>
      </c>
    </row>
    <row r="8" spans="2:12">
      <c r="B8" s="268">
        <v>3</v>
      </c>
      <c r="C8" s="268" t="s">
        <v>735</v>
      </c>
      <c r="D8" s="419" t="s">
        <v>734</v>
      </c>
      <c r="E8" s="268"/>
      <c r="F8" s="268"/>
      <c r="G8" s="268" t="s">
        <v>621</v>
      </c>
      <c r="H8" s="489">
        <v>2</v>
      </c>
      <c r="I8" s="275">
        <v>60.39</v>
      </c>
      <c r="J8" s="697"/>
      <c r="K8" s="692">
        <f>IFERROR(L8/'Mão de Obra'!$D$12,"")</f>
        <v>10.065</v>
      </c>
      <c r="L8" s="692">
        <f>IFERROR(IF(ISNUMBER(J8),J8*'Mão de Obra'!$D$12,1)*I8*H8,"")</f>
        <v>120.78</v>
      </c>
    </row>
    <row r="9" spans="2:12">
      <c r="B9" s="268">
        <v>4</v>
      </c>
      <c r="C9" s="268" t="s">
        <v>736</v>
      </c>
      <c r="D9" s="419" t="s">
        <v>634</v>
      </c>
      <c r="E9" s="268"/>
      <c r="F9" s="268"/>
      <c r="G9" s="268" t="s">
        <v>621</v>
      </c>
      <c r="H9" s="489">
        <v>2</v>
      </c>
      <c r="I9" s="275">
        <v>95.59</v>
      </c>
      <c r="J9" s="697"/>
      <c r="K9" s="692">
        <f>IFERROR(L9/'Mão de Obra'!$D$12,"")</f>
        <v>15.931666666666667</v>
      </c>
      <c r="L9" s="692">
        <f>IFERROR(IF(ISNUMBER(J9),J9*'Mão de Obra'!$D$12,1)*I9*H9,"")</f>
        <v>191.18</v>
      </c>
    </row>
    <row r="10" spans="2:12">
      <c r="B10" s="268">
        <v>5</v>
      </c>
      <c r="C10" s="268" t="s">
        <v>737</v>
      </c>
      <c r="D10" s="419" t="s">
        <v>635</v>
      </c>
      <c r="E10" s="268"/>
      <c r="F10" s="268"/>
      <c r="G10" s="268" t="s">
        <v>621</v>
      </c>
      <c r="H10" s="489">
        <v>1</v>
      </c>
      <c r="I10" s="275">
        <v>66.489999999999995</v>
      </c>
      <c r="J10" s="697"/>
      <c r="K10" s="692">
        <f>IFERROR(L10/'Mão de Obra'!$D$12,"")</f>
        <v>5.5408333333333326</v>
      </c>
      <c r="L10" s="692">
        <f>IFERROR(IF(ISNUMBER(J10),J10*'Mão de Obra'!$D$12,1)*I10*H10,"")</f>
        <v>66.489999999999995</v>
      </c>
    </row>
    <row r="11" spans="2:12">
      <c r="B11" s="268">
        <v>6</v>
      </c>
      <c r="C11" s="268" t="s">
        <v>738</v>
      </c>
      <c r="D11" s="419" t="s">
        <v>636</v>
      </c>
      <c r="E11" s="268"/>
      <c r="F11" s="268"/>
      <c r="G11" s="268" t="s">
        <v>621</v>
      </c>
      <c r="H11" s="489">
        <v>1</v>
      </c>
      <c r="I11" s="275">
        <v>125.92</v>
      </c>
      <c r="J11" s="697"/>
      <c r="K11" s="692">
        <f>IFERROR(L11/'Mão de Obra'!$D$12,"")</f>
        <v>10.493333333333334</v>
      </c>
      <c r="L11" s="692">
        <f>IFERROR(IF(ISNUMBER(J11),J11*'Mão de Obra'!$D$12,1)*I11*H11,"")</f>
        <v>125.92</v>
      </c>
    </row>
    <row r="12" spans="2:12">
      <c r="B12" s="268">
        <v>7</v>
      </c>
      <c r="C12" s="268" t="s">
        <v>739</v>
      </c>
      <c r="D12" s="419" t="s">
        <v>637</v>
      </c>
      <c r="E12" s="268"/>
      <c r="F12" s="268"/>
      <c r="G12" s="268" t="s">
        <v>621</v>
      </c>
      <c r="H12" s="489">
        <v>2</v>
      </c>
      <c r="I12" s="275">
        <v>43.9</v>
      </c>
      <c r="J12" s="697"/>
      <c r="K12" s="692">
        <f>IFERROR(L12/'Mão de Obra'!$D$12,"")</f>
        <v>7.3166666666666664</v>
      </c>
      <c r="L12" s="692">
        <f>IFERROR(IF(ISNUMBER(J12),J12*'Mão de Obra'!$D$12,1)*I12*H12,"")</f>
        <v>87.8</v>
      </c>
    </row>
    <row r="13" spans="2:12">
      <c r="B13" s="268">
        <v>8</v>
      </c>
      <c r="C13" s="268" t="s">
        <v>740</v>
      </c>
      <c r="D13" s="419" t="s">
        <v>638</v>
      </c>
      <c r="E13" s="268"/>
      <c r="F13" s="268"/>
      <c r="G13" s="268" t="s">
        <v>621</v>
      </c>
      <c r="H13" s="489">
        <v>1</v>
      </c>
      <c r="I13" s="275">
        <v>153.09</v>
      </c>
      <c r="J13" s="697"/>
      <c r="K13" s="692">
        <f>IFERROR(L13/'Mão de Obra'!$D$12,"")</f>
        <v>12.7575</v>
      </c>
      <c r="L13" s="692">
        <f>IFERROR(IF(ISNUMBER(J13),J13*'Mão de Obra'!$D$12,1)*I13*H13,"")</f>
        <v>153.09</v>
      </c>
    </row>
    <row r="14" spans="2:12">
      <c r="B14" s="268">
        <v>9</v>
      </c>
      <c r="C14" s="268" t="s">
        <v>741</v>
      </c>
      <c r="D14" s="419" t="s">
        <v>639</v>
      </c>
      <c r="E14" s="268"/>
      <c r="F14" s="268"/>
      <c r="G14" s="268" t="s">
        <v>621</v>
      </c>
      <c r="H14" s="489">
        <v>1</v>
      </c>
      <c r="I14" s="275">
        <v>49.16</v>
      </c>
      <c r="J14" s="697"/>
      <c r="K14" s="692">
        <f>IFERROR(L14/'Mão de Obra'!$D$12,"")</f>
        <v>4.0966666666666667</v>
      </c>
      <c r="L14" s="692">
        <f>IFERROR(IF(ISNUMBER(J14),J14*'Mão de Obra'!$D$12,1)*I14*H14,"")</f>
        <v>49.16</v>
      </c>
    </row>
    <row r="15" spans="2:12">
      <c r="B15" s="268">
        <v>10</v>
      </c>
      <c r="C15" s="268" t="s">
        <v>742</v>
      </c>
      <c r="D15" s="419" t="s">
        <v>640</v>
      </c>
      <c r="E15" s="268"/>
      <c r="F15" s="268"/>
      <c r="G15" s="268" t="s">
        <v>621</v>
      </c>
      <c r="H15" s="489">
        <v>2</v>
      </c>
      <c r="I15" s="275">
        <v>52.26</v>
      </c>
      <c r="J15" s="697"/>
      <c r="K15" s="692">
        <f>IFERROR(L15/'Mão de Obra'!$D$12,"")</f>
        <v>8.7099999999999991</v>
      </c>
      <c r="L15" s="692">
        <f>IFERROR(IF(ISNUMBER(J15),J15*'Mão de Obra'!$D$12,1)*I15*H15,"")</f>
        <v>104.52</v>
      </c>
    </row>
    <row r="16" spans="2:12">
      <c r="B16" s="268">
        <v>11</v>
      </c>
      <c r="C16" s="268" t="s">
        <v>725</v>
      </c>
      <c r="D16" s="419" t="s">
        <v>641</v>
      </c>
      <c r="E16" s="268"/>
      <c r="F16" s="268"/>
      <c r="G16" s="268" t="s">
        <v>621</v>
      </c>
      <c r="H16" s="489">
        <v>2</v>
      </c>
      <c r="I16" s="275">
        <v>138.49</v>
      </c>
      <c r="J16" s="697"/>
      <c r="K16" s="692">
        <f>IFERROR(L16/'Mão de Obra'!$D$12,"")</f>
        <v>23.081666666666667</v>
      </c>
      <c r="L16" s="692">
        <f>IFERROR(IF(ISNUMBER(J16),J16*'Mão de Obra'!$D$12,1)*I16*H16,"")</f>
        <v>276.98</v>
      </c>
    </row>
    <row r="17" spans="2:12">
      <c r="B17" s="268">
        <v>12</v>
      </c>
      <c r="C17" s="268" t="s">
        <v>798</v>
      </c>
      <c r="D17" s="419" t="s">
        <v>642</v>
      </c>
      <c r="E17" s="268"/>
      <c r="F17" s="268"/>
      <c r="G17" s="268" t="s">
        <v>621</v>
      </c>
      <c r="H17" s="489">
        <v>2</v>
      </c>
      <c r="I17" s="275">
        <v>72.86</v>
      </c>
      <c r="J17" s="697"/>
      <c r="K17" s="692">
        <f>IFERROR(L17/'Mão de Obra'!$D$12,"")</f>
        <v>12.143333333333333</v>
      </c>
      <c r="L17" s="692">
        <f>IFERROR(IF(ISNUMBER(J17),J17*'Mão de Obra'!$D$12,1)*I17*H17,"")</f>
        <v>145.72</v>
      </c>
    </row>
    <row r="18" spans="2:12">
      <c r="B18" s="268">
        <v>13</v>
      </c>
      <c r="C18" s="268" t="s">
        <v>778</v>
      </c>
      <c r="D18" s="419" t="s">
        <v>643</v>
      </c>
      <c r="E18" s="268"/>
      <c r="F18" s="268"/>
      <c r="G18" s="268" t="s">
        <v>621</v>
      </c>
      <c r="H18" s="489">
        <v>2</v>
      </c>
      <c r="I18" s="275">
        <v>28.99</v>
      </c>
      <c r="J18" s="697"/>
      <c r="K18" s="692">
        <f>IFERROR(L18/'Mão de Obra'!$D$12,"")</f>
        <v>4.8316666666666661</v>
      </c>
      <c r="L18" s="692">
        <f>IFERROR(IF(ISNUMBER(J18),J18*'Mão de Obra'!$D$12,1)*I18*H18,"")</f>
        <v>57.98</v>
      </c>
    </row>
    <row r="19" spans="2:12">
      <c r="B19" s="268">
        <v>14</v>
      </c>
      <c r="C19" s="268" t="s">
        <v>743</v>
      </c>
      <c r="D19" s="419" t="s">
        <v>644</v>
      </c>
      <c r="E19" s="268"/>
      <c r="F19" s="268"/>
      <c r="G19" s="268" t="s">
        <v>621</v>
      </c>
      <c r="H19" s="489">
        <v>2</v>
      </c>
      <c r="I19" s="275">
        <v>49.6</v>
      </c>
      <c r="J19" s="697"/>
      <c r="K19" s="692">
        <f>IFERROR(L19/'Mão de Obra'!$D$12,"")</f>
        <v>8.2666666666666675</v>
      </c>
      <c r="L19" s="692">
        <f>IFERROR(IF(ISNUMBER(J19),J19*'Mão de Obra'!$D$12,1)*I19*H19,"")</f>
        <v>99.2</v>
      </c>
    </row>
    <row r="20" spans="2:12">
      <c r="B20" s="268">
        <v>15</v>
      </c>
      <c r="C20" s="268" t="s">
        <v>744</v>
      </c>
      <c r="D20" s="419" t="s">
        <v>645</v>
      </c>
      <c r="E20" s="268"/>
      <c r="F20" s="268"/>
      <c r="G20" s="268" t="s">
        <v>621</v>
      </c>
      <c r="H20" s="489">
        <v>2</v>
      </c>
      <c r="I20" s="275">
        <v>257.60000000000002</v>
      </c>
      <c r="J20" s="697"/>
      <c r="K20" s="692">
        <f>IFERROR(L20/'Mão de Obra'!$D$12,"")</f>
        <v>42.933333333333337</v>
      </c>
      <c r="L20" s="692">
        <f>IFERROR(IF(ISNUMBER(J20),J20*'Mão de Obra'!$D$12,1)*I20*H20,"")</f>
        <v>515.20000000000005</v>
      </c>
    </row>
    <row r="21" spans="2:12">
      <c r="B21" s="268">
        <v>16</v>
      </c>
      <c r="C21" s="268" t="s">
        <v>799</v>
      </c>
      <c r="D21" s="419" t="s">
        <v>646</v>
      </c>
      <c r="E21" s="268"/>
      <c r="F21" s="268"/>
      <c r="G21" s="268" t="s">
        <v>621</v>
      </c>
      <c r="H21" s="489">
        <v>2</v>
      </c>
      <c r="I21" s="275">
        <v>35.229999999999997</v>
      </c>
      <c r="J21" s="697"/>
      <c r="K21" s="692">
        <f>IFERROR(L21/'Mão de Obra'!$D$12,"")</f>
        <v>5.8716666666666661</v>
      </c>
      <c r="L21" s="692">
        <f>IFERROR(IF(ISNUMBER(J21),J21*'Mão de Obra'!$D$12,1)*I21*H21,"")</f>
        <v>70.459999999999994</v>
      </c>
    </row>
    <row r="22" spans="2:12">
      <c r="B22" s="268">
        <v>17</v>
      </c>
      <c r="C22" s="268" t="s">
        <v>745</v>
      </c>
      <c r="D22" s="419" t="s">
        <v>647</v>
      </c>
      <c r="E22" s="268"/>
      <c r="F22" s="268"/>
      <c r="G22" s="268" t="s">
        <v>621</v>
      </c>
      <c r="H22" s="489">
        <v>1</v>
      </c>
      <c r="I22" s="275">
        <v>73.569999999999993</v>
      </c>
      <c r="J22" s="697"/>
      <c r="K22" s="692">
        <f>IFERROR(L22/'Mão de Obra'!$D$12,"")</f>
        <v>6.1308333333333325</v>
      </c>
      <c r="L22" s="692">
        <f>IFERROR(IF(ISNUMBER(J22),J22*'Mão de Obra'!$D$12,1)*I22*H22,"")</f>
        <v>73.569999999999993</v>
      </c>
    </row>
    <row r="23" spans="2:12">
      <c r="B23" s="268">
        <v>18</v>
      </c>
      <c r="C23" s="268" t="s">
        <v>800</v>
      </c>
      <c r="D23" s="419" t="s">
        <v>648</v>
      </c>
      <c r="E23" s="268"/>
      <c r="F23" s="268"/>
      <c r="G23" s="268" t="s">
        <v>621</v>
      </c>
      <c r="H23" s="489">
        <v>2</v>
      </c>
      <c r="I23" s="275">
        <v>61.63</v>
      </c>
      <c r="J23" s="697"/>
      <c r="K23" s="692">
        <f>IFERROR(L23/'Mão de Obra'!$D$12,"")</f>
        <v>10.271666666666667</v>
      </c>
      <c r="L23" s="692">
        <f>IFERROR(IF(ISNUMBER(J23),J23*'Mão de Obra'!$D$12,1)*I23*H23,"")</f>
        <v>123.26</v>
      </c>
    </row>
    <row r="24" spans="2:12">
      <c r="B24" s="268">
        <v>19</v>
      </c>
      <c r="C24" s="268" t="s">
        <v>779</v>
      </c>
      <c r="D24" s="419" t="s">
        <v>649</v>
      </c>
      <c r="E24" s="268"/>
      <c r="F24" s="268"/>
      <c r="G24" s="268" t="s">
        <v>621</v>
      </c>
      <c r="H24" s="489">
        <v>3</v>
      </c>
      <c r="I24" s="275">
        <v>127.03</v>
      </c>
      <c r="J24" s="697"/>
      <c r="K24" s="692">
        <f>IFERROR(L24/'Mão de Obra'!$D$12,"")</f>
        <v>31.757500000000004</v>
      </c>
      <c r="L24" s="692">
        <f>IFERROR(IF(ISNUMBER(J24),J24*'Mão de Obra'!$D$12,1)*I24*H24,"")</f>
        <v>381.09000000000003</v>
      </c>
    </row>
    <row r="25" spans="2:12">
      <c r="B25" s="268">
        <v>20</v>
      </c>
      <c r="C25" s="268" t="s">
        <v>780</v>
      </c>
      <c r="D25" s="419" t="s">
        <v>797</v>
      </c>
      <c r="E25" s="268"/>
      <c r="F25" s="268"/>
      <c r="G25" s="268" t="s">
        <v>621</v>
      </c>
      <c r="H25" s="489">
        <v>3</v>
      </c>
      <c r="I25" s="275">
        <v>736.7</v>
      </c>
      <c r="J25" s="697"/>
      <c r="K25" s="692">
        <f>IFERROR(L25/'Mão de Obra'!$D$12,"")</f>
        <v>184.17500000000004</v>
      </c>
      <c r="L25" s="692">
        <f>IFERROR(IF(ISNUMBER(J25),J25*'Mão de Obra'!$D$12,1)*I25*H25,"")</f>
        <v>2210.1000000000004</v>
      </c>
    </row>
    <row r="26" spans="2:12" s="47" customFormat="1">
      <c r="B26" s="268">
        <v>21</v>
      </c>
      <c r="C26" s="268" t="s">
        <v>801</v>
      </c>
      <c r="D26" s="419" t="s">
        <v>650</v>
      </c>
      <c r="E26" s="268"/>
      <c r="F26" s="268"/>
      <c r="G26" s="268" t="s">
        <v>621</v>
      </c>
      <c r="H26" s="489">
        <v>1</v>
      </c>
      <c r="I26" s="275">
        <v>25.78</v>
      </c>
      <c r="J26" s="697"/>
      <c r="K26" s="275">
        <f>IFERROR(L26/'Mão de Obra'!$D$12,"")</f>
        <v>2.1483333333333334</v>
      </c>
      <c r="L26" s="275">
        <f>IFERROR(IF(ISNUMBER(J26),J26*'Mão de Obra'!$D$12,1)*I26*H26,"")</f>
        <v>25.78</v>
      </c>
    </row>
    <row r="27" spans="2:12" s="47" customFormat="1">
      <c r="B27" s="268">
        <v>22</v>
      </c>
      <c r="C27" s="268" t="s">
        <v>781</v>
      </c>
      <c r="D27" s="419" t="s">
        <v>651</v>
      </c>
      <c r="E27" s="268"/>
      <c r="F27" s="268"/>
      <c r="G27" s="268" t="s">
        <v>621</v>
      </c>
      <c r="H27" s="489">
        <v>1</v>
      </c>
      <c r="I27" s="275">
        <v>39.96</v>
      </c>
      <c r="J27" s="697"/>
      <c r="K27" s="275">
        <f>IFERROR(L27/'Mão de Obra'!$D$12,"")</f>
        <v>3.33</v>
      </c>
      <c r="L27" s="275">
        <f>IFERROR(IF(ISNUMBER(J27),J27*'Mão de Obra'!$D$12,1)*I27*H27,"")</f>
        <v>39.96</v>
      </c>
    </row>
    <row r="28" spans="2:12" s="47" customFormat="1">
      <c r="B28" s="268">
        <v>23</v>
      </c>
      <c r="C28" s="268" t="s">
        <v>746</v>
      </c>
      <c r="D28" s="419" t="s">
        <v>652</v>
      </c>
      <c r="E28" s="268"/>
      <c r="F28" s="268"/>
      <c r="G28" s="268" t="s">
        <v>621</v>
      </c>
      <c r="H28" s="489">
        <v>2</v>
      </c>
      <c r="I28" s="275">
        <v>53.94</v>
      </c>
      <c r="J28" s="697"/>
      <c r="K28" s="275">
        <f>IFERROR(L28/'Mão de Obra'!$D$12,"")</f>
        <v>8.99</v>
      </c>
      <c r="L28" s="275">
        <f>IFERROR(IF(ISNUMBER(J28),J28*'Mão de Obra'!$D$12,1)*I28*H28,"")</f>
        <v>107.88</v>
      </c>
    </row>
    <row r="29" spans="2:12" s="47" customFormat="1">
      <c r="B29" s="268">
        <v>24</v>
      </c>
      <c r="C29" s="268" t="s">
        <v>747</v>
      </c>
      <c r="D29" s="419" t="s">
        <v>653</v>
      </c>
      <c r="E29" s="268"/>
      <c r="F29" s="268"/>
      <c r="G29" s="268" t="s">
        <v>621</v>
      </c>
      <c r="H29" s="489">
        <v>1</v>
      </c>
      <c r="I29" s="275">
        <v>36.06</v>
      </c>
      <c r="J29" s="697"/>
      <c r="K29" s="275">
        <f>IFERROR(L29/'Mão de Obra'!$D$12,"")</f>
        <v>3.0050000000000003</v>
      </c>
      <c r="L29" s="275">
        <f>IFERROR(IF(ISNUMBER(J29),J29*'Mão de Obra'!$D$12,1)*I29*H29,"")</f>
        <v>36.06</v>
      </c>
    </row>
    <row r="30" spans="2:12" s="47" customFormat="1">
      <c r="B30" s="268">
        <v>25</v>
      </c>
      <c r="C30" s="268" t="s">
        <v>748</v>
      </c>
      <c r="D30" s="419" t="s">
        <v>792</v>
      </c>
      <c r="E30" s="268"/>
      <c r="F30" s="268"/>
      <c r="G30" s="268" t="s">
        <v>621</v>
      </c>
      <c r="H30" s="489">
        <v>1</v>
      </c>
      <c r="I30" s="275">
        <v>32.770000000000003</v>
      </c>
      <c r="J30" s="697"/>
      <c r="K30" s="275">
        <f>IFERROR(L30/'Mão de Obra'!$D$12,"")</f>
        <v>2.7308333333333334</v>
      </c>
      <c r="L30" s="275">
        <f>IFERROR(IF(ISNUMBER(J30),J30*'Mão de Obra'!$D$12,1)*I30*H30,"")</f>
        <v>32.770000000000003</v>
      </c>
    </row>
    <row r="31" spans="2:12" s="47" customFormat="1">
      <c r="B31" s="268">
        <v>26</v>
      </c>
      <c r="C31" s="268" t="s">
        <v>749</v>
      </c>
      <c r="D31" s="419" t="s">
        <v>654</v>
      </c>
      <c r="E31" s="268"/>
      <c r="F31" s="268"/>
      <c r="G31" s="268" t="s">
        <v>621</v>
      </c>
      <c r="H31" s="489">
        <v>1</v>
      </c>
      <c r="I31" s="275">
        <v>22.52</v>
      </c>
      <c r="J31" s="697"/>
      <c r="K31" s="275">
        <f>IFERROR(L31/'Mão de Obra'!$D$12,"")</f>
        <v>1.8766666666666667</v>
      </c>
      <c r="L31" s="275">
        <f>IFERROR(IF(ISNUMBER(J31),J31*'Mão de Obra'!$D$12,1)*I31*H31,"")</f>
        <v>22.52</v>
      </c>
    </row>
    <row r="32" spans="2:12" s="47" customFormat="1">
      <c r="B32" s="268">
        <v>27</v>
      </c>
      <c r="C32" s="268" t="s">
        <v>750</v>
      </c>
      <c r="D32" s="703" t="s">
        <v>828</v>
      </c>
      <c r="E32" s="268"/>
      <c r="F32" s="268"/>
      <c r="G32" s="268" t="s">
        <v>621</v>
      </c>
      <c r="H32" s="489">
        <v>1</v>
      </c>
      <c r="I32" s="275">
        <v>30.45</v>
      </c>
      <c r="J32" s="697"/>
      <c r="K32" s="275">
        <f>IFERROR(L32/'Mão de Obra'!$D$12,"")</f>
        <v>2.5375000000000001</v>
      </c>
      <c r="L32" s="275">
        <f>IFERROR(IF(ISNUMBER(J32),J32*'Mão de Obra'!$D$12,1)*I32*H32,"")</f>
        <v>30.45</v>
      </c>
    </row>
    <row r="33" spans="2:12" s="47" customFormat="1">
      <c r="B33" s="268">
        <v>28</v>
      </c>
      <c r="C33" s="268" t="s">
        <v>751</v>
      </c>
      <c r="D33" s="419" t="s">
        <v>655</v>
      </c>
      <c r="E33" s="268"/>
      <c r="F33" s="268"/>
      <c r="G33" s="268" t="s">
        <v>621</v>
      </c>
      <c r="H33" s="489">
        <v>1</v>
      </c>
      <c r="I33" s="275">
        <v>24.79</v>
      </c>
      <c r="J33" s="697"/>
      <c r="K33" s="275">
        <f>IFERROR(L33/'Mão de Obra'!$D$12,"")</f>
        <v>2.0658333333333334</v>
      </c>
      <c r="L33" s="275">
        <f>IFERROR(IF(ISNUMBER(J33),J33*'Mão de Obra'!$D$12,1)*I33*H33,"")</f>
        <v>24.79</v>
      </c>
    </row>
    <row r="34" spans="2:12" s="47" customFormat="1">
      <c r="B34" s="268">
        <v>29</v>
      </c>
      <c r="C34" s="268" t="s">
        <v>802</v>
      </c>
      <c r="D34" s="419" t="s">
        <v>656</v>
      </c>
      <c r="E34" s="268"/>
      <c r="F34" s="268"/>
      <c r="G34" s="268" t="s">
        <v>621</v>
      </c>
      <c r="H34" s="489">
        <v>1</v>
      </c>
      <c r="I34" s="275">
        <v>58.49</v>
      </c>
      <c r="J34" s="697"/>
      <c r="K34" s="275">
        <f>IFERROR(L34/'Mão de Obra'!$D$12,"")</f>
        <v>4.8741666666666665</v>
      </c>
      <c r="L34" s="275">
        <f>IFERROR(IF(ISNUMBER(J34),J34*'Mão de Obra'!$D$12,1)*I34*H34,"")</f>
        <v>58.49</v>
      </c>
    </row>
    <row r="35" spans="2:12" s="47" customFormat="1">
      <c r="B35" s="268">
        <v>30</v>
      </c>
      <c r="C35" s="268" t="s">
        <v>752</v>
      </c>
      <c r="D35" s="419" t="s">
        <v>657</v>
      </c>
      <c r="E35" s="268"/>
      <c r="F35" s="268"/>
      <c r="G35" s="268" t="s">
        <v>621</v>
      </c>
      <c r="H35" s="489">
        <v>1</v>
      </c>
      <c r="I35" s="275">
        <v>60.11</v>
      </c>
      <c r="J35" s="697"/>
      <c r="K35" s="275">
        <f>IFERROR(L35/'Mão de Obra'!$D$12,"")</f>
        <v>5.0091666666666663</v>
      </c>
      <c r="L35" s="275">
        <f>IFERROR(IF(ISNUMBER(J35),J35*'Mão de Obra'!$D$12,1)*I35*H35,"")</f>
        <v>60.11</v>
      </c>
    </row>
    <row r="36" spans="2:12" s="47" customFormat="1">
      <c r="B36" s="268">
        <v>31</v>
      </c>
      <c r="C36" s="268" t="s">
        <v>726</v>
      </c>
      <c r="D36" s="419" t="s">
        <v>658</v>
      </c>
      <c r="E36" s="268"/>
      <c r="F36" s="268"/>
      <c r="G36" s="268" t="s">
        <v>621</v>
      </c>
      <c r="H36" s="489">
        <v>1</v>
      </c>
      <c r="I36" s="275">
        <v>4.5999999999999996</v>
      </c>
      <c r="J36" s="697"/>
      <c r="K36" s="275">
        <f>IFERROR(L36/'Mão de Obra'!$D$12,"")</f>
        <v>0.3833333333333333</v>
      </c>
      <c r="L36" s="275">
        <f>IFERROR(IF(ISNUMBER(J36),J36*'Mão de Obra'!$D$12,1)*I36*H36,"")</f>
        <v>4.5999999999999996</v>
      </c>
    </row>
    <row r="37" spans="2:12" s="47" customFormat="1">
      <c r="B37" s="268">
        <v>32</v>
      </c>
      <c r="C37" s="268" t="s">
        <v>803</v>
      </c>
      <c r="D37" s="419" t="s">
        <v>659</v>
      </c>
      <c r="E37" s="268"/>
      <c r="F37" s="268"/>
      <c r="G37" s="268" t="s">
        <v>621</v>
      </c>
      <c r="H37" s="489">
        <v>1</v>
      </c>
      <c r="I37" s="275">
        <v>22.51</v>
      </c>
      <c r="J37" s="697"/>
      <c r="K37" s="275">
        <f>IFERROR(L37/'Mão de Obra'!$D$12,"")</f>
        <v>1.8758333333333335</v>
      </c>
      <c r="L37" s="275">
        <f>IFERROR(IF(ISNUMBER(J37),J37*'Mão de Obra'!$D$12,1)*I37*H37,"")</f>
        <v>22.51</v>
      </c>
    </row>
    <row r="38" spans="2:12" s="47" customFormat="1">
      <c r="B38" s="268">
        <v>33</v>
      </c>
      <c r="C38" s="268" t="s">
        <v>753</v>
      </c>
      <c r="D38" s="419" t="s">
        <v>660</v>
      </c>
      <c r="E38" s="268"/>
      <c r="F38" s="268"/>
      <c r="G38" s="268" t="s">
        <v>621</v>
      </c>
      <c r="H38" s="489">
        <v>1</v>
      </c>
      <c r="I38" s="275">
        <v>35.76</v>
      </c>
      <c r="J38" s="697"/>
      <c r="K38" s="275">
        <f>IFERROR(L38/'Mão de Obra'!$D$12,"")</f>
        <v>2.98</v>
      </c>
      <c r="L38" s="275">
        <f>IFERROR(IF(ISNUMBER(J38),J38*'Mão de Obra'!$D$12,1)*I38*H38,"")</f>
        <v>35.76</v>
      </c>
    </row>
    <row r="39" spans="2:12" s="47" customFormat="1">
      <c r="B39" s="268">
        <v>34</v>
      </c>
      <c r="C39" s="268" t="s">
        <v>754</v>
      </c>
      <c r="D39" s="419" t="s">
        <v>661</v>
      </c>
      <c r="E39" s="268"/>
      <c r="F39" s="268"/>
      <c r="G39" s="268" t="s">
        <v>621</v>
      </c>
      <c r="H39" s="489">
        <v>2</v>
      </c>
      <c r="I39" s="275">
        <v>25.5</v>
      </c>
      <c r="J39" s="697"/>
      <c r="K39" s="275">
        <f>IFERROR(L39/'Mão de Obra'!$D$12,"")</f>
        <v>4.25</v>
      </c>
      <c r="L39" s="275">
        <f>IFERROR(IF(ISNUMBER(J39),J39*'Mão de Obra'!$D$12,1)*I39*H39,"")</f>
        <v>51</v>
      </c>
    </row>
    <row r="40" spans="2:12" s="47" customFormat="1">
      <c r="B40" s="268">
        <v>35</v>
      </c>
      <c r="C40" s="268" t="s">
        <v>804</v>
      </c>
      <c r="D40" s="419" t="s">
        <v>662</v>
      </c>
      <c r="E40" s="268"/>
      <c r="F40" s="268"/>
      <c r="G40" s="268" t="s">
        <v>621</v>
      </c>
      <c r="H40" s="489">
        <v>2</v>
      </c>
      <c r="I40" s="275">
        <v>14.89</v>
      </c>
      <c r="J40" s="697"/>
      <c r="K40" s="275">
        <f>IFERROR(L40/'Mão de Obra'!$D$12,"")</f>
        <v>2.4816666666666669</v>
      </c>
      <c r="L40" s="275">
        <f>IFERROR(IF(ISNUMBER(J40),J40*'Mão de Obra'!$D$12,1)*I40*H40,"")</f>
        <v>29.78</v>
      </c>
    </row>
    <row r="41" spans="2:12" s="47" customFormat="1">
      <c r="B41" s="268">
        <v>36</v>
      </c>
      <c r="C41" s="268" t="s">
        <v>755</v>
      </c>
      <c r="D41" s="419" t="s">
        <v>663</v>
      </c>
      <c r="E41" s="268"/>
      <c r="F41" s="268"/>
      <c r="G41" s="268" t="s">
        <v>621</v>
      </c>
      <c r="H41" s="489">
        <v>2</v>
      </c>
      <c r="I41" s="275">
        <v>29.67</v>
      </c>
      <c r="J41" s="697"/>
      <c r="K41" s="275">
        <f>IFERROR(L41/'Mão de Obra'!$D$12,"")</f>
        <v>4.9450000000000003</v>
      </c>
      <c r="L41" s="275">
        <f>IFERROR(IF(ISNUMBER(J41),J41*'Mão de Obra'!$D$12,1)*I41*H41,"")</f>
        <v>59.34</v>
      </c>
    </row>
    <row r="42" spans="2:12" s="47" customFormat="1">
      <c r="B42" s="268">
        <v>37</v>
      </c>
      <c r="C42" s="268" t="s">
        <v>756</v>
      </c>
      <c r="D42" s="419" t="s">
        <v>664</v>
      </c>
      <c r="E42" s="268"/>
      <c r="F42" s="268"/>
      <c r="G42" s="268" t="s">
        <v>621</v>
      </c>
      <c r="H42" s="489">
        <v>1</v>
      </c>
      <c r="I42" s="275">
        <v>155.51</v>
      </c>
      <c r="J42" s="697"/>
      <c r="K42" s="275">
        <f>IFERROR(L42/'Mão de Obra'!$D$12,"")</f>
        <v>12.959166666666667</v>
      </c>
      <c r="L42" s="275">
        <f>IFERROR(IF(ISNUMBER(J42),J42*'Mão de Obra'!$D$12,1)*I42*H42,"")</f>
        <v>155.51</v>
      </c>
    </row>
    <row r="43" spans="2:12" s="47" customFormat="1">
      <c r="B43" s="268">
        <v>38</v>
      </c>
      <c r="C43" s="268" t="s">
        <v>782</v>
      </c>
      <c r="D43" s="419" t="s">
        <v>665</v>
      </c>
      <c r="E43" s="268"/>
      <c r="F43" s="268"/>
      <c r="G43" s="268" t="s">
        <v>621</v>
      </c>
      <c r="H43" s="489">
        <v>1</v>
      </c>
      <c r="I43" s="275">
        <v>46.63</v>
      </c>
      <c r="J43" s="697"/>
      <c r="K43" s="275">
        <f>IFERROR(L43/'Mão de Obra'!$D$12,"")</f>
        <v>3.8858333333333337</v>
      </c>
      <c r="L43" s="275">
        <f>IFERROR(IF(ISNUMBER(J43),J43*'Mão de Obra'!$D$12,1)*I43*H43,"")</f>
        <v>46.63</v>
      </c>
    </row>
    <row r="44" spans="2:12" s="47" customFormat="1">
      <c r="B44" s="268">
        <v>39</v>
      </c>
      <c r="C44" s="268" t="s">
        <v>757</v>
      </c>
      <c r="D44" s="419" t="s">
        <v>666</v>
      </c>
      <c r="E44" s="268"/>
      <c r="F44" s="268"/>
      <c r="G44" s="268" t="s">
        <v>621</v>
      </c>
      <c r="H44" s="489">
        <v>3</v>
      </c>
      <c r="I44" s="275">
        <v>50</v>
      </c>
      <c r="J44" s="697"/>
      <c r="K44" s="275">
        <f>IFERROR(L44/'Mão de Obra'!$D$12,"")</f>
        <v>12.5</v>
      </c>
      <c r="L44" s="275">
        <f>IFERROR(IF(ISNUMBER(J44),J44*'Mão de Obra'!$D$12,1)*I44*H44,"")</f>
        <v>150</v>
      </c>
    </row>
    <row r="45" spans="2:12" s="47" customFormat="1">
      <c r="B45" s="268">
        <v>40</v>
      </c>
      <c r="C45" s="268" t="s">
        <v>805</v>
      </c>
      <c r="D45" s="419" t="s">
        <v>667</v>
      </c>
      <c r="E45" s="268"/>
      <c r="F45" s="268"/>
      <c r="G45" s="268" t="s">
        <v>621</v>
      </c>
      <c r="H45" s="489">
        <v>2</v>
      </c>
      <c r="I45" s="275">
        <v>81.900000000000006</v>
      </c>
      <c r="J45" s="697"/>
      <c r="K45" s="275">
        <f>IFERROR(L45/'Mão de Obra'!$D$12,"")</f>
        <v>13.65</v>
      </c>
      <c r="L45" s="275">
        <f>IFERROR(IF(ISNUMBER(J45),J45*'Mão de Obra'!$D$12,1)*I45*H45,"")</f>
        <v>163.80000000000001</v>
      </c>
    </row>
    <row r="46" spans="2:12" s="47" customFormat="1">
      <c r="B46" s="268">
        <v>41</v>
      </c>
      <c r="C46" s="268" t="s">
        <v>727</v>
      </c>
      <c r="D46" s="419" t="s">
        <v>668</v>
      </c>
      <c r="E46" s="268"/>
      <c r="F46" s="268"/>
      <c r="G46" s="268" t="s">
        <v>621</v>
      </c>
      <c r="H46" s="489">
        <v>1</v>
      </c>
      <c r="I46" s="275">
        <v>27.42</v>
      </c>
      <c r="J46" s="697"/>
      <c r="K46" s="275">
        <f>IFERROR(L46/'Mão de Obra'!$D$12,"")</f>
        <v>2.2850000000000001</v>
      </c>
      <c r="L46" s="275">
        <f>IFERROR(IF(ISNUMBER(J46),J46*'Mão de Obra'!$D$12,1)*I46*H46,"")</f>
        <v>27.42</v>
      </c>
    </row>
    <row r="47" spans="2:12" s="47" customFormat="1">
      <c r="B47" s="268">
        <v>42</v>
      </c>
      <c r="C47" s="268" t="s">
        <v>758</v>
      </c>
      <c r="D47" s="419" t="s">
        <v>669</v>
      </c>
      <c r="E47" s="268"/>
      <c r="F47" s="268"/>
      <c r="G47" s="268" t="s">
        <v>621</v>
      </c>
      <c r="H47" s="489">
        <v>2</v>
      </c>
      <c r="I47" s="275">
        <v>38.35</v>
      </c>
      <c r="J47" s="697"/>
      <c r="K47" s="275">
        <f>IFERROR(L47/'Mão de Obra'!$D$12,"")</f>
        <v>6.3916666666666666</v>
      </c>
      <c r="L47" s="275">
        <f>IFERROR(IF(ISNUMBER(J47),J47*'Mão de Obra'!$D$12,1)*I47*H47,"")</f>
        <v>76.7</v>
      </c>
    </row>
    <row r="48" spans="2:12" s="47" customFormat="1">
      <c r="B48" s="268">
        <v>43</v>
      </c>
      <c r="C48" s="268" t="s">
        <v>806</v>
      </c>
      <c r="D48" s="419" t="s">
        <v>670</v>
      </c>
      <c r="E48" s="268"/>
      <c r="F48" s="268"/>
      <c r="G48" s="268" t="s">
        <v>621</v>
      </c>
      <c r="H48" s="489">
        <v>1</v>
      </c>
      <c r="I48" s="275">
        <v>38.29</v>
      </c>
      <c r="J48" s="697"/>
      <c r="K48" s="275">
        <f>IFERROR(L48/'Mão de Obra'!$D$12,"")</f>
        <v>3.1908333333333334</v>
      </c>
      <c r="L48" s="275">
        <f>IFERROR(IF(ISNUMBER(J48),J48*'Mão de Obra'!$D$12,1)*I48*H48,"")</f>
        <v>38.29</v>
      </c>
    </row>
    <row r="49" spans="2:12" s="47" customFormat="1">
      <c r="B49" s="268">
        <v>44</v>
      </c>
      <c r="C49" s="268" t="s">
        <v>759</v>
      </c>
      <c r="D49" s="419" t="s">
        <v>671</v>
      </c>
      <c r="E49" s="268"/>
      <c r="F49" s="268"/>
      <c r="G49" s="268" t="s">
        <v>621</v>
      </c>
      <c r="H49" s="489">
        <v>2</v>
      </c>
      <c r="I49" s="275">
        <v>16.32</v>
      </c>
      <c r="J49" s="697"/>
      <c r="K49" s="275">
        <f>IFERROR(L49/'Mão de Obra'!$D$12,"")</f>
        <v>2.72</v>
      </c>
      <c r="L49" s="275">
        <f>IFERROR(IF(ISNUMBER(J49),J49*'Mão de Obra'!$D$12,1)*I49*H49,"")</f>
        <v>32.64</v>
      </c>
    </row>
    <row r="50" spans="2:12" s="47" customFormat="1">
      <c r="B50" s="268">
        <v>45</v>
      </c>
      <c r="C50" s="268" t="s">
        <v>807</v>
      </c>
      <c r="D50" s="419" t="s">
        <v>672</v>
      </c>
      <c r="E50" s="268"/>
      <c r="F50" s="268"/>
      <c r="G50" s="268" t="s">
        <v>621</v>
      </c>
      <c r="H50" s="489">
        <v>1</v>
      </c>
      <c r="I50" s="275">
        <v>31.82</v>
      </c>
      <c r="J50" s="697"/>
      <c r="K50" s="275">
        <f>IFERROR(L50/'Mão de Obra'!$D$12,"")</f>
        <v>2.6516666666666668</v>
      </c>
      <c r="L50" s="275">
        <f>IFERROR(IF(ISNUMBER(J50),J50*'Mão de Obra'!$D$12,1)*I50*H50,"")</f>
        <v>31.82</v>
      </c>
    </row>
    <row r="51" spans="2:12" s="47" customFormat="1">
      <c r="B51" s="268">
        <v>46</v>
      </c>
      <c r="C51" s="268" t="s">
        <v>783</v>
      </c>
      <c r="D51" s="419" t="s">
        <v>673</v>
      </c>
      <c r="E51" s="268"/>
      <c r="F51" s="268"/>
      <c r="G51" s="268" t="s">
        <v>621</v>
      </c>
      <c r="H51" s="489">
        <v>1</v>
      </c>
      <c r="I51" s="275">
        <v>41.6</v>
      </c>
      <c r="J51" s="697"/>
      <c r="K51" s="275">
        <f>IFERROR(L51/'Mão de Obra'!$D$12,"")</f>
        <v>3.4666666666666668</v>
      </c>
      <c r="L51" s="275">
        <f>IFERROR(IF(ISNUMBER(J51),J51*'Mão de Obra'!$D$12,1)*I51*H51,"")</f>
        <v>41.6</v>
      </c>
    </row>
    <row r="52" spans="2:12" s="47" customFormat="1">
      <c r="B52" s="268">
        <v>47</v>
      </c>
      <c r="C52" s="268" t="s">
        <v>784</v>
      </c>
      <c r="D52" s="419" t="s">
        <v>674</v>
      </c>
      <c r="E52" s="268"/>
      <c r="F52" s="268"/>
      <c r="G52" s="268" t="s">
        <v>621</v>
      </c>
      <c r="H52" s="489">
        <v>1</v>
      </c>
      <c r="I52" s="275">
        <v>60.51</v>
      </c>
      <c r="J52" s="697"/>
      <c r="K52" s="275">
        <f>IFERROR(L52/'Mão de Obra'!$D$12,"")</f>
        <v>5.0424999999999995</v>
      </c>
      <c r="L52" s="275">
        <f>IFERROR(IF(ISNUMBER(J52),J52*'Mão de Obra'!$D$12,1)*I52*H52,"")</f>
        <v>60.51</v>
      </c>
    </row>
    <row r="53" spans="2:12" s="47" customFormat="1">
      <c r="B53" s="268">
        <v>48</v>
      </c>
      <c r="C53" s="268" t="s">
        <v>785</v>
      </c>
      <c r="D53" s="419" t="s">
        <v>675</v>
      </c>
      <c r="E53" s="268"/>
      <c r="F53" s="268"/>
      <c r="G53" s="268" t="s">
        <v>621</v>
      </c>
      <c r="H53" s="489">
        <v>1</v>
      </c>
      <c r="I53" s="275">
        <v>92.56</v>
      </c>
      <c r="J53" s="697"/>
      <c r="K53" s="275">
        <f>IFERROR(L53/'Mão de Obra'!$D$12,"")</f>
        <v>7.7133333333333338</v>
      </c>
      <c r="L53" s="275">
        <f>IFERROR(IF(ISNUMBER(J53),J53*'Mão de Obra'!$D$12,1)*I53*H53,"")</f>
        <v>92.56</v>
      </c>
    </row>
    <row r="54" spans="2:12" s="47" customFormat="1">
      <c r="B54" s="268">
        <v>49</v>
      </c>
      <c r="C54" s="268" t="s">
        <v>808</v>
      </c>
      <c r="D54" s="419" t="s">
        <v>676</v>
      </c>
      <c r="E54" s="268"/>
      <c r="F54" s="268"/>
      <c r="G54" s="268" t="s">
        <v>621</v>
      </c>
      <c r="H54" s="489">
        <v>2</v>
      </c>
      <c r="I54" s="275">
        <v>92.92</v>
      </c>
      <c r="J54" s="697"/>
      <c r="K54" s="275">
        <f>IFERROR(L54/'Mão de Obra'!$D$12,"")</f>
        <v>15.486666666666666</v>
      </c>
      <c r="L54" s="275">
        <f>IFERROR(IF(ISNUMBER(J54),J54*'Mão de Obra'!$D$12,1)*I54*H54,"")</f>
        <v>185.84</v>
      </c>
    </row>
    <row r="55" spans="2:12" s="47" customFormat="1">
      <c r="B55" s="268">
        <v>50</v>
      </c>
      <c r="C55" s="268" t="s">
        <v>809</v>
      </c>
      <c r="D55" s="419" t="s">
        <v>677</v>
      </c>
      <c r="E55" s="268"/>
      <c r="F55" s="268"/>
      <c r="G55" s="268" t="s">
        <v>621</v>
      </c>
      <c r="H55" s="489">
        <v>2</v>
      </c>
      <c r="I55" s="275">
        <v>40.729999999999997</v>
      </c>
      <c r="J55" s="697"/>
      <c r="K55" s="275">
        <f>IFERROR(L55/'Mão de Obra'!$D$12,"")</f>
        <v>6.7883333333333331</v>
      </c>
      <c r="L55" s="275">
        <f>IFERROR(IF(ISNUMBER(J55),J55*'Mão de Obra'!$D$12,1)*I55*H55,"")</f>
        <v>81.459999999999994</v>
      </c>
    </row>
    <row r="56" spans="2:12" s="47" customFormat="1">
      <c r="B56" s="268">
        <v>51</v>
      </c>
      <c r="C56" s="268" t="s">
        <v>728</v>
      </c>
      <c r="D56" s="419" t="s">
        <v>678</v>
      </c>
      <c r="E56" s="268"/>
      <c r="F56" s="268"/>
      <c r="G56" s="268" t="s">
        <v>621</v>
      </c>
      <c r="H56" s="489">
        <v>2</v>
      </c>
      <c r="I56" s="275">
        <v>44.99</v>
      </c>
      <c r="J56" s="697"/>
      <c r="K56" s="275">
        <f>IFERROR(L56/'Mão de Obra'!$D$12,"")</f>
        <v>7.498333333333334</v>
      </c>
      <c r="L56" s="275">
        <f>IFERROR(IF(ISNUMBER(J56),J56*'Mão de Obra'!$D$12,1)*I56*H56,"")</f>
        <v>89.98</v>
      </c>
    </row>
    <row r="57" spans="2:12" s="47" customFormat="1">
      <c r="B57" s="268">
        <v>52</v>
      </c>
      <c r="C57" s="268" t="s">
        <v>810</v>
      </c>
      <c r="D57" s="419" t="s">
        <v>679</v>
      </c>
      <c r="E57" s="268"/>
      <c r="F57" s="268"/>
      <c r="G57" s="268" t="s">
        <v>621</v>
      </c>
      <c r="H57" s="489">
        <v>1</v>
      </c>
      <c r="I57" s="275">
        <v>100.49</v>
      </c>
      <c r="J57" s="697"/>
      <c r="K57" s="275">
        <f>IFERROR(L57/'Mão de Obra'!$D$12,"")</f>
        <v>8.3741666666666656</v>
      </c>
      <c r="L57" s="275">
        <f>IFERROR(IF(ISNUMBER(J57),J57*'Mão de Obra'!$D$12,1)*I57*H57,"")</f>
        <v>100.49</v>
      </c>
    </row>
    <row r="58" spans="2:12" s="47" customFormat="1">
      <c r="B58" s="268">
        <v>53</v>
      </c>
      <c r="C58" s="268" t="s">
        <v>811</v>
      </c>
      <c r="D58" s="419" t="s">
        <v>680</v>
      </c>
      <c r="E58" s="268"/>
      <c r="F58" s="268"/>
      <c r="G58" s="268" t="s">
        <v>621</v>
      </c>
      <c r="H58" s="489">
        <v>1</v>
      </c>
      <c r="I58" s="275">
        <v>50.41</v>
      </c>
      <c r="J58" s="697"/>
      <c r="K58" s="275">
        <f>IFERROR(L58/'Mão de Obra'!$D$12,"")</f>
        <v>4.2008333333333328</v>
      </c>
      <c r="L58" s="275">
        <f>IFERROR(IF(ISNUMBER(J58),J58*'Mão de Obra'!$D$12,1)*I58*H58,"")</f>
        <v>50.41</v>
      </c>
    </row>
    <row r="59" spans="2:12" s="47" customFormat="1">
      <c r="B59" s="268">
        <v>54</v>
      </c>
      <c r="C59" s="268" t="s">
        <v>760</v>
      </c>
      <c r="D59" s="419" t="s">
        <v>681</v>
      </c>
      <c r="E59" s="268"/>
      <c r="F59" s="268"/>
      <c r="G59" s="268" t="s">
        <v>621</v>
      </c>
      <c r="H59" s="489">
        <v>1</v>
      </c>
      <c r="I59" s="275">
        <v>75.400000000000006</v>
      </c>
      <c r="J59" s="697"/>
      <c r="K59" s="275">
        <f>IFERROR(L59/'Mão de Obra'!$D$12,"")</f>
        <v>6.2833333333333341</v>
      </c>
      <c r="L59" s="275">
        <f>IFERROR(IF(ISNUMBER(J59),J59*'Mão de Obra'!$D$12,1)*I59*H59,"")</f>
        <v>75.400000000000006</v>
      </c>
    </row>
    <row r="60" spans="2:12" s="47" customFormat="1">
      <c r="B60" s="268">
        <v>55</v>
      </c>
      <c r="C60" s="268" t="s">
        <v>761</v>
      </c>
      <c r="D60" s="419" t="s">
        <v>682</v>
      </c>
      <c r="E60" s="268"/>
      <c r="F60" s="268"/>
      <c r="G60" s="268" t="s">
        <v>621</v>
      </c>
      <c r="H60" s="489">
        <v>2</v>
      </c>
      <c r="I60" s="275">
        <v>38.89</v>
      </c>
      <c r="J60" s="697"/>
      <c r="K60" s="275">
        <f>IFERROR(L60/'Mão de Obra'!$D$12,"")</f>
        <v>6.4816666666666665</v>
      </c>
      <c r="L60" s="275">
        <f>IFERROR(IF(ISNUMBER(J60),J60*'Mão de Obra'!$D$12,1)*I60*H60,"")</f>
        <v>77.78</v>
      </c>
    </row>
    <row r="61" spans="2:12" s="47" customFormat="1">
      <c r="B61" s="268">
        <v>56</v>
      </c>
      <c r="C61" s="268" t="s">
        <v>762</v>
      </c>
      <c r="D61" s="419" t="s">
        <v>683</v>
      </c>
      <c r="E61" s="268"/>
      <c r="F61" s="268"/>
      <c r="G61" s="268" t="s">
        <v>621</v>
      </c>
      <c r="H61" s="489">
        <v>1</v>
      </c>
      <c r="I61" s="275">
        <v>48.88</v>
      </c>
      <c r="J61" s="697"/>
      <c r="K61" s="275">
        <f>IFERROR(L61/'Mão de Obra'!$D$12,"")</f>
        <v>4.0733333333333333</v>
      </c>
      <c r="L61" s="275">
        <f>IFERROR(IF(ISNUMBER(J61),J61*'Mão de Obra'!$D$12,1)*I61*H61,"")</f>
        <v>48.88</v>
      </c>
    </row>
    <row r="62" spans="2:12" s="47" customFormat="1">
      <c r="B62" s="268">
        <v>57</v>
      </c>
      <c r="C62" s="268" t="s">
        <v>763</v>
      </c>
      <c r="D62" s="419" t="s">
        <v>684</v>
      </c>
      <c r="E62" s="268"/>
      <c r="F62" s="268"/>
      <c r="G62" s="268" t="s">
        <v>621</v>
      </c>
      <c r="H62" s="489">
        <v>1</v>
      </c>
      <c r="I62" s="275">
        <v>26.29</v>
      </c>
      <c r="J62" s="697"/>
      <c r="K62" s="275">
        <f>IFERROR(L62/'Mão de Obra'!$D$12,"")</f>
        <v>2.1908333333333334</v>
      </c>
      <c r="L62" s="275">
        <f>IFERROR(IF(ISNUMBER(J62),J62*'Mão de Obra'!$D$12,1)*I62*H62,"")</f>
        <v>26.29</v>
      </c>
    </row>
    <row r="63" spans="2:12" s="47" customFormat="1">
      <c r="B63" s="268">
        <v>58</v>
      </c>
      <c r="C63" s="268" t="s">
        <v>812</v>
      </c>
      <c r="D63" s="419" t="s">
        <v>699</v>
      </c>
      <c r="E63" s="268"/>
      <c r="F63" s="268"/>
      <c r="G63" s="268" t="s">
        <v>621</v>
      </c>
      <c r="H63" s="489">
        <v>1</v>
      </c>
      <c r="I63" s="275">
        <v>45.68</v>
      </c>
      <c r="J63" s="697"/>
      <c r="K63" s="275">
        <f>IFERROR(L63/'Mão de Obra'!$D$12,"")</f>
        <v>3.8066666666666666</v>
      </c>
      <c r="L63" s="275">
        <f>IFERROR(IF(ISNUMBER(J63),J63*'Mão de Obra'!$D$12,1)*I63*H63,"")</f>
        <v>45.68</v>
      </c>
    </row>
    <row r="64" spans="2:12" s="47" customFormat="1">
      <c r="B64" s="268">
        <v>59</v>
      </c>
      <c r="C64" s="268" t="s">
        <v>786</v>
      </c>
      <c r="D64" s="419" t="s">
        <v>777</v>
      </c>
      <c r="E64" s="268"/>
      <c r="F64" s="268"/>
      <c r="G64" s="268" t="s">
        <v>621</v>
      </c>
      <c r="H64" s="489">
        <v>1</v>
      </c>
      <c r="I64" s="275">
        <v>12.5</v>
      </c>
      <c r="J64" s="697"/>
      <c r="K64" s="275">
        <f>IFERROR(L64/'Mão de Obra'!$D$12,"")</f>
        <v>1.0416666666666667</v>
      </c>
      <c r="L64" s="275">
        <f>IFERROR(IF(ISNUMBER(J64),J64*'Mão de Obra'!$D$12,1)*I64*H64,"")</f>
        <v>12.5</v>
      </c>
    </row>
    <row r="65" spans="2:12" s="47" customFormat="1">
      <c r="B65" s="268">
        <v>60</v>
      </c>
      <c r="C65" s="268" t="s">
        <v>813</v>
      </c>
      <c r="D65" s="419" t="s">
        <v>700</v>
      </c>
      <c r="E65" s="268"/>
      <c r="F65" s="268"/>
      <c r="G65" s="268" t="s">
        <v>621</v>
      </c>
      <c r="H65" s="489">
        <v>3</v>
      </c>
      <c r="I65" s="275">
        <v>8.31</v>
      </c>
      <c r="J65" s="697"/>
      <c r="K65" s="275">
        <f>IFERROR(L65/'Mão de Obra'!$D$12,"")</f>
        <v>2.0775000000000001</v>
      </c>
      <c r="L65" s="275">
        <f>IFERROR(IF(ISNUMBER(J65),J65*'Mão de Obra'!$D$12,1)*I65*H65,"")</f>
        <v>24.93</v>
      </c>
    </row>
    <row r="66" spans="2:12" s="47" customFormat="1">
      <c r="B66" s="268">
        <v>61</v>
      </c>
      <c r="C66" s="268" t="s">
        <v>814</v>
      </c>
      <c r="D66" s="419" t="s">
        <v>701</v>
      </c>
      <c r="E66" s="268"/>
      <c r="F66" s="268"/>
      <c r="G66" s="268" t="s">
        <v>621</v>
      </c>
      <c r="H66" s="489">
        <v>1</v>
      </c>
      <c r="I66" s="275">
        <v>221.24</v>
      </c>
      <c r="J66" s="697"/>
      <c r="K66" s="275">
        <f>IFERROR(L66/'Mão de Obra'!$D$12,"")</f>
        <v>18.436666666666667</v>
      </c>
      <c r="L66" s="275">
        <f>IFERROR(IF(ISNUMBER(J66),J66*'Mão de Obra'!$D$12,1)*I66*H66,"")</f>
        <v>221.24</v>
      </c>
    </row>
    <row r="67" spans="2:12" s="47" customFormat="1">
      <c r="B67" s="268">
        <v>62</v>
      </c>
      <c r="C67" s="268" t="s">
        <v>815</v>
      </c>
      <c r="D67" s="419" t="s">
        <v>702</v>
      </c>
      <c r="E67" s="268"/>
      <c r="F67" s="268"/>
      <c r="G67" s="268" t="s">
        <v>621</v>
      </c>
      <c r="H67" s="489">
        <v>2</v>
      </c>
      <c r="I67" s="275">
        <v>281.52</v>
      </c>
      <c r="J67" s="697"/>
      <c r="K67" s="275">
        <f>IFERROR(L67/'Mão de Obra'!$D$12,"")</f>
        <v>46.919999999999995</v>
      </c>
      <c r="L67" s="275">
        <f>IFERROR(IF(ISNUMBER(J67),J67*'Mão de Obra'!$D$12,1)*I67*H67,"")</f>
        <v>563.04</v>
      </c>
    </row>
    <row r="68" spans="2:12" s="47" customFormat="1">
      <c r="B68" s="268">
        <v>63</v>
      </c>
      <c r="C68" s="268" t="s">
        <v>816</v>
      </c>
      <c r="D68" s="419" t="s">
        <v>703</v>
      </c>
      <c r="E68" s="268"/>
      <c r="F68" s="268"/>
      <c r="G68" s="268" t="s">
        <v>621</v>
      </c>
      <c r="H68" s="489">
        <v>2</v>
      </c>
      <c r="I68" s="275">
        <v>64.040000000000006</v>
      </c>
      <c r="J68" s="697"/>
      <c r="K68" s="275">
        <f>IFERROR(L68/'Mão de Obra'!$D$12,"")</f>
        <v>10.673333333333334</v>
      </c>
      <c r="L68" s="275">
        <f>IFERROR(IF(ISNUMBER(J68),J68*'Mão de Obra'!$D$12,1)*I68*H68,"")</f>
        <v>128.08000000000001</v>
      </c>
    </row>
    <row r="69" spans="2:12" s="47" customFormat="1">
      <c r="B69" s="268">
        <v>64</v>
      </c>
      <c r="C69" s="268" t="s">
        <v>817</v>
      </c>
      <c r="D69" s="419" t="s">
        <v>704</v>
      </c>
      <c r="E69" s="268"/>
      <c r="F69" s="268"/>
      <c r="G69" s="268" t="s">
        <v>621</v>
      </c>
      <c r="H69" s="489">
        <v>1</v>
      </c>
      <c r="I69" s="275">
        <v>93.9</v>
      </c>
      <c r="J69" s="697"/>
      <c r="K69" s="275">
        <f>IFERROR(L69/'Mão de Obra'!$D$12,"")</f>
        <v>7.8250000000000002</v>
      </c>
      <c r="L69" s="275">
        <f>IFERROR(IF(ISNUMBER(J69),J69*'Mão de Obra'!$D$12,1)*I69*H69,"")</f>
        <v>93.9</v>
      </c>
    </row>
    <row r="70" spans="2:12" s="47" customFormat="1">
      <c r="B70" s="268">
        <v>65</v>
      </c>
      <c r="C70" s="268" t="s">
        <v>787</v>
      </c>
      <c r="D70" s="419" t="s">
        <v>705</v>
      </c>
      <c r="E70" s="268"/>
      <c r="F70" s="268"/>
      <c r="G70" s="268" t="s">
        <v>621</v>
      </c>
      <c r="H70" s="489">
        <v>6</v>
      </c>
      <c r="I70" s="275">
        <v>5.47</v>
      </c>
      <c r="J70" s="697"/>
      <c r="K70" s="275">
        <f>IFERROR(L70/'Mão de Obra'!$D$12,"")</f>
        <v>2.7349999999999999</v>
      </c>
      <c r="L70" s="275">
        <f>IFERROR(IF(ISNUMBER(J70),J70*'Mão de Obra'!$D$12,1)*I70*H70,"")</f>
        <v>32.82</v>
      </c>
    </row>
    <row r="71" spans="2:12" s="47" customFormat="1">
      <c r="B71" s="268">
        <v>66</v>
      </c>
      <c r="C71" s="268" t="s">
        <v>788</v>
      </c>
      <c r="D71" s="419" t="s">
        <v>706</v>
      </c>
      <c r="E71" s="268"/>
      <c r="F71" s="268"/>
      <c r="G71" s="268" t="s">
        <v>621</v>
      </c>
      <c r="H71" s="489">
        <v>6</v>
      </c>
      <c r="I71" s="275">
        <v>80.41</v>
      </c>
      <c r="J71" s="697"/>
      <c r="K71" s="275">
        <f>IFERROR(L71/'Mão de Obra'!$D$12,"")</f>
        <v>40.204999999999998</v>
      </c>
      <c r="L71" s="275">
        <f>IFERROR(IF(ISNUMBER(J71),J71*'Mão de Obra'!$D$12,1)*I71*H71,"")</f>
        <v>482.46</v>
      </c>
    </row>
    <row r="72" spans="2:12" s="47" customFormat="1">
      <c r="B72" s="268">
        <v>67</v>
      </c>
      <c r="C72" s="268" t="s">
        <v>764</v>
      </c>
      <c r="D72" s="419" t="s">
        <v>707</v>
      </c>
      <c r="E72" s="268"/>
      <c r="F72" s="268"/>
      <c r="G72" s="268" t="s">
        <v>621</v>
      </c>
      <c r="H72" s="489">
        <v>6</v>
      </c>
      <c r="I72" s="275">
        <v>161.41999999999999</v>
      </c>
      <c r="J72" s="697"/>
      <c r="K72" s="275">
        <f>IFERROR(L72/'Mão de Obra'!$D$12,"")</f>
        <v>80.709999999999994</v>
      </c>
      <c r="L72" s="275">
        <f>IFERROR(IF(ISNUMBER(J72),J72*'Mão de Obra'!$D$12,1)*I72*H72,"")</f>
        <v>968.52</v>
      </c>
    </row>
    <row r="73" spans="2:12" s="47" customFormat="1">
      <c r="B73" s="268">
        <v>68</v>
      </c>
      <c r="C73" s="268" t="s">
        <v>765</v>
      </c>
      <c r="D73" s="419" t="s">
        <v>708</v>
      </c>
      <c r="E73" s="268"/>
      <c r="F73" s="268"/>
      <c r="G73" s="268" t="s">
        <v>621</v>
      </c>
      <c r="H73" s="489">
        <v>6</v>
      </c>
      <c r="I73" s="275">
        <v>46.72</v>
      </c>
      <c r="J73" s="697"/>
      <c r="K73" s="275">
        <f>IFERROR(L73/'Mão de Obra'!$D$12,"")</f>
        <v>23.36</v>
      </c>
      <c r="L73" s="275">
        <f>IFERROR(IF(ISNUMBER(J73),J73*'Mão de Obra'!$D$12,1)*I73*H73,"")</f>
        <v>280.32</v>
      </c>
    </row>
    <row r="74" spans="2:12" s="47" customFormat="1">
      <c r="B74" s="268">
        <v>69</v>
      </c>
      <c r="C74" s="268" t="s">
        <v>818</v>
      </c>
      <c r="D74" s="419" t="s">
        <v>709</v>
      </c>
      <c r="E74" s="268"/>
      <c r="F74" s="268"/>
      <c r="G74" s="268" t="s">
        <v>621</v>
      </c>
      <c r="H74" s="489">
        <v>2</v>
      </c>
      <c r="I74" s="275">
        <v>35.799999999999997</v>
      </c>
      <c r="J74" s="697"/>
      <c r="K74" s="275">
        <f>IFERROR(L74/'Mão de Obra'!$D$12,"")</f>
        <v>5.9666666666666659</v>
      </c>
      <c r="L74" s="275">
        <f>IFERROR(IF(ISNUMBER(J74),J74*'Mão de Obra'!$D$12,1)*I74*H74,"")</f>
        <v>71.599999999999994</v>
      </c>
    </row>
    <row r="75" spans="2:12" s="47" customFormat="1">
      <c r="B75" s="268">
        <v>70</v>
      </c>
      <c r="C75" s="268" t="s">
        <v>766</v>
      </c>
      <c r="D75" s="419" t="s">
        <v>710</v>
      </c>
      <c r="E75" s="268"/>
      <c r="F75" s="268"/>
      <c r="G75" s="268" t="s">
        <v>621</v>
      </c>
      <c r="H75" s="489">
        <v>20</v>
      </c>
      <c r="I75" s="275">
        <v>8.01</v>
      </c>
      <c r="J75" s="697"/>
      <c r="K75" s="275">
        <f>IFERROR(L75/'Mão de Obra'!$D$12,"")</f>
        <v>13.35</v>
      </c>
      <c r="L75" s="275">
        <f>IFERROR(IF(ISNUMBER(J75),J75*'Mão de Obra'!$D$12,1)*I75*H75,"")</f>
        <v>160.19999999999999</v>
      </c>
    </row>
    <row r="76" spans="2:12" s="47" customFormat="1">
      <c r="B76" s="268">
        <v>71</v>
      </c>
      <c r="C76" s="268" t="s">
        <v>729</v>
      </c>
      <c r="D76" s="419" t="s">
        <v>711</v>
      </c>
      <c r="E76" s="268"/>
      <c r="F76" s="268"/>
      <c r="G76" s="268" t="s">
        <v>621</v>
      </c>
      <c r="H76" s="489">
        <v>10</v>
      </c>
      <c r="I76" s="275">
        <v>9.5500000000000007</v>
      </c>
      <c r="J76" s="697"/>
      <c r="K76" s="275">
        <f>IFERROR(L76/'Mão de Obra'!$D$12,"")</f>
        <v>7.958333333333333</v>
      </c>
      <c r="L76" s="275">
        <f>IFERROR(IF(ISNUMBER(J76),J76*'Mão de Obra'!$D$12,1)*I76*H76,"")</f>
        <v>95.5</v>
      </c>
    </row>
    <row r="77" spans="2:12" s="47" customFormat="1">
      <c r="B77" s="268">
        <v>72</v>
      </c>
      <c r="C77" s="268" t="s">
        <v>767</v>
      </c>
      <c r="D77" s="419" t="s">
        <v>712</v>
      </c>
      <c r="E77" s="268"/>
      <c r="F77" s="268"/>
      <c r="G77" s="268" t="s">
        <v>621</v>
      </c>
      <c r="H77" s="489">
        <v>50</v>
      </c>
      <c r="I77" s="275">
        <v>4.04</v>
      </c>
      <c r="J77" s="697"/>
      <c r="K77" s="275">
        <f>IFERROR(L77/'Mão de Obra'!$D$12,"")</f>
        <v>16.833333333333332</v>
      </c>
      <c r="L77" s="275">
        <f>IFERROR(IF(ISNUMBER(J77),J77*'Mão de Obra'!$D$12,1)*I77*H77,"")</f>
        <v>202</v>
      </c>
    </row>
    <row r="78" spans="2:12" s="47" customFormat="1">
      <c r="B78" s="268">
        <v>73</v>
      </c>
      <c r="C78" s="268" t="s">
        <v>819</v>
      </c>
      <c r="D78" s="419" t="s">
        <v>713</v>
      </c>
      <c r="E78" s="268"/>
      <c r="F78" s="268"/>
      <c r="G78" s="268" t="s">
        <v>621</v>
      </c>
      <c r="H78" s="489">
        <v>50</v>
      </c>
      <c r="I78" s="275">
        <v>1.03</v>
      </c>
      <c r="J78" s="697"/>
      <c r="K78" s="275">
        <f>IFERROR(L78/'Mão de Obra'!$D$12,"")</f>
        <v>4.291666666666667</v>
      </c>
      <c r="L78" s="275">
        <f>IFERROR(IF(ISNUMBER(J78),J78*'Mão de Obra'!$D$12,1)*I78*H78,"")</f>
        <v>51.5</v>
      </c>
    </row>
    <row r="79" spans="2:12" s="47" customFormat="1">
      <c r="B79" s="268">
        <v>74</v>
      </c>
      <c r="C79" s="268" t="s">
        <v>820</v>
      </c>
      <c r="D79" s="419" t="s">
        <v>714</v>
      </c>
      <c r="E79" s="268"/>
      <c r="F79" s="268"/>
      <c r="G79" s="268" t="s">
        <v>715</v>
      </c>
      <c r="H79" s="489">
        <v>10</v>
      </c>
      <c r="I79" s="275">
        <v>2.74</v>
      </c>
      <c r="J79" s="697"/>
      <c r="K79" s="275">
        <f>IFERROR(L79/'Mão de Obra'!$D$12,"")</f>
        <v>2.2833333333333337</v>
      </c>
      <c r="L79" s="275">
        <f>IFERROR(IF(ISNUMBER(J79),J79*'Mão de Obra'!$D$12,1)*I79*H79,"")</f>
        <v>27.400000000000002</v>
      </c>
    </row>
    <row r="80" spans="2:12" s="47" customFormat="1">
      <c r="B80" s="268">
        <v>75</v>
      </c>
      <c r="C80" s="268" t="s">
        <v>789</v>
      </c>
      <c r="D80" s="419" t="s">
        <v>716</v>
      </c>
      <c r="E80" s="268"/>
      <c r="F80" s="268"/>
      <c r="G80" s="268" t="s">
        <v>621</v>
      </c>
      <c r="H80" s="489">
        <v>3</v>
      </c>
      <c r="I80" s="275">
        <v>15.03</v>
      </c>
      <c r="J80" s="697"/>
      <c r="K80" s="275">
        <f>IFERROR(L80/'Mão de Obra'!$D$12,"")</f>
        <v>3.7574999999999998</v>
      </c>
      <c r="L80" s="275">
        <f>IFERROR(IF(ISNUMBER(J80),J80*'Mão de Obra'!$D$12,1)*I80*H80,"")</f>
        <v>45.089999999999996</v>
      </c>
    </row>
    <row r="81" spans="2:12" s="47" customFormat="1">
      <c r="B81" s="268">
        <v>76</v>
      </c>
      <c r="C81" s="268" t="s">
        <v>790</v>
      </c>
      <c r="D81" s="419" t="s">
        <v>685</v>
      </c>
      <c r="E81" s="268"/>
      <c r="F81" s="268"/>
      <c r="G81" s="268" t="s">
        <v>621</v>
      </c>
      <c r="H81" s="489">
        <v>3</v>
      </c>
      <c r="I81" s="275">
        <v>202.8</v>
      </c>
      <c r="J81" s="697">
        <v>1.67E-2</v>
      </c>
      <c r="K81" s="275">
        <f>IFERROR(L81/'Mão de Obra'!$D$12,"")</f>
        <v>10.16028</v>
      </c>
      <c r="L81" s="275">
        <f>IFERROR(IF(ISNUMBER(J81),J81*'Mão de Obra'!$D$12,1)*I81*H81,"")</f>
        <v>121.92336</v>
      </c>
    </row>
    <row r="82" spans="2:12" s="47" customFormat="1">
      <c r="B82" s="268">
        <v>77</v>
      </c>
      <c r="C82" s="268" t="s">
        <v>821</v>
      </c>
      <c r="D82" s="419" t="s">
        <v>717</v>
      </c>
      <c r="E82" s="268"/>
      <c r="F82" s="268"/>
      <c r="G82" s="268" t="s">
        <v>621</v>
      </c>
      <c r="H82" s="489">
        <v>8</v>
      </c>
      <c r="I82" s="275">
        <v>179.48</v>
      </c>
      <c r="J82" s="697">
        <v>1.67E-2</v>
      </c>
      <c r="K82" s="275">
        <f>IFERROR(L82/'Mão de Obra'!$D$12,"")</f>
        <v>23.978527999999997</v>
      </c>
      <c r="L82" s="275">
        <f>IFERROR(IF(ISNUMBER(J82),J82*'Mão de Obra'!$D$12,1)*I82*H82,"")</f>
        <v>287.74233599999997</v>
      </c>
    </row>
    <row r="83" spans="2:12" s="47" customFormat="1">
      <c r="B83" s="268">
        <v>78</v>
      </c>
      <c r="C83" s="268" t="s">
        <v>822</v>
      </c>
      <c r="D83" s="419" t="s">
        <v>686</v>
      </c>
      <c r="E83" s="268"/>
      <c r="F83" s="268"/>
      <c r="G83" s="268" t="s">
        <v>621</v>
      </c>
      <c r="H83" s="489">
        <v>1</v>
      </c>
      <c r="I83" s="275">
        <v>413.99</v>
      </c>
      <c r="J83" s="697">
        <v>1.67E-2</v>
      </c>
      <c r="K83" s="275">
        <f>IFERROR(L83/'Mão de Obra'!$D$12,"")</f>
        <v>6.9136329999999999</v>
      </c>
      <c r="L83" s="275">
        <f>IFERROR(IF(ISNUMBER(J83),J83*'Mão de Obra'!$D$12,1)*I83*H83,"")</f>
        <v>82.963595999999995</v>
      </c>
    </row>
    <row r="84" spans="2:12" s="47" customFormat="1">
      <c r="B84" s="268">
        <v>79</v>
      </c>
      <c r="C84" s="268" t="s">
        <v>823</v>
      </c>
      <c r="D84" s="419" t="s">
        <v>718</v>
      </c>
      <c r="E84" s="268"/>
      <c r="F84" s="268"/>
      <c r="G84" s="268" t="s">
        <v>621</v>
      </c>
      <c r="H84" s="489">
        <v>1</v>
      </c>
      <c r="I84" s="275">
        <v>356.41</v>
      </c>
      <c r="J84" s="697">
        <v>1.67E-2</v>
      </c>
      <c r="K84" s="275">
        <f>IFERROR(L84/'Mão de Obra'!$D$12,"")</f>
        <v>5.9520470000000003</v>
      </c>
      <c r="L84" s="275">
        <f>IFERROR(IF(ISNUMBER(J84),J84*'Mão de Obra'!$D$12,1)*I84*H84,"")</f>
        <v>71.424564000000004</v>
      </c>
    </row>
    <row r="85" spans="2:12" s="47" customFormat="1">
      <c r="B85" s="268">
        <v>80</v>
      </c>
      <c r="C85" s="268" t="s">
        <v>824</v>
      </c>
      <c r="D85" s="419" t="s">
        <v>835</v>
      </c>
      <c r="E85" s="268"/>
      <c r="F85" s="268"/>
      <c r="G85" s="268" t="s">
        <v>621</v>
      </c>
      <c r="H85" s="489">
        <v>1</v>
      </c>
      <c r="I85" s="275">
        <v>1188.23</v>
      </c>
      <c r="J85" s="697">
        <v>1.67E-2</v>
      </c>
      <c r="K85" s="275">
        <f>IFERROR(L85/'Mão de Obra'!$D$12,"")</f>
        <v>19.843441000000002</v>
      </c>
      <c r="L85" s="275">
        <f>IFERROR(IF(ISNUMBER(J85),J85*'Mão de Obra'!$D$12,1)*I85*H85,"")</f>
        <v>238.12129200000001</v>
      </c>
    </row>
    <row r="86" spans="2:12" s="47" customFormat="1">
      <c r="B86" s="268">
        <v>81</v>
      </c>
      <c r="C86" s="268" t="s">
        <v>730</v>
      </c>
      <c r="D86" s="419" t="s">
        <v>687</v>
      </c>
      <c r="E86" s="268"/>
      <c r="F86" s="268"/>
      <c r="G86" s="268" t="s">
        <v>621</v>
      </c>
      <c r="H86" s="489">
        <v>1</v>
      </c>
      <c r="I86" s="275">
        <v>714.82</v>
      </c>
      <c r="J86" s="697">
        <v>1.67E-2</v>
      </c>
      <c r="K86" s="275">
        <f>IFERROR(L86/'Mão de Obra'!$D$12,"")</f>
        <v>11.937494000000001</v>
      </c>
      <c r="L86" s="275">
        <f>IFERROR(IF(ISNUMBER(J86),J86*'Mão de Obra'!$D$12,1)*I86*H86,"")</f>
        <v>143.24992800000001</v>
      </c>
    </row>
    <row r="87" spans="2:12" s="47" customFormat="1">
      <c r="B87" s="268">
        <v>82</v>
      </c>
      <c r="C87" s="268" t="s">
        <v>825</v>
      </c>
      <c r="D87" s="419" t="s">
        <v>688</v>
      </c>
      <c r="E87" s="268"/>
      <c r="F87" s="268"/>
      <c r="G87" s="268" t="s">
        <v>621</v>
      </c>
      <c r="H87" s="489">
        <v>1</v>
      </c>
      <c r="I87" s="275">
        <v>1186.3699999999999</v>
      </c>
      <c r="J87" s="697">
        <v>1.67E-2</v>
      </c>
      <c r="K87" s="275">
        <f>IFERROR(L87/'Mão de Obra'!$D$12,"")</f>
        <v>19.812378999999996</v>
      </c>
      <c r="L87" s="275">
        <f>IFERROR(IF(ISNUMBER(J87),J87*'Mão de Obra'!$D$12,1)*I87*H87,"")</f>
        <v>237.74854799999997</v>
      </c>
    </row>
    <row r="88" spans="2:12" s="47" customFormat="1">
      <c r="B88" s="268">
        <v>83</v>
      </c>
      <c r="C88" s="268" t="s">
        <v>768</v>
      </c>
      <c r="D88" s="703" t="s">
        <v>836</v>
      </c>
      <c r="E88" s="268"/>
      <c r="F88" s="268"/>
      <c r="G88" s="268" t="s">
        <v>621</v>
      </c>
      <c r="H88" s="489">
        <v>1</v>
      </c>
      <c r="I88" s="275">
        <v>47.97</v>
      </c>
      <c r="J88" s="697">
        <v>1.67E-2</v>
      </c>
      <c r="K88" s="275">
        <f>IFERROR(L88/'Mão de Obra'!$D$12,"")</f>
        <v>0.80109899999999989</v>
      </c>
      <c r="L88" s="275">
        <f>IFERROR(IF(ISNUMBER(J88),J88*'Mão de Obra'!$D$12,1)*I88*H88,"")</f>
        <v>9.6131879999999992</v>
      </c>
    </row>
    <row r="89" spans="2:12" s="47" customFormat="1">
      <c r="B89" s="268">
        <v>84</v>
      </c>
      <c r="C89" s="268" t="s">
        <v>769</v>
      </c>
      <c r="D89" s="419" t="s">
        <v>719</v>
      </c>
      <c r="E89" s="268"/>
      <c r="F89" s="268"/>
      <c r="G89" s="268" t="s">
        <v>621</v>
      </c>
      <c r="H89" s="489">
        <v>1</v>
      </c>
      <c r="I89" s="275">
        <v>256.07</v>
      </c>
      <c r="J89" s="697">
        <v>1.67E-2</v>
      </c>
      <c r="K89" s="275">
        <f>IFERROR(L89/'Mão de Obra'!$D$12,"")</f>
        <v>4.2763689999999999</v>
      </c>
      <c r="L89" s="275">
        <f>IFERROR(IF(ISNUMBER(J89),J89*'Mão de Obra'!$D$12,1)*I89*H89,"")</f>
        <v>51.316427999999995</v>
      </c>
    </row>
    <row r="90" spans="2:12" s="47" customFormat="1">
      <c r="B90" s="268">
        <v>85</v>
      </c>
      <c r="C90" s="268" t="s">
        <v>770</v>
      </c>
      <c r="D90" s="419" t="s">
        <v>837</v>
      </c>
      <c r="E90" s="268"/>
      <c r="F90" s="268"/>
      <c r="G90" s="268" t="s">
        <v>621</v>
      </c>
      <c r="H90" s="489">
        <v>2</v>
      </c>
      <c r="I90" s="275">
        <v>15.99</v>
      </c>
      <c r="J90" s="697">
        <v>1.67E-2</v>
      </c>
      <c r="K90" s="275">
        <f>IFERROR(L90/'Mão de Obra'!$D$12,"")</f>
        <v>0.53406600000000004</v>
      </c>
      <c r="L90" s="275">
        <f>IFERROR(IF(ISNUMBER(J90),J90*'Mão de Obra'!$D$12,1)*I90*H90,"")</f>
        <v>6.408792</v>
      </c>
    </row>
    <row r="91" spans="2:12" s="47" customFormat="1">
      <c r="B91" s="268">
        <v>86</v>
      </c>
      <c r="C91" s="268" t="s">
        <v>771</v>
      </c>
      <c r="D91" s="419" t="s">
        <v>720</v>
      </c>
      <c r="E91" s="268"/>
      <c r="F91" s="268"/>
      <c r="G91" s="268" t="s">
        <v>621</v>
      </c>
      <c r="H91" s="489">
        <v>1</v>
      </c>
      <c r="I91" s="275">
        <v>2699</v>
      </c>
      <c r="J91" s="697">
        <v>1.67E-2</v>
      </c>
      <c r="K91" s="275">
        <f>IFERROR(L91/'Mão de Obra'!$D$12,"")</f>
        <v>45.073299999999996</v>
      </c>
      <c r="L91" s="275">
        <f>IFERROR(IF(ISNUMBER(J91),J91*'Mão de Obra'!$D$12,1)*I91*H91,"")</f>
        <v>540.87959999999998</v>
      </c>
    </row>
    <row r="92" spans="2:12" s="47" customFormat="1">
      <c r="B92" s="268">
        <v>87</v>
      </c>
      <c r="C92" s="268" t="s">
        <v>772</v>
      </c>
      <c r="D92" s="419" t="s">
        <v>838</v>
      </c>
      <c r="E92" s="268"/>
      <c r="F92" s="268"/>
      <c r="G92" s="268" t="s">
        <v>621</v>
      </c>
      <c r="H92" s="489">
        <v>1</v>
      </c>
      <c r="I92" s="275">
        <v>779.87</v>
      </c>
      <c r="J92" s="697">
        <v>1.67E-2</v>
      </c>
      <c r="K92" s="275">
        <f>IFERROR(L92/'Mão de Obra'!$D$12,"")</f>
        <v>13.023828999999999</v>
      </c>
      <c r="L92" s="275">
        <f>IFERROR(IF(ISNUMBER(J92),J92*'Mão de Obra'!$D$12,1)*I92*H92,"")</f>
        <v>156.28594799999999</v>
      </c>
    </row>
    <row r="93" spans="2:12" s="47" customFormat="1">
      <c r="B93" s="268">
        <v>88</v>
      </c>
      <c r="C93" s="268" t="s">
        <v>826</v>
      </c>
      <c r="D93" s="419" t="s">
        <v>839</v>
      </c>
      <c r="E93" s="268"/>
      <c r="F93" s="268"/>
      <c r="G93" s="268" t="s">
        <v>621</v>
      </c>
      <c r="H93" s="489">
        <v>1</v>
      </c>
      <c r="I93" s="275">
        <v>341.9</v>
      </c>
      <c r="J93" s="697">
        <v>1.67E-2</v>
      </c>
      <c r="K93" s="275">
        <f>IFERROR(L93/'Mão de Obra'!$D$12,"")</f>
        <v>5.7097299999999995</v>
      </c>
      <c r="L93" s="275">
        <f>IFERROR(IF(ISNUMBER(J93),J93*'Mão de Obra'!$D$12,1)*I93*H93,"")</f>
        <v>68.516759999999991</v>
      </c>
    </row>
    <row r="94" spans="2:12" s="47" customFormat="1">
      <c r="B94" s="268">
        <v>89</v>
      </c>
      <c r="C94" s="268" t="s">
        <v>827</v>
      </c>
      <c r="D94" s="419" t="s">
        <v>721</v>
      </c>
      <c r="E94" s="268"/>
      <c r="F94" s="268"/>
      <c r="G94" s="268" t="s">
        <v>621</v>
      </c>
      <c r="H94" s="489">
        <v>1</v>
      </c>
      <c r="I94" s="275">
        <v>550.6</v>
      </c>
      <c r="J94" s="697">
        <v>1.67E-2</v>
      </c>
      <c r="K94" s="275">
        <f>IFERROR(L94/'Mão de Obra'!$D$12,"")</f>
        <v>9.1950200000000013</v>
      </c>
      <c r="L94" s="275">
        <f>IFERROR(IF(ISNUMBER(J94),J94*'Mão de Obra'!$D$12,1)*I94*H94,"")</f>
        <v>110.34024000000001</v>
      </c>
    </row>
    <row r="95" spans="2:12" s="47" customFormat="1">
      <c r="B95" s="268">
        <v>90</v>
      </c>
      <c r="C95" s="268" t="s">
        <v>791</v>
      </c>
      <c r="D95" s="419" t="s">
        <v>722</v>
      </c>
      <c r="E95" s="268"/>
      <c r="F95" s="268"/>
      <c r="G95" s="268" t="s">
        <v>621</v>
      </c>
      <c r="H95" s="489">
        <v>1</v>
      </c>
      <c r="I95" s="275">
        <v>495.34</v>
      </c>
      <c r="J95" s="697">
        <v>1.67E-2</v>
      </c>
      <c r="K95" s="275">
        <f>IFERROR(L95/'Mão de Obra'!$D$12,"")</f>
        <v>8.2721779999999985</v>
      </c>
      <c r="L95" s="275">
        <f>IFERROR(IF(ISNUMBER(J95),J95*'Mão de Obra'!$D$12,1)*I95*H95,"")</f>
        <v>99.266135999999989</v>
      </c>
    </row>
    <row r="96" spans="2:12" s="47" customFormat="1">
      <c r="B96" s="268">
        <v>91</v>
      </c>
      <c r="C96" s="268" t="s">
        <v>731</v>
      </c>
      <c r="D96" s="419" t="s">
        <v>840</v>
      </c>
      <c r="E96" s="268"/>
      <c r="F96" s="268"/>
      <c r="G96" s="268" t="s">
        <v>621</v>
      </c>
      <c r="H96" s="489">
        <v>1</v>
      </c>
      <c r="I96" s="275">
        <v>78.959999999999994</v>
      </c>
      <c r="J96" s="697">
        <v>1.67E-2</v>
      </c>
      <c r="K96" s="275">
        <f>IFERROR(L96/'Mão de Obra'!$D$12,"")</f>
        <v>1.3186319999999998</v>
      </c>
      <c r="L96" s="275">
        <f>IFERROR(IF(ISNUMBER(J96),J96*'Mão de Obra'!$D$12,1)*I96*H96,"")</f>
        <v>15.823583999999999</v>
      </c>
    </row>
    <row r="97" spans="2:12" s="47" customFormat="1">
      <c r="B97" s="268">
        <v>92</v>
      </c>
      <c r="C97" s="268" t="s">
        <v>829</v>
      </c>
      <c r="D97" s="419" t="s">
        <v>723</v>
      </c>
      <c r="E97" s="268"/>
      <c r="F97" s="268"/>
      <c r="G97" s="268" t="s">
        <v>621</v>
      </c>
      <c r="H97" s="489">
        <v>2</v>
      </c>
      <c r="I97" s="275">
        <v>296.57</v>
      </c>
      <c r="J97" s="697">
        <v>1.67E-2</v>
      </c>
      <c r="K97" s="275">
        <f>IFERROR(L97/'Mão de Obra'!$D$12,"")</f>
        <v>9.9054379999999984</v>
      </c>
      <c r="L97" s="275">
        <f>IFERROR(IF(ISNUMBER(J97),J97*'Mão de Obra'!$D$12,1)*I97*H97,"")</f>
        <v>118.86525599999999</v>
      </c>
    </row>
    <row r="98" spans="2:12" s="47" customFormat="1">
      <c r="B98" s="268">
        <v>93</v>
      </c>
      <c r="C98" s="268" t="s">
        <v>773</v>
      </c>
      <c r="D98" s="419" t="s">
        <v>841</v>
      </c>
      <c r="E98" s="268"/>
      <c r="F98" s="268"/>
      <c r="G98" s="268" t="s">
        <v>621</v>
      </c>
      <c r="H98" s="489">
        <v>1</v>
      </c>
      <c r="I98" s="275">
        <v>204.99</v>
      </c>
      <c r="J98" s="697">
        <v>1.67E-2</v>
      </c>
      <c r="K98" s="275">
        <f>IFERROR(L98/'Mão de Obra'!$D$12,"")</f>
        <v>3.423333</v>
      </c>
      <c r="L98" s="275">
        <f>IFERROR(IF(ISNUMBER(J98),J98*'Mão de Obra'!$D$12,1)*I98*H98,"")</f>
        <v>41.079996000000001</v>
      </c>
    </row>
    <row r="99" spans="2:12" s="47" customFormat="1">
      <c r="B99" s="268">
        <v>94</v>
      </c>
      <c r="C99" s="268" t="s">
        <v>830</v>
      </c>
      <c r="D99" s="419" t="s">
        <v>842</v>
      </c>
      <c r="E99" s="268"/>
      <c r="F99" s="268"/>
      <c r="G99" s="268" t="s">
        <v>621</v>
      </c>
      <c r="H99" s="489">
        <v>1</v>
      </c>
      <c r="I99" s="275">
        <v>540.51</v>
      </c>
      <c r="J99" s="697">
        <v>1.67E-2</v>
      </c>
      <c r="K99" s="275">
        <f>IFERROR(L99/'Mão de Obra'!$D$12,"")</f>
        <v>9.0265170000000001</v>
      </c>
      <c r="L99" s="275">
        <f>IFERROR(IF(ISNUMBER(J99),J99*'Mão de Obra'!$D$12,1)*I99*H99,"")</f>
        <v>108.31820399999999</v>
      </c>
    </row>
    <row r="100" spans="2:12" s="47" customFormat="1">
      <c r="B100" s="268">
        <v>95</v>
      </c>
      <c r="C100" s="268" t="s">
        <v>831</v>
      </c>
      <c r="D100" s="419" t="s">
        <v>843</v>
      </c>
      <c r="E100" s="268"/>
      <c r="F100" s="268"/>
      <c r="G100" s="268" t="s">
        <v>621</v>
      </c>
      <c r="H100" s="489">
        <v>1</v>
      </c>
      <c r="I100" s="275">
        <v>576.27</v>
      </c>
      <c r="J100" s="697">
        <v>1.67E-2</v>
      </c>
      <c r="K100" s="275">
        <f>IFERROR(L100/'Mão de Obra'!$D$12,"")</f>
        <v>9.6237089999999998</v>
      </c>
      <c r="L100" s="275">
        <f>IFERROR(IF(ISNUMBER(J100),J100*'Mão de Obra'!$D$12,1)*I100*H100,"")</f>
        <v>115.48450799999999</v>
      </c>
    </row>
    <row r="101" spans="2:12" s="47" customFormat="1">
      <c r="B101" s="268">
        <v>96</v>
      </c>
      <c r="C101" s="268" t="s">
        <v>774</v>
      </c>
      <c r="D101" s="419" t="s">
        <v>844</v>
      </c>
      <c r="E101" s="268"/>
      <c r="F101" s="268"/>
      <c r="G101" s="268" t="s">
        <v>621</v>
      </c>
      <c r="H101" s="489">
        <v>1</v>
      </c>
      <c r="I101" s="275">
        <v>1949.63</v>
      </c>
      <c r="J101" s="697">
        <v>1.67E-2</v>
      </c>
      <c r="K101" s="275">
        <f>IFERROR(L101/'Mão de Obra'!$D$12,"")</f>
        <v>32.558821000000002</v>
      </c>
      <c r="L101" s="275">
        <f>IFERROR(IF(ISNUMBER(J101),J101*'Mão de Obra'!$D$12,1)*I101*H101,"")</f>
        <v>390.70585199999999</v>
      </c>
    </row>
    <row r="102" spans="2:12" s="47" customFormat="1">
      <c r="B102" s="268">
        <v>97</v>
      </c>
      <c r="C102" s="268" t="s">
        <v>775</v>
      </c>
      <c r="D102" s="419" t="s">
        <v>845</v>
      </c>
      <c r="E102" s="268"/>
      <c r="F102" s="268"/>
      <c r="G102" s="268" t="s">
        <v>621</v>
      </c>
      <c r="H102" s="489">
        <v>1</v>
      </c>
      <c r="I102" s="275">
        <v>542.66999999999996</v>
      </c>
      <c r="J102" s="697">
        <v>1.67E-2</v>
      </c>
      <c r="K102" s="275">
        <f>IFERROR(L102/'Mão de Obra'!$D$12,"")</f>
        <v>9.0625889999999991</v>
      </c>
      <c r="L102" s="275">
        <f>IFERROR(IF(ISNUMBER(J102),J102*'Mão de Obra'!$D$12,1)*I102*H102,"")</f>
        <v>108.75106799999999</v>
      </c>
    </row>
    <row r="103" spans="2:12" s="47" customFormat="1">
      <c r="B103" s="268">
        <v>98</v>
      </c>
      <c r="C103" s="268" t="s">
        <v>832</v>
      </c>
      <c r="D103" s="419" t="s">
        <v>692</v>
      </c>
      <c r="E103" s="268"/>
      <c r="F103" s="268"/>
      <c r="G103" s="268" t="s">
        <v>621</v>
      </c>
      <c r="H103" s="489">
        <v>1</v>
      </c>
      <c r="I103" s="275">
        <v>475.97</v>
      </c>
      <c r="J103" s="697">
        <v>1.67E-2</v>
      </c>
      <c r="K103" s="275">
        <f>IFERROR(L103/'Mão de Obra'!$D$12,"")</f>
        <v>7.9486990000000004</v>
      </c>
      <c r="L103" s="275">
        <f>IFERROR(IF(ISNUMBER(J103),J103*'Mão de Obra'!$D$12,1)*I103*H103,"")</f>
        <v>95.384388000000001</v>
      </c>
    </row>
    <row r="104" spans="2:12" s="47" customFormat="1">
      <c r="B104" s="268">
        <v>99</v>
      </c>
      <c r="C104" s="268" t="s">
        <v>833</v>
      </c>
      <c r="D104" s="419" t="s">
        <v>691</v>
      </c>
      <c r="E104" s="268"/>
      <c r="F104" s="268"/>
      <c r="G104" s="268" t="s">
        <v>621</v>
      </c>
      <c r="H104" s="489">
        <v>1</v>
      </c>
      <c r="I104" s="275">
        <v>111.77</v>
      </c>
      <c r="J104" s="697">
        <v>1.67E-2</v>
      </c>
      <c r="K104" s="275">
        <f>IFERROR(L104/'Mão de Obra'!$D$12,"")</f>
        <v>1.8665589999999999</v>
      </c>
      <c r="L104" s="275">
        <f>IFERROR(IF(ISNUMBER(J104),J104*'Mão de Obra'!$D$12,1)*I104*H104,"")</f>
        <v>22.398707999999999</v>
      </c>
    </row>
    <row r="105" spans="2:12" s="47" customFormat="1">
      <c r="B105" s="268">
        <v>100</v>
      </c>
      <c r="C105" s="268" t="s">
        <v>834</v>
      </c>
      <c r="D105" s="419" t="s">
        <v>690</v>
      </c>
      <c r="E105" s="268"/>
      <c r="F105" s="268"/>
      <c r="G105" s="268" t="s">
        <v>621</v>
      </c>
      <c r="H105" s="489">
        <v>1</v>
      </c>
      <c r="I105" s="275">
        <v>284.58999999999997</v>
      </c>
      <c r="J105" s="697">
        <v>1.67E-2</v>
      </c>
      <c r="K105" s="275">
        <f>IFERROR(L105/'Mão de Obra'!$D$12,"")</f>
        <v>4.7526529999999996</v>
      </c>
      <c r="L105" s="275">
        <f>IFERROR(IF(ISNUMBER(J105),J105*'Mão de Obra'!$D$12,1)*I105*H105,"")</f>
        <v>57.031835999999991</v>
      </c>
    </row>
    <row r="106" spans="2:12" s="47" customFormat="1">
      <c r="B106" s="268">
        <v>101</v>
      </c>
      <c r="C106" s="268" t="s">
        <v>732</v>
      </c>
      <c r="D106" s="419" t="s">
        <v>846</v>
      </c>
      <c r="E106" s="268"/>
      <c r="F106" s="268"/>
      <c r="G106" s="268" t="s">
        <v>621</v>
      </c>
      <c r="H106" s="489">
        <v>1</v>
      </c>
      <c r="I106" s="275">
        <v>329.79</v>
      </c>
      <c r="J106" s="697">
        <v>1.67E-2</v>
      </c>
      <c r="K106" s="275">
        <f>IFERROR(L106/'Mão de Obra'!$D$12,"")</f>
        <v>5.5074930000000002</v>
      </c>
      <c r="L106" s="275">
        <f>IFERROR(IF(ISNUMBER(J106),J106*'Mão de Obra'!$D$12,1)*I106*H106,"")</f>
        <v>66.089916000000002</v>
      </c>
    </row>
    <row r="107" spans="2:12" s="47" customFormat="1">
      <c r="B107" s="268">
        <v>102</v>
      </c>
      <c r="C107" s="268" t="s">
        <v>776</v>
      </c>
      <c r="D107" s="419" t="s">
        <v>689</v>
      </c>
      <c r="E107" s="268"/>
      <c r="F107" s="268"/>
      <c r="G107" s="268" t="s">
        <v>621</v>
      </c>
      <c r="H107" s="489">
        <v>1</v>
      </c>
      <c r="I107" s="275">
        <v>1492.14</v>
      </c>
      <c r="J107" s="697">
        <v>1.67E-2</v>
      </c>
      <c r="K107" s="275">
        <f>IFERROR(L107/'Mão de Obra'!$D$12,"")</f>
        <v>24.918738000000001</v>
      </c>
      <c r="L107" s="275">
        <f>IFERROR(IF(ISNUMBER(J107),J107*'Mão de Obra'!$D$12,1)*I107*H107,"")</f>
        <v>299.024856</v>
      </c>
    </row>
    <row r="108" spans="2:12" s="47" customFormat="1">
      <c r="B108" s="268"/>
      <c r="C108" s="268"/>
      <c r="D108" s="419"/>
      <c r="E108" s="268"/>
      <c r="F108" s="268"/>
      <c r="G108" s="268"/>
      <c r="H108" s="489"/>
      <c r="I108" s="275"/>
      <c r="J108" s="697"/>
      <c r="K108" s="275"/>
      <c r="L108" s="275"/>
    </row>
    <row r="109" spans="2:12" s="47" customFormat="1">
      <c r="B109" s="268"/>
      <c r="C109" s="268"/>
      <c r="D109" s="419"/>
      <c r="E109" s="268"/>
      <c r="F109" s="268"/>
      <c r="G109" s="268"/>
      <c r="H109" s="489"/>
      <c r="I109" s="275"/>
      <c r="J109" s="697"/>
      <c r="K109" s="275"/>
      <c r="L109" s="275"/>
    </row>
    <row r="110" spans="2:12" s="47" customFormat="1">
      <c r="C110" s="314"/>
      <c r="I110" s="322"/>
      <c r="K110" s="322"/>
      <c r="L110" s="322"/>
    </row>
    <row r="111" spans="2:12" s="47" customFormat="1">
      <c r="C111" s="314"/>
      <c r="I111" s="322"/>
      <c r="K111" s="322"/>
      <c r="L111" s="322"/>
    </row>
    <row r="112" spans="2:12" s="47" customFormat="1">
      <c r="C112" s="314"/>
      <c r="I112" s="322"/>
      <c r="K112" s="322"/>
      <c r="L112" s="322"/>
    </row>
    <row r="113" spans="3:12" s="47" customFormat="1">
      <c r="C113" s="314"/>
      <c r="I113" s="322"/>
      <c r="K113" s="322"/>
      <c r="L113" s="322"/>
    </row>
    <row r="114" spans="3:12" s="47" customFormat="1">
      <c r="C114" s="314"/>
      <c r="I114" s="322"/>
      <c r="K114" s="322"/>
      <c r="L114" s="322"/>
    </row>
    <row r="115" spans="3:12" s="47" customFormat="1">
      <c r="C115" s="314"/>
      <c r="I115" s="322"/>
      <c r="K115" s="322"/>
      <c r="L115" s="322"/>
    </row>
    <row r="116" spans="3:12" s="47" customFormat="1">
      <c r="C116" s="314"/>
      <c r="I116" s="322"/>
      <c r="K116" s="322"/>
      <c r="L116" s="322"/>
    </row>
    <row r="117" spans="3:12" s="47" customFormat="1">
      <c r="C117" s="314"/>
      <c r="I117" s="322"/>
      <c r="K117" s="322"/>
      <c r="L117" s="322"/>
    </row>
    <row r="118" spans="3:12" s="47" customFormat="1">
      <c r="C118" s="314"/>
      <c r="I118" s="322"/>
      <c r="K118" s="322"/>
      <c r="L118" s="322"/>
    </row>
    <row r="119" spans="3:12" s="47" customFormat="1">
      <c r="C119" s="314"/>
      <c r="I119" s="322"/>
      <c r="K119" s="322"/>
      <c r="L119" s="322"/>
    </row>
    <row r="120" spans="3:12" s="47" customFormat="1">
      <c r="C120" s="314"/>
      <c r="I120" s="322"/>
      <c r="K120" s="322"/>
      <c r="L120" s="322"/>
    </row>
    <row r="121" spans="3:12" s="47" customFormat="1">
      <c r="C121" s="314"/>
      <c r="I121" s="322"/>
      <c r="K121" s="322"/>
      <c r="L121" s="322"/>
    </row>
    <row r="122" spans="3:12" s="47" customFormat="1">
      <c r="C122" s="314"/>
      <c r="I122" s="322"/>
      <c r="K122" s="322"/>
      <c r="L122" s="322"/>
    </row>
    <row r="123" spans="3:12" s="47" customFormat="1">
      <c r="C123" s="314"/>
      <c r="I123" s="322"/>
      <c r="K123" s="322"/>
      <c r="L123" s="322"/>
    </row>
    <row r="124" spans="3:12" s="47" customFormat="1">
      <c r="C124" s="314"/>
      <c r="I124" s="322"/>
      <c r="K124" s="322"/>
      <c r="L124" s="322"/>
    </row>
    <row r="125" spans="3:12" s="47" customFormat="1">
      <c r="C125" s="314"/>
      <c r="I125" s="322"/>
      <c r="K125" s="322"/>
      <c r="L125" s="322"/>
    </row>
    <row r="126" spans="3:12" s="47" customFormat="1">
      <c r="C126" s="314"/>
      <c r="I126" s="322"/>
      <c r="K126" s="322"/>
      <c r="L126" s="322"/>
    </row>
    <row r="127" spans="3:12" s="47" customFormat="1">
      <c r="C127" s="314"/>
      <c r="I127" s="322"/>
      <c r="K127" s="322"/>
      <c r="L127" s="322"/>
    </row>
    <row r="128" spans="3:12" s="47" customFormat="1">
      <c r="C128" s="314"/>
      <c r="I128" s="322"/>
      <c r="K128" s="322"/>
      <c r="L128" s="322"/>
    </row>
    <row r="129" spans="3:12" s="47" customFormat="1">
      <c r="C129" s="314"/>
      <c r="I129" s="322"/>
      <c r="K129" s="322"/>
      <c r="L129" s="322"/>
    </row>
    <row r="130" spans="3:12" s="47" customFormat="1">
      <c r="C130" s="314"/>
      <c r="I130" s="322"/>
      <c r="K130" s="322"/>
      <c r="L130" s="322"/>
    </row>
    <row r="131" spans="3:12" s="47" customFormat="1">
      <c r="C131" s="314"/>
      <c r="I131" s="322"/>
      <c r="K131" s="322"/>
      <c r="L131" s="322"/>
    </row>
    <row r="132" spans="3:12" s="47" customFormat="1">
      <c r="C132" s="314"/>
      <c r="I132" s="322"/>
      <c r="K132" s="322"/>
      <c r="L132" s="322"/>
    </row>
    <row r="133" spans="3:12" s="47" customFormat="1">
      <c r="C133" s="314"/>
      <c r="I133" s="322"/>
      <c r="K133" s="322"/>
      <c r="L133" s="322"/>
    </row>
    <row r="134" spans="3:12" s="47" customFormat="1">
      <c r="C134" s="314"/>
      <c r="I134" s="322"/>
      <c r="K134" s="322"/>
      <c r="L134" s="322"/>
    </row>
    <row r="135" spans="3:12" s="47" customFormat="1">
      <c r="C135" s="314"/>
      <c r="I135" s="322"/>
      <c r="K135" s="322"/>
      <c r="L135" s="322"/>
    </row>
    <row r="136" spans="3:12" s="47" customFormat="1">
      <c r="C136" s="314"/>
      <c r="I136" s="322"/>
      <c r="K136" s="322"/>
      <c r="L136" s="322"/>
    </row>
    <row r="137" spans="3:12" s="47" customFormat="1">
      <c r="C137" s="314"/>
      <c r="I137" s="322"/>
      <c r="K137" s="322"/>
      <c r="L137" s="322"/>
    </row>
    <row r="138" spans="3:12" s="47" customFormat="1">
      <c r="C138" s="314"/>
      <c r="I138" s="322"/>
      <c r="K138" s="322"/>
      <c r="L138" s="322"/>
    </row>
    <row r="139" spans="3:12" s="47" customFormat="1">
      <c r="C139" s="314"/>
      <c r="I139" s="322"/>
      <c r="K139" s="322"/>
      <c r="L139" s="322"/>
    </row>
    <row r="140" spans="3:12" s="47" customFormat="1">
      <c r="C140" s="314"/>
      <c r="I140" s="322"/>
      <c r="K140" s="322"/>
      <c r="L140" s="322"/>
    </row>
    <row r="141" spans="3:12" s="47" customFormat="1">
      <c r="C141" s="314"/>
      <c r="I141" s="322"/>
      <c r="K141" s="322"/>
      <c r="L141" s="322"/>
    </row>
    <row r="142" spans="3:12" s="47" customFormat="1">
      <c r="C142" s="314"/>
      <c r="I142" s="322"/>
      <c r="K142" s="322"/>
      <c r="L142" s="322"/>
    </row>
    <row r="143" spans="3:12" s="47" customFormat="1">
      <c r="C143" s="314"/>
      <c r="I143" s="322"/>
      <c r="K143" s="322"/>
      <c r="L143" s="322"/>
    </row>
    <row r="144" spans="3:12" s="47" customFormat="1">
      <c r="C144" s="314"/>
      <c r="I144" s="322"/>
      <c r="K144" s="322"/>
      <c r="L144" s="322"/>
    </row>
    <row r="145" spans="3:12" s="47" customFormat="1">
      <c r="C145" s="314"/>
      <c r="I145" s="322"/>
      <c r="K145" s="322"/>
      <c r="L145" s="322"/>
    </row>
    <row r="146" spans="3:12" s="47" customFormat="1">
      <c r="C146" s="314"/>
      <c r="I146" s="322"/>
      <c r="K146" s="322"/>
      <c r="L146" s="322"/>
    </row>
    <row r="147" spans="3:12" s="47" customFormat="1">
      <c r="C147" s="314"/>
      <c r="I147" s="322"/>
      <c r="K147" s="322"/>
      <c r="L147" s="322"/>
    </row>
    <row r="148" spans="3:12" s="47" customFormat="1">
      <c r="C148" s="314"/>
      <c r="I148" s="322"/>
      <c r="K148" s="322"/>
      <c r="L148" s="322"/>
    </row>
    <row r="149" spans="3:12" s="47" customFormat="1">
      <c r="C149" s="314"/>
      <c r="I149" s="322"/>
      <c r="K149" s="322"/>
      <c r="L149" s="322"/>
    </row>
    <row r="150" spans="3:12" s="47" customFormat="1">
      <c r="C150" s="314"/>
      <c r="I150" s="322"/>
      <c r="K150" s="322"/>
      <c r="L150" s="322"/>
    </row>
    <row r="151" spans="3:12" s="47" customFormat="1">
      <c r="C151" s="314"/>
      <c r="I151" s="322"/>
      <c r="K151" s="322"/>
      <c r="L151" s="322"/>
    </row>
    <row r="152" spans="3:12" s="47" customFormat="1">
      <c r="C152" s="314"/>
      <c r="I152" s="322"/>
      <c r="K152" s="322"/>
      <c r="L152" s="322"/>
    </row>
    <row r="153" spans="3:12" s="47" customFormat="1">
      <c r="C153" s="314"/>
      <c r="I153" s="322"/>
      <c r="K153" s="322"/>
      <c r="L153" s="322"/>
    </row>
  </sheetData>
  <sheetProtection formatColumns="0" formatRows="0" insertColumns="0" insertRows="0"/>
  <mergeCells count="1">
    <mergeCell ref="B2:L2"/>
  </mergeCells>
  <phoneticPr fontId="45" type="noConversion"/>
  <dataValidations count="1">
    <dataValidation allowBlank="1" sqref="D6:D25" xr:uid="{00000000-0002-0000-0400-000002000000}"/>
  </dataValidations>
  <pageMargins left="0.511811024" right="0.511811024" top="0.78740157499999996" bottom="0.78740157499999996" header="0.31496062000000002" footer="0.31496062000000002"/>
  <pageSetup paperSize="9" scale="3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1000000}">
          <x14:formula1>
            <xm:f>'Mão de Obra'!$D$25:$XX$25</xm:f>
          </x14:formula1>
          <xm:sqref>F6:F25</xm:sqref>
        </x14:dataValidation>
        <x14:dataValidation type="list" allowBlank="1" showInputMessage="1" showErrorMessage="1" xr:uid="{A2BB27E4-B895-403A-BD22-1B563D011D43}">
          <x14:formula1>
            <xm:f>'Mão de Obra'!$D$17:$XX$17</xm:f>
          </x14:formula1>
          <xm:sqref>E1:E1048576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8"/>
  <dimension ref="B1:O76"/>
  <sheetViews>
    <sheetView showGridLines="0" tabSelected="1" topLeftCell="A23" zoomScaleNormal="100" workbookViewId="0">
      <selection activeCell="K57" sqref="K57"/>
    </sheetView>
  </sheetViews>
  <sheetFormatPr defaultRowHeight="15"/>
  <cols>
    <col min="1" max="1" width="1.5703125" style="47" customWidth="1"/>
    <col min="2" max="2" width="26.140625" bestFit="1" customWidth="1"/>
    <col min="3" max="3" width="12" customWidth="1"/>
    <col min="4" max="6" width="14.140625" customWidth="1"/>
    <col min="7" max="7" width="16.140625" customWidth="1"/>
    <col min="8" max="10" width="14.7109375" customWidth="1"/>
    <col min="11" max="11" width="15.42578125" bestFit="1" customWidth="1"/>
    <col min="12" max="12" width="17.140625" style="47" bestFit="1" customWidth="1"/>
    <col min="13" max="13" width="1.42578125" style="47" customWidth="1"/>
    <col min="14" max="14" width="13.28515625" style="47" bestFit="1" customWidth="1"/>
    <col min="15" max="15" width="9.140625" style="47"/>
    <col min="16" max="16" width="14.28515625" style="47" bestFit="1" customWidth="1"/>
    <col min="17" max="16384" width="9.140625" style="47"/>
  </cols>
  <sheetData>
    <row r="1" spans="2:12" ht="6.75" customHeight="1"/>
    <row r="2" spans="2:12" ht="26.25">
      <c r="B2" s="747" t="s">
        <v>79</v>
      </c>
      <c r="C2" s="748"/>
      <c r="D2" s="748"/>
      <c r="E2" s="748"/>
      <c r="F2" s="748"/>
      <c r="G2" s="748"/>
      <c r="H2" s="748"/>
      <c r="I2" s="748"/>
      <c r="J2" s="748"/>
      <c r="K2" s="749"/>
    </row>
    <row r="3" spans="2:12" ht="21">
      <c r="B3" s="757" t="str">
        <f>IF(IFERROR(SUM(Produtividade!L195:L220)&gt;0,FALSE()),Produtividade!D5,
IF(IFERROR(Veículos!$E$3&lt;&gt;"",FALSE()),'Mão de Obra'!D5,'Mão de Obra'!D5))</f>
        <v>SECRETARIA DE DESENVOLVIMENTO SOCIAL</v>
      </c>
      <c r="C3" s="758"/>
      <c r="D3" s="758"/>
      <c r="E3" s="758"/>
      <c r="F3" s="758"/>
      <c r="G3" s="758"/>
      <c r="H3" s="758"/>
      <c r="I3" s="758"/>
      <c r="J3" s="758"/>
      <c r="K3" s="759"/>
    </row>
    <row r="4" spans="2:12" ht="21">
      <c r="B4" s="750" t="s">
        <v>537</v>
      </c>
      <c r="C4" s="751"/>
      <c r="D4" s="751"/>
      <c r="E4" s="751"/>
      <c r="F4" s="751"/>
      <c r="G4" s="751"/>
      <c r="H4" s="751"/>
      <c r="I4" s="751"/>
      <c r="J4" s="751"/>
      <c r="K4" s="752"/>
    </row>
    <row r="5" spans="2:12" ht="6.75" customHeight="1">
      <c r="B5" s="25"/>
      <c r="C5" s="25"/>
      <c r="D5" s="25"/>
      <c r="E5" s="25"/>
      <c r="F5" s="25"/>
      <c r="G5" s="25"/>
      <c r="H5" s="25"/>
      <c r="I5" s="25"/>
      <c r="J5" s="25"/>
      <c r="K5" s="25"/>
      <c r="L5" s="533"/>
    </row>
    <row r="6" spans="2:12" ht="15" customHeight="1">
      <c r="B6" s="368" t="s">
        <v>77</v>
      </c>
      <c r="C6" s="783">
        <f>IF(IFERROR(SUM(Produtividade!L195:L220)&gt;0,FALSE()),Produtividade!D6,
IF(IFERROR(Veículos!$E$3&lt;&gt;"",FALSE()),'Mão de Obra'!D6,
'Mão de Obra'!D6))</f>
        <v>0</v>
      </c>
      <c r="D6" s="783"/>
      <c r="E6" s="783"/>
      <c r="F6" s="783"/>
      <c r="G6" s="778" t="s">
        <v>73</v>
      </c>
      <c r="H6" s="778"/>
      <c r="I6" s="778"/>
      <c r="J6" s="775">
        <f>IF(IFERROR(SUM(Produtividade!L195:L220)&gt;0,FALSE()),Produtividade!D12,
IF(IFERROR(Veículos!$E$3&lt;&gt;"",FALSE()),'Mão de Obra'!D12,
'Mão de Obra'!D12))</f>
        <v>12</v>
      </c>
      <c r="K6" s="776"/>
    </row>
    <row r="7" spans="2:12" ht="15" customHeight="1">
      <c r="B7" s="374" t="s">
        <v>335</v>
      </c>
      <c r="C7" s="784" t="str">
        <f>IF(IFERROR(SUM(Produtividade!L195:L220)&gt;0,FALSE()),Produtividade!D7,
IF(IFERROR(Veículos!$E$3&lt;&gt;"",FALSE()),'Mão de Obra'!D7,
'Mão de Obra'!D7))</f>
        <v>24.0.000061841-8</v>
      </c>
      <c r="D7" s="784"/>
      <c r="E7" s="784"/>
      <c r="F7" s="784"/>
      <c r="G7" s="777" t="s">
        <v>139</v>
      </c>
      <c r="H7" s="777"/>
      <c r="I7" s="777"/>
      <c r="J7" s="755" t="str">
        <f>IF(IFERROR(SUM(Produtividade!L195:L220)&gt;0,FALSE()),Produtividade!D11,
IF(IFERROR(Veículos!$E$3&lt;&gt;"",FALSE()),'Mão de Obra'!D11,
'Mão de Obra'!D11))</f>
        <v>Mês</v>
      </c>
      <c r="K7" s="756"/>
    </row>
    <row r="8" spans="2:12" ht="32.25" customHeight="1">
      <c r="B8" s="763" t="str">
        <f>CONCATENATE("OBJETO: ",
IF(IFERROR(SUM(Produtividade!L195:L220)&gt;0,FALSE()),Produtividade!D8,
IF(IFERROR(Veículos!$E$3&lt;&gt;"",FALSE()),'Mão de Obra'!D8,
'Mão de Obra'!D8)))</f>
        <v>OBJETO: Contratação de empresa para fornecimento de mão-de-obra para prestação de serviços de manutenção predial com transporte, equipamentos, ferramentas e EPI´s para atender instalações prediais de responsabilidade da Secretaria Municipal de Desenvolvimento</v>
      </c>
      <c r="C8" s="764"/>
      <c r="D8" s="764"/>
      <c r="E8" s="764"/>
      <c r="F8" s="764"/>
      <c r="G8" s="764"/>
      <c r="H8" s="764"/>
      <c r="I8" s="764"/>
      <c r="J8" s="764"/>
      <c r="K8" s="765"/>
    </row>
    <row r="9" spans="2:12" ht="15" customHeight="1">
      <c r="B9" s="374" t="s">
        <v>66</v>
      </c>
      <c r="C9" s="753"/>
      <c r="D9" s="753"/>
      <c r="E9" s="753"/>
      <c r="F9" s="753"/>
      <c r="G9" s="777" t="s">
        <v>410</v>
      </c>
      <c r="H9" s="777"/>
      <c r="I9" s="373"/>
      <c r="J9" s="755" t="str">
        <f>IF(IFERROR(SUM(Produtividade!L195:L220)&gt;0,FALSE()),Produtividade!D13,
IF(IFERROR(Veículos!$E$3&lt;&gt;"",FALSE()),'Mão de Obra'!D13,
'Mão de Obra'!D13))</f>
        <v>Lucro Presumido</v>
      </c>
      <c r="K9" s="756"/>
    </row>
    <row r="10" spans="2:12">
      <c r="B10" s="371" t="s">
        <v>75</v>
      </c>
      <c r="C10" s="754"/>
      <c r="D10" s="754"/>
      <c r="E10" s="754"/>
      <c r="F10" s="754"/>
      <c r="G10" s="760" t="s">
        <v>411</v>
      </c>
      <c r="H10" s="760"/>
      <c r="I10" s="372"/>
      <c r="J10" s="789">
        <f>IF(IFERROR(SUM(Produtividade!L195:L220)&gt;0,FALSE()),Produtividade!D14,
IF(IFERROR(Veículos!$E$3&lt;&gt;"",FALSE()),'Mão de Obra'!D14,
'Mão de Obra'!D14))</f>
        <v>0</v>
      </c>
      <c r="K10" s="790"/>
    </row>
    <row r="11" spans="2:12" ht="15" customHeight="1">
      <c r="B11" s="371" t="s">
        <v>67</v>
      </c>
      <c r="C11" s="753"/>
      <c r="D11" s="753"/>
      <c r="E11" s="753"/>
      <c r="F11" s="753"/>
      <c r="G11" s="760" t="s">
        <v>78</v>
      </c>
      <c r="H11" s="760"/>
      <c r="I11" s="779" t="s">
        <v>563</v>
      </c>
      <c r="J11" s="779"/>
      <c r="K11" s="780"/>
    </row>
    <row r="12" spans="2:12">
      <c r="B12" s="370" t="s">
        <v>68</v>
      </c>
      <c r="C12" s="785"/>
      <c r="D12" s="785"/>
      <c r="E12" s="785"/>
      <c r="F12" s="785"/>
      <c r="G12" s="760" t="s">
        <v>413</v>
      </c>
      <c r="H12" s="760"/>
      <c r="I12" s="781"/>
      <c r="J12" s="781"/>
      <c r="K12" s="782"/>
    </row>
    <row r="13" spans="2:12">
      <c r="B13" s="369" t="s">
        <v>76</v>
      </c>
      <c r="C13" s="786"/>
      <c r="D13" s="786"/>
      <c r="E13" s="786"/>
      <c r="F13" s="786"/>
      <c r="G13" s="761" t="s">
        <v>69</v>
      </c>
      <c r="H13" s="761"/>
      <c r="I13" s="791"/>
      <c r="J13" s="791"/>
      <c r="K13" s="792"/>
    </row>
    <row r="14" spans="2:12" ht="6.75" customHeight="1">
      <c r="B14" s="26"/>
      <c r="C14" s="26"/>
      <c r="D14" s="26"/>
      <c r="E14" s="26"/>
      <c r="F14" s="26"/>
      <c r="G14" s="26"/>
      <c r="H14" s="26"/>
      <c r="I14" s="26"/>
      <c r="J14" s="26"/>
    </row>
    <row r="15" spans="2:12">
      <c r="B15" s="507" t="s">
        <v>521</v>
      </c>
      <c r="C15" s="508"/>
      <c r="D15" s="508"/>
      <c r="E15" s="508"/>
      <c r="F15" s="508"/>
      <c r="G15" s="508"/>
      <c r="H15" s="508"/>
      <c r="I15" s="508"/>
      <c r="J15" s="508"/>
      <c r="K15" s="509"/>
    </row>
    <row r="16" spans="2:12" ht="30">
      <c r="B16" s="510" t="s">
        <v>72</v>
      </c>
      <c r="C16" s="511" t="s">
        <v>138</v>
      </c>
      <c r="D16" s="511" t="s">
        <v>71</v>
      </c>
      <c r="E16" s="511" t="s">
        <v>511</v>
      </c>
      <c r="F16" s="512" t="s">
        <v>512</v>
      </c>
      <c r="G16" s="512" t="s">
        <v>534</v>
      </c>
      <c r="H16" s="512" t="s">
        <v>535</v>
      </c>
      <c r="I16" s="512" t="s">
        <v>536</v>
      </c>
      <c r="J16" s="512" t="s">
        <v>548</v>
      </c>
      <c r="K16" s="513" t="s">
        <v>498</v>
      </c>
    </row>
    <row r="17" spans="2:15" ht="30">
      <c r="B17" s="514" t="str">
        <f>IF(
INDEX('Mão de Obra'!$E$18:$AM$18,1,ROW()-ROW($B$16))&lt;&gt;0,
INDEX('Mão de Obra'!$E$18:$AM$18,1,ROW()-ROW($B$16)),
"EXCLUIR ESTA LINHA"
)</f>
        <v>Oficial - Eletricista (manutenção predial)</v>
      </c>
      <c r="C17" s="515" t="str">
        <f>INDEX('Mão de Obra'!$E$25:$AM$25,1,ROW()-ROW($C$16))</f>
        <v>SMDS</v>
      </c>
      <c r="D17" s="516" t="str">
        <f>INDEX('Mão de Obra'!$E$26:$AM$26,1,ROW()-ROW($D$16))</f>
        <v>44h (5 dia/sem)</v>
      </c>
      <c r="E17" s="517">
        <f>INDEX('Mão de Obra'!$E$27:$AM$27,1,ROW()-ROW($E$16))</f>
        <v>1</v>
      </c>
      <c r="F17" s="517">
        <f>INDEX('Mão de Obra'!$E$29:$AM$29,1,ROW()-ROW($F$16))</f>
        <v>1</v>
      </c>
      <c r="G17" s="518">
        <f>INDEX('Mão de Obra'!$E$173:$AR$173,1,ROW()-ROW($G$16))</f>
        <v>40.71</v>
      </c>
      <c r="H17" s="518">
        <f>INDEX('Mão de Obra'!$E$174:$AQ$174,1,ROW()-ROW($I$16))</f>
        <v>355.28</v>
      </c>
      <c r="I17" s="518">
        <f>INDEX('Mão de Obra'!$E$176:$AQ$176,1,ROW()-ROW($I$16))</f>
        <v>7816.24</v>
      </c>
      <c r="J17" s="518">
        <f>INDEX('Mão de Obra'!$E$182:$AQ$182,1,ROW()-ROW($I$16))</f>
        <v>7816.24</v>
      </c>
      <c r="K17" s="519">
        <f>INDEX('Mão de Obra'!$E$190:$AQ$190,1,ROW()-ROW($I$16))</f>
        <v>93794.880000000005</v>
      </c>
      <c r="N17" s="538"/>
    </row>
    <row r="18" spans="2:15" ht="30">
      <c r="B18" s="514" t="str">
        <f>IF(
INDEX('Mão de Obra'!$E$18:$AM$18,1,ROW()-ROW($B$16))&lt;&gt;0,
INDEX('Mão de Obra'!$E$18:$AM$18,1,ROW()-ROW($B$16)),
"EXCLUIR ESTA LINHA"
)</f>
        <v>Oficial - Manutenção Predial</v>
      </c>
      <c r="C18" s="515" t="str">
        <f>INDEX('Mão de Obra'!$E$25:$AM$25,1,ROW()-ROW($C$16))</f>
        <v>SMDS</v>
      </c>
      <c r="D18" s="516" t="str">
        <f>INDEX('Mão de Obra'!$E$26:$AM$26,1,ROW()-ROW($D$16))</f>
        <v>44h (5 dia/sem)</v>
      </c>
      <c r="E18" s="517">
        <f>INDEX('Mão de Obra'!$E$27:$AM$27,1,ROW()-ROW($E$16))</f>
        <v>1</v>
      </c>
      <c r="F18" s="517">
        <f>INDEX('Mão de Obra'!$E$29:$AM$29,1,ROW()-ROW($F$16))</f>
        <v>1</v>
      </c>
      <c r="G18" s="518">
        <f>INDEX('Mão de Obra'!$E$173:$AR$173,1,ROW()-ROW($G$16))</f>
        <v>39.49</v>
      </c>
      <c r="H18" s="518">
        <f>INDEX('Mão de Obra'!$E$174:$AQ$174,1,ROW()-ROW($I$16))</f>
        <v>344.64</v>
      </c>
      <c r="I18" s="518">
        <f>INDEX('Mão de Obra'!$E$176:$AQ$176,1,ROW()-ROW($I$16))</f>
        <v>7582.1</v>
      </c>
      <c r="J18" s="518">
        <f>INDEX('Mão de Obra'!$E$182:$AQ$182,1,ROW()-ROW($I$16))</f>
        <v>7582.1</v>
      </c>
      <c r="K18" s="519">
        <f>INDEX('Mão de Obra'!$E$190:$AQ$190,1,ROW()-ROW($I$16))</f>
        <v>90985.2</v>
      </c>
      <c r="O18" s="537"/>
    </row>
    <row r="19" spans="2:15" ht="30">
      <c r="B19" s="514" t="str">
        <f>IF(
INDEX('Mão de Obra'!$E$18:$AM$18,1,ROW()-ROW($B$16))&lt;&gt;0,
INDEX('Mão de Obra'!$E$18:$AM$18,1,ROW()-ROW($B$16)),
"EXCLUIR ESTA LINHA"
)</f>
        <v>Meio Oficial - Manutenção Predial</v>
      </c>
      <c r="C19" s="515" t="str">
        <f>INDEX('Mão de Obra'!$E$25:$AM$25,1,ROW()-ROW($C$16))</f>
        <v>SMDS</v>
      </c>
      <c r="D19" s="516" t="str">
        <f>INDEX('Mão de Obra'!$E$26:$AM$26,1,ROW()-ROW($D$16))</f>
        <v>44h (5 dia/sem)</v>
      </c>
      <c r="E19" s="517">
        <f>INDEX('Mão de Obra'!$E$27:$AM$27,1,ROW()-ROW($E$16))</f>
        <v>1</v>
      </c>
      <c r="F19" s="517">
        <f>INDEX('Mão de Obra'!$E$29:$AM$29,1,ROW()-ROW($F$16))</f>
        <v>1</v>
      </c>
      <c r="G19" s="518">
        <f>INDEX('Mão de Obra'!$E$173:$AR$173,1,ROW()-ROW($G$16))</f>
        <v>35.74</v>
      </c>
      <c r="H19" s="518">
        <f>INDEX('Mão de Obra'!$E$174:$AQ$174,1,ROW()-ROW($I$16))</f>
        <v>311.93</v>
      </c>
      <c r="I19" s="518">
        <f>INDEX('Mão de Obra'!$E$176:$AQ$176,1,ROW()-ROW($I$16))</f>
        <v>6862.43</v>
      </c>
      <c r="J19" s="518">
        <f>INDEX('Mão de Obra'!$E$182:$AQ$182,1,ROW()-ROW($I$16))</f>
        <v>6862.43</v>
      </c>
      <c r="K19" s="519">
        <f>INDEX('Mão de Obra'!$E$190:$AQ$190,1,ROW()-ROW($I$16))</f>
        <v>82349.16</v>
      </c>
      <c r="N19" s="538"/>
    </row>
    <row r="20" spans="2:15">
      <c r="B20" s="507"/>
      <c r="C20" s="508"/>
      <c r="D20" s="508"/>
      <c r="E20" s="520">
        <f>SUM(E17:E19)</f>
        <v>3</v>
      </c>
      <c r="F20" s="520">
        <f>SUM(F17:F19)</f>
        <v>3</v>
      </c>
      <c r="G20" s="521"/>
      <c r="H20" s="521"/>
      <c r="I20" s="521"/>
      <c r="J20" s="521">
        <f>SUM(J17:J19)</f>
        <v>22260.77</v>
      </c>
      <c r="K20" s="522">
        <f>SUM(K17:K19)</f>
        <v>267129.24</v>
      </c>
    </row>
    <row r="21" spans="2:15" ht="6.75" customHeight="1">
      <c r="B21" s="523"/>
      <c r="C21" s="523"/>
      <c r="D21" s="523"/>
      <c r="E21" s="523"/>
      <c r="F21" s="524"/>
      <c r="G21" s="525"/>
      <c r="H21" s="525"/>
      <c r="I21" s="525"/>
      <c r="J21" s="525"/>
      <c r="K21" s="525"/>
    </row>
    <row r="22" spans="2:15">
      <c r="B22" s="507" t="s">
        <v>523</v>
      </c>
      <c r="C22" s="508"/>
      <c r="D22" s="508"/>
      <c r="E22" s="508"/>
      <c r="F22" s="508"/>
      <c r="G22" s="508"/>
      <c r="H22" s="508"/>
      <c r="I22" s="508"/>
      <c r="J22" s="508"/>
      <c r="K22" s="509"/>
    </row>
    <row r="23" spans="2:15" ht="15" customHeight="1">
      <c r="B23" s="510" t="s">
        <v>517</v>
      </c>
      <c r="C23" s="511"/>
      <c r="D23" s="511" t="s">
        <v>519</v>
      </c>
      <c r="E23" s="511" t="s">
        <v>556</v>
      </c>
      <c r="F23" s="511" t="s">
        <v>518</v>
      </c>
      <c r="G23" s="512" t="s">
        <v>534</v>
      </c>
      <c r="H23" s="512" t="s">
        <v>552</v>
      </c>
      <c r="I23" s="512" t="s">
        <v>536</v>
      </c>
      <c r="J23" s="512" t="s">
        <v>548</v>
      </c>
      <c r="K23" s="513" t="s">
        <v>498</v>
      </c>
    </row>
    <row r="24" spans="2:15">
      <c r="B24" s="514" t="str">
        <f>IF(
INDEX(Veículos!$E$3:$AR$3,1,ROW()-ROW(B$23))&lt;&gt;"",
INDEX(Veículos!$E$3:$AR$3,1,ROW()-ROW(B$23)),
"EXCLUIR ESTA LINHA")</f>
        <v>Pick up cabine dupla</v>
      </c>
      <c r="C24" s="515"/>
      <c r="D24" s="517">
        <f>INDEX(Veículos!$E$4:$CS$4,1,ROW()-ROW(D$23))</f>
        <v>1</v>
      </c>
      <c r="E24" s="526">
        <f>INDEX(Veículos!$E$84:$CS$84,1,ROW()-ROW(E$23))</f>
        <v>200</v>
      </c>
      <c r="F24" s="527">
        <f>INDEX(Veículos!$E$5:$AR$5,1,ROW()-ROW(F$23))</f>
        <v>1000</v>
      </c>
      <c r="G24" s="518">
        <f>INDEX(Veículos!$E$85:$CS$85,1,ROW()-ROW(G$23))</f>
        <v>15.471550000000001</v>
      </c>
      <c r="H24" s="518">
        <f>INDEX(Veículos!$E$82:$CS$82,1,ROW()-ROW(H$23))</f>
        <v>1.26111</v>
      </c>
      <c r="I24" s="518">
        <f>INDEX(Veículos!$E$90:$CS$90,1,ROW()-ROW(I$23))</f>
        <v>4355.42</v>
      </c>
      <c r="J24" s="528">
        <f>INDEX(Veículos!$E$95:$CS$95,1,ROW()-ROW(J$23))</f>
        <v>4355.42</v>
      </c>
      <c r="K24" s="519">
        <f>INDEX(Veículos!$E$96:$CS$96,1,ROW()-ROW(K$23))</f>
        <v>52265.04</v>
      </c>
    </row>
    <row r="25" spans="2:15">
      <c r="B25" s="507"/>
      <c r="C25" s="508"/>
      <c r="D25" s="508"/>
      <c r="E25" s="508"/>
      <c r="F25" s="520"/>
      <c r="G25" s="529"/>
      <c r="H25" s="529"/>
      <c r="I25" s="529"/>
      <c r="J25" s="529">
        <f>SUM(J24:J24)</f>
        <v>4355.42</v>
      </c>
      <c r="K25" s="530">
        <f>SUM(K24:K24)</f>
        <v>52265.04</v>
      </c>
    </row>
    <row r="26" spans="2:15" ht="6.75" customHeight="1">
      <c r="B26" s="523"/>
      <c r="C26" s="523"/>
      <c r="D26" s="523"/>
      <c r="E26" s="523"/>
      <c r="F26" s="524"/>
      <c r="G26" s="524"/>
      <c r="H26" s="525"/>
      <c r="I26" s="525"/>
      <c r="J26" s="525"/>
      <c r="K26" s="525"/>
    </row>
    <row r="27" spans="2:15" hidden="1">
      <c r="B27" s="507" t="s">
        <v>522</v>
      </c>
      <c r="C27" s="508"/>
      <c r="D27" s="508"/>
      <c r="E27" s="508"/>
      <c r="F27" s="508"/>
      <c r="G27" s="508"/>
      <c r="H27" s="508"/>
      <c r="I27" s="508"/>
      <c r="J27" s="508"/>
      <c r="K27" s="509"/>
    </row>
    <row r="28" spans="2:15" hidden="1">
      <c r="B28" s="510" t="s">
        <v>513</v>
      </c>
      <c r="C28" s="511"/>
      <c r="D28" s="511"/>
      <c r="E28" s="511"/>
      <c r="F28" s="512" t="s">
        <v>41</v>
      </c>
      <c r="G28" s="512" t="s">
        <v>514</v>
      </c>
      <c r="H28" s="512" t="s">
        <v>515</v>
      </c>
      <c r="I28" s="512" t="s">
        <v>516</v>
      </c>
      <c r="J28" s="512" t="s">
        <v>414</v>
      </c>
      <c r="K28" s="513" t="s">
        <v>437</v>
      </c>
    </row>
    <row r="29" spans="2:15" hidden="1">
      <c r="B29" s="514" t="str">
        <f>IF(
'Apoio - Dados'!J2&lt;&gt;"",
'Apoio - Dados'!J2,
"EXCLUIR ESTA LINHA")</f>
        <v>EXCLUIR ESTA LINHA</v>
      </c>
      <c r="C29" s="515"/>
      <c r="D29" s="516"/>
      <c r="E29" s="516"/>
      <c r="F29" s="517" t="str">
        <f>IFERROR(INDEX(Produtividade!B:B,MATCH($B29,Produtividade!C:C,0)),"")</f>
        <v/>
      </c>
      <c r="G29" s="518" t="str">
        <f>IFERROR(INDEX('Apoio - Dados'!F:F,MATCH($B29,'Apoio - Dados'!E:E,0)),"")</f>
        <v/>
      </c>
      <c r="H29" s="531" t="str">
        <f>IFERROR(INDEX(Produtividade!L:L,MATCH($B29,Produtividade!C:C,0)),"")</f>
        <v/>
      </c>
      <c r="I29" s="518" t="str">
        <f>IFERROR(INDEX(Produtividade!M:M,MATCH($B29,Produtividade!C:C,0)),"")</f>
        <v/>
      </c>
      <c r="J29" s="528" t="str">
        <f>IFERROR(INDEX(Produtividade!N:N,MATCH($B29,Produtividade!C:C,0)),"")</f>
        <v/>
      </c>
      <c r="K29" s="519" t="str">
        <f>IFERROR(INDEX(Produtividade!O:O,MATCH($B29,Produtividade!C:C,0)),"")</f>
        <v/>
      </c>
      <c r="O29" s="534"/>
    </row>
    <row r="30" spans="2:15" hidden="1">
      <c r="B30" s="514" t="str">
        <f>IF(
'Apoio - Dados'!J3&lt;&gt;"",
'Apoio - Dados'!J3,
"EXCLUIR ESTA LINHA")</f>
        <v>EXCLUIR ESTA LINHA</v>
      </c>
      <c r="C30" s="515"/>
      <c r="D30" s="516"/>
      <c r="E30" s="516"/>
      <c r="F30" s="517" t="str">
        <f>IFERROR(INDEX(Produtividade!B:B,MATCH($B30,Produtividade!C:C,0)),"")</f>
        <v/>
      </c>
      <c r="G30" s="518" t="str">
        <f>IFERROR(INDEX('Apoio - Dados'!F:F,MATCH($B30,'Apoio - Dados'!E:E,0)),"")</f>
        <v/>
      </c>
      <c r="H30" s="531" t="str">
        <f>IFERROR(INDEX(Produtividade!L:L,MATCH($B30,Produtividade!C:C,0)),"")</f>
        <v/>
      </c>
      <c r="I30" s="518" t="str">
        <f>IFERROR(INDEX(Produtividade!M:M,MATCH($B30,Produtividade!C:C,0)),"")</f>
        <v/>
      </c>
      <c r="J30" s="528" t="str">
        <f>IFERROR(INDEX(Produtividade!N:N,MATCH($B30,Produtividade!C:C,0)),"")</f>
        <v/>
      </c>
      <c r="K30" s="519" t="str">
        <f>IFERROR(INDEX(Produtividade!O:O,MATCH($B30,Produtividade!C:C,0)),"")</f>
        <v/>
      </c>
      <c r="O30" s="534"/>
    </row>
    <row r="31" spans="2:15" hidden="1">
      <c r="B31" s="514" t="str">
        <f>IF(
'Apoio - Dados'!J4&lt;&gt;"",
'Apoio - Dados'!J4,
"EXCLUIR ESTA LINHA")</f>
        <v>EXCLUIR ESTA LINHA</v>
      </c>
      <c r="C31" s="515"/>
      <c r="D31" s="516"/>
      <c r="E31" s="516"/>
      <c r="F31" s="517" t="str">
        <f>IFERROR(INDEX(Produtividade!B:B,MATCH($B31,Produtividade!C:C,0)),"")</f>
        <v/>
      </c>
      <c r="G31" s="518" t="str">
        <f>IFERROR(INDEX('Apoio - Dados'!F:F,MATCH($B31,'Apoio - Dados'!E:E,0)),"")</f>
        <v/>
      </c>
      <c r="H31" s="531" t="str">
        <f>IFERROR(INDEX(Produtividade!L:L,MATCH($B31,Produtividade!C:C,0)),"")</f>
        <v/>
      </c>
      <c r="I31" s="518" t="str">
        <f>IFERROR(INDEX(Produtividade!M:M,MATCH($B31,Produtividade!C:C,0)),"")</f>
        <v/>
      </c>
      <c r="J31" s="528" t="str">
        <f>IFERROR(INDEX(Produtividade!N:N,MATCH($B31,Produtividade!C:C,0)),"")</f>
        <v/>
      </c>
      <c r="K31" s="519" t="str">
        <f>IFERROR(INDEX(Produtividade!O:O,MATCH($B31,Produtividade!C:C,0)),"")</f>
        <v/>
      </c>
      <c r="O31" s="534"/>
    </row>
    <row r="32" spans="2:15" hidden="1">
      <c r="B32" s="514" t="str">
        <f>IF(
'Apoio - Dados'!J5&lt;&gt;"",
'Apoio - Dados'!J5,
"EXCLUIR ESTA LINHA")</f>
        <v>EXCLUIR ESTA LINHA</v>
      </c>
      <c r="C32" s="515"/>
      <c r="D32" s="516"/>
      <c r="E32" s="516"/>
      <c r="F32" s="517" t="str">
        <f>IFERROR(INDEX(Produtividade!B:B,MATCH($B32,Produtividade!C:C,0)),"")</f>
        <v/>
      </c>
      <c r="G32" s="518" t="str">
        <f>IFERROR(INDEX('Apoio - Dados'!F:F,MATCH($B32,'Apoio - Dados'!E:E,0)),"")</f>
        <v/>
      </c>
      <c r="H32" s="531" t="str">
        <f>IFERROR(INDEX(Produtividade!L:L,MATCH($B32,Produtividade!C:C,0)),"")</f>
        <v/>
      </c>
      <c r="I32" s="518" t="str">
        <f>IFERROR(INDEX(Produtividade!M:M,MATCH($B32,Produtividade!C:C,0)),"")</f>
        <v/>
      </c>
      <c r="J32" s="528" t="str">
        <f>IFERROR(INDEX(Produtividade!N:N,MATCH($B32,Produtividade!C:C,0)),"")</f>
        <v/>
      </c>
      <c r="K32" s="519" t="str">
        <f>IFERROR(INDEX(Produtividade!O:O,MATCH($B32,Produtividade!C:C,0)),"")</f>
        <v/>
      </c>
      <c r="O32" s="534"/>
    </row>
    <row r="33" spans="2:15" hidden="1">
      <c r="B33" s="514" t="str">
        <f>IF(
'Apoio - Dados'!J6&lt;&gt;"",
'Apoio - Dados'!J6,
"EXCLUIR ESTA LINHA")</f>
        <v>EXCLUIR ESTA LINHA</v>
      </c>
      <c r="C33" s="515"/>
      <c r="D33" s="516"/>
      <c r="E33" s="516"/>
      <c r="F33" s="517" t="str">
        <f>IFERROR(INDEX(Produtividade!B:B,MATCH($B33,Produtividade!C:C,0)),"")</f>
        <v/>
      </c>
      <c r="G33" s="518" t="str">
        <f>IFERROR(INDEX('Apoio - Dados'!F:F,MATCH($B33,'Apoio - Dados'!E:E,0)),"")</f>
        <v/>
      </c>
      <c r="H33" s="531" t="str">
        <f>IFERROR(INDEX(Produtividade!L:L,MATCH($B33,Produtividade!C:C,0)),"")</f>
        <v/>
      </c>
      <c r="I33" s="518" t="str">
        <f>IFERROR(INDEX(Produtividade!M:M,MATCH($B33,Produtividade!C:C,0)),"")</f>
        <v/>
      </c>
      <c r="J33" s="528" t="str">
        <f>IFERROR(INDEX(Produtividade!N:N,MATCH($B33,Produtividade!C:C,0)),"")</f>
        <v/>
      </c>
      <c r="K33" s="519" t="str">
        <f>IFERROR(INDEX(Produtividade!O:O,MATCH($B33,Produtividade!C:C,0)),"")</f>
        <v/>
      </c>
      <c r="O33" s="534"/>
    </row>
    <row r="34" spans="2:15" hidden="1">
      <c r="B34" s="514" t="str">
        <f>IF(
'Apoio - Dados'!J7&lt;&gt;"",
'Apoio - Dados'!J7,
"EXCLUIR ESTA LINHA")</f>
        <v>EXCLUIR ESTA LINHA</v>
      </c>
      <c r="C34" s="515"/>
      <c r="D34" s="516"/>
      <c r="E34" s="516"/>
      <c r="F34" s="517" t="str">
        <f>IFERROR(INDEX(Produtividade!B:B,MATCH($B34,Produtividade!C:C,0)),"")</f>
        <v/>
      </c>
      <c r="G34" s="518" t="str">
        <f>IFERROR(INDEX('Apoio - Dados'!F:F,MATCH($B34,'Apoio - Dados'!E:E,0)),"")</f>
        <v/>
      </c>
      <c r="H34" s="531" t="str">
        <f>IFERROR(INDEX(Produtividade!L:L,MATCH($B34,Produtividade!C:C,0)),"")</f>
        <v/>
      </c>
      <c r="I34" s="518" t="str">
        <f>IFERROR(INDEX(Produtividade!M:M,MATCH($B34,Produtividade!C:C,0)),"")</f>
        <v/>
      </c>
      <c r="J34" s="528" t="str">
        <f>IFERROR(INDEX(Produtividade!N:N,MATCH($B34,Produtividade!C:C,0)),"")</f>
        <v/>
      </c>
      <c r="K34" s="519" t="str">
        <f>IFERROR(INDEX(Produtividade!O:O,MATCH($B34,Produtividade!C:C,0)),"")</f>
        <v/>
      </c>
      <c r="O34" s="534"/>
    </row>
    <row r="35" spans="2:15" hidden="1">
      <c r="B35" s="514" t="str">
        <f>IF(
'Apoio - Dados'!J8&lt;&gt;"",
'Apoio - Dados'!J8,
"EXCLUIR ESTA LINHA")</f>
        <v>EXCLUIR ESTA LINHA</v>
      </c>
      <c r="C35" s="515"/>
      <c r="D35" s="516"/>
      <c r="E35" s="516"/>
      <c r="F35" s="517" t="str">
        <f>IFERROR(INDEX(Produtividade!B:B,MATCH($B35,Produtividade!C:C,0)),"")</f>
        <v/>
      </c>
      <c r="G35" s="518" t="str">
        <f>IFERROR(INDEX('Apoio - Dados'!F:F,MATCH($B35,'Apoio - Dados'!E:E,0)),"")</f>
        <v/>
      </c>
      <c r="H35" s="531" t="str">
        <f>IFERROR(INDEX(Produtividade!L:L,MATCH($B35,Produtividade!C:C,0)),"")</f>
        <v/>
      </c>
      <c r="I35" s="518" t="str">
        <f>IFERROR(INDEX(Produtividade!M:M,MATCH($B35,Produtividade!C:C,0)),"")</f>
        <v/>
      </c>
      <c r="J35" s="528" t="str">
        <f>IFERROR(INDEX(Produtividade!N:N,MATCH($B35,Produtividade!C:C,0)),"")</f>
        <v/>
      </c>
      <c r="K35" s="519" t="str">
        <f>IFERROR(INDEX(Produtividade!O:O,MATCH($B35,Produtividade!C:C,0)),"")</f>
        <v/>
      </c>
      <c r="O35" s="534"/>
    </row>
    <row r="36" spans="2:15" hidden="1">
      <c r="B36" s="514" t="str">
        <f>IF(
'Apoio - Dados'!J9&lt;&gt;"",
'Apoio - Dados'!J9,
"EXCLUIR ESTA LINHA")</f>
        <v>EXCLUIR ESTA LINHA</v>
      </c>
      <c r="C36" s="515"/>
      <c r="D36" s="516"/>
      <c r="E36" s="516"/>
      <c r="F36" s="517" t="str">
        <f>IFERROR(INDEX(Produtividade!B:B,MATCH($B36,Produtividade!C:C,0)),"")</f>
        <v/>
      </c>
      <c r="G36" s="518" t="str">
        <f>IFERROR(INDEX('Apoio - Dados'!F:F,MATCH($B36,'Apoio - Dados'!E:E,0)),"")</f>
        <v/>
      </c>
      <c r="H36" s="531" t="str">
        <f>IFERROR(INDEX(Produtividade!L:L,MATCH($B36,Produtividade!C:C,0)),"")</f>
        <v/>
      </c>
      <c r="I36" s="518" t="str">
        <f>IFERROR(INDEX(Produtividade!M:M,MATCH($B36,Produtividade!C:C,0)),"")</f>
        <v/>
      </c>
      <c r="J36" s="528" t="str">
        <f>IFERROR(INDEX(Produtividade!N:N,MATCH($B36,Produtividade!C:C,0)),"")</f>
        <v/>
      </c>
      <c r="K36" s="519" t="str">
        <f>IFERROR(INDEX(Produtividade!O:O,MATCH($B36,Produtividade!C:C,0)),"")</f>
        <v/>
      </c>
      <c r="O36" s="534"/>
    </row>
    <row r="37" spans="2:15" hidden="1">
      <c r="B37" s="514" t="str">
        <f>IF(
'Apoio - Dados'!J10&lt;&gt;"",
'Apoio - Dados'!J10,
"EXCLUIR ESTA LINHA")</f>
        <v>EXCLUIR ESTA LINHA</v>
      </c>
      <c r="C37" s="515"/>
      <c r="D37" s="516"/>
      <c r="E37" s="516"/>
      <c r="F37" s="517" t="str">
        <f>IFERROR(INDEX(Produtividade!B:B,MATCH($B37,Produtividade!C:C,0)),"")</f>
        <v/>
      </c>
      <c r="G37" s="518" t="str">
        <f>IFERROR(INDEX('Apoio - Dados'!F:F,MATCH($B37,'Apoio - Dados'!E:E,0)),"")</f>
        <v/>
      </c>
      <c r="H37" s="531" t="str">
        <f>IFERROR(INDEX(Produtividade!L:L,MATCH($B37,Produtividade!C:C,0)),"")</f>
        <v/>
      </c>
      <c r="I37" s="518" t="str">
        <f>IFERROR(INDEX(Produtividade!M:M,MATCH($B37,Produtividade!C:C,0)),"")</f>
        <v/>
      </c>
      <c r="J37" s="528" t="str">
        <f>IFERROR(INDEX(Produtividade!N:N,MATCH($B37,Produtividade!C:C,0)),"")</f>
        <v/>
      </c>
      <c r="K37" s="519" t="str">
        <f>IFERROR(INDEX(Produtividade!O:O,MATCH($B37,Produtividade!C:C,0)),"")</f>
        <v/>
      </c>
      <c r="O37" s="534"/>
    </row>
    <row r="38" spans="2:15" hidden="1">
      <c r="B38" s="514" t="str">
        <f>IF(
'Apoio - Dados'!J11&lt;&gt;"",
'Apoio - Dados'!J11,
"EXCLUIR ESTA LINHA")</f>
        <v>EXCLUIR ESTA LINHA</v>
      </c>
      <c r="C38" s="515"/>
      <c r="D38" s="516"/>
      <c r="E38" s="516"/>
      <c r="F38" s="517" t="str">
        <f>IFERROR(INDEX(Produtividade!B:B,MATCH($B38,Produtividade!C:C,0)),"")</f>
        <v/>
      </c>
      <c r="G38" s="518" t="str">
        <f>IFERROR(INDEX('Apoio - Dados'!F:F,MATCH($B38,'Apoio - Dados'!E:E,0)),"")</f>
        <v/>
      </c>
      <c r="H38" s="531" t="str">
        <f>IFERROR(INDEX(Produtividade!L:L,MATCH($B38,Produtividade!C:C,0)),"")</f>
        <v/>
      </c>
      <c r="I38" s="518" t="str">
        <f>IFERROR(INDEX(Produtividade!M:M,MATCH($B38,Produtividade!C:C,0)),"")</f>
        <v/>
      </c>
      <c r="J38" s="528" t="str">
        <f>IFERROR(INDEX(Produtividade!N:N,MATCH($B38,Produtividade!C:C,0)),"")</f>
        <v/>
      </c>
      <c r="K38" s="519" t="str">
        <f>IFERROR(INDEX(Produtividade!O:O,MATCH($B38,Produtividade!C:C,0)),"")</f>
        <v/>
      </c>
      <c r="O38" s="534"/>
    </row>
    <row r="39" spans="2:15" hidden="1">
      <c r="B39" s="507"/>
      <c r="C39" s="508"/>
      <c r="D39" s="508"/>
      <c r="E39" s="508"/>
      <c r="F39" s="520"/>
      <c r="G39" s="529"/>
      <c r="H39" s="532">
        <f>SUM(H29:H38)</f>
        <v>0</v>
      </c>
      <c r="I39" s="529"/>
      <c r="J39" s="529">
        <f>SUM(J29:J38)</f>
        <v>0</v>
      </c>
      <c r="K39" s="530">
        <f>SUM(K29:K38)</f>
        <v>0</v>
      </c>
      <c r="O39" s="534"/>
    </row>
    <row r="40" spans="2:15" ht="6.75" customHeight="1">
      <c r="B40" s="47"/>
      <c r="C40" s="47"/>
      <c r="D40" s="47"/>
      <c r="E40" s="47"/>
      <c r="F40" s="47"/>
      <c r="G40" s="47"/>
      <c r="H40" s="47"/>
      <c r="I40" s="47"/>
      <c r="J40" s="47"/>
      <c r="K40" s="47"/>
    </row>
    <row r="41" spans="2:15">
      <c r="B41" s="27" t="s">
        <v>520</v>
      </c>
      <c r="C41" s="28"/>
      <c r="D41" s="28"/>
      <c r="E41" s="28"/>
      <c r="F41" s="28"/>
      <c r="G41" s="28"/>
      <c r="H41" s="28"/>
      <c r="I41" s="33"/>
      <c r="J41" s="33"/>
      <c r="K41" s="34"/>
    </row>
    <row r="42" spans="2:15">
      <c r="B42" s="402" t="s">
        <v>339</v>
      </c>
      <c r="C42" s="403"/>
      <c r="D42" s="403"/>
      <c r="E42" s="403"/>
      <c r="F42" s="403"/>
      <c r="G42" s="403"/>
      <c r="H42" s="403"/>
      <c r="I42" s="403"/>
      <c r="J42" s="404" t="s">
        <v>414</v>
      </c>
      <c r="K42" s="405" t="s">
        <v>437</v>
      </c>
    </row>
    <row r="43" spans="2:15">
      <c r="B43" s="56" t="s">
        <v>285</v>
      </c>
      <c r="C43" s="3"/>
      <c r="D43" s="3"/>
      <c r="E43" s="3"/>
      <c r="F43" s="3"/>
      <c r="G43" s="3"/>
      <c r="H43" s="3"/>
      <c r="I43" s="397"/>
      <c r="J43" s="81">
        <f>SUM(
IFERROR(SUM(Produtividade!$E187:$XFD187),0),
IFERROR(SUMPRODUCT('Mão de Obra'!$E$179:$XFD$179,'Mão de Obra'!$E$185:$XFD$185),0)
)</f>
        <v>15934.84</v>
      </c>
      <c r="K43" s="82">
        <f>SUM(
IFERROR(SUM('Mão de Obra'!E187:XS187),0),
IFERROR(SUM(Produtividade!E187:XX187),0))</f>
        <v>191218.08</v>
      </c>
      <c r="L43" s="534"/>
    </row>
    <row r="44" spans="2:15">
      <c r="B44" s="56" t="s">
        <v>364</v>
      </c>
      <c r="I44" s="398"/>
      <c r="J44" s="35">
        <f>SUM(
IFERROR(SUMPRODUCT(Produtividade!E148:XFD148,Produtividade!$E$29:$XFD$29),0),
IFERROR(SUMPRODUCT('Mão de Obra'!E148:XFD148,'Mão de Obra'!$E$29:$XFD$29,'Mão de Obra'!$E$185:$XFD$185),0)
)</f>
        <v>463.45000000000005</v>
      </c>
      <c r="K44" s="82">
        <f>IFERROR(SUM(
IFERROR(SUMPRODUCT('Mão de Obra'!E148:XFD148,'Mão de Obra'!$E$29:$XFD$29,'Mão de Obra'!$E$186:$XFD$186),0),
IFERROR(SUMPRODUCT(Produtividade!E148:XFD148,Produtividade!$E$29:$XFD$29,Produtividade!$E$186:$XFD$186),0)
),"")</f>
        <v>5561.4000000000005</v>
      </c>
      <c r="L44" s="534"/>
      <c r="N44" s="534"/>
    </row>
    <row r="45" spans="2:15">
      <c r="B45" s="56" t="s">
        <v>363</v>
      </c>
      <c r="I45" s="398"/>
      <c r="J45" s="35">
        <f>SUM(
IFERROR(SUMPRODUCT(Produtividade!E149:XFD149,Produtividade!$E$29:$XFD$29),0),
IFERROR(SUMPRODUCT('Mão de Obra'!E149:XFD149,'Mão de Obra'!$E$29:$XFD$29,'Mão de Obra'!$E$185:$XFD$185),0)
)</f>
        <v>1207.9499999999998</v>
      </c>
      <c r="K45" s="82">
        <f>IFERROR(SUM(
IFERROR(SUMPRODUCT('Mão de Obra'!E149:XFD149,'Mão de Obra'!$E$29:$XFD$29,'Mão de Obra'!$E$186:$XFD$186),0),
IFERROR(SUMPRODUCT(Produtividade!E149:XFD149,Produtividade!$E$29:$XFD$29,Produtividade!$E$186:$XFD$186),0)
),"")</f>
        <v>14495.399999999998</v>
      </c>
      <c r="L45" s="534"/>
    </row>
    <row r="46" spans="2:15">
      <c r="B46" s="56" t="s">
        <v>528</v>
      </c>
      <c r="I46" s="398"/>
      <c r="J46" s="29">
        <f>IFERROR(SUM(Veículos!E93:DG93),0)</f>
        <v>3539.01</v>
      </c>
      <c r="K46" s="82">
        <f>IFERROR(J46*$J$6,0)</f>
        <v>42468.12</v>
      </c>
      <c r="L46" s="534"/>
    </row>
    <row r="47" spans="2:15">
      <c r="B47" s="62" t="s">
        <v>338</v>
      </c>
      <c r="C47" s="63"/>
      <c r="D47" s="63"/>
      <c r="E47" s="63"/>
      <c r="F47" s="63"/>
      <c r="G47" s="63"/>
      <c r="H47" s="63"/>
      <c r="I47" s="399"/>
      <c r="J47" s="64">
        <f>IFERROR(SUM(J43:J46),0)</f>
        <v>21145.25</v>
      </c>
      <c r="K47" s="65">
        <f>SUM(K43:K46)</f>
        <v>253742.99999999997</v>
      </c>
      <c r="L47" s="534"/>
    </row>
    <row r="48" spans="2:15">
      <c r="B48" s="406" t="s">
        <v>225</v>
      </c>
      <c r="C48" s="407"/>
      <c r="D48" s="407"/>
      <c r="E48" s="407"/>
      <c r="F48" s="407"/>
      <c r="G48" s="407"/>
      <c r="H48" s="407"/>
      <c r="I48" s="408"/>
      <c r="J48" s="409"/>
      <c r="K48" s="410"/>
      <c r="L48" s="534"/>
    </row>
    <row r="49" spans="2:12">
      <c r="B49" s="56" t="s">
        <v>341</v>
      </c>
      <c r="C49" s="276"/>
      <c r="F49" s="29"/>
      <c r="I49" s="400"/>
      <c r="J49" s="80">
        <f>SUM(
IFERROR(SUMPRODUCT('Mão de Obra'!E155:XFD155,'Mão de Obra'!$E$29:$XFD$29,'Mão de Obra'!$E$185:$XFD$185),0),
IFERROR(SUMPRODUCT(Produtividade!E155:XFD155,Produtividade!$E$29:$XFD$29,Produtividade!$E$185:$XFD$185),0),
IFERROR(SUMPRODUCT(Veículos!E64:XFD64,Veículos!$E$4:$XFD$4),0)
)</f>
        <v>1057.27</v>
      </c>
      <c r="K49" s="30">
        <f>IFERROR(SUM(
IFERROR(SUMPRODUCT('Mão de Obra'!E155:XFD155,'Mão de Obra'!$E$29:$XFD$29,'Mão de Obra'!$E$186:$XFD$186),0),
IFERROR(SUMPRODUCT(Produtividade!E155:XFD155,Produtividade!$E$29:$XFD$29,Produtividade!$E$186:$XFD$186),0),
IFERROR(SUMPRODUCT(Veículos!E64:XFD64,Veículos!$E$4:$XFD$4)*$J$6,0)
),"")</f>
        <v>12687.24</v>
      </c>
      <c r="L49" s="534"/>
    </row>
    <row r="50" spans="2:12">
      <c r="B50" s="56" t="s">
        <v>280</v>
      </c>
      <c r="C50" s="276"/>
      <c r="F50" s="29"/>
      <c r="H50" s="36"/>
      <c r="I50" s="400"/>
      <c r="J50" s="80">
        <f>SUM(
IFERROR(SUMPRODUCT('Mão de Obra'!E156:XFD156,'Mão de Obra'!$E$29:$XFD$29,'Mão de Obra'!$E$185:$XFD$185),0),
IFERROR(SUMPRODUCT(Produtividade!E156:XFD156,Produtividade!$E$29:$XFD$29,Produtividade!$E$185:$XFD$185),0),
IFERROR(SUMPRODUCT(Veículos!E65:XFD65,Veículos!$E$4:$XFD$4),0)
)</f>
        <v>2220.25</v>
      </c>
      <c r="K50" s="30">
        <f>IFERROR(SUM(
IFERROR(SUMPRODUCT('Mão de Obra'!E156:XFD156,'Mão de Obra'!$E$29:$XFD$29,'Mão de Obra'!$E$186:$XFD$186),0),
IFERROR(SUMPRODUCT(Produtividade!E156:XFD156,Produtividade!$E$29:$XFD$29,Produtividade!$E$186:$XFD$186),0),
IFERROR(SUMPRODUCT(Veículos!E65:XFD65,Veículos!$E$4:$XFD$4)*$J$6,0)
),"")</f>
        <v>26643.000000000004</v>
      </c>
      <c r="L50" s="534"/>
    </row>
    <row r="51" spans="2:12">
      <c r="B51" s="56" t="s">
        <v>340</v>
      </c>
      <c r="C51" s="276"/>
      <c r="F51" s="29"/>
      <c r="H51" s="36"/>
      <c r="I51" s="400"/>
      <c r="J51" s="46"/>
      <c r="K51" s="30"/>
      <c r="L51" s="534"/>
    </row>
    <row r="52" spans="2:12">
      <c r="B52" s="66" t="s">
        <v>45</v>
      </c>
      <c r="C52" s="276"/>
      <c r="F52" s="29"/>
      <c r="H52" s="36"/>
      <c r="I52" s="400"/>
      <c r="J52" s="46">
        <f>SUM(
IFERROR(SUMPRODUCT('Mão de Obra'!E160:XFD160,'Mão de Obra'!$E$29:$XFD$29,'Mão de Obra'!$E$185:$XFD$185),0),
IFERROR(SUMPRODUCT(Produtividade!E160:XFD160,Produtividade!$E$29:$XFD$29,Produtividade!$E$185:$XFD$185),0),
IFERROR(SUMPRODUCT(Veículos!E69:XFD69,Veículos!$E$4:$XFD$4),0)
)</f>
        <v>798.48</v>
      </c>
      <c r="K52" s="30">
        <f>IFERROR(SUM(
IFERROR(SUMPRODUCT('Mão de Obra'!E160:XFD160,'Mão de Obra'!$E$29:$XFD$29,'Mão de Obra'!$E$186:$XFD$186),0),
IFERROR(SUMPRODUCT(Produtividade!E160:XFD160,Produtividade!$E$29:$XFD$29,Produtividade!$E$186:$XFD$186),0),
IFERROR(SUMPRODUCT(Veículos!E69:XFD69,Veículos!$E$4:$XFD$4)*$J$6,0)
),"")</f>
        <v>9581.76</v>
      </c>
      <c r="L52" s="534"/>
    </row>
    <row r="53" spans="2:12">
      <c r="B53" s="66" t="s">
        <v>135</v>
      </c>
      <c r="C53" s="276"/>
      <c r="H53" s="37"/>
      <c r="I53" s="400"/>
      <c r="J53" s="46">
        <f>SUM(
IFERROR(SUMPRODUCT('Mão de Obra'!E161:XFD161,'Mão de Obra'!$E$29:$XFD$29,'Mão de Obra'!$E$185:$XFD$185),0),
IFERROR(SUMPRODUCT(Produtividade!E161:XFD161,Produtividade!$E$29:$XFD$29,Produtividade!$E$185:$XFD$185),0),
IFERROR(SUMPRODUCT(Veículos!E70:XFD70,Veículos!$E$4:$XFD$4),0)
)</f>
        <v>173.01</v>
      </c>
      <c r="K53" s="30">
        <f>SUM(
IFERROR(SUMPRODUCT('Mão de Obra'!E161:XFD161,'Mão de Obra'!$E$29:$XFD$29,'Mão de Obra'!$E$186:$XFD$186),0),
IFERROR(SUMPRODUCT(Produtividade!E161:XFD161,Produtividade!$E$29:$XFD$29,Produtividade!$E$186:$XFD$186),0),
IFERROR(SUMPRODUCT(Veículos!E70:XFD70,Veículos!$E$4:$XFD$4)*$J$6,0))</f>
        <v>2076.12</v>
      </c>
      <c r="L53" s="534"/>
    </row>
    <row r="54" spans="2:12">
      <c r="B54" s="66" t="s">
        <v>46</v>
      </c>
      <c r="C54" s="276"/>
      <c r="H54" s="37"/>
      <c r="I54" s="400"/>
      <c r="J54" s="46">
        <f>SUM(
IFERROR(SUMPRODUCT('Mão de Obra'!E164:XFD164,'Mão de Obra'!$E$29:$XFD$29,'Mão de Obra'!$E$185:$XFD$185),0),
IFERROR(SUMPRODUCT(Produtividade!E164:XFD164,Produtividade!$E$29:$XFD$29,Produtividade!$E$185:$XFD$185),0),
IFERROR(SUMPRODUCT(Veículos!E73:XFD73,Veículos!$E$4:$XFD$4),0)
)</f>
        <v>1221.93</v>
      </c>
      <c r="K54" s="30">
        <f>SUM(
IFERROR(SUMPRODUCT('Mão de Obra'!E164:XFD164,'Mão de Obra'!$E$29:$XFD$29,'Mão de Obra'!$E$186:$XFD$186),0),
IFERROR(SUMPRODUCT(Produtividade!E164:XFD164,Produtividade!$E$29:$XFD$29,Produtividade!$E$186:$XFD$186),0),
IFERROR(SUMPRODUCT(Veículos!E73:XFD73,Veículos!$E$4:$XFD$4)*$J$6,0))</f>
        <v>14663.160000000002</v>
      </c>
      <c r="L54" s="534"/>
    </row>
    <row r="55" spans="2:12">
      <c r="B55" s="66" t="s">
        <v>394</v>
      </c>
      <c r="C55" s="276"/>
      <c r="H55" s="37"/>
      <c r="I55" s="400"/>
      <c r="J55" s="46">
        <f>SUM(
IFERROR(SUMPRODUCT('Mão de Obra'!E165:XFD165,'Mão de Obra'!$E$29:$XFD$29,'Mão de Obra'!$E$185:$XFD$185),0),
IFERROR(SUMPRODUCT(Produtividade!E165:XFD165,Produtividade!$E$29:$XFD$29,Produtividade!$E$185:$XFD$185),0),
IFERROR(SUMPRODUCT(Veículos!E74:XFD74,Veículos!$E$4:$XFD$4),0)
)</f>
        <v>0</v>
      </c>
      <c r="K55" s="30">
        <f>SUM(
IFERROR(SUMPRODUCT('Mão de Obra'!E165:XFD165,'Mão de Obra'!$E$29:$XFD$29,'Mão de Obra'!$E$186:$XFD$186),0),
IFERROR(SUMPRODUCT(Produtividade!E165:XFD165,Produtividade!$E$29:$XFD$29,Produtividade!$E$186:$XFD$186),0),
IFERROR(SUMPRODUCT(Veículos!E74:XFD74,Veículos!$E$4:$XFD$4)*$J$6,0))</f>
        <v>0</v>
      </c>
      <c r="L55" s="534"/>
    </row>
    <row r="56" spans="2:12">
      <c r="B56" s="61" t="s">
        <v>338</v>
      </c>
      <c r="C56" s="57"/>
      <c r="D56" s="57"/>
      <c r="E56" s="57"/>
      <c r="F56" s="58"/>
      <c r="G56" s="59"/>
      <c r="H56" s="59"/>
      <c r="I56" s="401"/>
      <c r="J56" s="59">
        <f>SUM(J49:J55)</f>
        <v>5470.9400000000005</v>
      </c>
      <c r="K56" s="60">
        <f>SUM(K49:K55)</f>
        <v>65651.280000000013</v>
      </c>
      <c r="L56" s="534"/>
    </row>
    <row r="57" spans="2:12">
      <c r="B57" s="67" t="s">
        <v>274</v>
      </c>
      <c r="C57" s="28"/>
      <c r="D57" s="28"/>
      <c r="E57" s="28"/>
      <c r="F57" s="33"/>
      <c r="G57" s="31"/>
      <c r="H57" s="31"/>
      <c r="I57" s="31"/>
      <c r="J57" s="31">
        <f>SUM(J47,J56)</f>
        <v>26616.190000000002</v>
      </c>
      <c r="K57" s="32">
        <f>SUM(K47,K56)</f>
        <v>319394.27999999997</v>
      </c>
    </row>
    <row r="58" spans="2:12">
      <c r="B58" s="375"/>
      <c r="C58" s="3"/>
      <c r="D58" s="3"/>
      <c r="E58" s="3"/>
      <c r="F58" s="324"/>
      <c r="G58" s="324"/>
      <c r="H58" s="45"/>
      <c r="I58" s="45"/>
      <c r="J58" s="45"/>
      <c r="K58" s="45"/>
      <c r="L58" s="535"/>
    </row>
    <row r="59" spans="2:12">
      <c r="B59" s="38"/>
    </row>
    <row r="60" spans="2:12">
      <c r="B60" s="38"/>
      <c r="D60" s="762" t="s">
        <v>573</v>
      </c>
      <c r="E60" s="762"/>
      <c r="F60" s="762"/>
      <c r="G60" s="762"/>
      <c r="I60" s="39"/>
    </row>
    <row r="61" spans="2:12">
      <c r="B61" s="38"/>
      <c r="D61" s="38"/>
      <c r="E61" s="38"/>
      <c r="F61" s="38"/>
      <c r="G61" s="39"/>
      <c r="I61" s="39"/>
    </row>
    <row r="62" spans="2:12">
      <c r="B62" s="38"/>
      <c r="D62" s="38"/>
      <c r="E62" s="38"/>
      <c r="F62" s="38"/>
      <c r="G62" s="39"/>
      <c r="I62" s="39"/>
    </row>
    <row r="63" spans="2:12">
      <c r="B63" s="38"/>
      <c r="D63" s="746"/>
      <c r="E63" s="746"/>
      <c r="F63" s="746"/>
      <c r="G63" s="746"/>
      <c r="I63" s="39"/>
    </row>
    <row r="64" spans="2:12">
      <c r="B64" s="38"/>
      <c r="D64" s="787" t="s">
        <v>343</v>
      </c>
      <c r="E64" s="787"/>
      <c r="F64" s="787"/>
      <c r="G64" s="787"/>
      <c r="I64" s="39"/>
    </row>
    <row r="65" spans="2:9">
      <c r="B65" s="38"/>
      <c r="D65" s="38"/>
      <c r="E65" s="38"/>
      <c r="F65" s="38"/>
      <c r="G65" s="39"/>
      <c r="I65" s="39"/>
    </row>
    <row r="66" spans="2:9" ht="15.75" thickBot="1">
      <c r="B66" s="38"/>
      <c r="D66" s="788" t="s">
        <v>342</v>
      </c>
      <c r="E66" s="788"/>
      <c r="F66" s="788"/>
      <c r="G66" s="788"/>
      <c r="I66" s="39"/>
    </row>
    <row r="67" spans="2:9">
      <c r="B67" s="38"/>
      <c r="D67" s="766"/>
      <c r="E67" s="767"/>
      <c r="F67" s="767"/>
      <c r="G67" s="768"/>
      <c r="I67" s="39"/>
    </row>
    <row r="68" spans="2:9">
      <c r="B68" s="38"/>
      <c r="D68" s="769"/>
      <c r="E68" s="770"/>
      <c r="F68" s="770"/>
      <c r="G68" s="771"/>
      <c r="I68" s="39"/>
    </row>
    <row r="69" spans="2:9">
      <c r="B69" s="38"/>
      <c r="D69" s="769"/>
      <c r="E69" s="770"/>
      <c r="F69" s="770"/>
      <c r="G69" s="771"/>
      <c r="I69" s="39"/>
    </row>
    <row r="70" spans="2:9">
      <c r="B70" s="38"/>
      <c r="D70" s="769"/>
      <c r="E70" s="770"/>
      <c r="F70" s="770"/>
      <c r="G70" s="771"/>
      <c r="I70" s="39"/>
    </row>
    <row r="71" spans="2:9">
      <c r="B71" s="38"/>
      <c r="D71" s="769"/>
      <c r="E71" s="770"/>
      <c r="F71" s="770"/>
      <c r="G71" s="771"/>
      <c r="I71" s="39"/>
    </row>
    <row r="72" spans="2:9">
      <c r="B72" s="38"/>
      <c r="D72" s="769"/>
      <c r="E72" s="770"/>
      <c r="F72" s="770"/>
      <c r="G72" s="771"/>
      <c r="I72" s="39"/>
    </row>
    <row r="73" spans="2:9">
      <c r="B73" s="38"/>
      <c r="D73" s="769"/>
      <c r="E73" s="770"/>
      <c r="F73" s="770"/>
      <c r="G73" s="771"/>
      <c r="I73" s="39"/>
    </row>
    <row r="74" spans="2:9">
      <c r="B74" s="38"/>
      <c r="D74" s="769"/>
      <c r="E74" s="770"/>
      <c r="F74" s="770"/>
      <c r="G74" s="771"/>
      <c r="I74" s="39"/>
    </row>
    <row r="75" spans="2:9" ht="15.75" thickBot="1">
      <c r="B75" s="38"/>
      <c r="D75" s="772"/>
      <c r="E75" s="773"/>
      <c r="F75" s="773"/>
      <c r="G75" s="774"/>
      <c r="I75" s="39"/>
    </row>
    <row r="76" spans="2:9">
      <c r="B76" s="38"/>
      <c r="D76" s="38"/>
      <c r="E76" s="38"/>
      <c r="F76" s="39"/>
      <c r="G76" s="39"/>
    </row>
  </sheetData>
  <sheetProtection formatCells="0" formatColumns="0" insertColumns="0" insertRows="0" deleteColumns="0" deleteRows="0"/>
  <protectedRanges>
    <protectedRange sqref="D60:E60" name="Intervalo2"/>
  </protectedRanges>
  <mergeCells count="30">
    <mergeCell ref="D67:G75"/>
    <mergeCell ref="J6:K6"/>
    <mergeCell ref="J7:K7"/>
    <mergeCell ref="G7:I7"/>
    <mergeCell ref="G6:I6"/>
    <mergeCell ref="G9:H9"/>
    <mergeCell ref="I11:K11"/>
    <mergeCell ref="I12:K12"/>
    <mergeCell ref="C6:F6"/>
    <mergeCell ref="C7:F7"/>
    <mergeCell ref="C12:F12"/>
    <mergeCell ref="C13:F13"/>
    <mergeCell ref="D64:G64"/>
    <mergeCell ref="D66:G66"/>
    <mergeCell ref="J10:K10"/>
    <mergeCell ref="I13:K13"/>
    <mergeCell ref="D63:G63"/>
    <mergeCell ref="B2:K2"/>
    <mergeCell ref="B4:K4"/>
    <mergeCell ref="C9:F9"/>
    <mergeCell ref="C11:F11"/>
    <mergeCell ref="C10:F10"/>
    <mergeCell ref="J9:K9"/>
    <mergeCell ref="B3:K3"/>
    <mergeCell ref="G12:H12"/>
    <mergeCell ref="G13:H13"/>
    <mergeCell ref="G11:H11"/>
    <mergeCell ref="G10:H10"/>
    <mergeCell ref="D60:G60"/>
    <mergeCell ref="B8:K8"/>
  </mergeCells>
  <conditionalFormatting sqref="C6:C7 J6:J7 B8 C9 J9:J10 C11:C13 I11:I13">
    <cfRule type="expression" dxfId="5" priority="70">
      <formula>#REF!</formula>
    </cfRule>
  </conditionalFormatting>
  <conditionalFormatting sqref="G24:G25">
    <cfRule type="expression" dxfId="4" priority="1">
      <formula>#REF!="Área (m²)"</formula>
    </cfRule>
  </conditionalFormatting>
  <conditionalFormatting sqref="H21">
    <cfRule type="expression" dxfId="3" priority="14">
      <formula>#REF!="Área (m²)"</formula>
    </cfRule>
  </conditionalFormatting>
  <conditionalFormatting sqref="H24:H26">
    <cfRule type="expression" dxfId="2" priority="11">
      <formula>#REF!="Área (m²)"</formula>
    </cfRule>
  </conditionalFormatting>
  <conditionalFormatting sqref="I24">
    <cfRule type="expression" dxfId="1" priority="10">
      <formula>#REF!="Área (m²)"</formula>
    </cfRule>
  </conditionalFormatting>
  <dataValidations count="1">
    <dataValidation type="list" allowBlank="1" sqref="J7" xr:uid="{00000000-0002-0000-0500-000000000000}">
      <formula1>"Valor Global,Mês,Dia,Hora"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500-000001000000}">
          <x14:formula1>
            <xm:f>'Apoio - Dados'!$A:$A</xm:f>
          </x14:formula1>
          <xm:sqref>B3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ilha4"/>
  <dimension ref="A1:I17"/>
  <sheetViews>
    <sheetView showGridLines="0" zoomScale="115" zoomScaleNormal="115" workbookViewId="0">
      <selection activeCell="A12" sqref="A12"/>
    </sheetView>
  </sheetViews>
  <sheetFormatPr defaultRowHeight="15"/>
  <cols>
    <col min="1" max="1" width="16.5703125" customWidth="1"/>
    <col min="2" max="4" width="15.28515625" customWidth="1"/>
    <col min="5" max="5" width="15.28515625" style="2" customWidth="1"/>
    <col min="6" max="6" width="13.5703125" style="48" bestFit="1" customWidth="1"/>
    <col min="7" max="7" width="9" style="2" bestFit="1" customWidth="1"/>
    <col min="8" max="9" width="15.28515625" style="2" customWidth="1"/>
  </cols>
  <sheetData>
    <row r="1" spans="1:9" s="4" customFormat="1" ht="30.75" customHeight="1">
      <c r="A1" s="181" t="s">
        <v>71</v>
      </c>
      <c r="B1" s="181" t="s">
        <v>357</v>
      </c>
      <c r="C1" s="181" t="s">
        <v>538</v>
      </c>
      <c r="D1" s="181" t="s">
        <v>70</v>
      </c>
      <c r="E1" s="181" t="s">
        <v>64</v>
      </c>
      <c r="F1" s="181" t="s">
        <v>65</v>
      </c>
      <c r="G1" s="181" t="s">
        <v>63</v>
      </c>
      <c r="H1" s="181" t="s">
        <v>547</v>
      </c>
      <c r="I1" s="181" t="s">
        <v>542</v>
      </c>
    </row>
    <row r="2" spans="1:9" s="4" customFormat="1" ht="15" customHeight="1">
      <c r="A2" s="181"/>
      <c r="B2" s="181"/>
      <c r="C2" s="181"/>
      <c r="D2" s="181"/>
      <c r="E2" s="181"/>
      <c r="F2" s="181"/>
      <c r="G2" s="181"/>
      <c r="H2" s="181"/>
      <c r="I2" s="181"/>
    </row>
    <row r="3" spans="1:9">
      <c r="A3" s="180" t="s">
        <v>47</v>
      </c>
      <c r="B3" s="309">
        <v>2</v>
      </c>
      <c r="C3" s="490" t="s">
        <v>539</v>
      </c>
      <c r="D3" s="309">
        <v>7</v>
      </c>
      <c r="E3" s="309" t="s">
        <v>482</v>
      </c>
      <c r="F3" s="309"/>
      <c r="G3" s="309">
        <v>15</v>
      </c>
      <c r="H3" s="309">
        <v>220</v>
      </c>
      <c r="I3" s="309">
        <f>G3*12</f>
        <v>180</v>
      </c>
    </row>
    <row r="4" spans="1:9">
      <c r="A4" s="180" t="s">
        <v>48</v>
      </c>
      <c r="B4" s="309">
        <v>2</v>
      </c>
      <c r="C4" s="490" t="s">
        <v>539</v>
      </c>
      <c r="D4" s="309">
        <v>7</v>
      </c>
      <c r="E4" s="309" t="s">
        <v>482</v>
      </c>
      <c r="F4" s="309"/>
      <c r="G4" s="309">
        <v>15</v>
      </c>
      <c r="H4" s="309">
        <v>220</v>
      </c>
      <c r="I4" s="309">
        <f>G4*12</f>
        <v>180</v>
      </c>
    </row>
    <row r="5" spans="1:9">
      <c r="A5" s="180" t="s">
        <v>593</v>
      </c>
      <c r="B5" s="309">
        <v>1</v>
      </c>
      <c r="C5" s="490" t="s">
        <v>539</v>
      </c>
      <c r="D5" s="309"/>
      <c r="E5" s="309">
        <v>1</v>
      </c>
      <c r="F5" s="309">
        <v>4</v>
      </c>
      <c r="G5" s="309">
        <f>E5*4</f>
        <v>4</v>
      </c>
      <c r="H5" s="309">
        <f t="shared" ref="H5:H11" si="0">F5*30/6</f>
        <v>20</v>
      </c>
      <c r="I5" s="309">
        <f>F5*4</f>
        <v>16</v>
      </c>
    </row>
    <row r="6" spans="1:9">
      <c r="A6" s="180" t="s">
        <v>594</v>
      </c>
      <c r="B6" s="309">
        <v>1</v>
      </c>
      <c r="C6" s="490" t="s">
        <v>539</v>
      </c>
      <c r="D6" s="309"/>
      <c r="E6" s="309">
        <v>1</v>
      </c>
      <c r="F6" s="309">
        <v>6</v>
      </c>
      <c r="G6" s="309">
        <f t="shared" ref="G6:G9" si="1">E6*4</f>
        <v>4</v>
      </c>
      <c r="H6" s="309">
        <f t="shared" si="0"/>
        <v>30</v>
      </c>
      <c r="I6" s="309">
        <f>F6*4</f>
        <v>24</v>
      </c>
    </row>
    <row r="7" spans="1:9">
      <c r="A7" s="180" t="s">
        <v>595</v>
      </c>
      <c r="B7" s="309">
        <v>1</v>
      </c>
      <c r="C7" s="490" t="s">
        <v>539</v>
      </c>
      <c r="D7" s="309"/>
      <c r="E7" s="309">
        <v>1</v>
      </c>
      <c r="F7" s="309">
        <v>8</v>
      </c>
      <c r="G7" s="309">
        <f t="shared" si="1"/>
        <v>4</v>
      </c>
      <c r="H7" s="309">
        <f t="shared" si="0"/>
        <v>40</v>
      </c>
      <c r="I7" s="309">
        <f>F7*4</f>
        <v>32</v>
      </c>
    </row>
    <row r="8" spans="1:9">
      <c r="A8" s="180" t="s">
        <v>604</v>
      </c>
      <c r="B8" s="309">
        <v>1</v>
      </c>
      <c r="C8" s="490" t="s">
        <v>539</v>
      </c>
      <c r="D8" s="309"/>
      <c r="E8" s="309">
        <v>2</v>
      </c>
      <c r="F8" s="309">
        <v>12</v>
      </c>
      <c r="G8" s="309">
        <f t="shared" si="1"/>
        <v>8</v>
      </c>
      <c r="H8" s="309">
        <f t="shared" si="0"/>
        <v>60</v>
      </c>
      <c r="I8" s="309">
        <f t="shared" ref="I8:I9" si="2">F8*4</f>
        <v>48</v>
      </c>
    </row>
    <row r="9" spans="1:9">
      <c r="A9" s="180" t="s">
        <v>605</v>
      </c>
      <c r="B9" s="309">
        <v>1</v>
      </c>
      <c r="C9" s="490" t="s">
        <v>539</v>
      </c>
      <c r="D9" s="309"/>
      <c r="E9" s="309">
        <v>2</v>
      </c>
      <c r="F9" s="309">
        <v>16</v>
      </c>
      <c r="G9" s="309">
        <f t="shared" si="1"/>
        <v>8</v>
      </c>
      <c r="H9" s="309">
        <f t="shared" si="0"/>
        <v>80</v>
      </c>
      <c r="I9" s="309">
        <f t="shared" si="2"/>
        <v>64</v>
      </c>
    </row>
    <row r="10" spans="1:9">
      <c r="A10" s="180" t="s">
        <v>596</v>
      </c>
      <c r="B10" s="309">
        <v>1</v>
      </c>
      <c r="C10" s="490" t="s">
        <v>539</v>
      </c>
      <c r="D10" s="309">
        <v>10</v>
      </c>
      <c r="E10" s="309">
        <v>5</v>
      </c>
      <c r="F10" s="309">
        <v>20</v>
      </c>
      <c r="G10" s="309">
        <f>E10*4+2</f>
        <v>22</v>
      </c>
      <c r="H10" s="309">
        <f t="shared" si="0"/>
        <v>100</v>
      </c>
      <c r="I10" s="309">
        <f>F10*4+2*4</f>
        <v>88</v>
      </c>
    </row>
    <row r="11" spans="1:9">
      <c r="A11" s="180" t="s">
        <v>597</v>
      </c>
      <c r="B11" s="309">
        <v>1</v>
      </c>
      <c r="C11" s="490" t="s">
        <v>539</v>
      </c>
      <c r="D11" s="309">
        <v>10</v>
      </c>
      <c r="E11" s="309">
        <v>5</v>
      </c>
      <c r="F11" s="309">
        <v>30</v>
      </c>
      <c r="G11" s="309">
        <f t="shared" ref="G11:G12" si="3">E11*4+2</f>
        <v>22</v>
      </c>
      <c r="H11" s="309">
        <f t="shared" si="0"/>
        <v>150</v>
      </c>
      <c r="I11" s="309">
        <f>F11*4+2*6</f>
        <v>132</v>
      </c>
    </row>
    <row r="12" spans="1:9">
      <c r="A12" s="180" t="s">
        <v>598</v>
      </c>
      <c r="B12" s="309">
        <v>1</v>
      </c>
      <c r="C12" s="490" t="s">
        <v>539</v>
      </c>
      <c r="D12" s="309"/>
      <c r="E12" s="309">
        <v>5</v>
      </c>
      <c r="F12" s="309">
        <v>35</v>
      </c>
      <c r="G12" s="309">
        <f t="shared" si="3"/>
        <v>22</v>
      </c>
      <c r="H12" s="309">
        <v>175</v>
      </c>
      <c r="I12" s="309">
        <f>F12*4+2*7</f>
        <v>154</v>
      </c>
    </row>
    <row r="13" spans="1:9">
      <c r="A13" s="180" t="s">
        <v>599</v>
      </c>
      <c r="B13" s="309">
        <v>1</v>
      </c>
      <c r="C13" s="490" t="s">
        <v>539</v>
      </c>
      <c r="D13" s="309">
        <v>10</v>
      </c>
      <c r="E13" s="309">
        <v>6</v>
      </c>
      <c r="F13" s="309">
        <v>36</v>
      </c>
      <c r="G13" s="309">
        <f>E13*4+2</f>
        <v>26</v>
      </c>
      <c r="H13" s="309">
        <f>F13*30/6</f>
        <v>180</v>
      </c>
      <c r="I13" s="309">
        <f>F13*4+2*6</f>
        <v>156</v>
      </c>
    </row>
    <row r="14" spans="1:9">
      <c r="A14" s="180" t="s">
        <v>600</v>
      </c>
      <c r="B14" s="309">
        <v>1</v>
      </c>
      <c r="C14" s="490" t="s">
        <v>539</v>
      </c>
      <c r="D14" s="309">
        <v>10</v>
      </c>
      <c r="E14" s="309">
        <v>5</v>
      </c>
      <c r="F14" s="309">
        <v>40</v>
      </c>
      <c r="G14" s="309">
        <f>E14*4+2</f>
        <v>22</v>
      </c>
      <c r="H14" s="309">
        <f>F14*30/6</f>
        <v>200</v>
      </c>
      <c r="I14" s="309">
        <f>F14*4+2*8</f>
        <v>176</v>
      </c>
    </row>
    <row r="15" spans="1:9">
      <c r="A15" s="180" t="s">
        <v>601</v>
      </c>
      <c r="B15" s="309">
        <v>1</v>
      </c>
      <c r="C15" s="490" t="s">
        <v>539</v>
      </c>
      <c r="D15" s="309">
        <v>10</v>
      </c>
      <c r="E15" s="309">
        <v>5</v>
      </c>
      <c r="F15" s="309">
        <v>44</v>
      </c>
      <c r="G15" s="309">
        <f>E15*4+2</f>
        <v>22</v>
      </c>
      <c r="H15" s="309">
        <f>F15*30/6</f>
        <v>220</v>
      </c>
      <c r="I15" s="309">
        <f>F15*4+2*8</f>
        <v>192</v>
      </c>
    </row>
    <row r="16" spans="1:9">
      <c r="A16" s="180" t="s">
        <v>602</v>
      </c>
      <c r="B16" s="309">
        <v>1</v>
      </c>
      <c r="C16" s="490" t="s">
        <v>539</v>
      </c>
      <c r="D16" s="309">
        <v>10</v>
      </c>
      <c r="E16" s="309">
        <v>6</v>
      </c>
      <c r="F16" s="309">
        <v>44</v>
      </c>
      <c r="G16" s="309">
        <f>E16*4+2</f>
        <v>26</v>
      </c>
      <c r="H16" s="309">
        <f>F16*30/6</f>
        <v>220</v>
      </c>
      <c r="I16" s="309">
        <f>F16*4+2*8</f>
        <v>192</v>
      </c>
    </row>
    <row r="17" spans="9:9">
      <c r="I17"/>
    </row>
  </sheetData>
  <sheetProtection algorithmName="SHA-512" hashValue="sKxwYgF0ABRX2W1bn/pWGxTwHDlX/eikEceQ+9P6MT/8LxhVGQ22Xo1lpmyCZxsq79VsiLqa6q61feWVQKK1BA==" saltValue="rhiVZ2Bf4dR1Vbq+4JOXhg==" spinCount="100000" sheet="1" objects="1" scenarios="1"/>
  <dataValidations count="1">
    <dataValidation type="list" allowBlank="1" showInputMessage="1" showErrorMessage="1" sqref="C1:C1048576" xr:uid="{00000000-0002-0000-0600-000000000000}">
      <formula1>"Mensal,Diária"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5"/>
  <dimension ref="A2:R177"/>
  <sheetViews>
    <sheetView showGridLines="0" topLeftCell="A131" zoomScale="80" zoomScaleNormal="80" workbookViewId="0">
      <selection activeCell="I147" sqref="I147"/>
    </sheetView>
  </sheetViews>
  <sheetFormatPr defaultColWidth="9.140625" defaultRowHeight="15" customHeight="1"/>
  <cols>
    <col min="1" max="1" width="3.42578125" style="310" customWidth="1"/>
    <col min="2" max="2" width="5" style="597" customWidth="1"/>
    <col min="3" max="3" width="45.5703125" style="311" customWidth="1"/>
    <col min="4" max="4" width="49.140625" style="597" customWidth="1"/>
    <col min="5" max="6" width="52.28515625" style="597" customWidth="1"/>
    <col min="7" max="7" width="2.42578125" style="549" customWidth="1"/>
    <col min="8" max="17" width="17.7109375" style="550" customWidth="1"/>
    <col min="18" max="18" width="24.28515625" style="310" customWidth="1"/>
    <col min="19" max="16384" width="9.140625" style="310"/>
  </cols>
  <sheetData>
    <row r="2" spans="1:18" ht="15" customHeight="1">
      <c r="A2" s="543"/>
      <c r="B2" s="544"/>
      <c r="C2" s="545" t="s">
        <v>230</v>
      </c>
      <c r="D2" s="546"/>
      <c r="E2" s="547"/>
      <c r="F2" s="548"/>
    </row>
    <row r="3" spans="1:18" ht="15" customHeight="1">
      <c r="A3" s="543"/>
      <c r="B3" s="551" t="s">
        <v>2</v>
      </c>
      <c r="C3" s="552" t="s">
        <v>242</v>
      </c>
      <c r="D3" s="553">
        <v>7</v>
      </c>
      <c r="E3" s="554"/>
      <c r="F3" s="555"/>
    </row>
    <row r="4" spans="1:18" ht="15" customHeight="1">
      <c r="B4" s="551" t="s">
        <v>1</v>
      </c>
      <c r="C4" s="552" t="s">
        <v>243</v>
      </c>
      <c r="D4" s="553">
        <v>365</v>
      </c>
      <c r="E4" s="556"/>
      <c r="F4" s="555"/>
    </row>
    <row r="5" spans="1:18" ht="15" customHeight="1">
      <c r="B5" s="551" t="s">
        <v>0</v>
      </c>
      <c r="C5" s="552" t="s">
        <v>244</v>
      </c>
      <c r="D5" s="553">
        <v>30</v>
      </c>
      <c r="E5" s="557"/>
      <c r="F5" s="555"/>
    </row>
    <row r="6" spans="1:18" ht="15" customHeight="1">
      <c r="B6" s="551" t="s">
        <v>3</v>
      </c>
      <c r="C6" s="552" t="s">
        <v>499</v>
      </c>
      <c r="D6" s="558">
        <f>D7/D8</f>
        <v>4.333333333333333</v>
      </c>
      <c r="E6" s="559"/>
      <c r="F6" s="555" t="str">
        <f>""</f>
        <v/>
      </c>
    </row>
    <row r="7" spans="1:18" ht="15" customHeight="1">
      <c r="B7" s="551" t="s">
        <v>7</v>
      </c>
      <c r="C7" s="310" t="s">
        <v>500</v>
      </c>
      <c r="D7" s="553">
        <v>52</v>
      </c>
      <c r="E7" s="560"/>
      <c r="F7" s="561"/>
      <c r="H7" s="562"/>
    </row>
    <row r="8" spans="1:18" ht="15" customHeight="1">
      <c r="B8" s="551" t="s">
        <v>6</v>
      </c>
      <c r="C8" s="552" t="s">
        <v>245</v>
      </c>
      <c r="D8" s="553">
        <v>12</v>
      </c>
      <c r="E8" s="556"/>
      <c r="F8" s="563"/>
    </row>
    <row r="9" spans="1:18" ht="15" customHeight="1">
      <c r="B9" s="551" t="s">
        <v>5</v>
      </c>
      <c r="C9" s="552" t="s">
        <v>246</v>
      </c>
      <c r="D9" s="553">
        <v>60</v>
      </c>
      <c r="E9" s="556"/>
      <c r="F9" s="564"/>
    </row>
    <row r="10" spans="1:18" ht="15" customHeight="1">
      <c r="B10" s="551" t="s">
        <v>4</v>
      </c>
      <c r="C10" s="552" t="s">
        <v>247</v>
      </c>
      <c r="D10" s="553">
        <v>52.5</v>
      </c>
      <c r="E10" s="564"/>
      <c r="F10" s="564"/>
    </row>
    <row r="11" spans="1:18" ht="15" customHeight="1">
      <c r="B11" s="565"/>
      <c r="C11" s="566"/>
      <c r="D11" s="567"/>
      <c r="E11" s="567"/>
      <c r="F11" s="567"/>
      <c r="H11" s="568"/>
      <c r="I11" s="568"/>
      <c r="J11" s="568"/>
      <c r="K11" s="568"/>
      <c r="L11" s="568"/>
      <c r="M11" s="568"/>
      <c r="N11" s="568"/>
      <c r="O11" s="568"/>
      <c r="P11" s="568"/>
      <c r="Q11" s="568"/>
    </row>
    <row r="12" spans="1:18" s="572" customFormat="1" ht="15" customHeight="1">
      <c r="A12" s="569"/>
      <c r="B12" s="802"/>
      <c r="C12" s="799"/>
      <c r="D12" s="794" t="s">
        <v>407</v>
      </c>
      <c r="E12" s="794" t="s">
        <v>171</v>
      </c>
      <c r="F12" s="794" t="s">
        <v>404</v>
      </c>
      <c r="G12" s="549"/>
      <c r="H12" s="793" t="s">
        <v>159</v>
      </c>
      <c r="I12" s="793"/>
      <c r="J12" s="793"/>
      <c r="K12" s="793"/>
      <c r="L12" s="793"/>
      <c r="M12" s="793"/>
      <c r="N12" s="793"/>
      <c r="O12" s="793"/>
      <c r="P12" s="793"/>
      <c r="Q12" s="793"/>
      <c r="R12" s="571"/>
    </row>
    <row r="13" spans="1:18" ht="15" customHeight="1">
      <c r="A13" s="543"/>
      <c r="B13" s="803"/>
      <c r="C13" s="800"/>
      <c r="D13" s="795"/>
      <c r="E13" s="795"/>
      <c r="F13" s="795"/>
      <c r="H13" s="793" t="s">
        <v>61</v>
      </c>
      <c r="I13" s="793" t="s">
        <v>60</v>
      </c>
      <c r="J13" s="793" t="s">
        <v>531</v>
      </c>
      <c r="K13" s="570" t="s">
        <v>405</v>
      </c>
      <c r="L13" s="570" t="s">
        <v>405</v>
      </c>
      <c r="M13" s="570" t="s">
        <v>405</v>
      </c>
      <c r="N13" s="570" t="s">
        <v>405</v>
      </c>
      <c r="O13" s="570" t="s">
        <v>405</v>
      </c>
      <c r="P13" s="570" t="s">
        <v>405</v>
      </c>
      <c r="Q13" s="793" t="s">
        <v>50</v>
      </c>
      <c r="R13" s="573"/>
    </row>
    <row r="14" spans="1:18" ht="15" customHeight="1">
      <c r="A14" s="543"/>
      <c r="B14" s="804"/>
      <c r="C14" s="801"/>
      <c r="D14" s="796"/>
      <c r="E14" s="796"/>
      <c r="F14" s="796"/>
      <c r="H14" s="793"/>
      <c r="I14" s="793"/>
      <c r="J14" s="793"/>
      <c r="K14" s="570" t="s">
        <v>160</v>
      </c>
      <c r="L14" s="570" t="s">
        <v>165</v>
      </c>
      <c r="M14" s="570" t="s">
        <v>164</v>
      </c>
      <c r="N14" s="570" t="s">
        <v>163</v>
      </c>
      <c r="O14" s="570" t="s">
        <v>162</v>
      </c>
      <c r="P14" s="570" t="s">
        <v>161</v>
      </c>
      <c r="Q14" s="793"/>
      <c r="R14" s="573"/>
    </row>
    <row r="15" spans="1:18" ht="15" customHeight="1">
      <c r="A15" s="543"/>
      <c r="B15" s="574"/>
      <c r="C15" s="575" t="s">
        <v>248</v>
      </c>
      <c r="D15" s="576"/>
      <c r="E15" s="576"/>
      <c r="F15" s="576"/>
      <c r="H15" s="577"/>
      <c r="I15" s="578"/>
      <c r="J15" s="578"/>
      <c r="K15" s="579">
        <v>180000</v>
      </c>
      <c r="L15" s="579">
        <v>360000</v>
      </c>
      <c r="M15" s="579">
        <v>720000</v>
      </c>
      <c r="N15" s="579">
        <v>1800000</v>
      </c>
      <c r="O15" s="579">
        <v>3600000</v>
      </c>
      <c r="P15" s="579">
        <v>4800000</v>
      </c>
      <c r="Q15" s="580" t="str">
        <f>IF(IFERROR(SUM(Produtividade!L195:L220)&gt;0,FALSE()),Produtividade!D13,
IF(IFERROR(Veículos!$E$3&lt;&gt;"",FALSE()),'Mão de Obra'!D13,'Mão de Obra'!D13))</f>
        <v>Lucro Presumido</v>
      </c>
      <c r="R15" s="573"/>
    </row>
    <row r="16" spans="1:18" ht="15" customHeight="1">
      <c r="A16" s="543"/>
      <c r="B16" s="574"/>
      <c r="C16" s="575" t="s">
        <v>134</v>
      </c>
      <c r="D16" s="576"/>
      <c r="E16" s="576"/>
      <c r="F16" s="576"/>
      <c r="H16" s="577"/>
      <c r="I16" s="578"/>
      <c r="J16" s="578"/>
      <c r="K16" s="579">
        <v>0</v>
      </c>
      <c r="L16" s="579">
        <v>9360</v>
      </c>
      <c r="M16" s="579">
        <v>17640</v>
      </c>
      <c r="N16" s="579">
        <v>35640</v>
      </c>
      <c r="O16" s="579">
        <v>125640</v>
      </c>
      <c r="P16" s="579">
        <v>648000</v>
      </c>
      <c r="Q16" s="579" t="str">
        <f>IF(Q15="Simples",
IF(IFERROR(SUM(Produtividade!L195:L220)&gt;0,FALSE()),Produtividade!D14,
IF(IFERROR(Veículos!$E$3&lt;&gt;"",FALSE()),'Mão de Obra'!D14,'Mão de Obra'!D14)),"")</f>
        <v/>
      </c>
      <c r="R16" s="573"/>
    </row>
    <row r="17" spans="1:18" ht="15" customHeight="1">
      <c r="A17" s="543"/>
      <c r="B17" s="574"/>
      <c r="C17" s="575" t="s">
        <v>249</v>
      </c>
      <c r="D17" s="576"/>
      <c r="E17" s="576"/>
      <c r="F17" s="576"/>
      <c r="H17" s="577"/>
      <c r="I17" s="578"/>
      <c r="J17" s="578"/>
      <c r="K17" s="581">
        <v>0.06</v>
      </c>
      <c r="L17" s="582">
        <v>0.112</v>
      </c>
      <c r="M17" s="582">
        <v>0.13500000000000001</v>
      </c>
      <c r="N17" s="581">
        <v>0.16</v>
      </c>
      <c r="O17" s="581">
        <v>0.21</v>
      </c>
      <c r="P17" s="581">
        <v>0.33</v>
      </c>
      <c r="Q17" s="580"/>
      <c r="R17" s="573"/>
    </row>
    <row r="18" spans="1:18" s="549" customFormat="1" ht="15" customHeight="1">
      <c r="B18" s="583"/>
      <c r="C18"/>
    </row>
    <row r="19" spans="1:18" s="3" customFormat="1" ht="15" customHeight="1">
      <c r="B19" s="544"/>
      <c r="C19" s="584" t="s">
        <v>229</v>
      </c>
      <c r="D19" s="584"/>
      <c r="E19" s="584"/>
      <c r="F19" s="546"/>
      <c r="H19" s="544"/>
      <c r="I19" s="585"/>
      <c r="J19" s="585"/>
      <c r="K19" s="585"/>
      <c r="L19" s="585"/>
      <c r="M19" s="585"/>
      <c r="N19" s="585"/>
      <c r="O19" s="585"/>
      <c r="P19" s="585"/>
      <c r="Q19" s="586"/>
    </row>
    <row r="20" spans="1:18" s="549" customFormat="1" ht="15" customHeight="1">
      <c r="B20" s="587" t="s">
        <v>2</v>
      </c>
      <c r="C20" s="588" t="s">
        <v>172</v>
      </c>
      <c r="D20" s="589"/>
      <c r="E20" s="590" t="s">
        <v>96</v>
      </c>
      <c r="F20" s="590" t="s">
        <v>375</v>
      </c>
      <c r="H20" s="591"/>
      <c r="I20" s="591"/>
      <c r="J20" s="591"/>
      <c r="K20" s="591"/>
      <c r="L20" s="591"/>
      <c r="M20" s="591"/>
      <c r="N20" s="591"/>
      <c r="O20" s="591"/>
      <c r="P20" s="591"/>
      <c r="Q20" s="591"/>
    </row>
    <row r="21" spans="1:18" s="549" customFormat="1" ht="15" customHeight="1">
      <c r="B21" s="587" t="s">
        <v>1</v>
      </c>
      <c r="C21" s="592" t="s">
        <v>173</v>
      </c>
      <c r="D21" s="593" t="s">
        <v>97</v>
      </c>
      <c r="E21" s="593" t="s">
        <v>98</v>
      </c>
      <c r="F21" s="594" t="s">
        <v>174</v>
      </c>
      <c r="H21" s="591"/>
      <c r="I21" s="591"/>
      <c r="J21" s="591"/>
      <c r="K21" s="591"/>
      <c r="L21" s="591"/>
      <c r="M21" s="591"/>
      <c r="N21" s="591"/>
      <c r="O21" s="591"/>
      <c r="P21" s="591"/>
      <c r="Q21" s="591"/>
    </row>
    <row r="22" spans="1:18" s="549" customFormat="1" ht="15" customHeight="1">
      <c r="B22" s="587" t="s">
        <v>0</v>
      </c>
      <c r="C22" s="588" t="s">
        <v>175</v>
      </c>
      <c r="D22" s="589" t="s">
        <v>176</v>
      </c>
      <c r="E22" s="590" t="s">
        <v>99</v>
      </c>
      <c r="F22" s="590" t="s">
        <v>177</v>
      </c>
      <c r="H22" s="591"/>
      <c r="I22" s="591"/>
      <c r="J22" s="591"/>
      <c r="K22" s="591"/>
      <c r="L22" s="591"/>
      <c r="M22" s="591"/>
      <c r="N22" s="591"/>
      <c r="O22" s="591"/>
      <c r="P22" s="591"/>
      <c r="Q22" s="591"/>
    </row>
    <row r="23" spans="1:18" s="549" customFormat="1" ht="15" customHeight="1">
      <c r="B23" s="587" t="s">
        <v>3</v>
      </c>
      <c r="C23" s="592" t="s">
        <v>84</v>
      </c>
      <c r="D23" s="593" t="s">
        <v>178</v>
      </c>
      <c r="E23" s="593" t="s">
        <v>179</v>
      </c>
      <c r="F23" s="594"/>
      <c r="H23" s="591"/>
      <c r="I23" s="591"/>
      <c r="J23" s="591"/>
      <c r="K23" s="591"/>
      <c r="L23" s="591"/>
      <c r="M23" s="591"/>
      <c r="N23" s="591"/>
      <c r="O23" s="591"/>
      <c r="P23" s="591"/>
      <c r="Q23" s="591"/>
    </row>
    <row r="24" spans="1:18" s="549" customFormat="1" ht="15" customHeight="1">
      <c r="B24" s="587" t="s">
        <v>7</v>
      </c>
      <c r="C24" s="588" t="s">
        <v>100</v>
      </c>
      <c r="D24" s="589" t="s">
        <v>180</v>
      </c>
      <c r="E24" s="590" t="s">
        <v>101</v>
      </c>
      <c r="F24" s="590" t="s">
        <v>220</v>
      </c>
      <c r="H24" s="591"/>
      <c r="I24" s="591"/>
      <c r="J24" s="591"/>
      <c r="K24" s="591"/>
      <c r="L24" s="591"/>
      <c r="M24" s="591"/>
      <c r="N24" s="591"/>
      <c r="O24" s="591"/>
      <c r="P24" s="591"/>
      <c r="Q24" s="591"/>
    </row>
    <row r="25" spans="1:18" s="549" customFormat="1" ht="15" customHeight="1">
      <c r="B25" s="587" t="s">
        <v>6</v>
      </c>
      <c r="C25" s="592" t="s">
        <v>168</v>
      </c>
      <c r="D25" s="593" t="s">
        <v>181</v>
      </c>
      <c r="E25" s="593"/>
      <c r="F25" s="594"/>
      <c r="H25" s="591"/>
      <c r="I25" s="591"/>
      <c r="J25" s="591"/>
      <c r="K25" s="591"/>
      <c r="L25" s="591"/>
      <c r="M25" s="591"/>
      <c r="N25" s="591"/>
      <c r="O25" s="591"/>
      <c r="P25" s="591"/>
      <c r="Q25" s="591"/>
    </row>
    <row r="26" spans="1:18" s="549" customFormat="1" ht="15" customHeight="1">
      <c r="B26" s="587" t="s">
        <v>5</v>
      </c>
      <c r="C26" s="588" t="s">
        <v>182</v>
      </c>
      <c r="D26" s="589" t="s">
        <v>183</v>
      </c>
      <c r="E26" s="590" t="s">
        <v>102</v>
      </c>
      <c r="F26" s="590"/>
      <c r="H26" s="591"/>
      <c r="I26" s="591"/>
      <c r="J26" s="591"/>
      <c r="K26" s="591"/>
      <c r="L26" s="591"/>
      <c r="M26" s="591"/>
      <c r="N26" s="591"/>
      <c r="O26" s="591"/>
      <c r="P26" s="591"/>
      <c r="Q26" s="591"/>
    </row>
    <row r="27" spans="1:18" s="549" customFormat="1" ht="15" customHeight="1">
      <c r="B27" s="587" t="s">
        <v>4</v>
      </c>
      <c r="C27" s="592" t="s">
        <v>85</v>
      </c>
      <c r="D27" s="593" t="s">
        <v>184</v>
      </c>
      <c r="E27" s="593" t="s">
        <v>185</v>
      </c>
      <c r="F27" s="594" t="s">
        <v>218</v>
      </c>
      <c r="H27" s="591"/>
      <c r="I27" s="591"/>
      <c r="J27" s="591"/>
      <c r="K27" s="591"/>
      <c r="L27" s="591"/>
      <c r="M27" s="591"/>
      <c r="N27" s="591"/>
      <c r="O27" s="591"/>
      <c r="P27" s="591"/>
      <c r="Q27" s="591"/>
    </row>
    <row r="28" spans="1:18" s="549" customFormat="1" ht="15" customHeight="1">
      <c r="B28" s="587" t="s">
        <v>142</v>
      </c>
      <c r="C28" s="590" t="s">
        <v>186</v>
      </c>
      <c r="D28" s="589" t="s">
        <v>187</v>
      </c>
      <c r="E28" s="590" t="s">
        <v>188</v>
      </c>
      <c r="F28" s="590" t="s">
        <v>219</v>
      </c>
      <c r="H28" s="591"/>
      <c r="I28" s="591"/>
      <c r="J28" s="591"/>
      <c r="K28" s="591"/>
      <c r="L28" s="591"/>
      <c r="M28" s="591"/>
      <c r="N28" s="591"/>
      <c r="O28" s="591"/>
      <c r="P28" s="591"/>
      <c r="Q28" s="591"/>
    </row>
    <row r="29" spans="1:18" s="549" customFormat="1" ht="15" customHeight="1">
      <c r="B29" s="587" t="s">
        <v>169</v>
      </c>
      <c r="C29" s="592" t="s">
        <v>223</v>
      </c>
      <c r="D29" s="593"/>
      <c r="E29" s="593"/>
      <c r="F29" s="594"/>
      <c r="H29" s="591"/>
      <c r="I29" s="591"/>
      <c r="J29" s="591"/>
      <c r="K29" s="591"/>
      <c r="L29" s="591"/>
      <c r="M29" s="591"/>
      <c r="N29" s="591"/>
      <c r="O29" s="591"/>
      <c r="P29" s="591"/>
      <c r="Q29" s="591"/>
    </row>
    <row r="30" spans="1:18" s="549" customFormat="1" ht="15" customHeight="1">
      <c r="B30" s="583"/>
      <c r="C30"/>
      <c r="H30" s="595"/>
      <c r="I30" s="595"/>
      <c r="J30" s="595"/>
      <c r="K30" s="595"/>
      <c r="L30" s="595"/>
      <c r="M30" s="595"/>
      <c r="N30" s="595"/>
      <c r="O30" s="595"/>
      <c r="P30" s="595"/>
      <c r="Q30" s="595"/>
    </row>
    <row r="31" spans="1:18" s="549" customFormat="1" ht="15" customHeight="1">
      <c r="B31" s="544"/>
      <c r="C31" s="596" t="s">
        <v>153</v>
      </c>
      <c r="D31" s="584"/>
      <c r="E31" s="584"/>
      <c r="F31" s="546"/>
      <c r="H31" s="544"/>
      <c r="I31" s="585"/>
      <c r="J31" s="585"/>
      <c r="K31" s="585"/>
      <c r="L31" s="585"/>
      <c r="M31" s="585"/>
      <c r="N31" s="585"/>
      <c r="O31" s="585"/>
      <c r="P31" s="585"/>
      <c r="Q31" s="586"/>
    </row>
    <row r="32" spans="1:18" ht="3.75" customHeight="1">
      <c r="C32" s="598"/>
      <c r="H32" s="599"/>
      <c r="I32" s="600"/>
      <c r="J32" s="600"/>
      <c r="K32" s="601"/>
      <c r="L32" s="602"/>
      <c r="M32" s="602"/>
      <c r="N32" s="601"/>
      <c r="O32" s="601"/>
      <c r="P32" s="601"/>
      <c r="Q32" s="603"/>
    </row>
    <row r="33" spans="1:18" s="611" customFormat="1" ht="15" customHeight="1">
      <c r="A33" s="604"/>
      <c r="B33" s="605"/>
      <c r="C33" s="606" t="s">
        <v>154</v>
      </c>
      <c r="D33" s="606"/>
      <c r="E33" s="606"/>
      <c r="F33" s="607"/>
      <c r="G33" s="3"/>
      <c r="H33" s="605"/>
      <c r="I33" s="608"/>
      <c r="J33" s="608"/>
      <c r="K33" s="608"/>
      <c r="L33" s="608"/>
      <c r="M33" s="608"/>
      <c r="N33" s="608"/>
      <c r="O33" s="608"/>
      <c r="P33" s="608"/>
      <c r="Q33" s="609"/>
      <c r="R33" s="610"/>
    </row>
    <row r="34" spans="1:18" ht="15" customHeight="1">
      <c r="A34" s="543"/>
      <c r="B34" s="612" t="s">
        <v>2</v>
      </c>
      <c r="C34" s="613" t="s">
        <v>58</v>
      </c>
      <c r="D34" s="589" t="s">
        <v>208</v>
      </c>
      <c r="E34" s="590" t="s">
        <v>103</v>
      </c>
      <c r="F34" s="590" t="s">
        <v>189</v>
      </c>
      <c r="H34" s="614">
        <f>(1/12)</f>
        <v>8.3333333333333329E-2</v>
      </c>
      <c r="I34" s="614">
        <f t="shared" ref="I34:P34" si="0">(1/12)</f>
        <v>8.3333333333333329E-2</v>
      </c>
      <c r="J34" s="614">
        <f t="shared" si="0"/>
        <v>8.3333333333333329E-2</v>
      </c>
      <c r="K34" s="614">
        <f t="shared" si="0"/>
        <v>8.3333333333333329E-2</v>
      </c>
      <c r="L34" s="614">
        <f t="shared" si="0"/>
        <v>8.3333333333333329E-2</v>
      </c>
      <c r="M34" s="614">
        <f t="shared" si="0"/>
        <v>8.3333333333333329E-2</v>
      </c>
      <c r="N34" s="614">
        <f t="shared" si="0"/>
        <v>8.3333333333333329E-2</v>
      </c>
      <c r="O34" s="614">
        <f t="shared" si="0"/>
        <v>8.3333333333333329E-2</v>
      </c>
      <c r="P34" s="614">
        <f t="shared" si="0"/>
        <v>8.3333333333333329E-2</v>
      </c>
      <c r="Q34" s="614">
        <f>IFERROR(ROUND(IF($Q$15="Simples",
INDEX(H34:P34,MATCH($Q$16,$H$16:$P$16,1)),
INDEX(H34:P34,MATCH($Q$15,$H$13:$P$13,0))
),4),"")</f>
        <v>8.3299999999999999E-2</v>
      </c>
      <c r="R34" s="573"/>
    </row>
    <row r="35" spans="1:18" ht="15" customHeight="1">
      <c r="A35" s="543"/>
      <c r="B35" s="612" t="s">
        <v>1</v>
      </c>
      <c r="C35" s="613" t="s">
        <v>21</v>
      </c>
      <c r="D35" s="589" t="s">
        <v>209</v>
      </c>
      <c r="E35" s="590" t="s">
        <v>104</v>
      </c>
      <c r="F35" s="590" t="s">
        <v>190</v>
      </c>
      <c r="H35" s="614">
        <f xml:space="preserve"> (1/12) +( 1/3)/12</f>
        <v>0.1111111111111111</v>
      </c>
      <c r="I35" s="614">
        <f t="shared" ref="I35:P35" si="1" xml:space="preserve"> (1/12) +( 1/3)/12</f>
        <v>0.1111111111111111</v>
      </c>
      <c r="J35" s="614">
        <f t="shared" si="1"/>
        <v>0.1111111111111111</v>
      </c>
      <c r="K35" s="614">
        <f t="shared" si="1"/>
        <v>0.1111111111111111</v>
      </c>
      <c r="L35" s="614">
        <f t="shared" si="1"/>
        <v>0.1111111111111111</v>
      </c>
      <c r="M35" s="614">
        <f t="shared" si="1"/>
        <v>0.1111111111111111</v>
      </c>
      <c r="N35" s="614">
        <f t="shared" si="1"/>
        <v>0.1111111111111111</v>
      </c>
      <c r="O35" s="614">
        <f t="shared" si="1"/>
        <v>0.1111111111111111</v>
      </c>
      <c r="P35" s="614">
        <f t="shared" si="1"/>
        <v>0.1111111111111111</v>
      </c>
      <c r="Q35" s="614">
        <f t="shared" ref="Q35:Q36" si="2">IFERROR(ROUND(IF($Q$15="Simples",
INDEX(H35:P35,MATCH($Q$16,$H$16:$P$16,1)),
INDEX(H35:P35,MATCH($Q$15,$H$13:$P$13,0))
),4),"")</f>
        <v>0.1111</v>
      </c>
      <c r="R35" s="573"/>
    </row>
    <row r="36" spans="1:18" ht="15" customHeight="1">
      <c r="A36" s="543"/>
      <c r="B36" s="612" t="s">
        <v>0</v>
      </c>
      <c r="C36" s="613" t="s">
        <v>83</v>
      </c>
      <c r="D36" s="589" t="s">
        <v>210</v>
      </c>
      <c r="E36" s="590"/>
      <c r="F36" s="590"/>
      <c r="H36" s="614">
        <f t="shared" ref="H36:P36" si="3">(H34+H35)*H49</f>
        <v>7.1555555555555567E-2</v>
      </c>
      <c r="I36" s="614">
        <f t="shared" si="3"/>
        <v>7.1555555555555567E-2</v>
      </c>
      <c r="J36" s="614">
        <f>(J34+J35)*J49</f>
        <v>6.0277777777777777E-2</v>
      </c>
      <c r="K36" s="614">
        <f t="shared" si="3"/>
        <v>6.0277777777777777E-2</v>
      </c>
      <c r="L36" s="614">
        <f t="shared" si="3"/>
        <v>6.0277777777777777E-2</v>
      </c>
      <c r="M36" s="614">
        <f t="shared" si="3"/>
        <v>6.0277777777777777E-2</v>
      </c>
      <c r="N36" s="614">
        <f t="shared" si="3"/>
        <v>6.0277777777777777E-2</v>
      </c>
      <c r="O36" s="614">
        <f t="shared" si="3"/>
        <v>6.0277777777777777E-2</v>
      </c>
      <c r="P36" s="614">
        <f t="shared" si="3"/>
        <v>6.0277777777777777E-2</v>
      </c>
      <c r="Q36" s="614">
        <f t="shared" si="2"/>
        <v>7.1599999999999997E-2</v>
      </c>
      <c r="R36" s="573"/>
    </row>
    <row r="37" spans="1:18" ht="3.75" customHeight="1">
      <c r="B37" s="615"/>
      <c r="C37" s="616"/>
      <c r="D37" s="616"/>
      <c r="E37" s="616"/>
      <c r="F37" s="616"/>
      <c r="H37" s="617"/>
      <c r="I37" s="617"/>
      <c r="J37" s="617"/>
      <c r="K37" s="617"/>
      <c r="L37" s="617"/>
      <c r="M37" s="617"/>
      <c r="N37" s="617"/>
      <c r="O37" s="617"/>
      <c r="P37" s="617"/>
      <c r="Q37" s="617"/>
    </row>
    <row r="38" spans="1:18" s="611" customFormat="1" ht="15" customHeight="1">
      <c r="A38" s="604"/>
      <c r="B38" s="605"/>
      <c r="C38" s="606" t="s">
        <v>275</v>
      </c>
      <c r="D38" s="606"/>
      <c r="E38" s="606"/>
      <c r="F38" s="607"/>
      <c r="G38" s="3"/>
      <c r="H38" s="605"/>
      <c r="I38" s="608"/>
      <c r="J38" s="608"/>
      <c r="K38" s="608"/>
      <c r="L38" s="608"/>
      <c r="M38" s="608"/>
      <c r="N38" s="608"/>
      <c r="O38" s="608"/>
      <c r="P38" s="608"/>
      <c r="Q38" s="609"/>
      <c r="R38" s="610"/>
    </row>
    <row r="39" spans="1:18" ht="15" customHeight="1">
      <c r="A39" s="543"/>
      <c r="B39" s="551" t="s">
        <v>2</v>
      </c>
      <c r="C39" s="552" t="s">
        <v>51</v>
      </c>
      <c r="D39" s="589"/>
      <c r="E39" s="590" t="s">
        <v>105</v>
      </c>
      <c r="F39" s="590"/>
      <c r="H39" s="618">
        <v>0.2</v>
      </c>
      <c r="I39" s="618">
        <v>0.2</v>
      </c>
      <c r="J39" s="618">
        <v>0.2</v>
      </c>
      <c r="K39" s="618">
        <v>0.2</v>
      </c>
      <c r="L39" s="618">
        <v>0.2</v>
      </c>
      <c r="M39" s="618">
        <v>0.2</v>
      </c>
      <c r="N39" s="618">
        <v>0.2</v>
      </c>
      <c r="O39" s="618">
        <v>0.2</v>
      </c>
      <c r="P39" s="618">
        <v>0.2</v>
      </c>
      <c r="Q39" s="618">
        <f t="shared" ref="Q39:Q49" si="4">IFERROR(ROUND(IF($Q$15="Simples",
INDEX(H39:P39,MATCH($Q$16,$H$16:$P$16,1)),
INDEX(H39:P39,MATCH($Q$15,$H$13:$P$13,0))
),4),"")</f>
        <v>0.2</v>
      </c>
      <c r="R39" s="573"/>
    </row>
    <row r="40" spans="1:18" ht="15" customHeight="1">
      <c r="A40" s="543"/>
      <c r="B40" s="619" t="s">
        <v>1</v>
      </c>
      <c r="C40" s="620" t="s">
        <v>52</v>
      </c>
      <c r="D40" s="589"/>
      <c r="E40" s="590" t="s">
        <v>106</v>
      </c>
      <c r="F40" s="590"/>
      <c r="H40" s="618">
        <v>1.4999999999999999E-2</v>
      </c>
      <c r="I40" s="618">
        <v>1.4999999999999999E-2</v>
      </c>
      <c r="J40" s="618"/>
      <c r="K40" s="618"/>
      <c r="L40" s="618"/>
      <c r="M40" s="618"/>
      <c r="N40" s="618"/>
      <c r="O40" s="618"/>
      <c r="P40" s="618"/>
      <c r="Q40" s="618">
        <f t="shared" si="4"/>
        <v>1.4999999999999999E-2</v>
      </c>
      <c r="R40" s="573"/>
    </row>
    <row r="41" spans="1:18" ht="15" customHeight="1">
      <c r="A41" s="543"/>
      <c r="B41" s="619" t="s">
        <v>0</v>
      </c>
      <c r="C41" s="552" t="s">
        <v>53</v>
      </c>
      <c r="D41" s="589"/>
      <c r="E41" s="590" t="s">
        <v>107</v>
      </c>
      <c r="F41" s="590"/>
      <c r="H41" s="618">
        <v>0.01</v>
      </c>
      <c r="I41" s="618">
        <v>0.01</v>
      </c>
      <c r="J41" s="618"/>
      <c r="K41" s="618"/>
      <c r="L41" s="618"/>
      <c r="M41" s="618"/>
      <c r="N41" s="618"/>
      <c r="O41" s="618"/>
      <c r="P41" s="618"/>
      <c r="Q41" s="618">
        <f t="shared" si="4"/>
        <v>0.01</v>
      </c>
      <c r="R41" s="573"/>
    </row>
    <row r="42" spans="1:18" ht="15" customHeight="1">
      <c r="A42" s="543"/>
      <c r="B42" s="551" t="s">
        <v>3</v>
      </c>
      <c r="C42" s="620" t="s">
        <v>54</v>
      </c>
      <c r="D42" s="589"/>
      <c r="E42" s="590" t="s">
        <v>108</v>
      </c>
      <c r="F42" s="590"/>
      <c r="H42" s="618">
        <v>2E-3</v>
      </c>
      <c r="I42" s="618">
        <v>2E-3</v>
      </c>
      <c r="J42" s="618"/>
      <c r="K42" s="618"/>
      <c r="L42" s="618"/>
      <c r="M42" s="618"/>
      <c r="N42" s="618"/>
      <c r="O42" s="618"/>
      <c r="P42" s="618"/>
      <c r="Q42" s="618">
        <f t="shared" si="4"/>
        <v>2E-3</v>
      </c>
      <c r="R42" s="573"/>
    </row>
    <row r="43" spans="1:18" ht="15" customHeight="1">
      <c r="A43" s="543"/>
      <c r="B43" s="619" t="s">
        <v>7</v>
      </c>
      <c r="C43" s="552" t="s">
        <v>55</v>
      </c>
      <c r="D43" s="589"/>
      <c r="E43" s="590" t="s">
        <v>109</v>
      </c>
      <c r="F43" s="590"/>
      <c r="H43" s="618">
        <v>2.5000000000000001E-2</v>
      </c>
      <c r="I43" s="618">
        <v>2.5000000000000001E-2</v>
      </c>
      <c r="J43" s="618"/>
      <c r="K43" s="618"/>
      <c r="L43" s="618"/>
      <c r="M43" s="618"/>
      <c r="N43" s="618"/>
      <c r="O43" s="618"/>
      <c r="P43" s="618"/>
      <c r="Q43" s="618">
        <f t="shared" si="4"/>
        <v>2.5000000000000001E-2</v>
      </c>
      <c r="R43" s="573"/>
    </row>
    <row r="44" spans="1:18" ht="15" customHeight="1">
      <c r="A44" s="543"/>
      <c r="B44" s="619" t="s">
        <v>6</v>
      </c>
      <c r="C44" s="620" t="s">
        <v>56</v>
      </c>
      <c r="D44" s="589"/>
      <c r="E44" s="590" t="s">
        <v>192</v>
      </c>
      <c r="F44" s="590"/>
      <c r="H44" s="618">
        <v>0.08</v>
      </c>
      <c r="I44" s="618">
        <v>0.08</v>
      </c>
      <c r="J44" s="618">
        <v>0.08</v>
      </c>
      <c r="K44" s="618">
        <v>0.08</v>
      </c>
      <c r="L44" s="618">
        <v>0.08</v>
      </c>
      <c r="M44" s="618">
        <v>0.08</v>
      </c>
      <c r="N44" s="618">
        <v>0.08</v>
      </c>
      <c r="O44" s="618">
        <v>0.08</v>
      </c>
      <c r="P44" s="618">
        <v>0.08</v>
      </c>
      <c r="Q44" s="618">
        <f t="shared" si="4"/>
        <v>0.08</v>
      </c>
      <c r="R44" s="573"/>
    </row>
    <row r="45" spans="1:18" ht="15" customHeight="1">
      <c r="A45" s="543"/>
      <c r="B45" s="805" t="s">
        <v>5</v>
      </c>
      <c r="C45" s="552" t="str">
        <f>CONCATENATE("GILL/RAT (RAT ",H46," x FAP ",H47,")")</f>
        <v>GILL/RAT (RAT 0,03 x FAP 1)</v>
      </c>
      <c r="D45" s="589" t="s">
        <v>367</v>
      </c>
      <c r="E45" s="590" t="s">
        <v>110</v>
      </c>
      <c r="F45" s="590" t="s">
        <v>193</v>
      </c>
      <c r="H45" s="618">
        <f>ROUND(H46*H47,2)</f>
        <v>0.03</v>
      </c>
      <c r="I45" s="618">
        <f t="shared" ref="I45:P45" si="5">ROUND(I46*I47,2)</f>
        <v>0.03</v>
      </c>
      <c r="J45" s="618">
        <f>ROUND(J46*J47,2)</f>
        <v>0.03</v>
      </c>
      <c r="K45" s="618">
        <f t="shared" si="5"/>
        <v>0.03</v>
      </c>
      <c r="L45" s="618">
        <f t="shared" si="5"/>
        <v>0.03</v>
      </c>
      <c r="M45" s="618">
        <f t="shared" si="5"/>
        <v>0.03</v>
      </c>
      <c r="N45" s="618">
        <f t="shared" si="5"/>
        <v>0.03</v>
      </c>
      <c r="O45" s="618">
        <f t="shared" si="5"/>
        <v>0.03</v>
      </c>
      <c r="P45" s="618">
        <f t="shared" si="5"/>
        <v>0.03</v>
      </c>
      <c r="Q45" s="618">
        <f t="shared" si="4"/>
        <v>0.03</v>
      </c>
      <c r="R45" s="573"/>
    </row>
    <row r="46" spans="1:18" ht="15" customHeight="1">
      <c r="A46" s="543"/>
      <c r="B46" s="805"/>
      <c r="C46" s="621" t="s">
        <v>49</v>
      </c>
      <c r="D46" s="622"/>
      <c r="E46" s="622"/>
      <c r="F46" s="622"/>
      <c r="H46" s="618">
        <v>0.03</v>
      </c>
      <c r="I46" s="618">
        <f>H46</f>
        <v>0.03</v>
      </c>
      <c r="J46" s="618">
        <f>I46</f>
        <v>0.03</v>
      </c>
      <c r="K46" s="618">
        <f>I46</f>
        <v>0.03</v>
      </c>
      <c r="L46" s="618">
        <f t="shared" ref="I46:P47" si="6">K46</f>
        <v>0.03</v>
      </c>
      <c r="M46" s="618">
        <f t="shared" si="6"/>
        <v>0.03</v>
      </c>
      <c r="N46" s="618">
        <f t="shared" si="6"/>
        <v>0.03</v>
      </c>
      <c r="O46" s="618">
        <f t="shared" si="6"/>
        <v>0.03</v>
      </c>
      <c r="P46" s="618">
        <f t="shared" si="6"/>
        <v>0.03</v>
      </c>
      <c r="Q46" s="618">
        <f t="shared" si="4"/>
        <v>0.03</v>
      </c>
      <c r="R46" s="573"/>
    </row>
    <row r="47" spans="1:18" ht="15" customHeight="1">
      <c r="A47" s="543"/>
      <c r="B47" s="805"/>
      <c r="C47" s="621" t="s">
        <v>44</v>
      </c>
      <c r="D47" s="623"/>
      <c r="E47" s="623"/>
      <c r="F47" s="623"/>
      <c r="H47" s="624">
        <v>1</v>
      </c>
      <c r="I47" s="624">
        <f t="shared" si="6"/>
        <v>1</v>
      </c>
      <c r="J47" s="624">
        <f t="shared" si="6"/>
        <v>1</v>
      </c>
      <c r="K47" s="624">
        <f>I47</f>
        <v>1</v>
      </c>
      <c r="L47" s="624">
        <f t="shared" si="6"/>
        <v>1</v>
      </c>
      <c r="M47" s="624">
        <f t="shared" si="6"/>
        <v>1</v>
      </c>
      <c r="N47" s="624">
        <f t="shared" si="6"/>
        <v>1</v>
      </c>
      <c r="O47" s="624">
        <f t="shared" si="6"/>
        <v>1</v>
      </c>
      <c r="P47" s="624">
        <f t="shared" si="6"/>
        <v>1</v>
      </c>
      <c r="Q47" s="624">
        <f t="shared" si="4"/>
        <v>1</v>
      </c>
      <c r="R47" s="573"/>
    </row>
    <row r="48" spans="1:18" ht="15" customHeight="1">
      <c r="A48" s="543"/>
      <c r="B48" s="619" t="s">
        <v>4</v>
      </c>
      <c r="C48" s="620" t="s">
        <v>57</v>
      </c>
      <c r="D48" s="589"/>
      <c r="E48" s="590" t="s">
        <v>111</v>
      </c>
      <c r="F48" s="590"/>
      <c r="H48" s="618">
        <v>6.0000000000000001E-3</v>
      </c>
      <c r="I48" s="618">
        <v>6.0000000000000001E-3</v>
      </c>
      <c r="J48" s="618"/>
      <c r="K48" s="618"/>
      <c r="L48" s="618"/>
      <c r="M48" s="618"/>
      <c r="N48" s="618"/>
      <c r="O48" s="618"/>
      <c r="P48" s="618"/>
      <c r="Q48" s="618">
        <f t="shared" si="4"/>
        <v>6.0000000000000001E-3</v>
      </c>
      <c r="R48" s="573"/>
    </row>
    <row r="49" spans="1:18" ht="15" customHeight="1">
      <c r="A49" s="543"/>
      <c r="B49" s="605"/>
      <c r="C49" s="625"/>
      <c r="D49" s="606"/>
      <c r="E49" s="606"/>
      <c r="F49" s="607"/>
      <c r="H49" s="626">
        <f>SUM(H39:H48)-H46-H47</f>
        <v>0.3680000000000001</v>
      </c>
      <c r="I49" s="626">
        <f>SUM(I39:I48)-I46-I47</f>
        <v>0.3680000000000001</v>
      </c>
      <c r="J49" s="626">
        <f>SUM(J39:J48)-J46-J47</f>
        <v>0.31000000000000005</v>
      </c>
      <c r="K49" s="626">
        <f>SUM(K39:K45)+K48</f>
        <v>0.31000000000000005</v>
      </c>
      <c r="L49" s="626">
        <f>SUM(L39:L48)-L46-L47</f>
        <v>0.31000000000000005</v>
      </c>
      <c r="M49" s="626">
        <f>SUM(M39:M48)-M46-M47</f>
        <v>0.31000000000000005</v>
      </c>
      <c r="N49" s="626">
        <f>SUM(N39:N48)-N46-N47</f>
        <v>0.31000000000000005</v>
      </c>
      <c r="O49" s="626">
        <f>SUM(O39:O48)-O46-O47</f>
        <v>0.31000000000000005</v>
      </c>
      <c r="P49" s="626">
        <f>SUM(P39:P48)-P46-P47</f>
        <v>0.31000000000000005</v>
      </c>
      <c r="Q49" s="626">
        <f t="shared" si="4"/>
        <v>0.36799999999999999</v>
      </c>
      <c r="R49" s="573"/>
    </row>
    <row r="50" spans="1:18" ht="3.75" customHeight="1">
      <c r="H50" s="627"/>
      <c r="I50" s="627"/>
      <c r="J50" s="627"/>
      <c r="K50" s="627"/>
      <c r="L50" s="628"/>
      <c r="M50" s="627"/>
      <c r="N50" s="627"/>
      <c r="O50" s="627"/>
      <c r="P50" s="627"/>
      <c r="Q50" s="627"/>
    </row>
    <row r="51" spans="1:18" s="611" customFormat="1" ht="15" customHeight="1">
      <c r="B51" s="605"/>
      <c r="C51" s="606" t="s">
        <v>155</v>
      </c>
      <c r="D51" s="606"/>
      <c r="E51" s="606"/>
      <c r="F51" s="607"/>
      <c r="G51" s="3"/>
      <c r="H51" s="605"/>
      <c r="I51" s="608"/>
      <c r="J51" s="608"/>
      <c r="K51" s="608"/>
      <c r="L51" s="608"/>
      <c r="M51" s="608"/>
      <c r="N51" s="608"/>
      <c r="O51" s="608"/>
      <c r="P51" s="608"/>
      <c r="Q51" s="609"/>
    </row>
    <row r="52" spans="1:18" ht="15" customHeight="1">
      <c r="B52" s="587" t="s">
        <v>2</v>
      </c>
      <c r="C52" s="588" t="s">
        <v>89</v>
      </c>
      <c r="D52" s="589" t="s">
        <v>196</v>
      </c>
      <c r="E52" s="590" t="s">
        <v>112</v>
      </c>
      <c r="F52" s="590" t="s">
        <v>198</v>
      </c>
      <c r="H52" s="618"/>
      <c r="I52" s="618"/>
      <c r="J52" s="618"/>
      <c r="K52" s="618"/>
      <c r="L52" s="618"/>
      <c r="M52" s="618"/>
      <c r="N52" s="618"/>
      <c r="O52" s="618"/>
      <c r="P52" s="618"/>
      <c r="Q52" s="618"/>
    </row>
    <row r="53" spans="1:18" ht="15" customHeight="1">
      <c r="B53" s="587" t="s">
        <v>1</v>
      </c>
      <c r="C53" s="588" t="s">
        <v>23</v>
      </c>
      <c r="D53" s="589" t="s">
        <v>194</v>
      </c>
      <c r="E53" s="590" t="s">
        <v>113</v>
      </c>
      <c r="F53" s="590" t="s">
        <v>198</v>
      </c>
      <c r="H53" s="618"/>
      <c r="I53" s="618"/>
      <c r="J53" s="618"/>
      <c r="K53" s="618"/>
      <c r="L53" s="618"/>
      <c r="M53" s="618"/>
      <c r="N53" s="618"/>
      <c r="O53" s="618"/>
      <c r="P53" s="618"/>
      <c r="Q53" s="618"/>
    </row>
    <row r="54" spans="1:18" ht="15" customHeight="1">
      <c r="B54" s="587" t="s">
        <v>0</v>
      </c>
      <c r="C54" s="588" t="s">
        <v>25</v>
      </c>
      <c r="D54" s="589" t="s">
        <v>197</v>
      </c>
      <c r="E54" s="590" t="s">
        <v>114</v>
      </c>
      <c r="F54" s="590" t="s">
        <v>198</v>
      </c>
      <c r="H54" s="618"/>
      <c r="I54" s="618"/>
      <c r="J54" s="618"/>
      <c r="K54" s="618"/>
      <c r="L54" s="618"/>
      <c r="M54" s="618"/>
      <c r="N54" s="618"/>
      <c r="O54" s="618"/>
      <c r="P54" s="618"/>
      <c r="Q54" s="618"/>
    </row>
    <row r="55" spans="1:18" ht="15" customHeight="1">
      <c r="B55" s="587" t="s">
        <v>3</v>
      </c>
      <c r="C55" s="588" t="s">
        <v>27</v>
      </c>
      <c r="D55" s="589" t="s">
        <v>195</v>
      </c>
      <c r="E55" s="590" t="s">
        <v>114</v>
      </c>
      <c r="F55" s="590" t="s">
        <v>221</v>
      </c>
      <c r="H55" s="618"/>
      <c r="I55" s="618"/>
      <c r="J55" s="618"/>
      <c r="K55" s="618"/>
      <c r="L55" s="618"/>
      <c r="M55" s="618"/>
      <c r="N55" s="618"/>
      <c r="O55" s="618"/>
      <c r="P55" s="618"/>
      <c r="Q55" s="618"/>
    </row>
    <row r="56" spans="1:18" ht="15" customHeight="1">
      <c r="B56" s="587" t="s">
        <v>7</v>
      </c>
      <c r="C56" s="588" t="s">
        <v>28</v>
      </c>
      <c r="D56" s="589" t="s">
        <v>195</v>
      </c>
      <c r="E56" s="590"/>
      <c r="F56" s="590" t="s">
        <v>221</v>
      </c>
      <c r="H56" s="618"/>
      <c r="I56" s="618"/>
      <c r="J56" s="618"/>
      <c r="K56" s="618"/>
      <c r="L56" s="618"/>
      <c r="M56" s="618"/>
      <c r="N56" s="618"/>
      <c r="O56" s="618"/>
      <c r="P56" s="618"/>
      <c r="Q56" s="618"/>
    </row>
    <row r="57" spans="1:18" ht="15" customHeight="1">
      <c r="B57" s="587" t="s">
        <v>6</v>
      </c>
      <c r="C57" s="588" t="s">
        <v>29</v>
      </c>
      <c r="D57" s="589" t="s">
        <v>197</v>
      </c>
      <c r="E57" s="590"/>
      <c r="F57" s="590" t="s">
        <v>198</v>
      </c>
      <c r="H57" s="618"/>
      <c r="I57" s="618"/>
      <c r="J57" s="618"/>
      <c r="K57" s="618"/>
      <c r="L57" s="618"/>
      <c r="M57" s="618"/>
      <c r="N57" s="618"/>
      <c r="O57" s="618"/>
      <c r="P57" s="618"/>
      <c r="Q57" s="618"/>
    </row>
    <row r="58" spans="1:18" ht="15" customHeight="1">
      <c r="B58" s="587" t="s">
        <v>5</v>
      </c>
      <c r="C58" s="588" t="s">
        <v>30</v>
      </c>
      <c r="D58" s="589" t="s">
        <v>195</v>
      </c>
      <c r="E58" s="590"/>
      <c r="F58" s="590" t="s">
        <v>221</v>
      </c>
      <c r="H58" s="618"/>
      <c r="I58" s="618"/>
      <c r="J58" s="618"/>
      <c r="K58" s="618"/>
      <c r="L58" s="618"/>
      <c r="M58" s="618"/>
      <c r="N58" s="618"/>
      <c r="O58" s="618"/>
      <c r="P58" s="618"/>
      <c r="Q58" s="618"/>
    </row>
    <row r="59" spans="1:18" ht="15" customHeight="1">
      <c r="B59" s="587" t="s">
        <v>4</v>
      </c>
      <c r="C59" s="588" t="s">
        <v>143</v>
      </c>
      <c r="D59" s="589" t="s">
        <v>195</v>
      </c>
      <c r="E59" s="590"/>
      <c r="F59" s="590" t="s">
        <v>221</v>
      </c>
      <c r="H59" s="618"/>
      <c r="I59" s="618"/>
      <c r="J59" s="618"/>
      <c r="K59" s="618"/>
      <c r="L59" s="618"/>
      <c r="M59" s="618"/>
      <c r="N59" s="618"/>
      <c r="O59" s="618"/>
      <c r="P59" s="618"/>
      <c r="Q59" s="618"/>
    </row>
    <row r="60" spans="1:18" ht="15" customHeight="1">
      <c r="H60" s="627"/>
      <c r="I60" s="627"/>
      <c r="J60" s="627"/>
      <c r="K60" s="627"/>
      <c r="L60" s="628"/>
      <c r="M60" s="627"/>
      <c r="N60" s="627"/>
      <c r="O60" s="627"/>
      <c r="P60" s="627"/>
      <c r="Q60" s="627"/>
    </row>
    <row r="61" spans="1:18" s="3" customFormat="1" ht="15" customHeight="1">
      <c r="B61" s="544"/>
      <c r="C61" s="584" t="s">
        <v>156</v>
      </c>
      <c r="D61" s="584"/>
      <c r="E61" s="584"/>
      <c r="F61" s="546"/>
      <c r="H61" s="544"/>
      <c r="I61" s="585"/>
      <c r="J61" s="585"/>
      <c r="K61" s="585"/>
      <c r="L61" s="585"/>
      <c r="M61" s="585"/>
      <c r="N61" s="585"/>
      <c r="O61" s="585"/>
      <c r="P61" s="585"/>
      <c r="Q61" s="586"/>
    </row>
    <row r="62" spans="1:18" ht="3.75" customHeight="1">
      <c r="B62" s="629"/>
      <c r="H62" s="630"/>
      <c r="I62" s="630"/>
      <c r="J62" s="630"/>
      <c r="K62" s="630"/>
      <c r="L62" s="630"/>
      <c r="M62" s="630"/>
      <c r="N62" s="630"/>
      <c r="O62" s="630"/>
      <c r="P62" s="630"/>
      <c r="Q62" s="630"/>
    </row>
    <row r="63" spans="1:18" s="611" customFormat="1" ht="15" customHeight="1">
      <c r="B63" s="605"/>
      <c r="C63" s="606" t="s">
        <v>250</v>
      </c>
      <c r="D63" s="606"/>
      <c r="E63" s="606"/>
      <c r="F63" s="607"/>
      <c r="G63" s="3"/>
      <c r="H63" s="605"/>
      <c r="I63" s="608"/>
      <c r="J63" s="608"/>
      <c r="K63" s="608"/>
      <c r="L63" s="608"/>
      <c r="M63" s="608"/>
      <c r="N63" s="608"/>
      <c r="O63" s="608"/>
      <c r="P63" s="608"/>
      <c r="Q63" s="609"/>
    </row>
    <row r="64" spans="1:18" ht="15" customHeight="1">
      <c r="A64" s="543"/>
      <c r="B64" s="551"/>
      <c r="C64" s="631" t="s">
        <v>251</v>
      </c>
      <c r="D64" s="632"/>
      <c r="E64" s="632"/>
      <c r="F64" s="632"/>
      <c r="H64" s="633">
        <v>0.05</v>
      </c>
      <c r="I64" s="633">
        <f>H64</f>
        <v>0.05</v>
      </c>
      <c r="J64" s="633">
        <f>I64</f>
        <v>0.05</v>
      </c>
      <c r="K64" s="633">
        <f t="shared" ref="K64:K69" si="7">I64</f>
        <v>0.05</v>
      </c>
      <c r="L64" s="633">
        <f>K64</f>
        <v>0.05</v>
      </c>
      <c r="M64" s="633">
        <f>L64</f>
        <v>0.05</v>
      </c>
      <c r="N64" s="633">
        <f>M64</f>
        <v>0.05</v>
      </c>
      <c r="O64" s="633">
        <f>N64</f>
        <v>0.05</v>
      </c>
      <c r="P64" s="633">
        <f>O64</f>
        <v>0.05</v>
      </c>
      <c r="Q64" s="633">
        <f t="shared" ref="Q64:Q69" si="8">IFERROR(ROUND(IF($Q$15="Simples",
INDEX(H64:P64,MATCH($Q$16,$H$16:$P$16,1)),
INDEX(H64:P64,MATCH($Q$15,$H$13:$P$13,0))
),4),"")</f>
        <v>0.05</v>
      </c>
      <c r="R64" s="573"/>
    </row>
    <row r="65" spans="1:18" ht="15" customHeight="1">
      <c r="A65" s="543"/>
      <c r="B65" s="551"/>
      <c r="C65" s="631" t="s">
        <v>56</v>
      </c>
      <c r="D65" s="632"/>
      <c r="E65" s="632"/>
      <c r="F65" s="632"/>
      <c r="H65" s="633">
        <v>0.08</v>
      </c>
      <c r="I65" s="633">
        <f t="shared" ref="I65:P69" si="9">H65</f>
        <v>0.08</v>
      </c>
      <c r="J65" s="633">
        <f t="shared" si="9"/>
        <v>0.08</v>
      </c>
      <c r="K65" s="633">
        <f t="shared" si="7"/>
        <v>0.08</v>
      </c>
      <c r="L65" s="633">
        <f t="shared" si="9"/>
        <v>0.08</v>
      </c>
      <c r="M65" s="633">
        <f t="shared" si="9"/>
        <v>0.08</v>
      </c>
      <c r="N65" s="633">
        <f t="shared" si="9"/>
        <v>0.08</v>
      </c>
      <c r="O65" s="633">
        <f t="shared" si="9"/>
        <v>0.08</v>
      </c>
      <c r="P65" s="633">
        <f t="shared" si="9"/>
        <v>0.08</v>
      </c>
      <c r="Q65" s="633">
        <f t="shared" si="8"/>
        <v>0.08</v>
      </c>
      <c r="R65" s="573"/>
    </row>
    <row r="66" spans="1:18" ht="15" customHeight="1">
      <c r="A66" s="543"/>
      <c r="B66" s="551"/>
      <c r="C66" s="631" t="s">
        <v>252</v>
      </c>
      <c r="D66" s="632"/>
      <c r="E66" s="632"/>
      <c r="F66" s="632"/>
      <c r="H66" s="633">
        <v>0.4</v>
      </c>
      <c r="I66" s="633">
        <f t="shared" si="9"/>
        <v>0.4</v>
      </c>
      <c r="J66" s="633">
        <f t="shared" si="9"/>
        <v>0.4</v>
      </c>
      <c r="K66" s="633">
        <f t="shared" si="7"/>
        <v>0.4</v>
      </c>
      <c r="L66" s="633">
        <f t="shared" si="9"/>
        <v>0.4</v>
      </c>
      <c r="M66" s="633">
        <f t="shared" si="9"/>
        <v>0.4</v>
      </c>
      <c r="N66" s="633">
        <f t="shared" si="9"/>
        <v>0.4</v>
      </c>
      <c r="O66" s="633">
        <f t="shared" si="9"/>
        <v>0.4</v>
      </c>
      <c r="P66" s="633">
        <f t="shared" si="9"/>
        <v>0.4</v>
      </c>
      <c r="Q66" s="633">
        <f t="shared" si="8"/>
        <v>0.4</v>
      </c>
      <c r="R66" s="573"/>
    </row>
    <row r="67" spans="1:18" ht="15" customHeight="1">
      <c r="A67" s="543"/>
      <c r="B67" s="551"/>
      <c r="C67" s="631" t="s">
        <v>253</v>
      </c>
      <c r="D67" s="632"/>
      <c r="E67" s="632"/>
      <c r="F67" s="632"/>
      <c r="H67" s="633">
        <v>0.02</v>
      </c>
      <c r="I67" s="633">
        <f t="shared" si="9"/>
        <v>0.02</v>
      </c>
      <c r="J67" s="633">
        <f t="shared" si="9"/>
        <v>0.02</v>
      </c>
      <c r="K67" s="633">
        <f t="shared" si="7"/>
        <v>0.02</v>
      </c>
      <c r="L67" s="633">
        <f t="shared" si="9"/>
        <v>0.02</v>
      </c>
      <c r="M67" s="633">
        <f t="shared" si="9"/>
        <v>0.02</v>
      </c>
      <c r="N67" s="633">
        <f t="shared" si="9"/>
        <v>0.02</v>
      </c>
      <c r="O67" s="633">
        <f t="shared" si="9"/>
        <v>0.02</v>
      </c>
      <c r="P67" s="633">
        <f t="shared" si="9"/>
        <v>0.02</v>
      </c>
      <c r="Q67" s="633">
        <f t="shared" si="8"/>
        <v>0.02</v>
      </c>
      <c r="R67" s="573"/>
    </row>
    <row r="68" spans="1:18" ht="15" customHeight="1">
      <c r="A68" s="543"/>
      <c r="B68" s="551"/>
      <c r="C68" s="631" t="s">
        <v>254</v>
      </c>
      <c r="D68" s="632"/>
      <c r="E68" s="632"/>
      <c r="F68" s="632"/>
      <c r="H68" s="633">
        <v>1</v>
      </c>
      <c r="I68" s="633">
        <f t="shared" si="9"/>
        <v>1</v>
      </c>
      <c r="J68" s="633">
        <f t="shared" si="9"/>
        <v>1</v>
      </c>
      <c r="K68" s="633">
        <f t="shared" si="7"/>
        <v>1</v>
      </c>
      <c r="L68" s="633">
        <f t="shared" si="9"/>
        <v>1</v>
      </c>
      <c r="M68" s="633">
        <f t="shared" si="9"/>
        <v>1</v>
      </c>
      <c r="N68" s="633">
        <f t="shared" si="9"/>
        <v>1</v>
      </c>
      <c r="O68" s="633">
        <f t="shared" si="9"/>
        <v>1</v>
      </c>
      <c r="P68" s="633">
        <f t="shared" si="9"/>
        <v>1</v>
      </c>
      <c r="Q68" s="633">
        <f t="shared" si="8"/>
        <v>1</v>
      </c>
      <c r="R68" s="573"/>
    </row>
    <row r="69" spans="1:18" ht="15" customHeight="1">
      <c r="A69" s="543"/>
      <c r="B69" s="551"/>
      <c r="C69" s="631" t="s">
        <v>255</v>
      </c>
      <c r="D69" s="634"/>
      <c r="E69" s="634"/>
      <c r="F69" s="634"/>
      <c r="H69" s="635">
        <v>7</v>
      </c>
      <c r="I69" s="635">
        <f t="shared" si="9"/>
        <v>7</v>
      </c>
      <c r="J69" s="635">
        <f t="shared" si="9"/>
        <v>7</v>
      </c>
      <c r="K69" s="635">
        <f t="shared" si="7"/>
        <v>7</v>
      </c>
      <c r="L69" s="635">
        <f t="shared" si="9"/>
        <v>7</v>
      </c>
      <c r="M69" s="635">
        <f t="shared" si="9"/>
        <v>7</v>
      </c>
      <c r="N69" s="635">
        <f t="shared" si="9"/>
        <v>7</v>
      </c>
      <c r="O69" s="635">
        <f t="shared" si="9"/>
        <v>7</v>
      </c>
      <c r="P69" s="635">
        <f t="shared" si="9"/>
        <v>7</v>
      </c>
      <c r="Q69" s="635">
        <f t="shared" si="8"/>
        <v>7</v>
      </c>
      <c r="R69" s="573"/>
    </row>
    <row r="70" spans="1:18" ht="3.75" customHeight="1">
      <c r="B70" s="636"/>
      <c r="C70" s="637"/>
      <c r="D70" s="636"/>
      <c r="E70" s="636"/>
      <c r="F70" s="636"/>
      <c r="H70" s="638"/>
      <c r="I70" s="638"/>
      <c r="J70" s="638"/>
      <c r="K70" s="638"/>
      <c r="L70" s="638"/>
      <c r="M70" s="638"/>
      <c r="N70" s="638"/>
      <c r="O70" s="638"/>
      <c r="P70" s="638"/>
      <c r="Q70" s="638"/>
    </row>
    <row r="71" spans="1:18" s="611" customFormat="1" ht="15" customHeight="1">
      <c r="B71" s="605"/>
      <c r="C71" s="606" t="s">
        <v>406</v>
      </c>
      <c r="D71" s="606"/>
      <c r="E71" s="606"/>
      <c r="F71" s="607"/>
      <c r="G71" s="3"/>
      <c r="H71" s="605"/>
      <c r="I71" s="608"/>
      <c r="J71" s="608"/>
      <c r="K71" s="608"/>
      <c r="L71" s="608"/>
      <c r="M71" s="608"/>
      <c r="N71" s="608"/>
      <c r="O71" s="608"/>
      <c r="P71" s="608"/>
      <c r="Q71" s="609"/>
    </row>
    <row r="72" spans="1:18" ht="15" customHeight="1">
      <c r="A72" s="543"/>
      <c r="B72" s="551" t="s">
        <v>2</v>
      </c>
      <c r="C72" s="552" t="s">
        <v>273</v>
      </c>
      <c r="D72" s="589" t="s">
        <v>207</v>
      </c>
      <c r="E72" s="590" t="s">
        <v>115</v>
      </c>
      <c r="F72" s="590" t="s">
        <v>199</v>
      </c>
      <c r="H72" s="618">
        <f>(($D$5/$D$5)/$D$8)*H64</f>
        <v>4.1666666666666666E-3</v>
      </c>
      <c r="I72" s="618">
        <f t="shared" ref="I72:J77" si="10">H72</f>
        <v>4.1666666666666666E-3</v>
      </c>
      <c r="J72" s="618">
        <f t="shared" si="10"/>
        <v>4.1666666666666666E-3</v>
      </c>
      <c r="K72" s="618">
        <f t="shared" ref="K72:K77" si="11">I72</f>
        <v>4.1666666666666666E-3</v>
      </c>
      <c r="L72" s="618">
        <f t="shared" ref="L72:P77" si="12">K72</f>
        <v>4.1666666666666666E-3</v>
      </c>
      <c r="M72" s="618">
        <f t="shared" si="12"/>
        <v>4.1666666666666666E-3</v>
      </c>
      <c r="N72" s="618">
        <f t="shared" si="12"/>
        <v>4.1666666666666666E-3</v>
      </c>
      <c r="O72" s="618">
        <f t="shared" si="12"/>
        <v>4.1666666666666666E-3</v>
      </c>
      <c r="P72" s="618">
        <f t="shared" si="12"/>
        <v>4.1666666666666666E-3</v>
      </c>
      <c r="Q72" s="618">
        <f t="shared" ref="Q72:Q77" si="13">IFERROR(ROUND(IF($Q$15="Simples",
INDEX(H72:P72,MATCH($Q$16,$H$16:$P$16,1)),
INDEX(H72:P72,MATCH($Q$15,$H$13:$P$13,0))
),4),"")</f>
        <v>4.1999999999999997E-3</v>
      </c>
      <c r="R72" s="573"/>
    </row>
    <row r="73" spans="1:18" ht="15" customHeight="1">
      <c r="A73" s="543"/>
      <c r="B73" s="619" t="s">
        <v>1</v>
      </c>
      <c r="C73" s="552" t="s">
        <v>31</v>
      </c>
      <c r="D73" s="589" t="s">
        <v>202</v>
      </c>
      <c r="E73" s="590" t="s">
        <v>116</v>
      </c>
      <c r="F73" s="590"/>
      <c r="H73" s="618">
        <f>(($D$5/$D$5)/$D$8)*H64*H65</f>
        <v>3.3333333333333332E-4</v>
      </c>
      <c r="I73" s="618">
        <f t="shared" si="10"/>
        <v>3.3333333333333332E-4</v>
      </c>
      <c r="J73" s="618">
        <f t="shared" si="10"/>
        <v>3.3333333333333332E-4</v>
      </c>
      <c r="K73" s="618">
        <f t="shared" si="11"/>
        <v>3.3333333333333332E-4</v>
      </c>
      <c r="L73" s="618">
        <f t="shared" si="12"/>
        <v>3.3333333333333332E-4</v>
      </c>
      <c r="M73" s="618">
        <f t="shared" si="12"/>
        <v>3.3333333333333332E-4</v>
      </c>
      <c r="N73" s="618">
        <f t="shared" si="12"/>
        <v>3.3333333333333332E-4</v>
      </c>
      <c r="O73" s="618">
        <f t="shared" si="12"/>
        <v>3.3333333333333332E-4</v>
      </c>
      <c r="P73" s="618">
        <f t="shared" si="12"/>
        <v>3.3333333333333332E-4</v>
      </c>
      <c r="Q73" s="618">
        <f t="shared" si="13"/>
        <v>2.9999999999999997E-4</v>
      </c>
      <c r="R73" s="573"/>
    </row>
    <row r="74" spans="1:18" ht="15" customHeight="1">
      <c r="A74" s="543"/>
      <c r="B74" s="619" t="s">
        <v>0</v>
      </c>
      <c r="C74" s="552" t="s">
        <v>32</v>
      </c>
      <c r="D74" s="589" t="s">
        <v>203</v>
      </c>
      <c r="E74" s="590" t="s">
        <v>117</v>
      </c>
      <c r="F74" s="590" t="s">
        <v>222</v>
      </c>
      <c r="H74" s="639">
        <f>H72*H65*H66</f>
        <v>1.3333333333333334E-4</v>
      </c>
      <c r="I74" s="618">
        <f t="shared" si="10"/>
        <v>1.3333333333333334E-4</v>
      </c>
      <c r="J74" s="618">
        <f t="shared" si="10"/>
        <v>1.3333333333333334E-4</v>
      </c>
      <c r="K74" s="618">
        <f t="shared" si="11"/>
        <v>1.3333333333333334E-4</v>
      </c>
      <c r="L74" s="618">
        <f t="shared" si="12"/>
        <v>1.3333333333333334E-4</v>
      </c>
      <c r="M74" s="618">
        <f t="shared" si="12"/>
        <v>1.3333333333333334E-4</v>
      </c>
      <c r="N74" s="618">
        <f t="shared" si="12"/>
        <v>1.3333333333333334E-4</v>
      </c>
      <c r="O74" s="618">
        <f t="shared" si="12"/>
        <v>1.3333333333333334E-4</v>
      </c>
      <c r="P74" s="618">
        <f t="shared" si="12"/>
        <v>1.3333333333333334E-4</v>
      </c>
      <c r="Q74" s="618">
        <f t="shared" si="13"/>
        <v>1E-4</v>
      </c>
      <c r="R74" s="573"/>
    </row>
    <row r="75" spans="1:18" ht="15" customHeight="1">
      <c r="A75" s="543"/>
      <c r="B75" s="551" t="s">
        <v>3</v>
      </c>
      <c r="C75" s="552" t="s">
        <v>33</v>
      </c>
      <c r="D75" s="589" t="s">
        <v>568</v>
      </c>
      <c r="E75" s="590" t="s">
        <v>118</v>
      </c>
      <c r="F75" s="590" t="s">
        <v>200</v>
      </c>
      <c r="H75" s="639">
        <f>(((H69/$D$5/$D$8)*H67)+(H69/$D$5/$D$8))</f>
        <v>1.9833333333333335E-2</v>
      </c>
      <c r="I75" s="618">
        <f t="shared" si="10"/>
        <v>1.9833333333333335E-2</v>
      </c>
      <c r="J75" s="618">
        <f t="shared" si="10"/>
        <v>1.9833333333333335E-2</v>
      </c>
      <c r="K75" s="618">
        <f t="shared" si="11"/>
        <v>1.9833333333333335E-2</v>
      </c>
      <c r="L75" s="618">
        <f t="shared" si="12"/>
        <v>1.9833333333333335E-2</v>
      </c>
      <c r="M75" s="618">
        <f t="shared" si="12"/>
        <v>1.9833333333333335E-2</v>
      </c>
      <c r="N75" s="618">
        <f t="shared" si="12"/>
        <v>1.9833333333333335E-2</v>
      </c>
      <c r="O75" s="618">
        <f t="shared" si="12"/>
        <v>1.9833333333333335E-2</v>
      </c>
      <c r="P75" s="618">
        <f t="shared" si="12"/>
        <v>1.9833333333333335E-2</v>
      </c>
      <c r="Q75" s="618">
        <f t="shared" si="13"/>
        <v>1.9800000000000002E-2</v>
      </c>
      <c r="R75" s="573"/>
    </row>
    <row r="76" spans="1:18" ht="15" customHeight="1">
      <c r="A76" s="543"/>
      <c r="B76" s="619" t="s">
        <v>7</v>
      </c>
      <c r="C76" s="552" t="s">
        <v>34</v>
      </c>
      <c r="D76" s="589" t="s">
        <v>119</v>
      </c>
      <c r="E76" s="590" t="s">
        <v>120</v>
      </c>
      <c r="F76" s="590"/>
      <c r="H76" s="618">
        <f>$H$75*H49</f>
        <v>7.2986666666666694E-3</v>
      </c>
      <c r="I76" s="618">
        <f t="shared" si="10"/>
        <v>7.2986666666666694E-3</v>
      </c>
      <c r="J76" s="618">
        <f t="shared" si="10"/>
        <v>7.2986666666666694E-3</v>
      </c>
      <c r="K76" s="618">
        <f t="shared" si="11"/>
        <v>7.2986666666666694E-3</v>
      </c>
      <c r="L76" s="618">
        <f t="shared" si="12"/>
        <v>7.2986666666666694E-3</v>
      </c>
      <c r="M76" s="618">
        <f t="shared" si="12"/>
        <v>7.2986666666666694E-3</v>
      </c>
      <c r="N76" s="618">
        <f t="shared" si="12"/>
        <v>7.2986666666666694E-3</v>
      </c>
      <c r="O76" s="618">
        <f t="shared" si="12"/>
        <v>7.2986666666666694E-3</v>
      </c>
      <c r="P76" s="618">
        <f t="shared" si="12"/>
        <v>7.2986666666666694E-3</v>
      </c>
      <c r="Q76" s="618">
        <f t="shared" si="13"/>
        <v>7.3000000000000001E-3</v>
      </c>
      <c r="R76" s="573"/>
    </row>
    <row r="77" spans="1:18" ht="15" customHeight="1">
      <c r="A77" s="543"/>
      <c r="B77" s="619" t="s">
        <v>6</v>
      </c>
      <c r="C77" s="552" t="s">
        <v>35</v>
      </c>
      <c r="D77" s="589" t="s">
        <v>206</v>
      </c>
      <c r="E77" s="590" t="s">
        <v>121</v>
      </c>
      <c r="F77" s="590" t="s">
        <v>201</v>
      </c>
      <c r="H77" s="614">
        <v>0.04</v>
      </c>
      <c r="I77" s="618">
        <f t="shared" si="10"/>
        <v>0.04</v>
      </c>
      <c r="J77" s="618">
        <f t="shared" si="10"/>
        <v>0.04</v>
      </c>
      <c r="K77" s="618">
        <f t="shared" si="11"/>
        <v>0.04</v>
      </c>
      <c r="L77" s="618">
        <f t="shared" si="12"/>
        <v>0.04</v>
      </c>
      <c r="M77" s="618">
        <f t="shared" si="12"/>
        <v>0.04</v>
      </c>
      <c r="N77" s="618">
        <f t="shared" si="12"/>
        <v>0.04</v>
      </c>
      <c r="O77" s="618">
        <f t="shared" si="12"/>
        <v>0.04</v>
      </c>
      <c r="P77" s="618">
        <f t="shared" si="12"/>
        <v>0.04</v>
      </c>
      <c r="Q77" s="618">
        <f t="shared" si="13"/>
        <v>0.04</v>
      </c>
      <c r="R77" s="573"/>
    </row>
    <row r="78" spans="1:18" ht="15" customHeight="1">
      <c r="B78" s="636"/>
      <c r="C78" s="637"/>
      <c r="D78" s="636"/>
      <c r="E78" s="636"/>
      <c r="F78" s="636"/>
      <c r="H78" s="638"/>
      <c r="I78" s="638"/>
      <c r="J78" s="638"/>
      <c r="K78" s="638"/>
      <c r="L78" s="638"/>
      <c r="M78" s="638"/>
      <c r="N78" s="638"/>
      <c r="O78" s="638"/>
      <c r="P78" s="638"/>
      <c r="Q78" s="638"/>
    </row>
    <row r="79" spans="1:18" s="3" customFormat="1" ht="15" customHeight="1">
      <c r="B79" s="544"/>
      <c r="C79" s="584" t="s">
        <v>157</v>
      </c>
      <c r="D79" s="584"/>
      <c r="E79" s="584"/>
      <c r="F79" s="546"/>
      <c r="H79" s="544"/>
      <c r="I79" s="585"/>
      <c r="J79" s="585"/>
      <c r="K79" s="585"/>
      <c r="L79" s="585"/>
      <c r="M79" s="585"/>
      <c r="N79" s="585"/>
      <c r="O79" s="585"/>
      <c r="P79" s="585"/>
      <c r="Q79" s="586"/>
    </row>
    <row r="80" spans="1:18" s="611" customFormat="1" ht="3.75" customHeight="1">
      <c r="B80" s="640"/>
      <c r="C80" s="641"/>
      <c r="D80" s="640"/>
      <c r="E80" s="640"/>
      <c r="F80" s="640"/>
      <c r="G80" s="3"/>
      <c r="H80" s="642"/>
      <c r="I80" s="642"/>
      <c r="J80" s="642"/>
      <c r="K80" s="642"/>
      <c r="L80" s="642"/>
      <c r="M80" s="642"/>
      <c r="N80" s="642"/>
      <c r="O80" s="642"/>
      <c r="P80" s="642"/>
      <c r="Q80" s="642"/>
    </row>
    <row r="81" spans="1:18" s="611" customFormat="1" ht="15" customHeight="1">
      <c r="B81" s="605"/>
      <c r="C81" s="606" t="s">
        <v>250</v>
      </c>
      <c r="D81" s="606"/>
      <c r="E81" s="606"/>
      <c r="F81" s="607"/>
      <c r="G81" s="3"/>
      <c r="H81" s="605"/>
      <c r="I81" s="608"/>
      <c r="J81" s="608"/>
      <c r="K81" s="608"/>
      <c r="L81" s="608"/>
      <c r="M81" s="608"/>
      <c r="N81" s="608"/>
      <c r="O81" s="608"/>
      <c r="P81" s="608"/>
      <c r="Q81" s="609"/>
    </row>
    <row r="82" spans="1:18" ht="15" customHeight="1">
      <c r="A82" s="543"/>
      <c r="B82" s="643"/>
      <c r="C82" s="631" t="s">
        <v>256</v>
      </c>
      <c r="D82" s="634"/>
      <c r="E82" s="634"/>
      <c r="F82" s="634"/>
      <c r="H82" s="635">
        <v>5</v>
      </c>
      <c r="I82" s="635">
        <f>H82</f>
        <v>5</v>
      </c>
      <c r="J82" s="635">
        <f>I82</f>
        <v>5</v>
      </c>
      <c r="K82" s="635">
        <f t="shared" ref="K82:K95" si="14">I82</f>
        <v>5</v>
      </c>
      <c r="L82" s="635">
        <f>K82</f>
        <v>5</v>
      </c>
      <c r="M82" s="635">
        <f>L82</f>
        <v>5</v>
      </c>
      <c r="N82" s="635">
        <f>M82</f>
        <v>5</v>
      </c>
      <c r="O82" s="635">
        <f>N82</f>
        <v>5</v>
      </c>
      <c r="P82" s="635">
        <f>O82</f>
        <v>5</v>
      </c>
      <c r="Q82" s="635">
        <f t="shared" ref="Q82:Q95" si="15">IFERROR(ROUND(IF($Q$15="Simples",
INDEX(H82:P82,MATCH($Q$16,$H$16:$P$16,1)),
INDEX(H82:P82,MATCH($Q$15,$H$13:$P$13,0))
),4),"")</f>
        <v>5</v>
      </c>
      <c r="R82" s="573"/>
    </row>
    <row r="83" spans="1:18" ht="15" customHeight="1">
      <c r="A83" s="543"/>
      <c r="B83" s="643"/>
      <c r="C83" s="631" t="s">
        <v>257</v>
      </c>
      <c r="D83" s="634"/>
      <c r="E83" s="634"/>
      <c r="F83" s="634"/>
      <c r="H83" s="635">
        <v>5</v>
      </c>
      <c r="I83" s="635">
        <f t="shared" ref="I83:P95" si="16">H83</f>
        <v>5</v>
      </c>
      <c r="J83" s="635">
        <f t="shared" si="16"/>
        <v>5</v>
      </c>
      <c r="K83" s="635">
        <f t="shared" si="14"/>
        <v>5</v>
      </c>
      <c r="L83" s="635">
        <f t="shared" si="16"/>
        <v>5</v>
      </c>
      <c r="M83" s="635">
        <f t="shared" si="16"/>
        <v>5</v>
      </c>
      <c r="N83" s="635">
        <f t="shared" si="16"/>
        <v>5</v>
      </c>
      <c r="O83" s="635">
        <f t="shared" si="16"/>
        <v>5</v>
      </c>
      <c r="P83" s="635">
        <f t="shared" si="16"/>
        <v>5</v>
      </c>
      <c r="Q83" s="635">
        <f t="shared" si="15"/>
        <v>5</v>
      </c>
      <c r="R83" s="573"/>
    </row>
    <row r="84" spans="1:18" ht="15" customHeight="1">
      <c r="A84" s="543"/>
      <c r="B84" s="643"/>
      <c r="C84" s="631" t="s">
        <v>258</v>
      </c>
      <c r="D84" s="644"/>
      <c r="E84" s="644"/>
      <c r="F84" s="644"/>
      <c r="H84" s="614">
        <v>1.4999999999999999E-2</v>
      </c>
      <c r="I84" s="614">
        <f t="shared" si="16"/>
        <v>1.4999999999999999E-2</v>
      </c>
      <c r="J84" s="614">
        <f t="shared" si="16"/>
        <v>1.4999999999999999E-2</v>
      </c>
      <c r="K84" s="614">
        <f t="shared" si="14"/>
        <v>1.4999999999999999E-2</v>
      </c>
      <c r="L84" s="614">
        <f t="shared" si="16"/>
        <v>1.4999999999999999E-2</v>
      </c>
      <c r="M84" s="614">
        <f t="shared" si="16"/>
        <v>1.4999999999999999E-2</v>
      </c>
      <c r="N84" s="614">
        <f t="shared" si="16"/>
        <v>1.4999999999999999E-2</v>
      </c>
      <c r="O84" s="614">
        <f t="shared" si="16"/>
        <v>1.4999999999999999E-2</v>
      </c>
      <c r="P84" s="614">
        <f t="shared" si="16"/>
        <v>1.4999999999999999E-2</v>
      </c>
      <c r="Q84" s="614">
        <f t="shared" si="15"/>
        <v>1.4999999999999999E-2</v>
      </c>
      <c r="R84" s="573"/>
    </row>
    <row r="85" spans="1:18" ht="15" customHeight="1">
      <c r="A85" s="543"/>
      <c r="B85" s="643"/>
      <c r="C85" s="631" t="s">
        <v>259</v>
      </c>
      <c r="D85" s="645"/>
      <c r="E85" s="645"/>
      <c r="F85" s="645"/>
      <c r="H85" s="646">
        <v>2.96</v>
      </c>
      <c r="I85" s="646">
        <f t="shared" si="16"/>
        <v>2.96</v>
      </c>
      <c r="J85" s="646">
        <f t="shared" si="16"/>
        <v>2.96</v>
      </c>
      <c r="K85" s="646">
        <f t="shared" si="14"/>
        <v>2.96</v>
      </c>
      <c r="L85" s="646">
        <f t="shared" si="16"/>
        <v>2.96</v>
      </c>
      <c r="M85" s="646">
        <f t="shared" si="16"/>
        <v>2.96</v>
      </c>
      <c r="N85" s="646">
        <f t="shared" si="16"/>
        <v>2.96</v>
      </c>
      <c r="O85" s="646">
        <f t="shared" si="16"/>
        <v>2.96</v>
      </c>
      <c r="P85" s="646">
        <f t="shared" si="16"/>
        <v>2.96</v>
      </c>
      <c r="Q85" s="646">
        <f t="shared" si="15"/>
        <v>2.96</v>
      </c>
      <c r="R85" s="573"/>
    </row>
    <row r="86" spans="1:18" ht="15" customHeight="1">
      <c r="A86" s="543"/>
      <c r="B86" s="643"/>
      <c r="C86" s="631" t="s">
        <v>260</v>
      </c>
      <c r="D86" s="644"/>
      <c r="E86" s="644"/>
      <c r="F86" s="644"/>
      <c r="H86" s="614">
        <v>7.7999999999999996E-3</v>
      </c>
      <c r="I86" s="614">
        <f t="shared" si="16"/>
        <v>7.7999999999999996E-3</v>
      </c>
      <c r="J86" s="614">
        <f t="shared" si="16"/>
        <v>7.7999999999999996E-3</v>
      </c>
      <c r="K86" s="614">
        <f t="shared" si="14"/>
        <v>7.7999999999999996E-3</v>
      </c>
      <c r="L86" s="614">
        <f t="shared" si="16"/>
        <v>7.7999999999999996E-3</v>
      </c>
      <c r="M86" s="614">
        <f t="shared" si="16"/>
        <v>7.7999999999999996E-3</v>
      </c>
      <c r="N86" s="614">
        <f t="shared" si="16"/>
        <v>7.7999999999999996E-3</v>
      </c>
      <c r="O86" s="614">
        <f t="shared" si="16"/>
        <v>7.7999999999999996E-3</v>
      </c>
      <c r="P86" s="614">
        <f t="shared" si="16"/>
        <v>7.7999999999999996E-3</v>
      </c>
      <c r="Q86" s="614">
        <f t="shared" si="15"/>
        <v>7.7999999999999996E-3</v>
      </c>
      <c r="R86" s="573"/>
    </row>
    <row r="87" spans="1:18" ht="15" customHeight="1">
      <c r="A87" s="543"/>
      <c r="B87" s="643"/>
      <c r="C87" s="631" t="s">
        <v>261</v>
      </c>
      <c r="D87" s="634"/>
      <c r="E87" s="634"/>
      <c r="F87" s="634"/>
      <c r="H87" s="635">
        <v>15</v>
      </c>
      <c r="I87" s="635">
        <f t="shared" si="16"/>
        <v>15</v>
      </c>
      <c r="J87" s="635">
        <f t="shared" si="16"/>
        <v>15</v>
      </c>
      <c r="K87" s="635">
        <f t="shared" si="14"/>
        <v>15</v>
      </c>
      <c r="L87" s="635">
        <f t="shared" si="16"/>
        <v>15</v>
      </c>
      <c r="M87" s="635">
        <f t="shared" si="16"/>
        <v>15</v>
      </c>
      <c r="N87" s="635">
        <f t="shared" si="16"/>
        <v>15</v>
      </c>
      <c r="O87" s="635">
        <f t="shared" si="16"/>
        <v>15</v>
      </c>
      <c r="P87" s="635">
        <f t="shared" si="16"/>
        <v>15</v>
      </c>
      <c r="Q87" s="635">
        <f t="shared" si="15"/>
        <v>15</v>
      </c>
      <c r="R87" s="573"/>
    </row>
    <row r="88" spans="1:18" ht="15" customHeight="1">
      <c r="A88" s="543"/>
      <c r="B88" s="643"/>
      <c r="C88" s="631" t="s">
        <v>262</v>
      </c>
      <c r="D88" s="647"/>
      <c r="E88" s="647"/>
      <c r="F88" s="647"/>
      <c r="H88" s="648">
        <v>4</v>
      </c>
      <c r="I88" s="648">
        <f t="shared" si="16"/>
        <v>4</v>
      </c>
      <c r="J88" s="648">
        <f t="shared" si="16"/>
        <v>4</v>
      </c>
      <c r="K88" s="648">
        <f t="shared" si="14"/>
        <v>4</v>
      </c>
      <c r="L88" s="648">
        <f t="shared" si="16"/>
        <v>4</v>
      </c>
      <c r="M88" s="648">
        <f t="shared" si="16"/>
        <v>4</v>
      </c>
      <c r="N88" s="648">
        <f t="shared" si="16"/>
        <v>4</v>
      </c>
      <c r="O88" s="648">
        <f t="shared" si="16"/>
        <v>4</v>
      </c>
      <c r="P88" s="648">
        <f t="shared" si="16"/>
        <v>4</v>
      </c>
      <c r="Q88" s="648">
        <f t="shared" si="15"/>
        <v>4</v>
      </c>
      <c r="R88" s="573"/>
    </row>
    <row r="89" spans="1:18" ht="15" customHeight="1">
      <c r="A89" s="543"/>
      <c r="B89" s="643"/>
      <c r="C89" s="631" t="s">
        <v>263</v>
      </c>
      <c r="D89" s="644"/>
      <c r="E89" s="644"/>
      <c r="F89" s="644"/>
      <c r="H89" s="614">
        <f>H88/12</f>
        <v>0.33333333333333331</v>
      </c>
      <c r="I89" s="614">
        <f t="shared" si="16"/>
        <v>0.33333333333333331</v>
      </c>
      <c r="J89" s="614">
        <f t="shared" si="16"/>
        <v>0.33333333333333331</v>
      </c>
      <c r="K89" s="614">
        <f t="shared" si="14"/>
        <v>0.33333333333333331</v>
      </c>
      <c r="L89" s="614">
        <f t="shared" si="16"/>
        <v>0.33333333333333331</v>
      </c>
      <c r="M89" s="614">
        <f t="shared" si="16"/>
        <v>0.33333333333333331</v>
      </c>
      <c r="N89" s="614">
        <f t="shared" si="16"/>
        <v>0.33333333333333331</v>
      </c>
      <c r="O89" s="614">
        <f t="shared" si="16"/>
        <v>0.33333333333333331</v>
      </c>
      <c r="P89" s="614">
        <f t="shared" si="16"/>
        <v>0.33333333333333331</v>
      </c>
      <c r="Q89" s="614">
        <f t="shared" si="15"/>
        <v>0.33329999999999999</v>
      </c>
      <c r="R89" s="573"/>
    </row>
    <row r="90" spans="1:18" ht="15" customHeight="1">
      <c r="A90" s="543"/>
      <c r="B90" s="643"/>
      <c r="C90" s="631" t="s">
        <v>264</v>
      </c>
      <c r="D90" s="649"/>
      <c r="E90" s="649"/>
      <c r="F90" s="649"/>
      <c r="H90" s="650">
        <v>2820968</v>
      </c>
      <c r="I90" s="650">
        <f t="shared" si="16"/>
        <v>2820968</v>
      </c>
      <c r="J90" s="650">
        <f t="shared" si="16"/>
        <v>2820968</v>
      </c>
      <c r="K90" s="650">
        <f t="shared" si="14"/>
        <v>2820968</v>
      </c>
      <c r="L90" s="650">
        <f t="shared" si="16"/>
        <v>2820968</v>
      </c>
      <c r="M90" s="650">
        <f t="shared" si="16"/>
        <v>2820968</v>
      </c>
      <c r="N90" s="650">
        <f t="shared" si="16"/>
        <v>2820968</v>
      </c>
      <c r="O90" s="650">
        <f t="shared" si="16"/>
        <v>2820968</v>
      </c>
      <c r="P90" s="650">
        <f t="shared" si="16"/>
        <v>2820968</v>
      </c>
      <c r="Q90" s="650">
        <f t="shared" si="15"/>
        <v>2820968</v>
      </c>
      <c r="R90" s="573"/>
    </row>
    <row r="91" spans="1:18" ht="15" customHeight="1">
      <c r="A91" s="543"/>
      <c r="B91" s="643"/>
      <c r="C91" s="631" t="s">
        <v>265</v>
      </c>
      <c r="D91" s="649"/>
      <c r="E91" s="649"/>
      <c r="F91" s="649"/>
      <c r="H91" s="650">
        <v>1303632</v>
      </c>
      <c r="I91" s="650">
        <f t="shared" si="16"/>
        <v>1303632</v>
      </c>
      <c r="J91" s="650">
        <f t="shared" si="16"/>
        <v>1303632</v>
      </c>
      <c r="K91" s="650">
        <f t="shared" si="14"/>
        <v>1303632</v>
      </c>
      <c r="L91" s="650">
        <f t="shared" si="16"/>
        <v>1303632</v>
      </c>
      <c r="M91" s="650">
        <f t="shared" si="16"/>
        <v>1303632</v>
      </c>
      <c r="N91" s="650">
        <f t="shared" si="16"/>
        <v>1303632</v>
      </c>
      <c r="O91" s="650">
        <f t="shared" si="16"/>
        <v>1303632</v>
      </c>
      <c r="P91" s="650">
        <f t="shared" si="16"/>
        <v>1303632</v>
      </c>
      <c r="Q91" s="650">
        <f t="shared" si="15"/>
        <v>1303632</v>
      </c>
      <c r="R91" s="573"/>
    </row>
    <row r="92" spans="1:18" ht="15" customHeight="1">
      <c r="A92" s="543"/>
      <c r="B92" s="643"/>
      <c r="C92" s="631" t="s">
        <v>266</v>
      </c>
      <c r="D92" s="649"/>
      <c r="E92" s="649"/>
      <c r="F92" s="649"/>
      <c r="H92" s="650">
        <v>52313</v>
      </c>
      <c r="I92" s="650">
        <f t="shared" si="16"/>
        <v>52313</v>
      </c>
      <c r="J92" s="650">
        <f t="shared" si="16"/>
        <v>52313</v>
      </c>
      <c r="K92" s="650">
        <f t="shared" si="14"/>
        <v>52313</v>
      </c>
      <c r="L92" s="650">
        <f t="shared" si="16"/>
        <v>52313</v>
      </c>
      <c r="M92" s="650">
        <f t="shared" si="16"/>
        <v>52313</v>
      </c>
      <c r="N92" s="650">
        <f t="shared" si="16"/>
        <v>52313</v>
      </c>
      <c r="O92" s="650">
        <f t="shared" si="16"/>
        <v>52313</v>
      </c>
      <c r="P92" s="650">
        <f t="shared" si="16"/>
        <v>52313</v>
      </c>
      <c r="Q92" s="650">
        <f t="shared" si="15"/>
        <v>52313</v>
      </c>
      <c r="R92" s="573"/>
    </row>
    <row r="93" spans="1:18" ht="15" customHeight="1">
      <c r="A93" s="543"/>
      <c r="B93" s="643"/>
      <c r="C93" s="631" t="s">
        <v>267</v>
      </c>
      <c r="D93" s="644"/>
      <c r="E93" s="644"/>
      <c r="F93" s="644"/>
      <c r="H93" s="614">
        <f>H92/H91</f>
        <v>4.012865593971305E-2</v>
      </c>
      <c r="I93" s="614">
        <f t="shared" si="16"/>
        <v>4.012865593971305E-2</v>
      </c>
      <c r="J93" s="614">
        <f t="shared" si="16"/>
        <v>4.012865593971305E-2</v>
      </c>
      <c r="K93" s="614">
        <f t="shared" si="14"/>
        <v>4.012865593971305E-2</v>
      </c>
      <c r="L93" s="614">
        <f t="shared" si="16"/>
        <v>4.012865593971305E-2</v>
      </c>
      <c r="M93" s="614">
        <f t="shared" si="16"/>
        <v>4.012865593971305E-2</v>
      </c>
      <c r="N93" s="614">
        <f t="shared" si="16"/>
        <v>4.012865593971305E-2</v>
      </c>
      <c r="O93" s="614">
        <f t="shared" si="16"/>
        <v>4.012865593971305E-2</v>
      </c>
      <c r="P93" s="614">
        <f t="shared" si="16"/>
        <v>4.012865593971305E-2</v>
      </c>
      <c r="Q93" s="614">
        <f t="shared" si="15"/>
        <v>4.0099999999999997E-2</v>
      </c>
      <c r="R93" s="573"/>
    </row>
    <row r="94" spans="1:18" ht="15" customHeight="1">
      <c r="A94" s="543"/>
      <c r="B94" s="643"/>
      <c r="C94" s="631" t="s">
        <v>268</v>
      </c>
      <c r="D94" s="632"/>
      <c r="E94" s="632"/>
      <c r="F94" s="632"/>
      <c r="H94" s="633">
        <f>H91/H90</f>
        <v>0.46212222187561147</v>
      </c>
      <c r="I94" s="633">
        <f t="shared" si="16"/>
        <v>0.46212222187561147</v>
      </c>
      <c r="J94" s="633">
        <f t="shared" si="16"/>
        <v>0.46212222187561147</v>
      </c>
      <c r="K94" s="633">
        <f t="shared" si="14"/>
        <v>0.46212222187561147</v>
      </c>
      <c r="L94" s="633">
        <f t="shared" si="16"/>
        <v>0.46212222187561147</v>
      </c>
      <c r="M94" s="633">
        <f t="shared" si="16"/>
        <v>0.46212222187561147</v>
      </c>
      <c r="N94" s="633">
        <f t="shared" si="16"/>
        <v>0.46212222187561147</v>
      </c>
      <c r="O94" s="633">
        <f t="shared" si="16"/>
        <v>0.46212222187561147</v>
      </c>
      <c r="P94" s="633">
        <f t="shared" si="16"/>
        <v>0.46212222187561147</v>
      </c>
      <c r="Q94" s="633">
        <f t="shared" si="15"/>
        <v>0.46210000000000001</v>
      </c>
      <c r="R94" s="573"/>
    </row>
    <row r="95" spans="1:18" ht="15" customHeight="1">
      <c r="A95" s="543"/>
      <c r="B95" s="643"/>
      <c r="C95" s="631" t="s">
        <v>270</v>
      </c>
      <c r="D95" s="644"/>
      <c r="E95" s="644"/>
      <c r="F95" s="644"/>
      <c r="H95" s="614">
        <f>H89*H93*H94</f>
        <v>6.181447881247382E-3</v>
      </c>
      <c r="I95" s="614">
        <f t="shared" si="16"/>
        <v>6.181447881247382E-3</v>
      </c>
      <c r="J95" s="614">
        <f t="shared" si="16"/>
        <v>6.181447881247382E-3</v>
      </c>
      <c r="K95" s="614">
        <f t="shared" si="14"/>
        <v>6.181447881247382E-3</v>
      </c>
      <c r="L95" s="614">
        <f t="shared" si="16"/>
        <v>6.181447881247382E-3</v>
      </c>
      <c r="M95" s="614">
        <f t="shared" si="16"/>
        <v>6.181447881247382E-3</v>
      </c>
      <c r="N95" s="614">
        <f t="shared" si="16"/>
        <v>6.181447881247382E-3</v>
      </c>
      <c r="O95" s="614">
        <f t="shared" si="16"/>
        <v>6.181447881247382E-3</v>
      </c>
      <c r="P95" s="614">
        <f t="shared" si="16"/>
        <v>6.181447881247382E-3</v>
      </c>
      <c r="Q95" s="614">
        <f t="shared" si="15"/>
        <v>6.1999999999999998E-3</v>
      </c>
      <c r="R95" s="573"/>
    </row>
    <row r="96" spans="1:18" ht="3.75" customHeight="1">
      <c r="B96" s="651"/>
      <c r="C96" s="652"/>
      <c r="D96" s="653"/>
      <c r="E96" s="653"/>
      <c r="F96" s="653"/>
      <c r="H96" s="638"/>
      <c r="I96" s="638"/>
      <c r="J96" s="638"/>
      <c r="K96" s="638"/>
      <c r="L96" s="638"/>
      <c r="M96" s="638"/>
      <c r="N96" s="638"/>
      <c r="O96" s="638"/>
      <c r="P96" s="638"/>
      <c r="Q96" s="638"/>
    </row>
    <row r="97" spans="1:18" s="611" customFormat="1" ht="15" customHeight="1">
      <c r="B97" s="605"/>
      <c r="C97" s="606" t="s">
        <v>217</v>
      </c>
      <c r="D97" s="606"/>
      <c r="E97" s="606"/>
      <c r="F97" s="607"/>
      <c r="G97" s="3"/>
      <c r="H97" s="605"/>
      <c r="I97" s="608"/>
      <c r="J97" s="608"/>
      <c r="K97" s="608"/>
      <c r="L97" s="608"/>
      <c r="M97" s="608"/>
      <c r="N97" s="608"/>
      <c r="O97" s="608"/>
      <c r="P97" s="608"/>
      <c r="Q97" s="609"/>
    </row>
    <row r="98" spans="1:18" ht="15" customHeight="1">
      <c r="A98" s="543"/>
      <c r="B98" s="551" t="s">
        <v>2</v>
      </c>
      <c r="C98" s="552" t="s">
        <v>36</v>
      </c>
      <c r="D98" s="589" t="s">
        <v>574</v>
      </c>
      <c r="E98" s="590" t="s">
        <v>122</v>
      </c>
      <c r="F98" s="590" t="s">
        <v>368</v>
      </c>
      <c r="H98" s="614">
        <f>((1/12)/12)+((1/12)/12)+((1/3)*((1/12)/12))</f>
        <v>1.6203703703703703E-2</v>
      </c>
      <c r="I98" s="614">
        <f>H98</f>
        <v>1.6203703703703703E-2</v>
      </c>
      <c r="J98" s="614">
        <f>I98</f>
        <v>1.6203703703703703E-2</v>
      </c>
      <c r="K98" s="614">
        <f t="shared" ref="K98:K106" si="17">I98</f>
        <v>1.6203703703703703E-2</v>
      </c>
      <c r="L98" s="614">
        <f>K98</f>
        <v>1.6203703703703703E-2</v>
      </c>
      <c r="M98" s="614">
        <f>L98</f>
        <v>1.6203703703703703E-2</v>
      </c>
      <c r="N98" s="614">
        <f>M98</f>
        <v>1.6203703703703703E-2</v>
      </c>
      <c r="O98" s="614">
        <f>N98</f>
        <v>1.6203703703703703E-2</v>
      </c>
      <c r="P98" s="614">
        <f>O98</f>
        <v>1.6203703703703703E-2</v>
      </c>
      <c r="Q98" s="614">
        <f t="shared" ref="Q98:Q106" si="18">IFERROR(ROUND(IF($Q$15="Simples",
INDEX(H98:P98,MATCH($Q$16,$H$16:$P$16,1)),
INDEX(H98:P98,MATCH($Q$15,$H$13:$P$13,0))
),4),"")</f>
        <v>1.6199999999999999E-2</v>
      </c>
      <c r="R98" s="573"/>
    </row>
    <row r="99" spans="1:18" ht="15" customHeight="1">
      <c r="A99" s="543"/>
      <c r="B99" s="551" t="s">
        <v>1</v>
      </c>
      <c r="C99" s="552" t="s">
        <v>239</v>
      </c>
      <c r="D99" s="589" t="s">
        <v>211</v>
      </c>
      <c r="E99" s="590" t="s">
        <v>123</v>
      </c>
      <c r="F99" s="590" t="s">
        <v>369</v>
      </c>
      <c r="H99" s="614">
        <f>(H82/$D$5)/$D$8</f>
        <v>1.3888888888888888E-2</v>
      </c>
      <c r="I99" s="614">
        <f t="shared" ref="I99:P106" si="19">H99</f>
        <v>1.3888888888888888E-2</v>
      </c>
      <c r="J99" s="614">
        <f t="shared" si="19"/>
        <v>1.3888888888888888E-2</v>
      </c>
      <c r="K99" s="614">
        <f t="shared" si="17"/>
        <v>1.3888888888888888E-2</v>
      </c>
      <c r="L99" s="614">
        <f t="shared" si="19"/>
        <v>1.3888888888888888E-2</v>
      </c>
      <c r="M99" s="614">
        <f t="shared" si="19"/>
        <v>1.3888888888888888E-2</v>
      </c>
      <c r="N99" s="614">
        <f t="shared" si="19"/>
        <v>1.3888888888888888E-2</v>
      </c>
      <c r="O99" s="614">
        <f t="shared" si="19"/>
        <v>1.3888888888888888E-2</v>
      </c>
      <c r="P99" s="614">
        <f t="shared" si="19"/>
        <v>1.3888888888888888E-2</v>
      </c>
      <c r="Q99" s="614">
        <f t="shared" si="18"/>
        <v>1.3899999999999999E-2</v>
      </c>
      <c r="R99" s="573"/>
    </row>
    <row r="100" spans="1:18" ht="15" customHeight="1">
      <c r="A100" s="543"/>
      <c r="B100" s="551" t="s">
        <v>0</v>
      </c>
      <c r="C100" s="552" t="s">
        <v>37</v>
      </c>
      <c r="D100" s="589" t="s">
        <v>212</v>
      </c>
      <c r="E100" s="590" t="s">
        <v>124</v>
      </c>
      <c r="F100" s="590" t="s">
        <v>370</v>
      </c>
      <c r="H100" s="614">
        <f>((H83/$D$5)/$D$8*H84)</f>
        <v>2.0833333333333332E-4</v>
      </c>
      <c r="I100" s="614">
        <f t="shared" si="19"/>
        <v>2.0833333333333332E-4</v>
      </c>
      <c r="J100" s="614">
        <f t="shared" si="19"/>
        <v>2.0833333333333332E-4</v>
      </c>
      <c r="K100" s="614">
        <f t="shared" si="17"/>
        <v>2.0833333333333332E-4</v>
      </c>
      <c r="L100" s="614">
        <f t="shared" si="19"/>
        <v>2.0833333333333332E-4</v>
      </c>
      <c r="M100" s="614">
        <f t="shared" si="19"/>
        <v>2.0833333333333332E-4</v>
      </c>
      <c r="N100" s="614">
        <f t="shared" si="19"/>
        <v>2.0833333333333332E-4</v>
      </c>
      <c r="O100" s="614">
        <f t="shared" si="19"/>
        <v>2.0833333333333332E-4</v>
      </c>
      <c r="P100" s="614">
        <f t="shared" si="19"/>
        <v>2.0833333333333332E-4</v>
      </c>
      <c r="Q100" s="614">
        <f t="shared" si="18"/>
        <v>2.0000000000000001E-4</v>
      </c>
      <c r="R100" s="573"/>
    </row>
    <row r="101" spans="1:18" ht="15" customHeight="1">
      <c r="A101" s="543"/>
      <c r="B101" s="551" t="s">
        <v>3</v>
      </c>
      <c r="C101" s="552" t="s">
        <v>38</v>
      </c>
      <c r="D101" s="589" t="s">
        <v>213</v>
      </c>
      <c r="E101" s="590" t="s">
        <v>125</v>
      </c>
      <c r="F101" s="590" t="s">
        <v>371</v>
      </c>
      <c r="H101" s="614">
        <f>H85/$D$5/$D$8</f>
        <v>8.2222222222222228E-3</v>
      </c>
      <c r="I101" s="614">
        <f t="shared" si="19"/>
        <v>8.2222222222222228E-3</v>
      </c>
      <c r="J101" s="614">
        <f t="shared" si="19"/>
        <v>8.2222222222222228E-3</v>
      </c>
      <c r="K101" s="614">
        <f t="shared" si="17"/>
        <v>8.2222222222222228E-3</v>
      </c>
      <c r="L101" s="614">
        <f t="shared" si="19"/>
        <v>8.2222222222222228E-3</v>
      </c>
      <c r="M101" s="614">
        <f t="shared" si="19"/>
        <v>8.2222222222222228E-3</v>
      </c>
      <c r="N101" s="614">
        <f t="shared" si="19"/>
        <v>8.2222222222222228E-3</v>
      </c>
      <c r="O101" s="614">
        <f t="shared" si="19"/>
        <v>8.2222222222222228E-3</v>
      </c>
      <c r="P101" s="614">
        <f t="shared" si="19"/>
        <v>8.2222222222222228E-3</v>
      </c>
      <c r="Q101" s="614">
        <f t="shared" si="18"/>
        <v>8.2000000000000007E-3</v>
      </c>
      <c r="R101" s="573"/>
    </row>
    <row r="102" spans="1:18" ht="15" customHeight="1">
      <c r="A102" s="543"/>
      <c r="B102" s="551" t="s">
        <v>7</v>
      </c>
      <c r="C102" s="552" t="s">
        <v>240</v>
      </c>
      <c r="D102" s="589" t="s">
        <v>214</v>
      </c>
      <c r="E102" s="590" t="s">
        <v>126</v>
      </c>
      <c r="F102" s="590" t="s">
        <v>372</v>
      </c>
      <c r="H102" s="614">
        <f>(H87/$D$5/$D$8)*H86</f>
        <v>3.2499999999999999E-4</v>
      </c>
      <c r="I102" s="614">
        <f t="shared" si="19"/>
        <v>3.2499999999999999E-4</v>
      </c>
      <c r="J102" s="614">
        <f t="shared" si="19"/>
        <v>3.2499999999999999E-4</v>
      </c>
      <c r="K102" s="614">
        <f t="shared" si="17"/>
        <v>3.2499999999999999E-4</v>
      </c>
      <c r="L102" s="614">
        <f t="shared" si="19"/>
        <v>3.2499999999999999E-4</v>
      </c>
      <c r="M102" s="614">
        <f t="shared" si="19"/>
        <v>3.2499999999999999E-4</v>
      </c>
      <c r="N102" s="614">
        <f t="shared" si="19"/>
        <v>3.2499999999999999E-4</v>
      </c>
      <c r="O102" s="614">
        <f t="shared" si="19"/>
        <v>3.2499999999999999E-4</v>
      </c>
      <c r="P102" s="614">
        <f t="shared" si="19"/>
        <v>3.2499999999999999E-4</v>
      </c>
      <c r="Q102" s="614">
        <f t="shared" si="18"/>
        <v>2.9999999999999997E-4</v>
      </c>
      <c r="R102" s="573"/>
    </row>
    <row r="103" spans="1:18" ht="15" customHeight="1">
      <c r="A103" s="543"/>
      <c r="B103" s="551" t="s">
        <v>6</v>
      </c>
      <c r="C103" s="552" t="s">
        <v>39</v>
      </c>
      <c r="D103" s="589" t="s">
        <v>215</v>
      </c>
      <c r="E103" s="590" t="s">
        <v>127</v>
      </c>
      <c r="F103" s="590" t="s">
        <v>373</v>
      </c>
      <c r="H103" s="614">
        <f>((1/12)+((1/3)*(1/12)))*H95</f>
        <v>6.868275423608202E-4</v>
      </c>
      <c r="I103" s="614">
        <f t="shared" si="19"/>
        <v>6.868275423608202E-4</v>
      </c>
      <c r="J103" s="614">
        <f t="shared" si="19"/>
        <v>6.868275423608202E-4</v>
      </c>
      <c r="K103" s="614">
        <f t="shared" si="17"/>
        <v>6.868275423608202E-4</v>
      </c>
      <c r="L103" s="614">
        <f t="shared" si="19"/>
        <v>6.868275423608202E-4</v>
      </c>
      <c r="M103" s="614">
        <f t="shared" si="19"/>
        <v>6.868275423608202E-4</v>
      </c>
      <c r="N103" s="614">
        <f t="shared" si="19"/>
        <v>6.868275423608202E-4</v>
      </c>
      <c r="O103" s="614">
        <f t="shared" si="19"/>
        <v>6.868275423608202E-4</v>
      </c>
      <c r="P103" s="614">
        <f t="shared" si="19"/>
        <v>6.868275423608202E-4</v>
      </c>
      <c r="Q103" s="614">
        <f t="shared" si="18"/>
        <v>6.9999999999999999E-4</v>
      </c>
      <c r="R103" s="573"/>
    </row>
    <row r="104" spans="1:18" ht="15" customHeight="1">
      <c r="A104" s="543"/>
      <c r="B104" s="551" t="s">
        <v>5</v>
      </c>
      <c r="C104" s="552" t="s">
        <v>95</v>
      </c>
      <c r="D104" s="589" t="s">
        <v>205</v>
      </c>
      <c r="E104" s="590"/>
      <c r="F104" s="590"/>
      <c r="H104" s="654">
        <f>SUM($H$98:$H$103)*H49</f>
        <v>1.4548871054107302E-2</v>
      </c>
      <c r="I104" s="654">
        <f t="shared" si="19"/>
        <v>1.4548871054107302E-2</v>
      </c>
      <c r="J104" s="654">
        <f t="shared" si="19"/>
        <v>1.4548871054107302E-2</v>
      </c>
      <c r="K104" s="654">
        <f t="shared" si="17"/>
        <v>1.4548871054107302E-2</v>
      </c>
      <c r="L104" s="654">
        <f t="shared" si="19"/>
        <v>1.4548871054107302E-2</v>
      </c>
      <c r="M104" s="654">
        <f t="shared" si="19"/>
        <v>1.4548871054107302E-2</v>
      </c>
      <c r="N104" s="654">
        <f t="shared" si="19"/>
        <v>1.4548871054107302E-2</v>
      </c>
      <c r="O104" s="654">
        <f t="shared" si="19"/>
        <v>1.4548871054107302E-2</v>
      </c>
      <c r="P104" s="654">
        <f t="shared" si="19"/>
        <v>1.4548871054107302E-2</v>
      </c>
      <c r="Q104" s="654">
        <f t="shared" si="18"/>
        <v>1.4500000000000001E-2</v>
      </c>
      <c r="R104" s="573"/>
    </row>
    <row r="105" spans="1:18" ht="15" customHeight="1">
      <c r="A105" s="543"/>
      <c r="B105" s="551" t="s">
        <v>4</v>
      </c>
      <c r="C105" s="552" t="s">
        <v>92</v>
      </c>
      <c r="D105" s="589" t="s">
        <v>374</v>
      </c>
      <c r="E105" s="590"/>
      <c r="F105" s="590" t="s">
        <v>204</v>
      </c>
      <c r="H105" s="655">
        <v>37.96</v>
      </c>
      <c r="I105" s="655">
        <f t="shared" si="19"/>
        <v>37.96</v>
      </c>
      <c r="J105" s="655">
        <f t="shared" si="19"/>
        <v>37.96</v>
      </c>
      <c r="K105" s="655">
        <f t="shared" si="17"/>
        <v>37.96</v>
      </c>
      <c r="L105" s="655">
        <f t="shared" si="19"/>
        <v>37.96</v>
      </c>
      <c r="M105" s="655">
        <f t="shared" si="19"/>
        <v>37.96</v>
      </c>
      <c r="N105" s="655">
        <f t="shared" si="19"/>
        <v>37.96</v>
      </c>
      <c r="O105" s="655">
        <f t="shared" si="19"/>
        <v>37.96</v>
      </c>
      <c r="P105" s="655">
        <f t="shared" si="19"/>
        <v>37.96</v>
      </c>
      <c r="Q105" s="656">
        <f t="shared" si="18"/>
        <v>37.96</v>
      </c>
      <c r="R105" s="573"/>
    </row>
    <row r="106" spans="1:18" ht="15" customHeight="1">
      <c r="A106" s="543"/>
      <c r="B106" s="551" t="s">
        <v>142</v>
      </c>
      <c r="C106" s="552" t="s">
        <v>40</v>
      </c>
      <c r="D106" s="589" t="s">
        <v>216</v>
      </c>
      <c r="E106" s="590"/>
      <c r="F106" s="590" t="s">
        <v>224</v>
      </c>
      <c r="H106" s="655">
        <v>37.96</v>
      </c>
      <c r="I106" s="655">
        <f t="shared" si="19"/>
        <v>37.96</v>
      </c>
      <c r="J106" s="655">
        <f t="shared" si="19"/>
        <v>37.96</v>
      </c>
      <c r="K106" s="655">
        <f t="shared" si="17"/>
        <v>37.96</v>
      </c>
      <c r="L106" s="655">
        <f t="shared" si="19"/>
        <v>37.96</v>
      </c>
      <c r="M106" s="655">
        <f t="shared" si="19"/>
        <v>37.96</v>
      </c>
      <c r="N106" s="655">
        <f t="shared" si="19"/>
        <v>37.96</v>
      </c>
      <c r="O106" s="655">
        <f t="shared" si="19"/>
        <v>37.96</v>
      </c>
      <c r="P106" s="655">
        <f t="shared" si="19"/>
        <v>37.96</v>
      </c>
      <c r="Q106" s="656">
        <f t="shared" si="18"/>
        <v>37.96</v>
      </c>
      <c r="R106" s="573"/>
    </row>
    <row r="107" spans="1:18" customFormat="1" ht="3.75" customHeight="1">
      <c r="H107" s="12"/>
      <c r="I107" s="12"/>
      <c r="J107" s="12"/>
      <c r="K107" s="12"/>
      <c r="L107" s="12"/>
      <c r="M107" s="12"/>
      <c r="N107" s="12"/>
      <c r="O107" s="12"/>
      <c r="P107" s="12"/>
      <c r="Q107" s="12"/>
    </row>
    <row r="108" spans="1:18" s="611" customFormat="1" ht="15" customHeight="1">
      <c r="B108" s="605"/>
      <c r="C108" s="606" t="s">
        <v>158</v>
      </c>
      <c r="D108" s="606"/>
      <c r="E108" s="606"/>
      <c r="F108" s="607"/>
      <c r="G108" s="3"/>
      <c r="H108" s="605"/>
      <c r="I108" s="608"/>
      <c r="J108" s="608"/>
      <c r="K108" s="608"/>
      <c r="L108" s="608"/>
      <c r="M108" s="608"/>
      <c r="N108" s="608"/>
      <c r="O108" s="608"/>
      <c r="P108" s="608"/>
      <c r="Q108" s="609"/>
    </row>
    <row r="109" spans="1:18" ht="15" customHeight="1">
      <c r="B109" s="797" t="s">
        <v>2</v>
      </c>
      <c r="C109" s="588" t="s">
        <v>128</v>
      </c>
      <c r="D109" s="589" t="s">
        <v>140</v>
      </c>
      <c r="E109" s="590" t="s">
        <v>132</v>
      </c>
      <c r="F109" s="590" t="s">
        <v>129</v>
      </c>
      <c r="H109" s="655"/>
      <c r="I109" s="655"/>
      <c r="J109" s="655"/>
      <c r="K109" s="655"/>
      <c r="L109" s="655"/>
      <c r="M109" s="655"/>
      <c r="N109" s="655"/>
      <c r="O109" s="655"/>
      <c r="P109" s="655"/>
      <c r="Q109" s="656"/>
      <c r="R109" s="573"/>
    </row>
    <row r="110" spans="1:18" ht="15" customHeight="1">
      <c r="B110" s="798"/>
      <c r="C110" s="588" t="s">
        <v>130</v>
      </c>
      <c r="D110" s="589" t="s">
        <v>141</v>
      </c>
      <c r="E110" s="590" t="s">
        <v>132</v>
      </c>
      <c r="F110" s="590" t="s">
        <v>131</v>
      </c>
      <c r="H110" s="655"/>
      <c r="I110" s="655"/>
      <c r="J110" s="655"/>
      <c r="K110" s="655"/>
      <c r="L110" s="655"/>
      <c r="M110" s="655"/>
      <c r="N110" s="655"/>
      <c r="O110" s="655"/>
      <c r="P110" s="655"/>
      <c r="Q110" s="656"/>
      <c r="R110" s="573"/>
    </row>
    <row r="111" spans="1:18" ht="15" customHeight="1">
      <c r="B111" s="657"/>
      <c r="C111" s="658"/>
      <c r="D111" s="659"/>
      <c r="E111" s="660"/>
      <c r="F111" s="660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/>
    </row>
    <row r="112" spans="1:18" s="3" customFormat="1" ht="15" customHeight="1">
      <c r="B112" s="544"/>
      <c r="C112" s="584" t="s">
        <v>418</v>
      </c>
      <c r="D112" s="584"/>
      <c r="E112" s="584"/>
      <c r="F112" s="584"/>
      <c r="G112"/>
      <c r="H112" s="584"/>
      <c r="I112" s="584"/>
      <c r="J112" s="584"/>
      <c r="K112" s="584"/>
      <c r="L112" s="584"/>
      <c r="M112" s="584"/>
      <c r="N112" s="584"/>
      <c r="O112" s="584"/>
      <c r="P112" s="584"/>
      <c r="Q112" s="584"/>
    </row>
    <row r="113" spans="1:18" ht="5.25" customHeight="1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 s="573"/>
    </row>
    <row r="114" spans="1:18" ht="15" customHeight="1">
      <c r="A114" s="543"/>
      <c r="B114" s="605"/>
      <c r="C114" s="606" t="s">
        <v>419</v>
      </c>
      <c r="D114" s="606"/>
      <c r="E114" s="606"/>
      <c r="F114" s="607"/>
      <c r="G114"/>
      <c r="H114" s="661"/>
      <c r="I114" s="606"/>
      <c r="J114" s="606"/>
      <c r="K114" s="606"/>
      <c r="L114" s="606"/>
      <c r="M114" s="606"/>
      <c r="N114" s="606"/>
      <c r="O114" s="606"/>
      <c r="P114" s="606"/>
      <c r="Q114" s="607"/>
      <c r="R114" s="573"/>
    </row>
    <row r="115" spans="1:18" ht="15" customHeight="1">
      <c r="B115" s="662" t="s">
        <v>2</v>
      </c>
      <c r="C115" s="663" t="s">
        <v>276</v>
      </c>
      <c r="D115" s="664"/>
      <c r="E115" s="664"/>
      <c r="F115" s="664"/>
      <c r="G115"/>
      <c r="H115" s="664"/>
      <c r="I115" s="664"/>
      <c r="J115" s="664"/>
      <c r="K115" s="664"/>
      <c r="L115" s="664"/>
      <c r="M115" s="664"/>
      <c r="N115" s="664"/>
      <c r="O115" s="664"/>
      <c r="P115" s="664"/>
      <c r="Q115" s="664"/>
      <c r="R115" s="573"/>
    </row>
    <row r="116" spans="1:18" ht="15" customHeight="1">
      <c r="B116" s="662" t="s">
        <v>1</v>
      </c>
      <c r="C116" s="663" t="s">
        <v>277</v>
      </c>
      <c r="D116" s="664"/>
      <c r="E116" s="664"/>
      <c r="F116" s="552" t="s">
        <v>489</v>
      </c>
      <c r="G116"/>
      <c r="H116" s="664"/>
      <c r="I116" s="664"/>
      <c r="J116" s="664"/>
      <c r="K116" s="664"/>
      <c r="L116" s="664"/>
      <c r="M116" s="664"/>
      <c r="N116" s="664"/>
      <c r="O116" s="664"/>
      <c r="P116" s="664"/>
      <c r="Q116" s="664"/>
      <c r="R116" s="573"/>
    </row>
    <row r="117" spans="1:18" ht="5.25" customHeight="1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 s="573"/>
    </row>
    <row r="118" spans="1:18" ht="5.25" customHeight="1">
      <c r="B118" s="310"/>
      <c r="C118" s="310"/>
      <c r="D118" s="310"/>
      <c r="E118" s="310"/>
      <c r="F118" s="310"/>
      <c r="G118"/>
      <c r="H118" s="310"/>
      <c r="I118" s="310"/>
      <c r="J118" s="310"/>
      <c r="K118" s="310"/>
      <c r="L118" s="310"/>
      <c r="M118" s="310"/>
      <c r="N118" s="310"/>
      <c r="O118" s="310"/>
      <c r="P118" s="310"/>
      <c r="Q118" s="310"/>
      <c r="R118" s="573"/>
    </row>
    <row r="119" spans="1:18" ht="15" customHeight="1">
      <c r="A119" s="543"/>
      <c r="B119" s="605"/>
      <c r="C119" s="606" t="s">
        <v>420</v>
      </c>
      <c r="D119" s="606"/>
      <c r="E119" s="606"/>
      <c r="F119" s="607"/>
      <c r="G119"/>
      <c r="H119" s="661"/>
      <c r="I119" s="606"/>
      <c r="J119" s="606"/>
      <c r="K119" s="606"/>
      <c r="L119" s="606"/>
      <c r="M119" s="606"/>
      <c r="N119" s="606"/>
      <c r="O119" s="606"/>
      <c r="P119" s="606"/>
      <c r="Q119" s="607"/>
      <c r="R119" s="573"/>
    </row>
    <row r="120" spans="1:18" ht="15" customHeight="1">
      <c r="B120" s="665" t="s">
        <v>424</v>
      </c>
      <c r="C120" s="666" t="s">
        <v>321</v>
      </c>
      <c r="D120" s="667"/>
      <c r="E120" s="667"/>
      <c r="F120" s="667"/>
      <c r="G120"/>
      <c r="H120" s="667"/>
      <c r="I120" s="667"/>
      <c r="J120" s="667"/>
      <c r="K120" s="667"/>
      <c r="L120" s="667"/>
      <c r="M120" s="667"/>
      <c r="N120" s="667"/>
      <c r="O120" s="667"/>
      <c r="P120" s="667"/>
      <c r="Q120" s="667"/>
      <c r="R120" s="573"/>
    </row>
    <row r="121" spans="1:18" ht="15" customHeight="1">
      <c r="B121" s="668" t="s">
        <v>425</v>
      </c>
      <c r="C121" s="669" t="s">
        <v>320</v>
      </c>
      <c r="D121" s="670"/>
      <c r="E121" s="670"/>
      <c r="F121" s="670"/>
      <c r="G121"/>
      <c r="H121" s="670"/>
      <c r="I121" s="670"/>
      <c r="J121" s="670"/>
      <c r="K121" s="670"/>
      <c r="L121" s="670"/>
      <c r="M121" s="670"/>
      <c r="N121" s="670"/>
      <c r="O121" s="670"/>
      <c r="P121" s="670"/>
      <c r="Q121" s="670"/>
      <c r="R121" s="573"/>
    </row>
    <row r="122" spans="1:18" ht="15" customHeight="1">
      <c r="B122" s="671" t="s">
        <v>426</v>
      </c>
      <c r="C122" s="672" t="s">
        <v>423</v>
      </c>
      <c r="D122" s="670"/>
      <c r="E122" s="670"/>
      <c r="F122" s="670"/>
      <c r="G122"/>
      <c r="H122" s="670"/>
      <c r="I122" s="670"/>
      <c r="J122" s="670"/>
      <c r="K122" s="670"/>
      <c r="L122" s="670"/>
      <c r="M122" s="670"/>
      <c r="N122" s="670"/>
      <c r="O122" s="670"/>
      <c r="P122" s="670"/>
      <c r="Q122" s="670"/>
      <c r="R122" s="573"/>
    </row>
    <row r="123" spans="1:18" ht="15" customHeight="1">
      <c r="B123" s="673" t="s">
        <v>427</v>
      </c>
      <c r="C123" s="674" t="s">
        <v>322</v>
      </c>
      <c r="D123" s="670"/>
      <c r="E123" s="670"/>
      <c r="F123" s="670"/>
      <c r="G123"/>
      <c r="H123" s="670"/>
      <c r="I123" s="670"/>
      <c r="J123" s="670"/>
      <c r="K123" s="670"/>
      <c r="L123" s="670"/>
      <c r="M123" s="670"/>
      <c r="N123" s="670"/>
      <c r="O123" s="670"/>
      <c r="P123" s="670"/>
      <c r="Q123" s="670"/>
      <c r="R123" s="573"/>
    </row>
    <row r="124" spans="1:18" ht="15" customHeight="1">
      <c r="B124" s="675" t="s">
        <v>428</v>
      </c>
      <c r="C124" s="676" t="s">
        <v>14</v>
      </c>
      <c r="D124" s="667"/>
      <c r="E124" s="667"/>
      <c r="F124" s="667"/>
      <c r="G124"/>
      <c r="H124" s="667"/>
      <c r="I124" s="667"/>
      <c r="J124" s="667"/>
      <c r="K124" s="667"/>
      <c r="L124" s="667"/>
      <c r="M124" s="667"/>
      <c r="N124" s="667"/>
      <c r="O124" s="667"/>
      <c r="P124" s="667"/>
      <c r="Q124" s="667"/>
      <c r="R124" s="573"/>
    </row>
    <row r="125" spans="1:18" ht="5.25" customHeight="1">
      <c r="B125" s="324"/>
      <c r="C125" s="42"/>
      <c r="D125" s="42"/>
      <c r="E125" s="42"/>
      <c r="F125" s="42"/>
      <c r="G125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573"/>
    </row>
    <row r="126" spans="1:18" ht="15" customHeight="1">
      <c r="A126" s="543"/>
      <c r="B126" s="605"/>
      <c r="C126" s="606" t="s">
        <v>421</v>
      </c>
      <c r="D126" s="606"/>
      <c r="E126" s="606"/>
      <c r="F126" s="607"/>
      <c r="G126"/>
      <c r="H126" s="661"/>
      <c r="I126" s="606"/>
      <c r="J126" s="606"/>
      <c r="K126" s="606"/>
      <c r="L126" s="606"/>
      <c r="M126" s="606"/>
      <c r="N126" s="606"/>
      <c r="O126" s="606"/>
      <c r="P126" s="606"/>
      <c r="Q126" s="607"/>
      <c r="R126" s="573"/>
    </row>
    <row r="127" spans="1:18" ht="15" customHeight="1">
      <c r="B127" s="677" t="s">
        <v>430</v>
      </c>
      <c r="C127" s="678" t="s">
        <v>13</v>
      </c>
      <c r="D127" s="667"/>
      <c r="E127" s="667"/>
      <c r="F127" s="667"/>
      <c r="G127"/>
      <c r="H127" s="667"/>
      <c r="I127" s="667"/>
      <c r="J127" s="667"/>
      <c r="K127" s="667"/>
      <c r="L127" s="667"/>
      <c r="M127" s="667"/>
      <c r="N127" s="667"/>
      <c r="O127" s="667"/>
      <c r="P127" s="667"/>
      <c r="Q127" s="667"/>
      <c r="R127" s="573"/>
    </row>
    <row r="128" spans="1:18" ht="15" customHeight="1">
      <c r="B128" s="677" t="s">
        <v>431</v>
      </c>
      <c r="C128" s="678" t="s">
        <v>12</v>
      </c>
      <c r="D128" s="667"/>
      <c r="E128" s="667"/>
      <c r="F128" s="667"/>
      <c r="G128"/>
      <c r="H128" s="667"/>
      <c r="I128" s="667"/>
      <c r="J128" s="667"/>
      <c r="K128" s="667"/>
      <c r="L128" s="667"/>
      <c r="M128" s="667"/>
      <c r="N128" s="667"/>
      <c r="O128" s="667"/>
      <c r="P128" s="667"/>
      <c r="Q128" s="667"/>
      <c r="R128" s="573"/>
    </row>
    <row r="129" spans="1:18" ht="15" customHeight="1">
      <c r="B129" s="679" t="s">
        <v>432</v>
      </c>
      <c r="C129" s="680" t="s">
        <v>11</v>
      </c>
      <c r="D129" s="667"/>
      <c r="E129" s="667"/>
      <c r="F129" s="667"/>
      <c r="G129"/>
      <c r="H129" s="667"/>
      <c r="I129" s="667"/>
      <c r="J129" s="667"/>
      <c r="K129" s="667"/>
      <c r="L129" s="667"/>
      <c r="M129" s="667"/>
      <c r="N129" s="667"/>
      <c r="O129" s="667"/>
      <c r="P129" s="667"/>
      <c r="Q129" s="667"/>
      <c r="R129" s="573"/>
    </row>
    <row r="130" spans="1:18" ht="15" customHeight="1">
      <c r="B130" s="677" t="s">
        <v>433</v>
      </c>
      <c r="C130" s="678" t="s">
        <v>10</v>
      </c>
      <c r="D130" s="667"/>
      <c r="E130" s="667"/>
      <c r="F130" s="667"/>
      <c r="G130"/>
      <c r="H130" s="667"/>
      <c r="I130" s="667"/>
      <c r="J130" s="667"/>
      <c r="K130" s="667"/>
      <c r="L130" s="667"/>
      <c r="M130" s="667"/>
      <c r="N130" s="667"/>
      <c r="O130" s="667"/>
      <c r="P130" s="667"/>
      <c r="Q130" s="667"/>
      <c r="R130" s="573"/>
    </row>
    <row r="131" spans="1:18" ht="15" customHeight="1">
      <c r="B131" s="681" t="s">
        <v>434</v>
      </c>
      <c r="C131" s="676" t="s">
        <v>9</v>
      </c>
      <c r="D131" s="667"/>
      <c r="E131" s="667"/>
      <c r="F131" s="667"/>
      <c r="G131"/>
      <c r="H131" s="667"/>
      <c r="I131" s="667"/>
      <c r="J131" s="667"/>
      <c r="K131" s="667"/>
      <c r="L131" s="667"/>
      <c r="M131" s="667"/>
      <c r="N131" s="667"/>
      <c r="O131" s="667"/>
      <c r="P131" s="667"/>
      <c r="Q131" s="667"/>
      <c r="R131" s="573"/>
    </row>
    <row r="132" spans="1:18" ht="5.25" customHeight="1">
      <c r="B132" s="324"/>
      <c r="C132" s="42"/>
      <c r="D132" s="42"/>
      <c r="E132" s="42"/>
      <c r="F132" s="42"/>
      <c r="G13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573"/>
    </row>
    <row r="133" spans="1:18" ht="15" customHeight="1">
      <c r="A133" s="543"/>
      <c r="B133" s="605"/>
      <c r="C133" s="606" t="s">
        <v>422</v>
      </c>
      <c r="D133" s="606"/>
      <c r="E133" s="606"/>
      <c r="F133" s="607"/>
      <c r="G133"/>
      <c r="H133" s="661"/>
      <c r="I133" s="606"/>
      <c r="J133" s="606"/>
      <c r="K133" s="606"/>
      <c r="L133" s="606"/>
      <c r="M133" s="606"/>
      <c r="N133" s="606"/>
      <c r="O133" s="606"/>
      <c r="P133" s="606"/>
      <c r="Q133" s="607"/>
      <c r="R133" s="573"/>
    </row>
    <row r="134" spans="1:18" ht="15" customHeight="1">
      <c r="B134" s="682" t="s">
        <v>435</v>
      </c>
      <c r="C134" s="666" t="s">
        <v>324</v>
      </c>
      <c r="D134" s="667"/>
      <c r="E134" s="667"/>
      <c r="F134" s="667"/>
      <c r="G134"/>
      <c r="H134" s="667"/>
      <c r="I134" s="667"/>
      <c r="J134" s="667"/>
      <c r="K134" s="667"/>
      <c r="L134" s="667"/>
      <c r="M134" s="667"/>
      <c r="N134" s="667"/>
      <c r="O134" s="667"/>
      <c r="P134" s="667"/>
      <c r="Q134" s="667"/>
      <c r="R134" s="573"/>
    </row>
    <row r="135" spans="1:18" ht="15" customHeight="1">
      <c r="B135" s="677" t="s">
        <v>436</v>
      </c>
      <c r="C135" s="678" t="s">
        <v>8</v>
      </c>
      <c r="D135" s="667"/>
      <c r="E135" s="667"/>
      <c r="F135" s="667"/>
      <c r="G135"/>
      <c r="H135" s="667"/>
      <c r="I135" s="667"/>
      <c r="J135" s="667"/>
      <c r="K135" s="667"/>
      <c r="L135" s="667"/>
      <c r="M135" s="667"/>
      <c r="N135" s="667"/>
      <c r="O135" s="667"/>
      <c r="P135" s="667"/>
      <c r="Q135" s="667"/>
      <c r="R135" s="573"/>
    </row>
    <row r="136" spans="1:18" ht="15" customHeight="1">
      <c r="B136" s="657"/>
      <c r="C136" s="658"/>
      <c r="D136" s="659"/>
      <c r="E136" s="660"/>
      <c r="F136" s="660"/>
      <c r="H136" s="683"/>
      <c r="I136" s="683"/>
      <c r="J136" s="683"/>
      <c r="K136" s="683"/>
      <c r="L136" s="683"/>
      <c r="M136" s="683"/>
      <c r="N136" s="683"/>
      <c r="O136" s="683"/>
      <c r="P136" s="683"/>
      <c r="Q136" s="684"/>
      <c r="R136" s="573"/>
    </row>
    <row r="137" spans="1:18" s="3" customFormat="1" ht="15" customHeight="1">
      <c r="B137" s="544"/>
      <c r="C137" s="584" t="s">
        <v>269</v>
      </c>
      <c r="D137" s="584"/>
      <c r="E137" s="584"/>
      <c r="F137" s="546"/>
      <c r="H137" s="544"/>
      <c r="I137" s="585"/>
      <c r="J137" s="585"/>
      <c r="K137" s="585"/>
      <c r="L137" s="585"/>
      <c r="M137" s="585"/>
      <c r="N137" s="585"/>
      <c r="O137" s="585"/>
      <c r="P137" s="585"/>
      <c r="Q137" s="586"/>
    </row>
    <row r="138" spans="1:18" s="3" customFormat="1" ht="3.75" customHeight="1">
      <c r="H138" s="6"/>
      <c r="I138" s="6"/>
      <c r="J138" s="6"/>
      <c r="K138" s="6"/>
      <c r="L138" s="6"/>
      <c r="M138" s="6"/>
      <c r="N138" s="6"/>
      <c r="O138" s="6"/>
      <c r="P138" s="6"/>
      <c r="Q138" s="6"/>
    </row>
    <row r="139" spans="1:18" s="611" customFormat="1" ht="15" customHeight="1">
      <c r="B139" s="605"/>
      <c r="C139" s="606" t="s">
        <v>282</v>
      </c>
      <c r="D139" s="606"/>
      <c r="E139" s="606"/>
      <c r="F139" s="607"/>
      <c r="G139" s="3"/>
      <c r="H139" s="605"/>
      <c r="I139" s="608"/>
      <c r="J139" s="608"/>
      <c r="K139" s="608"/>
      <c r="L139" s="608"/>
      <c r="M139" s="608"/>
      <c r="N139" s="608"/>
      <c r="O139" s="608"/>
      <c r="P139" s="608"/>
      <c r="Q139" s="609"/>
    </row>
    <row r="140" spans="1:18" ht="15" customHeight="1">
      <c r="A140" s="543"/>
      <c r="B140" s="551" t="s">
        <v>2</v>
      </c>
      <c r="C140" s="552" t="s">
        <v>279</v>
      </c>
      <c r="D140" s="552"/>
      <c r="E140" s="552"/>
      <c r="F140" s="590" t="s">
        <v>228</v>
      </c>
      <c r="H140" s="614">
        <v>0.05</v>
      </c>
      <c r="I140" s="614">
        <f t="shared" ref="I140:P141" si="20">H140</f>
        <v>0.05</v>
      </c>
      <c r="J140" s="614">
        <f t="shared" si="20"/>
        <v>0.05</v>
      </c>
      <c r="K140" s="614">
        <f>I140</f>
        <v>0.05</v>
      </c>
      <c r="L140" s="614">
        <f t="shared" si="20"/>
        <v>0.05</v>
      </c>
      <c r="M140" s="614">
        <f t="shared" si="20"/>
        <v>0.05</v>
      </c>
      <c r="N140" s="614">
        <f t="shared" si="20"/>
        <v>0.05</v>
      </c>
      <c r="O140" s="614">
        <f t="shared" si="20"/>
        <v>0.05</v>
      </c>
      <c r="P140" s="614">
        <f t="shared" si="20"/>
        <v>0.05</v>
      </c>
      <c r="Q140" s="614">
        <f t="shared" ref="Q140:Q141" si="21">IFERROR(ROUND(IF($Q$15="Simples",
INDEX(H140:P140,MATCH($Q$16,$H$16:$P$16,1)),
INDEX(H140:P140,MATCH($Q$15,$H$13:$P$13,0))
),4),"")</f>
        <v>0.05</v>
      </c>
      <c r="R140" s="573"/>
    </row>
    <row r="141" spans="1:18" ht="15" customHeight="1">
      <c r="A141" s="543"/>
      <c r="B141" s="551" t="s">
        <v>1</v>
      </c>
      <c r="C141" s="552" t="s">
        <v>280</v>
      </c>
      <c r="D141" s="552"/>
      <c r="E141" s="552"/>
      <c r="F141" s="590" t="s">
        <v>227</v>
      </c>
      <c r="H141" s="614">
        <v>0.1</v>
      </c>
      <c r="I141" s="614">
        <f t="shared" si="20"/>
        <v>0.1</v>
      </c>
      <c r="J141" s="614">
        <f t="shared" si="20"/>
        <v>0.1</v>
      </c>
      <c r="K141" s="614">
        <f>I141</f>
        <v>0.1</v>
      </c>
      <c r="L141" s="614">
        <f t="shared" si="20"/>
        <v>0.1</v>
      </c>
      <c r="M141" s="614">
        <f t="shared" si="20"/>
        <v>0.1</v>
      </c>
      <c r="N141" s="614">
        <f t="shared" si="20"/>
        <v>0.1</v>
      </c>
      <c r="O141" s="614">
        <f t="shared" si="20"/>
        <v>0.1</v>
      </c>
      <c r="P141" s="614">
        <f t="shared" si="20"/>
        <v>0.1</v>
      </c>
      <c r="Q141" s="614">
        <f t="shared" si="21"/>
        <v>0.1</v>
      </c>
      <c r="R141" s="573"/>
    </row>
    <row r="142" spans="1:18" customFormat="1" ht="3.75" customHeight="1">
      <c r="H142" s="12"/>
      <c r="I142" s="12"/>
      <c r="J142" s="12"/>
      <c r="K142" s="12"/>
      <c r="L142" s="12"/>
      <c r="M142" s="12"/>
      <c r="N142" s="12"/>
      <c r="O142" s="12"/>
      <c r="P142" s="12"/>
      <c r="Q142" s="12"/>
    </row>
    <row r="143" spans="1:18" s="611" customFormat="1" ht="15" customHeight="1">
      <c r="B143" s="605"/>
      <c r="C143" s="606" t="s">
        <v>400</v>
      </c>
      <c r="D143" s="606"/>
      <c r="E143" s="606"/>
      <c r="F143" s="607"/>
      <c r="G143" s="3"/>
      <c r="H143" s="605"/>
      <c r="I143" s="608"/>
      <c r="J143" s="608"/>
      <c r="K143" s="608"/>
      <c r="L143" s="608"/>
      <c r="M143" s="608"/>
      <c r="N143" s="608"/>
      <c r="O143" s="608"/>
      <c r="P143" s="608"/>
      <c r="Q143" s="609"/>
    </row>
    <row r="144" spans="1:18" ht="15" customHeight="1">
      <c r="A144" s="543"/>
      <c r="B144" s="587" t="s">
        <v>2</v>
      </c>
      <c r="C144" s="588" t="s">
        <v>45</v>
      </c>
      <c r="D144" s="552"/>
      <c r="E144" s="552"/>
      <c r="F144" s="590" t="s">
        <v>226</v>
      </c>
      <c r="H144" s="614">
        <v>0.03</v>
      </c>
      <c r="I144" s="614">
        <v>7.5999999999999998E-2</v>
      </c>
      <c r="J144" s="614"/>
      <c r="K144" s="614" t="str">
        <f>IFERROR(((Proposta!$J$10*K$17-K$16)/Proposta!$J$10)*12.82%,"")</f>
        <v/>
      </c>
      <c r="L144" s="614" t="str">
        <f>IFERROR(((Proposta!$J$10*L$17-L$16)/Proposta!$J$10)*14.05%,"")</f>
        <v/>
      </c>
      <c r="M144" s="614" t="str">
        <f>IFERROR(((Proposta!$J$10*M$17-M$16)/Proposta!$J$10)*13.64%,"")</f>
        <v/>
      </c>
      <c r="N144" s="614" t="str">
        <f>IFERROR(((Proposta!$J$10*N$17-N$16)/Proposta!$J$10)*14%,"")</f>
        <v/>
      </c>
      <c r="O144" s="614" t="str">
        <f>IFERROR(((Proposta!$J$10*O$17-O$16)/Proposta!$J$10)*12.82%,"")</f>
        <v/>
      </c>
      <c r="P144" s="614" t="str">
        <f>IFERROR(((Proposta!$J$10*P$17-P$16)/Proposta!$J$10)*16.03%,"")</f>
        <v/>
      </c>
      <c r="Q144" s="614">
        <f t="shared" ref="Q144:Q147" si="22">IFERROR(ROUND(IF($Q$15="Simples",
INDEX(H144:P144,MATCH($Q$16,$H$16:$P$16,1)),
INDEX(H144:P144,MATCH($Q$15,$H$13:$P$13,0))
),4),"")</f>
        <v>0.03</v>
      </c>
      <c r="R144" s="573"/>
    </row>
    <row r="145" spans="1:18" ht="15" customHeight="1">
      <c r="A145" s="543"/>
      <c r="B145" s="587" t="s">
        <v>1</v>
      </c>
      <c r="C145" s="588" t="s">
        <v>135</v>
      </c>
      <c r="D145" s="552"/>
      <c r="E145" s="552"/>
      <c r="F145" s="590" t="s">
        <v>226</v>
      </c>
      <c r="H145" s="614">
        <v>6.4999999999999997E-3</v>
      </c>
      <c r="I145" s="614">
        <v>1.6500000000000001E-2</v>
      </c>
      <c r="J145" s="614">
        <v>6.4999999999999997E-3</v>
      </c>
      <c r="K145" s="614" t="str">
        <f>IFERROR(((Proposta!$J$10*K$17-K$16)/Proposta!$J$10)*2.78%,"")</f>
        <v/>
      </c>
      <c r="L145" s="614" t="str">
        <f>IFERROR(((Proposta!$J$10*L$17-L$16)/Proposta!$J$10)*3.05%,"")</f>
        <v/>
      </c>
      <c r="M145" s="614" t="str">
        <f>IFERROR(((Proposta!$J$10*M$17-M$16)/Proposta!$J$10)*2.96%,"")</f>
        <v/>
      </c>
      <c r="N145" s="614" t="str">
        <f>IFERROR(((Proposta!$J$10*N$17-N$16)/Proposta!$J$10)*3%,"")</f>
        <v/>
      </c>
      <c r="O145" s="614" t="str">
        <f>IFERROR(((Proposta!$J$10*O$17-O$16)/Proposta!$J$10)*2.78%,"")</f>
        <v/>
      </c>
      <c r="P145" s="614" t="str">
        <f>IFERROR(((Proposta!$J$10*P$17-P$16)/Proposta!$J$10)*3.47%,"")</f>
        <v/>
      </c>
      <c r="Q145" s="614">
        <f t="shared" si="22"/>
        <v>6.4999999999999997E-3</v>
      </c>
      <c r="R145" s="573"/>
    </row>
    <row r="146" spans="1:18" ht="15" customHeight="1">
      <c r="A146" s="543"/>
      <c r="B146" s="587" t="s">
        <v>0</v>
      </c>
      <c r="C146" s="588" t="s">
        <v>46</v>
      </c>
      <c r="D146" s="552"/>
      <c r="E146" s="552"/>
      <c r="F146" s="590" t="s">
        <v>226</v>
      </c>
      <c r="H146" s="614">
        <v>0.05</v>
      </c>
      <c r="I146" s="614">
        <v>0.05</v>
      </c>
      <c r="J146" s="614">
        <v>2.5000000000000001E-2</v>
      </c>
      <c r="K146" s="614" t="str">
        <f>IFERROR(((Proposta!$J$10*K$17-K$16)/Proposta!$J$10)*33.5%,"")</f>
        <v/>
      </c>
      <c r="L146" s="614" t="str">
        <f>IFERROR(((Proposta!$J$10*L$17-L$16)/Proposta!$J$10)*32%,"")</f>
        <v/>
      </c>
      <c r="M146" s="614" t="str">
        <f>IFERROR(((Proposta!$J$10*M$17-M$16)/Proposta!$J$10)*32.5%,"")</f>
        <v/>
      </c>
      <c r="N146" s="614" t="str">
        <f>IFERROR(((Proposta!$J$10*N$17-N$16)/Proposta!$J$10)*33%,"")</f>
        <v/>
      </c>
      <c r="O146" s="614" t="str">
        <f>IFERROR(((Proposta!$J$10*O$17-O$16)/Proposta!$J$10)*33.5%,"")</f>
        <v/>
      </c>
      <c r="P146" s="614" t="str">
        <f>IFERROR(((Proposta!$J$10*P$17-P$16)/Proposta!$J$10)*30.5%,"")</f>
        <v/>
      </c>
      <c r="Q146" s="614">
        <f t="shared" si="22"/>
        <v>0.05</v>
      </c>
      <c r="R146" s="573"/>
    </row>
    <row r="147" spans="1:18" ht="15" customHeight="1">
      <c r="B147" s="587" t="s">
        <v>3</v>
      </c>
      <c r="C147" s="588" t="s">
        <v>394</v>
      </c>
      <c r="D147" s="552"/>
      <c r="E147" s="552"/>
      <c r="F147" s="590" t="s">
        <v>226</v>
      </c>
      <c r="H147" s="655"/>
      <c r="I147" s="655"/>
      <c r="J147" s="655"/>
      <c r="K147" s="655"/>
      <c r="L147" s="655"/>
      <c r="M147" s="655"/>
      <c r="N147" s="655"/>
      <c r="O147" s="655"/>
      <c r="P147" s="655"/>
      <c r="Q147" s="656">
        <f t="shared" si="22"/>
        <v>0</v>
      </c>
    </row>
    <row r="149" spans="1:18" ht="15" customHeight="1">
      <c r="B149" s="544"/>
      <c r="C149" s="584" t="s">
        <v>474</v>
      </c>
      <c r="D149" s="584"/>
      <c r="E149" s="584"/>
      <c r="F149" s="546"/>
      <c r="G149" s="3"/>
      <c r="H149" s="544"/>
      <c r="I149" s="585"/>
      <c r="J149" s="585"/>
      <c r="K149" s="585"/>
      <c r="L149" s="585"/>
      <c r="M149" s="585"/>
      <c r="N149" s="585"/>
      <c r="O149" s="585"/>
      <c r="P149" s="585"/>
      <c r="Q149" s="586"/>
    </row>
    <row r="150" spans="1:18" ht="4.5" customHeight="1">
      <c r="B150" s="3"/>
      <c r="C150" s="3"/>
      <c r="D150" s="3"/>
      <c r="E150" s="3"/>
      <c r="F150" s="3"/>
      <c r="G150" s="3"/>
      <c r="H150" s="6"/>
      <c r="I150" s="6"/>
      <c r="J150" s="6"/>
      <c r="K150" s="6"/>
      <c r="L150" s="6"/>
      <c r="M150" s="6"/>
      <c r="N150" s="6"/>
      <c r="O150" s="6"/>
      <c r="P150" s="6"/>
      <c r="Q150" s="6"/>
    </row>
    <row r="151" spans="1:18" ht="15" customHeight="1">
      <c r="B151" s="605"/>
      <c r="C151" s="606" t="s">
        <v>493</v>
      </c>
      <c r="D151" s="606"/>
      <c r="E151" s="606"/>
      <c r="F151" s="607"/>
      <c r="G151" s="3"/>
      <c r="H151" s="605"/>
      <c r="I151" s="608"/>
      <c r="J151" s="608"/>
      <c r="K151" s="608"/>
      <c r="L151" s="608"/>
      <c r="M151" s="608"/>
      <c r="N151" s="608"/>
      <c r="O151" s="608"/>
      <c r="P151" s="608"/>
      <c r="Q151" s="685"/>
      <c r="R151" s="573"/>
    </row>
    <row r="152" spans="1:18" ht="15" customHeight="1">
      <c r="B152" s="686" t="s">
        <v>2</v>
      </c>
      <c r="C152" s="687" t="s">
        <v>454</v>
      </c>
      <c r="D152" s="552"/>
      <c r="E152" s="552"/>
      <c r="F152" s="590"/>
      <c r="H152" s="614"/>
      <c r="I152" s="614"/>
      <c r="J152" s="614"/>
      <c r="K152" s="614"/>
      <c r="L152" s="614"/>
      <c r="M152" s="614"/>
      <c r="N152" s="614"/>
      <c r="O152" s="614"/>
      <c r="P152" s="614"/>
      <c r="Q152" s="688">
        <v>800</v>
      </c>
    </row>
    <row r="153" spans="1:18" ht="15" customHeight="1">
      <c r="B153" s="686" t="s">
        <v>1</v>
      </c>
      <c r="C153" s="687" t="s">
        <v>455</v>
      </c>
      <c r="D153" s="552"/>
      <c r="E153" s="552"/>
      <c r="F153" s="590"/>
      <c r="H153" s="614"/>
      <c r="I153" s="614"/>
      <c r="J153" s="614"/>
      <c r="K153" s="614"/>
      <c r="L153" s="614"/>
      <c r="M153" s="614"/>
      <c r="N153" s="614"/>
      <c r="O153" s="614"/>
      <c r="P153" s="614"/>
      <c r="Q153" s="688">
        <v>800</v>
      </c>
    </row>
    <row r="154" spans="1:18" ht="15" customHeight="1">
      <c r="B154" s="686" t="s">
        <v>0</v>
      </c>
      <c r="C154" s="687" t="s">
        <v>456</v>
      </c>
      <c r="D154" s="552"/>
      <c r="E154" s="552"/>
      <c r="F154" s="590"/>
      <c r="H154" s="614"/>
      <c r="I154" s="614"/>
      <c r="J154" s="614"/>
      <c r="K154" s="614"/>
      <c r="L154" s="614"/>
      <c r="M154" s="614"/>
      <c r="N154" s="614"/>
      <c r="O154" s="614"/>
      <c r="P154" s="614"/>
      <c r="Q154" s="688">
        <v>360</v>
      </c>
    </row>
    <row r="155" spans="1:18" ht="15" customHeight="1">
      <c r="B155" s="686" t="s">
        <v>3</v>
      </c>
      <c r="C155" s="687" t="s">
        <v>457</v>
      </c>
      <c r="D155" s="552"/>
      <c r="E155" s="552"/>
      <c r="F155" s="590"/>
      <c r="H155" s="614"/>
      <c r="I155" s="614"/>
      <c r="J155" s="614"/>
      <c r="K155" s="614"/>
      <c r="L155" s="614"/>
      <c r="M155" s="614"/>
      <c r="N155" s="614"/>
      <c r="O155" s="614"/>
      <c r="P155" s="614"/>
      <c r="Q155" s="688">
        <v>1500</v>
      </c>
    </row>
    <row r="156" spans="1:18" ht="15" customHeight="1">
      <c r="B156" s="686" t="s">
        <v>7</v>
      </c>
      <c r="C156" s="687" t="s">
        <v>452</v>
      </c>
      <c r="D156" s="552"/>
      <c r="E156" s="552"/>
      <c r="F156" s="590"/>
      <c r="H156" s="614"/>
      <c r="I156" s="614"/>
      <c r="J156" s="614"/>
      <c r="K156" s="614"/>
      <c r="L156" s="614"/>
      <c r="M156" s="614"/>
      <c r="N156" s="614"/>
      <c r="O156" s="614"/>
      <c r="P156" s="614"/>
      <c r="Q156" s="688">
        <v>1200</v>
      </c>
    </row>
    <row r="157" spans="1:18" ht="15" customHeight="1">
      <c r="B157" s="686" t="s">
        <v>6</v>
      </c>
      <c r="C157" s="689" t="s">
        <v>483</v>
      </c>
      <c r="D157" s="552"/>
      <c r="E157" s="552"/>
      <c r="F157" s="590"/>
      <c r="H157" s="614"/>
      <c r="I157" s="614"/>
      <c r="J157" s="614"/>
      <c r="K157" s="614"/>
      <c r="L157" s="614"/>
      <c r="M157" s="614"/>
      <c r="N157" s="614"/>
      <c r="O157" s="614"/>
      <c r="P157" s="614"/>
      <c r="Q157" s="688">
        <v>1000</v>
      </c>
    </row>
    <row r="158" spans="1:18" ht="15" customHeight="1">
      <c r="B158" s="686" t="s">
        <v>5</v>
      </c>
      <c r="C158" s="689" t="s">
        <v>484</v>
      </c>
      <c r="D158" s="552"/>
      <c r="E158" s="552"/>
      <c r="F158" s="590"/>
      <c r="H158" s="614"/>
      <c r="I158" s="614"/>
      <c r="J158" s="614"/>
      <c r="K158" s="614"/>
      <c r="L158" s="614"/>
      <c r="M158" s="614"/>
      <c r="N158" s="614"/>
      <c r="O158" s="614"/>
      <c r="P158" s="614"/>
      <c r="Q158" s="688">
        <v>200</v>
      </c>
    </row>
    <row r="159" spans="1:18" ht="4.5" customHeight="1">
      <c r="C159" s="435"/>
      <c r="Q159" s="690"/>
    </row>
    <row r="160" spans="1:18" ht="15" customHeight="1">
      <c r="B160" s="605"/>
      <c r="C160" s="606" t="s">
        <v>494</v>
      </c>
      <c r="D160" s="606"/>
      <c r="E160" s="606"/>
      <c r="F160" s="607"/>
      <c r="G160" s="3"/>
      <c r="H160" s="605"/>
      <c r="I160" s="608"/>
      <c r="J160" s="608"/>
      <c r="K160" s="608"/>
      <c r="L160" s="608"/>
      <c r="M160" s="608"/>
      <c r="N160" s="608"/>
      <c r="O160" s="608"/>
      <c r="P160" s="608"/>
      <c r="Q160" s="691"/>
      <c r="R160" s="573"/>
    </row>
    <row r="161" spans="2:18" ht="15" customHeight="1">
      <c r="B161" s="686" t="s">
        <v>2</v>
      </c>
      <c r="C161" s="687" t="s">
        <v>458</v>
      </c>
      <c r="D161" s="552"/>
      <c r="E161" s="552"/>
      <c r="F161" s="590"/>
      <c r="H161" s="614"/>
      <c r="I161" s="614"/>
      <c r="J161" s="614"/>
      <c r="K161" s="614"/>
      <c r="L161" s="614"/>
      <c r="M161" s="614"/>
      <c r="N161" s="614"/>
      <c r="O161" s="614"/>
      <c r="P161" s="614"/>
      <c r="Q161" s="688">
        <v>1800</v>
      </c>
    </row>
    <row r="162" spans="2:18" ht="15" customHeight="1">
      <c r="B162" s="686" t="s">
        <v>1</v>
      </c>
      <c r="C162" s="687" t="s">
        <v>453</v>
      </c>
      <c r="D162" s="552"/>
      <c r="E162" s="552"/>
      <c r="F162" s="590"/>
      <c r="H162" s="614"/>
      <c r="I162" s="614"/>
      <c r="J162" s="614"/>
      <c r="K162" s="614"/>
      <c r="L162" s="614"/>
      <c r="M162" s="614"/>
      <c r="N162" s="614"/>
      <c r="O162" s="614"/>
      <c r="P162" s="614"/>
      <c r="Q162" s="688">
        <v>6000</v>
      </c>
    </row>
    <row r="163" spans="2:18" ht="15" customHeight="1">
      <c r="B163" s="686" t="s">
        <v>0</v>
      </c>
      <c r="C163" s="687" t="s">
        <v>459</v>
      </c>
      <c r="D163" s="552"/>
      <c r="E163" s="552" t="s">
        <v>488</v>
      </c>
      <c r="F163" s="590"/>
      <c r="H163" s="614"/>
      <c r="I163" s="614"/>
      <c r="J163" s="614"/>
      <c r="K163" s="614"/>
      <c r="L163" s="614"/>
      <c r="M163" s="614"/>
      <c r="N163" s="614"/>
      <c r="O163" s="614"/>
      <c r="P163" s="614"/>
      <c r="Q163" s="688">
        <v>1800</v>
      </c>
    </row>
    <row r="164" spans="2:18" ht="15" customHeight="1">
      <c r="B164" s="686" t="s">
        <v>3</v>
      </c>
      <c r="C164" s="687" t="s">
        <v>460</v>
      </c>
      <c r="D164" s="552"/>
      <c r="E164" s="552" t="s">
        <v>488</v>
      </c>
      <c r="F164" s="590"/>
      <c r="H164" s="614"/>
      <c r="I164" s="614"/>
      <c r="J164" s="614"/>
      <c r="K164" s="614"/>
      <c r="L164" s="614"/>
      <c r="M164" s="614"/>
      <c r="N164" s="614"/>
      <c r="O164" s="614"/>
      <c r="P164" s="614"/>
      <c r="Q164" s="688">
        <v>1800</v>
      </c>
    </row>
    <row r="165" spans="2:18" ht="15" customHeight="1">
      <c r="B165" s="686" t="s">
        <v>7</v>
      </c>
      <c r="C165" s="687" t="s">
        <v>461</v>
      </c>
      <c r="D165" s="552"/>
      <c r="E165" s="552" t="s">
        <v>488</v>
      </c>
      <c r="F165" s="590"/>
      <c r="H165" s="614"/>
      <c r="I165" s="614"/>
      <c r="J165" s="614"/>
      <c r="K165" s="614"/>
      <c r="L165" s="614"/>
      <c r="M165" s="614"/>
      <c r="N165" s="614"/>
      <c r="O165" s="614"/>
      <c r="P165" s="614"/>
      <c r="Q165" s="688">
        <v>1800</v>
      </c>
    </row>
    <row r="166" spans="2:18" ht="15" customHeight="1">
      <c r="B166" s="686" t="s">
        <v>6</v>
      </c>
      <c r="C166" s="687" t="s">
        <v>462</v>
      </c>
      <c r="D166" s="552"/>
      <c r="E166" s="552"/>
      <c r="F166" s="590"/>
      <c r="H166" s="614"/>
      <c r="I166" s="614"/>
      <c r="J166" s="614"/>
      <c r="K166" s="614"/>
      <c r="L166" s="614"/>
      <c r="M166" s="614"/>
      <c r="N166" s="614"/>
      <c r="O166" s="614"/>
      <c r="P166" s="614"/>
      <c r="Q166" s="688">
        <v>100000</v>
      </c>
    </row>
    <row r="167" spans="2:18" ht="4.5" customHeight="1">
      <c r="C167" s="435"/>
      <c r="Q167" s="690"/>
    </row>
    <row r="168" spans="2:18" ht="15" customHeight="1">
      <c r="B168" s="605"/>
      <c r="C168" s="606" t="s">
        <v>495</v>
      </c>
      <c r="D168" s="606"/>
      <c r="E168" s="606"/>
      <c r="F168" s="607"/>
      <c r="G168" s="3"/>
      <c r="H168" s="605"/>
      <c r="I168" s="608"/>
      <c r="J168" s="608"/>
      <c r="K168" s="608"/>
      <c r="L168" s="608"/>
      <c r="M168" s="608"/>
      <c r="N168" s="608"/>
      <c r="O168" s="608"/>
      <c r="P168" s="608"/>
      <c r="Q168" s="691"/>
      <c r="R168" s="573"/>
    </row>
    <row r="169" spans="2:18" ht="15" customHeight="1">
      <c r="B169" s="686" t="s">
        <v>2</v>
      </c>
      <c r="C169" s="689" t="s">
        <v>479</v>
      </c>
      <c r="D169" s="552"/>
      <c r="E169" s="552"/>
      <c r="F169" s="590"/>
      <c r="H169" s="614"/>
      <c r="I169" s="614"/>
      <c r="J169" s="614"/>
      <c r="K169" s="614"/>
      <c r="L169" s="614"/>
      <c r="M169" s="614"/>
      <c r="N169" s="614"/>
      <c r="O169" s="614"/>
      <c r="P169" s="614"/>
      <c r="Q169" s="688">
        <v>130</v>
      </c>
    </row>
    <row r="170" spans="2:18" ht="15" customHeight="1">
      <c r="B170" s="686" t="s">
        <v>1</v>
      </c>
      <c r="C170" s="689" t="s">
        <v>480</v>
      </c>
      <c r="D170" s="552"/>
      <c r="E170" s="552"/>
      <c r="F170" s="590"/>
      <c r="H170" s="614"/>
      <c r="I170" s="614"/>
      <c r="J170" s="614"/>
      <c r="K170" s="614"/>
      <c r="L170" s="614"/>
      <c r="M170" s="614"/>
      <c r="N170" s="614"/>
      <c r="O170" s="614"/>
      <c r="P170" s="614"/>
      <c r="Q170" s="688">
        <v>300</v>
      </c>
    </row>
    <row r="171" spans="2:18" ht="15" customHeight="1">
      <c r="B171" s="686" t="s">
        <v>0</v>
      </c>
      <c r="C171" s="689" t="s">
        <v>481</v>
      </c>
      <c r="D171" s="552"/>
      <c r="E171" s="552"/>
      <c r="F171" s="590"/>
      <c r="H171" s="614"/>
      <c r="I171" s="614"/>
      <c r="J171" s="614"/>
      <c r="K171" s="614"/>
      <c r="L171" s="614"/>
      <c r="M171" s="614"/>
      <c r="N171" s="614"/>
      <c r="O171" s="614"/>
      <c r="P171" s="614"/>
      <c r="Q171" s="688">
        <v>300</v>
      </c>
    </row>
    <row r="172" spans="2:18" ht="4.5" customHeight="1">
      <c r="C172" s="435"/>
      <c r="Q172" s="690"/>
    </row>
    <row r="173" spans="2:18" ht="15" customHeight="1">
      <c r="B173" s="605"/>
      <c r="C173" s="606" t="s">
        <v>496</v>
      </c>
      <c r="D173" s="606"/>
      <c r="E173" s="606"/>
      <c r="F173" s="607"/>
      <c r="G173" s="3"/>
      <c r="H173" s="605"/>
      <c r="I173" s="608"/>
      <c r="J173" s="608"/>
      <c r="K173" s="608"/>
      <c r="L173" s="608"/>
      <c r="M173" s="608"/>
      <c r="N173" s="608"/>
      <c r="O173" s="608"/>
      <c r="P173" s="608"/>
      <c r="Q173" s="691"/>
      <c r="R173" s="573"/>
    </row>
    <row r="174" spans="2:18" ht="15" customHeight="1">
      <c r="B174" s="686" t="s">
        <v>2</v>
      </c>
      <c r="C174" s="687" t="s">
        <v>464</v>
      </c>
      <c r="D174" s="552"/>
      <c r="E174" s="552"/>
      <c r="F174" s="590"/>
      <c r="H174" s="614"/>
      <c r="I174" s="614"/>
      <c r="J174" s="614"/>
      <c r="K174" s="614"/>
      <c r="L174" s="614"/>
      <c r="M174" s="614"/>
      <c r="N174" s="614"/>
      <c r="O174" s="614"/>
      <c r="P174" s="614"/>
      <c r="Q174" s="688">
        <v>130</v>
      </c>
    </row>
    <row r="175" spans="2:18" ht="4.5" customHeight="1">
      <c r="C175" s="435"/>
      <c r="Q175" s="690"/>
    </row>
    <row r="176" spans="2:18" ht="15" customHeight="1">
      <c r="B176" s="605"/>
      <c r="C176" s="606" t="s">
        <v>497</v>
      </c>
      <c r="D176" s="606"/>
      <c r="E176" s="606"/>
      <c r="F176" s="607"/>
      <c r="G176" s="3"/>
      <c r="H176" s="605"/>
      <c r="I176" s="608"/>
      <c r="J176" s="608"/>
      <c r="K176" s="608"/>
      <c r="L176" s="608"/>
      <c r="M176" s="608"/>
      <c r="N176" s="608"/>
      <c r="O176" s="608"/>
      <c r="P176" s="608"/>
      <c r="Q176" s="691"/>
      <c r="R176" s="573"/>
    </row>
    <row r="177" spans="2:17" ht="15" customHeight="1">
      <c r="B177" s="686" t="s">
        <v>2</v>
      </c>
      <c r="C177" s="687" t="s">
        <v>465</v>
      </c>
      <c r="D177" s="552"/>
      <c r="E177" s="552"/>
      <c r="F177" s="590"/>
      <c r="H177" s="614"/>
      <c r="I177" s="614"/>
      <c r="J177" s="614"/>
      <c r="K177" s="614"/>
      <c r="L177" s="614"/>
      <c r="M177" s="614"/>
      <c r="N177" s="614"/>
      <c r="O177" s="614"/>
      <c r="P177" s="614"/>
      <c r="Q177" s="688">
        <v>360</v>
      </c>
    </row>
  </sheetData>
  <sheetProtection algorithmName="SHA-512" hashValue="ENQsxAgC2/rFHrmGsGPhCq9YQMHWeYFYd2j/TR4JNQYjdPo3WZBxwipi82F22b2xp8BUDO3ELks0yqJ/JpdQaQ==" saltValue="tao7eqXYlU79vpqRSevlmQ==" spinCount="100000" sheet="1" objects="1" scenarios="1"/>
  <mergeCells count="12">
    <mergeCell ref="B109:B110"/>
    <mergeCell ref="E12:E14"/>
    <mergeCell ref="D12:D14"/>
    <mergeCell ref="C12:C14"/>
    <mergeCell ref="B12:B14"/>
    <mergeCell ref="B45:B47"/>
    <mergeCell ref="Q13:Q14"/>
    <mergeCell ref="H12:Q12"/>
    <mergeCell ref="I13:I14"/>
    <mergeCell ref="H13:H14"/>
    <mergeCell ref="F12:F14"/>
    <mergeCell ref="J13:J14"/>
  </mergeCells>
  <hyperlinks>
    <hyperlink ref="F98" r:id="rId1" location="/documento/acordao-completo/*/KEY%253AACORDAO-COMPLETO-40423/DTRELEVANCIA%2520desc/0/sinonimos%253Dfalse" display="ACÓRDÃO 1753/2008 - PLENÁRIO" xr:uid="{00000000-0004-0000-0700-000000000000}"/>
    <hyperlink ref="F103" r:id="rId2" display=" Anuário RAIS do Ministério do Trabalho" xr:uid="{00000000-0004-0000-0700-000001000000}"/>
    <hyperlink ref="C115" location="'Mat Individual e Uniformes func'!A1" display="Material Individual e Uniformes" xr:uid="{00000000-0004-0000-0700-000002000000}"/>
    <hyperlink ref="C116" location="'Mat Coletivo e Equipamentos'!A1" display="Material Coletivo e Equipamentos" xr:uid="{00000000-0004-0000-0700-000003000000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3"/>
  <dimension ref="A1:T634"/>
  <sheetViews>
    <sheetView showGridLines="0" zoomScale="85" zoomScaleNormal="85" workbookViewId="0">
      <pane ySplit="1" topLeftCell="A2" activePane="bottomLeft" state="frozen"/>
      <selection pane="bottomLeft" activeCell="E44" sqref="E44"/>
    </sheetView>
  </sheetViews>
  <sheetFormatPr defaultRowHeight="15"/>
  <cols>
    <col min="1" max="1" width="29.28515625" style="38" bestFit="1" customWidth="1"/>
    <col min="2" max="2" width="7.42578125" style="2" customWidth="1"/>
    <col min="3" max="3" width="16.5703125" style="69" bestFit="1" customWidth="1"/>
    <col min="4" max="4" width="21" bestFit="1" customWidth="1"/>
    <col min="5" max="5" width="16.140625" bestFit="1" customWidth="1"/>
    <col min="6" max="6" width="17.5703125" bestFit="1" customWidth="1"/>
    <col min="7" max="7" width="17.28515625" style="46" bestFit="1" customWidth="1"/>
    <col min="8" max="8" width="17.28515625" style="79" bestFit="1" customWidth="1"/>
    <col min="9" max="9" width="19" style="46" bestFit="1" customWidth="1"/>
    <col min="10" max="10" width="13.85546875" bestFit="1" customWidth="1"/>
    <col min="11" max="11" width="19" bestFit="1" customWidth="1"/>
    <col min="12" max="12" width="19.85546875" bestFit="1" customWidth="1"/>
    <col min="13" max="13" width="18.140625" bestFit="1" customWidth="1"/>
    <col min="14" max="14" width="14.5703125" customWidth="1"/>
    <col min="15" max="20" width="12.7109375" customWidth="1"/>
  </cols>
  <sheetData>
    <row r="1" spans="1:20" s="261" customFormat="1" ht="90">
      <c r="A1" s="280" t="s">
        <v>344</v>
      </c>
      <c r="B1" s="280" t="s">
        <v>345</v>
      </c>
      <c r="C1" s="281" t="s">
        <v>346</v>
      </c>
      <c r="D1" s="280" t="s">
        <v>349</v>
      </c>
      <c r="E1" s="282" t="s">
        <v>356</v>
      </c>
      <c r="F1" s="282" t="s">
        <v>348</v>
      </c>
      <c r="G1" s="283" t="s">
        <v>399</v>
      </c>
      <c r="H1" s="284" t="s">
        <v>347</v>
      </c>
      <c r="I1" s="285" t="s">
        <v>350</v>
      </c>
      <c r="J1" s="285" t="s">
        <v>351</v>
      </c>
      <c r="K1" s="285" t="s">
        <v>377</v>
      </c>
      <c r="L1" s="285" t="s">
        <v>376</v>
      </c>
      <c r="M1" s="285" t="s">
        <v>388</v>
      </c>
      <c r="N1" s="285" t="s">
        <v>503</v>
      </c>
      <c r="O1" s="285" t="s">
        <v>382</v>
      </c>
      <c r="P1" s="285" t="s">
        <v>416</v>
      </c>
      <c r="Q1" s="285" t="s">
        <v>417</v>
      </c>
      <c r="R1" s="285" t="s">
        <v>385</v>
      </c>
      <c r="S1" s="285" t="s">
        <v>381</v>
      </c>
      <c r="T1" s="285" t="s">
        <v>46</v>
      </c>
    </row>
    <row r="2" spans="1:20" s="261" customFormat="1">
      <c r="A2" s="376"/>
      <c r="B2" s="376"/>
      <c r="C2" s="377"/>
      <c r="D2" s="376"/>
      <c r="E2" s="378"/>
      <c r="F2" s="378"/>
      <c r="G2" s="379"/>
      <c r="H2" s="380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</row>
    <row r="3" spans="1:20" s="78" customFormat="1">
      <c r="A3" s="382" t="s">
        <v>352</v>
      </c>
      <c r="B3" s="383">
        <v>4141</v>
      </c>
      <c r="C3" s="384" t="s">
        <v>152</v>
      </c>
      <c r="D3" s="383" t="s">
        <v>572</v>
      </c>
      <c r="E3" s="385">
        <v>45292</v>
      </c>
      <c r="F3" s="385">
        <v>45657</v>
      </c>
      <c r="G3" s="386">
        <v>1540.51</v>
      </c>
      <c r="H3" s="387">
        <v>220</v>
      </c>
      <c r="I3" s="386">
        <v>23.68</v>
      </c>
      <c r="J3" s="386">
        <f>I3/2</f>
        <v>11.84</v>
      </c>
      <c r="K3" s="383"/>
      <c r="L3" s="383"/>
      <c r="M3" s="388"/>
      <c r="N3" s="388" t="s">
        <v>409</v>
      </c>
      <c r="O3" s="388"/>
      <c r="P3" s="388">
        <v>0.06</v>
      </c>
      <c r="Q3" s="388">
        <v>0.19</v>
      </c>
      <c r="R3" s="386">
        <v>19.420000000000002</v>
      </c>
      <c r="S3" s="386"/>
      <c r="T3" s="540">
        <v>0.05</v>
      </c>
    </row>
    <row r="4" spans="1:20" s="2" customFormat="1">
      <c r="A4" s="286" t="s">
        <v>393</v>
      </c>
      <c r="B4" s="294">
        <v>4110</v>
      </c>
      <c r="C4" s="287" t="s">
        <v>152</v>
      </c>
      <c r="D4" s="288" t="s">
        <v>572</v>
      </c>
      <c r="E4" s="289">
        <v>45292</v>
      </c>
      <c r="F4" s="289">
        <v>45657</v>
      </c>
      <c r="G4" s="293">
        <v>2013.31</v>
      </c>
      <c r="H4" s="291">
        <v>220</v>
      </c>
      <c r="I4" s="290">
        <v>23.68</v>
      </c>
      <c r="J4" s="290">
        <f t="shared" ref="J4:J15" si="0">I4/2</f>
        <v>11.84</v>
      </c>
      <c r="K4" s="294"/>
      <c r="L4" s="294"/>
      <c r="M4" s="292"/>
      <c r="N4" s="292" t="s">
        <v>409</v>
      </c>
      <c r="O4" s="292"/>
      <c r="P4" s="292">
        <v>0.06</v>
      </c>
      <c r="Q4" s="292">
        <v>0.19</v>
      </c>
      <c r="R4" s="290">
        <v>19.420000000000002</v>
      </c>
      <c r="S4" s="290"/>
      <c r="T4" s="396">
        <v>0.05</v>
      </c>
    </row>
    <row r="5" spans="1:20" s="2" customFormat="1">
      <c r="A5" s="286" t="s">
        <v>392</v>
      </c>
      <c r="B5" s="294">
        <v>5143</v>
      </c>
      <c r="C5" s="287" t="s">
        <v>152</v>
      </c>
      <c r="D5" s="288" t="s">
        <v>572</v>
      </c>
      <c r="E5" s="289">
        <v>45292</v>
      </c>
      <c r="F5" s="289">
        <v>45657</v>
      </c>
      <c r="G5" s="293">
        <v>1540.51</v>
      </c>
      <c r="H5" s="291">
        <v>220</v>
      </c>
      <c r="I5" s="290">
        <v>23.68</v>
      </c>
      <c r="J5" s="290">
        <f t="shared" si="0"/>
        <v>11.84</v>
      </c>
      <c r="K5" s="294"/>
      <c r="L5" s="294"/>
      <c r="M5" s="292"/>
      <c r="N5" s="292" t="s">
        <v>409</v>
      </c>
      <c r="O5" s="292"/>
      <c r="P5" s="292">
        <v>0.06</v>
      </c>
      <c r="Q5" s="292">
        <v>0.19</v>
      </c>
      <c r="R5" s="290">
        <v>19.420000000000002</v>
      </c>
      <c r="S5" s="290"/>
      <c r="T5" s="396">
        <v>0.05</v>
      </c>
    </row>
    <row r="6" spans="1:20" s="2" customFormat="1">
      <c r="A6" s="286" t="s">
        <v>354</v>
      </c>
      <c r="B6" s="294">
        <v>5135</v>
      </c>
      <c r="C6" s="287" t="s">
        <v>152</v>
      </c>
      <c r="D6" s="288" t="s">
        <v>572</v>
      </c>
      <c r="E6" s="289">
        <v>45292</v>
      </c>
      <c r="F6" s="289">
        <v>45657</v>
      </c>
      <c r="G6" s="293">
        <v>1540.51</v>
      </c>
      <c r="H6" s="295">
        <v>220</v>
      </c>
      <c r="I6" s="290">
        <v>23.68</v>
      </c>
      <c r="J6" s="290">
        <f t="shared" si="0"/>
        <v>11.84</v>
      </c>
      <c r="K6" s="294"/>
      <c r="L6" s="294"/>
      <c r="M6" s="292">
        <v>0.2</v>
      </c>
      <c r="N6" s="292" t="s">
        <v>409</v>
      </c>
      <c r="O6" s="292"/>
      <c r="P6" s="292">
        <v>0.06</v>
      </c>
      <c r="Q6" s="292">
        <v>0.19</v>
      </c>
      <c r="R6" s="290">
        <v>19.420000000000002</v>
      </c>
      <c r="S6" s="290"/>
      <c r="T6" s="396">
        <v>0.05</v>
      </c>
    </row>
    <row r="7" spans="1:20" s="2" customFormat="1">
      <c r="A7" s="286" t="s">
        <v>391</v>
      </c>
      <c r="B7" s="294">
        <v>5142</v>
      </c>
      <c r="C7" s="287" t="s">
        <v>152</v>
      </c>
      <c r="D7" s="288" t="s">
        <v>572</v>
      </c>
      <c r="E7" s="289">
        <v>45292</v>
      </c>
      <c r="F7" s="289">
        <v>45657</v>
      </c>
      <c r="G7" s="293">
        <v>1816.57</v>
      </c>
      <c r="H7" s="295">
        <v>220</v>
      </c>
      <c r="I7" s="290">
        <v>23.68</v>
      </c>
      <c r="J7" s="290">
        <f t="shared" si="0"/>
        <v>11.84</v>
      </c>
      <c r="K7" s="294"/>
      <c r="L7" s="294"/>
      <c r="M7" s="292">
        <v>0.4</v>
      </c>
      <c r="N7" s="292" t="s">
        <v>409</v>
      </c>
      <c r="O7" s="292"/>
      <c r="P7" s="292">
        <v>0.06</v>
      </c>
      <c r="Q7" s="292">
        <v>0.19</v>
      </c>
      <c r="R7" s="290">
        <v>19.420000000000002</v>
      </c>
      <c r="S7" s="290"/>
      <c r="T7" s="396">
        <v>0.05</v>
      </c>
    </row>
    <row r="8" spans="1:20">
      <c r="A8" s="286" t="s">
        <v>390</v>
      </c>
      <c r="B8" s="294">
        <v>5134</v>
      </c>
      <c r="C8" s="287" t="s">
        <v>152</v>
      </c>
      <c r="D8" s="288" t="s">
        <v>572</v>
      </c>
      <c r="E8" s="289">
        <v>45292</v>
      </c>
      <c r="F8" s="289">
        <v>45657</v>
      </c>
      <c r="G8" s="293">
        <v>1540.51</v>
      </c>
      <c r="H8" s="295">
        <v>220</v>
      </c>
      <c r="I8" s="290">
        <v>23.68</v>
      </c>
      <c r="J8" s="290">
        <f t="shared" si="0"/>
        <v>11.84</v>
      </c>
      <c r="K8" s="286"/>
      <c r="L8" s="286"/>
      <c r="M8" s="292">
        <v>0.2</v>
      </c>
      <c r="N8" s="292" t="s">
        <v>409</v>
      </c>
      <c r="O8" s="292"/>
      <c r="P8" s="292">
        <v>0.06</v>
      </c>
      <c r="Q8" s="292">
        <v>0.19</v>
      </c>
      <c r="R8" s="290">
        <v>19.420000000000002</v>
      </c>
      <c r="S8" s="290"/>
      <c r="T8" s="396">
        <v>0.05</v>
      </c>
    </row>
    <row r="9" spans="1:20">
      <c r="A9" s="286" t="s">
        <v>353</v>
      </c>
      <c r="B9" s="294">
        <v>5132</v>
      </c>
      <c r="C9" s="287" t="s">
        <v>152</v>
      </c>
      <c r="D9" s="288" t="s">
        <v>572</v>
      </c>
      <c r="E9" s="289">
        <v>45292</v>
      </c>
      <c r="F9" s="289">
        <v>45657</v>
      </c>
      <c r="G9" s="293">
        <v>1617.44</v>
      </c>
      <c r="H9" s="295">
        <v>220</v>
      </c>
      <c r="I9" s="290">
        <v>23.68</v>
      </c>
      <c r="J9" s="290">
        <f t="shared" si="0"/>
        <v>11.84</v>
      </c>
      <c r="K9" s="286"/>
      <c r="L9" s="286"/>
      <c r="M9" s="292">
        <v>0.2</v>
      </c>
      <c r="N9" s="292" t="s">
        <v>409</v>
      </c>
      <c r="O9" s="292"/>
      <c r="P9" s="292">
        <v>0.06</v>
      </c>
      <c r="Q9" s="292">
        <v>0.19</v>
      </c>
      <c r="R9" s="290">
        <v>19.420000000000002</v>
      </c>
      <c r="S9" s="290"/>
      <c r="T9" s="396">
        <v>0.05</v>
      </c>
    </row>
    <row r="10" spans="1:20">
      <c r="A10" s="286" t="s">
        <v>389</v>
      </c>
      <c r="B10" s="294">
        <v>5143</v>
      </c>
      <c r="C10" s="287" t="s">
        <v>152</v>
      </c>
      <c r="D10" s="288" t="s">
        <v>572</v>
      </c>
      <c r="E10" s="289">
        <v>45292</v>
      </c>
      <c r="F10" s="289">
        <v>45657</v>
      </c>
      <c r="G10" s="293">
        <v>1540.51</v>
      </c>
      <c r="H10" s="295">
        <v>220</v>
      </c>
      <c r="I10" s="290">
        <v>23.68</v>
      </c>
      <c r="J10" s="290">
        <f t="shared" si="0"/>
        <v>11.84</v>
      </c>
      <c r="K10" s="286"/>
      <c r="L10" s="286"/>
      <c r="M10" s="292">
        <v>0.4</v>
      </c>
      <c r="N10" s="292" t="s">
        <v>409</v>
      </c>
      <c r="O10" s="292"/>
      <c r="P10" s="292">
        <v>0.06</v>
      </c>
      <c r="Q10" s="292">
        <v>0.19</v>
      </c>
      <c r="R10" s="290">
        <v>19.420000000000002</v>
      </c>
      <c r="S10" s="290"/>
      <c r="T10" s="396">
        <v>2.5000000000000001E-2</v>
      </c>
    </row>
    <row r="11" spans="1:20">
      <c r="A11" s="296" t="s">
        <v>337</v>
      </c>
      <c r="B11" s="294">
        <v>5174</v>
      </c>
      <c r="C11" s="287" t="s">
        <v>152</v>
      </c>
      <c r="D11" s="288" t="s">
        <v>572</v>
      </c>
      <c r="E11" s="289">
        <v>45292</v>
      </c>
      <c r="F11" s="289">
        <v>45657</v>
      </c>
      <c r="G11" s="293">
        <v>1854.91</v>
      </c>
      <c r="H11" s="295">
        <v>220</v>
      </c>
      <c r="I11" s="290">
        <v>23.68</v>
      </c>
      <c r="J11" s="290">
        <f t="shared" si="0"/>
        <v>11.84</v>
      </c>
      <c r="K11" s="286"/>
      <c r="L11" s="286"/>
      <c r="M11" s="292"/>
      <c r="N11" s="292" t="s">
        <v>409</v>
      </c>
      <c r="O11" s="292"/>
      <c r="P11" s="292">
        <v>0.06</v>
      </c>
      <c r="Q11" s="292">
        <v>0.19</v>
      </c>
      <c r="R11" s="290">
        <v>19.420000000000002</v>
      </c>
      <c r="S11" s="290"/>
      <c r="T11" s="396">
        <v>2.5000000000000001E-2</v>
      </c>
    </row>
    <row r="12" spans="1:20">
      <c r="A12" s="296" t="s">
        <v>387</v>
      </c>
      <c r="B12" s="294">
        <v>4221</v>
      </c>
      <c r="C12" s="287" t="s">
        <v>152</v>
      </c>
      <c r="D12" s="288" t="s">
        <v>572</v>
      </c>
      <c r="E12" s="289">
        <v>45292</v>
      </c>
      <c r="F12" s="289">
        <v>45657</v>
      </c>
      <c r="G12" s="293">
        <v>1741.66</v>
      </c>
      <c r="H12" s="295">
        <v>220</v>
      </c>
      <c r="I12" s="290">
        <v>23.68</v>
      </c>
      <c r="J12" s="290">
        <f t="shared" si="0"/>
        <v>11.84</v>
      </c>
      <c r="K12" s="286"/>
      <c r="L12" s="286"/>
      <c r="M12" s="292"/>
      <c r="N12" s="292" t="s">
        <v>409</v>
      </c>
      <c r="O12" s="292"/>
      <c r="P12" s="292">
        <v>0.06</v>
      </c>
      <c r="Q12" s="292">
        <v>0.19</v>
      </c>
      <c r="R12" s="290">
        <v>19.420000000000002</v>
      </c>
      <c r="S12" s="290"/>
      <c r="T12" s="396">
        <v>2.5000000000000001E-2</v>
      </c>
    </row>
    <row r="13" spans="1:20">
      <c r="A13" s="286" t="s">
        <v>386</v>
      </c>
      <c r="B13" s="294">
        <v>5142</v>
      </c>
      <c r="C13" s="287" t="s">
        <v>152</v>
      </c>
      <c r="D13" s="288" t="s">
        <v>572</v>
      </c>
      <c r="E13" s="289">
        <v>45292</v>
      </c>
      <c r="F13" s="289">
        <v>45657</v>
      </c>
      <c r="G13" s="293">
        <v>1570.01</v>
      </c>
      <c r="H13" s="295">
        <v>220</v>
      </c>
      <c r="I13" s="290">
        <v>23.68</v>
      </c>
      <c r="J13" s="290">
        <f t="shared" si="0"/>
        <v>11.84</v>
      </c>
      <c r="K13" s="286"/>
      <c r="L13" s="286"/>
      <c r="M13" s="292">
        <v>0.2</v>
      </c>
      <c r="N13" s="292" t="s">
        <v>409</v>
      </c>
      <c r="O13" s="292"/>
      <c r="P13" s="292">
        <v>0.06</v>
      </c>
      <c r="Q13" s="292">
        <v>0.19</v>
      </c>
      <c r="R13" s="290">
        <v>19.420000000000002</v>
      </c>
      <c r="S13" s="290"/>
      <c r="T13" s="396">
        <v>2.5000000000000001E-2</v>
      </c>
    </row>
    <row r="14" spans="1:20">
      <c r="A14" s="296" t="s">
        <v>396</v>
      </c>
      <c r="B14" s="294">
        <v>5143</v>
      </c>
      <c r="C14" s="287" t="s">
        <v>152</v>
      </c>
      <c r="D14" s="288" t="s">
        <v>572</v>
      </c>
      <c r="E14" s="289">
        <v>45292</v>
      </c>
      <c r="F14" s="289">
        <v>45657</v>
      </c>
      <c r="G14" s="293">
        <v>1957.46</v>
      </c>
      <c r="H14" s="295">
        <v>220</v>
      </c>
      <c r="I14" s="290">
        <v>23.68</v>
      </c>
      <c r="J14" s="290">
        <f t="shared" si="0"/>
        <v>11.84</v>
      </c>
      <c r="K14" s="286"/>
      <c r="L14" s="286"/>
      <c r="M14" s="292"/>
      <c r="N14" s="292" t="s">
        <v>409</v>
      </c>
      <c r="O14" s="292">
        <v>0.3</v>
      </c>
      <c r="P14" s="292">
        <v>0.06</v>
      </c>
      <c r="Q14" s="292">
        <v>0.19</v>
      </c>
      <c r="R14" s="290">
        <v>19.420000000000002</v>
      </c>
      <c r="S14" s="290"/>
      <c r="T14" s="396">
        <v>2.5000000000000001E-2</v>
      </c>
    </row>
    <row r="15" spans="1:20">
      <c r="A15" s="296" t="s">
        <v>397</v>
      </c>
      <c r="B15" s="294">
        <v>4227</v>
      </c>
      <c r="C15" s="287" t="s">
        <v>152</v>
      </c>
      <c r="D15" s="288" t="s">
        <v>572</v>
      </c>
      <c r="E15" s="289">
        <v>45292</v>
      </c>
      <c r="F15" s="289">
        <v>45657</v>
      </c>
      <c r="G15" s="293">
        <v>1854.91</v>
      </c>
      <c r="H15" s="295">
        <v>220</v>
      </c>
      <c r="I15" s="290">
        <v>23.68</v>
      </c>
      <c r="J15" s="290">
        <f t="shared" si="0"/>
        <v>11.84</v>
      </c>
      <c r="K15" s="286"/>
      <c r="L15" s="286"/>
      <c r="M15" s="292"/>
      <c r="N15" s="292" t="s">
        <v>409</v>
      </c>
      <c r="O15" s="292"/>
      <c r="P15" s="292">
        <v>0.06</v>
      </c>
      <c r="Q15" s="292">
        <v>0.19</v>
      </c>
      <c r="R15" s="290">
        <v>19.420000000000002</v>
      </c>
      <c r="S15" s="290"/>
      <c r="T15" s="396">
        <v>0.05</v>
      </c>
    </row>
    <row r="16" spans="1:20">
      <c r="A16" s="296" t="s">
        <v>398</v>
      </c>
      <c r="B16" s="294">
        <v>4222</v>
      </c>
      <c r="C16" s="287" t="s">
        <v>152</v>
      </c>
      <c r="D16" s="288" t="s">
        <v>572</v>
      </c>
      <c r="E16" s="289">
        <v>45292</v>
      </c>
      <c r="F16" s="289">
        <v>45657</v>
      </c>
      <c r="G16" s="293">
        <v>1741.66</v>
      </c>
      <c r="H16" s="295">
        <v>180</v>
      </c>
      <c r="I16" s="290"/>
      <c r="J16" s="290">
        <v>11.84</v>
      </c>
      <c r="K16" s="286"/>
      <c r="L16" s="286"/>
      <c r="M16" s="292"/>
      <c r="N16" s="292" t="s">
        <v>409</v>
      </c>
      <c r="O16" s="292"/>
      <c r="P16" s="292">
        <v>0.06</v>
      </c>
      <c r="Q16" s="292">
        <v>0.19</v>
      </c>
      <c r="R16" s="290">
        <v>19.420000000000002</v>
      </c>
      <c r="S16" s="290"/>
      <c r="T16" s="396">
        <v>0.05</v>
      </c>
    </row>
    <row r="17" spans="1:20">
      <c r="A17" s="296" t="s">
        <v>383</v>
      </c>
      <c r="B17" s="294">
        <v>5173</v>
      </c>
      <c r="C17" s="287" t="s">
        <v>384</v>
      </c>
      <c r="D17" s="288" t="s">
        <v>603</v>
      </c>
      <c r="E17" s="289">
        <v>45323</v>
      </c>
      <c r="F17" s="289">
        <v>45688</v>
      </c>
      <c r="G17" s="293">
        <v>1977.8</v>
      </c>
      <c r="H17" s="295">
        <v>220</v>
      </c>
      <c r="I17" s="290">
        <v>27</v>
      </c>
      <c r="J17" s="290"/>
      <c r="K17" s="286"/>
      <c r="L17" s="297">
        <f>G17/H17*1.3/6</f>
        <v>1.9478333333333335</v>
      </c>
      <c r="M17" s="292"/>
      <c r="N17" s="292" t="s">
        <v>408</v>
      </c>
      <c r="O17" s="292">
        <v>0.3</v>
      </c>
      <c r="P17" s="292">
        <v>0.06</v>
      </c>
      <c r="Q17" s="292">
        <v>0.2</v>
      </c>
      <c r="R17" s="290"/>
      <c r="S17" s="290">
        <v>19.420000000000002</v>
      </c>
      <c r="T17" s="396">
        <v>2.5000000000000001E-2</v>
      </c>
    </row>
    <row r="18" spans="1:20">
      <c r="A18" s="296" t="s">
        <v>379</v>
      </c>
      <c r="B18" s="294">
        <v>7823</v>
      </c>
      <c r="C18" s="287" t="s">
        <v>380</v>
      </c>
      <c r="D18" s="288" t="s">
        <v>402</v>
      </c>
      <c r="E18" s="289">
        <v>44470</v>
      </c>
      <c r="F18" s="289">
        <v>44834</v>
      </c>
      <c r="G18" s="293">
        <f>1698*1.06</f>
        <v>1799.88</v>
      </c>
      <c r="H18" s="295">
        <v>220</v>
      </c>
      <c r="I18" s="290">
        <f>21.1*1.06</f>
        <v>22.366000000000003</v>
      </c>
      <c r="J18" s="290"/>
      <c r="K18" s="286"/>
      <c r="L18" s="286"/>
      <c r="M18" s="292"/>
      <c r="N18" s="292" t="s">
        <v>408</v>
      </c>
      <c r="O18" s="292"/>
      <c r="P18" s="292">
        <v>0.06</v>
      </c>
      <c r="Q18" s="292">
        <v>0.2</v>
      </c>
      <c r="R18" s="290"/>
      <c r="S18" s="290">
        <v>19.420000000000002</v>
      </c>
      <c r="T18" s="396">
        <v>2.5000000000000001E-2</v>
      </c>
    </row>
    <row r="19" spans="1:20">
      <c r="A19" s="296" t="s">
        <v>378</v>
      </c>
      <c r="B19" s="294">
        <v>7823</v>
      </c>
      <c r="C19" s="287" t="s">
        <v>380</v>
      </c>
      <c r="D19" s="288" t="s">
        <v>402</v>
      </c>
      <c r="E19" s="289">
        <v>44470</v>
      </c>
      <c r="F19" s="289">
        <v>44834</v>
      </c>
      <c r="G19" s="293">
        <f>1753*1.06</f>
        <v>1858.18</v>
      </c>
      <c r="H19" s="295">
        <v>220</v>
      </c>
      <c r="I19" s="290">
        <f>21.1*1.06</f>
        <v>22.366000000000003</v>
      </c>
      <c r="J19" s="290"/>
      <c r="K19" s="286"/>
      <c r="L19" s="286"/>
      <c r="M19" s="292"/>
      <c r="N19" s="292" t="s">
        <v>408</v>
      </c>
      <c r="O19" s="292"/>
      <c r="P19" s="292">
        <v>0.06</v>
      </c>
      <c r="Q19" s="292">
        <v>0.2</v>
      </c>
      <c r="R19" s="290"/>
      <c r="S19" s="290">
        <v>19.420000000000002</v>
      </c>
      <c r="T19" s="396">
        <v>2.5000000000000001E-2</v>
      </c>
    </row>
    <row r="20" spans="1:20">
      <c r="A20" s="286" t="s">
        <v>529</v>
      </c>
      <c r="B20" s="294">
        <v>7825</v>
      </c>
      <c r="C20" s="287" t="s">
        <v>380</v>
      </c>
      <c r="D20" s="288" t="s">
        <v>402</v>
      </c>
      <c r="E20" s="289">
        <v>44470</v>
      </c>
      <c r="F20" s="289">
        <v>44834</v>
      </c>
      <c r="G20" s="293">
        <f>1724*1.06</f>
        <v>1827.44</v>
      </c>
      <c r="H20" s="295">
        <v>220</v>
      </c>
      <c r="I20" s="290">
        <f>21.1*1.06</f>
        <v>22.366000000000003</v>
      </c>
      <c r="J20" s="290"/>
      <c r="K20" s="286"/>
      <c r="L20" s="286"/>
      <c r="M20" s="292"/>
      <c r="N20" s="292" t="s">
        <v>408</v>
      </c>
      <c r="O20" s="292"/>
      <c r="P20" s="292">
        <v>0.06</v>
      </c>
      <c r="Q20" s="292">
        <v>0.2</v>
      </c>
      <c r="R20" s="290"/>
      <c r="S20" s="290">
        <v>19.420000000000002</v>
      </c>
      <c r="T20" s="396">
        <v>2.5000000000000001E-2</v>
      </c>
    </row>
    <row r="21" spans="1:20">
      <c r="A21" s="298" t="s">
        <v>530</v>
      </c>
      <c r="B21" s="307">
        <v>7825</v>
      </c>
      <c r="C21" s="299" t="s">
        <v>380</v>
      </c>
      <c r="D21" s="300" t="s">
        <v>402</v>
      </c>
      <c r="E21" s="301">
        <v>44470</v>
      </c>
      <c r="F21" s="301">
        <v>44834</v>
      </c>
      <c r="G21" s="302">
        <f>1767*1.06</f>
        <v>1873.02</v>
      </c>
      <c r="H21" s="303">
        <v>220</v>
      </c>
      <c r="I21" s="304">
        <f>21.1*1.06</f>
        <v>22.366000000000003</v>
      </c>
      <c r="J21" s="304"/>
      <c r="K21" s="305"/>
      <c r="L21" s="305"/>
      <c r="M21" s="306"/>
      <c r="N21" s="306" t="s">
        <v>408</v>
      </c>
      <c r="O21" s="306"/>
      <c r="P21" s="306">
        <v>0.06</v>
      </c>
      <c r="Q21" s="306">
        <v>0.2</v>
      </c>
      <c r="R21" s="304"/>
      <c r="S21" s="304">
        <v>19.420000000000002</v>
      </c>
      <c r="T21" s="541">
        <v>2.5000000000000001E-2</v>
      </c>
    </row>
    <row r="22" spans="1:20">
      <c r="A22"/>
      <c r="E22" s="72"/>
      <c r="F22" s="72"/>
      <c r="R22" s="77"/>
      <c r="S22" s="77"/>
      <c r="T22" s="77"/>
    </row>
    <row r="23" spans="1:20">
      <c r="C23"/>
      <c r="E23" s="72"/>
      <c r="F23" s="72"/>
      <c r="R23" s="77"/>
      <c r="S23" s="77"/>
      <c r="T23" s="77"/>
    </row>
    <row r="24" spans="1:20">
      <c r="E24" s="72"/>
      <c r="F24" s="72"/>
      <c r="R24" s="77"/>
      <c r="S24" s="77"/>
      <c r="T24" s="77"/>
    </row>
    <row r="25" spans="1:20">
      <c r="C25"/>
      <c r="E25" s="72"/>
      <c r="F25" s="72"/>
      <c r="R25" s="77"/>
      <c r="S25" s="77"/>
      <c r="T25" s="77"/>
    </row>
    <row r="26" spans="1:20">
      <c r="A26"/>
      <c r="I26"/>
    </row>
    <row r="27" spans="1:20">
      <c r="I27"/>
    </row>
    <row r="28" spans="1:20">
      <c r="A28"/>
      <c r="I28"/>
    </row>
    <row r="29" spans="1:20">
      <c r="A29"/>
      <c r="I29"/>
    </row>
    <row r="30" spans="1:20">
      <c r="B30" s="308"/>
      <c r="C30"/>
      <c r="E30" s="72"/>
      <c r="F30" s="72"/>
    </row>
    <row r="31" spans="1:20">
      <c r="I31"/>
    </row>
    <row r="32" spans="1:20">
      <c r="C32"/>
      <c r="E32" s="72"/>
      <c r="F32" s="72"/>
    </row>
    <row r="33" spans="1:9">
      <c r="B33" s="308"/>
      <c r="C33"/>
      <c r="E33" s="72"/>
      <c r="F33" s="72"/>
    </row>
    <row r="34" spans="1:9">
      <c r="A34"/>
      <c r="E34" s="72"/>
      <c r="F34" s="72"/>
      <c r="I34"/>
    </row>
    <row r="35" spans="1:9">
      <c r="A35"/>
      <c r="E35" s="72"/>
      <c r="F35" s="72"/>
      <c r="I35"/>
    </row>
    <row r="36" spans="1:9">
      <c r="A36"/>
      <c r="I36"/>
    </row>
    <row r="37" spans="1:9">
      <c r="A37"/>
      <c r="I37"/>
    </row>
    <row r="38" spans="1:9">
      <c r="A38"/>
      <c r="C38"/>
      <c r="I38"/>
    </row>
    <row r="39" spans="1:9">
      <c r="C39"/>
      <c r="I39"/>
    </row>
    <row r="40" spans="1:9">
      <c r="A40"/>
      <c r="I40"/>
    </row>
    <row r="41" spans="1:9">
      <c r="A41"/>
      <c r="I41"/>
    </row>
    <row r="42" spans="1:9">
      <c r="A42"/>
      <c r="I42"/>
    </row>
    <row r="43" spans="1:9">
      <c r="E43" s="72"/>
      <c r="F43" s="72"/>
      <c r="I43"/>
    </row>
    <row r="44" spans="1:9">
      <c r="I44"/>
    </row>
    <row r="45" spans="1:9">
      <c r="B45" s="308"/>
      <c r="C45"/>
      <c r="I45"/>
    </row>
    <row r="46" spans="1:9">
      <c r="A46"/>
      <c r="C46"/>
      <c r="E46" s="72"/>
      <c r="F46" s="72"/>
      <c r="I46"/>
    </row>
    <row r="47" spans="1:9">
      <c r="C47"/>
      <c r="E47" s="72"/>
      <c r="F47" s="72"/>
      <c r="I47"/>
    </row>
    <row r="48" spans="1:9">
      <c r="A48"/>
      <c r="C48"/>
      <c r="E48" s="72"/>
      <c r="F48" s="72"/>
      <c r="I48"/>
    </row>
    <row r="49" spans="1:9">
      <c r="C49"/>
      <c r="E49" s="72"/>
      <c r="F49" s="72"/>
      <c r="I49"/>
    </row>
    <row r="50" spans="1:9">
      <c r="C50"/>
      <c r="E50" s="72"/>
      <c r="F50" s="72"/>
      <c r="I50"/>
    </row>
    <row r="51" spans="1:9">
      <c r="C51"/>
      <c r="E51" s="72"/>
      <c r="F51" s="72"/>
      <c r="I51"/>
    </row>
    <row r="52" spans="1:9">
      <c r="C52"/>
      <c r="E52" s="72"/>
      <c r="F52" s="72"/>
      <c r="I52"/>
    </row>
    <row r="53" spans="1:9">
      <c r="C53"/>
      <c r="E53" s="72"/>
      <c r="F53" s="72"/>
      <c r="I53"/>
    </row>
    <row r="54" spans="1:9">
      <c r="E54" s="72"/>
      <c r="F54" s="72"/>
      <c r="I54"/>
    </row>
    <row r="55" spans="1:9">
      <c r="C55"/>
      <c r="E55" s="72"/>
      <c r="F55" s="72"/>
      <c r="I55"/>
    </row>
    <row r="56" spans="1:9">
      <c r="A56"/>
      <c r="C56"/>
      <c r="E56" s="72"/>
      <c r="F56" s="72"/>
      <c r="I56"/>
    </row>
    <row r="57" spans="1:9">
      <c r="C57"/>
      <c r="E57" s="72"/>
      <c r="F57" s="72"/>
      <c r="I57"/>
    </row>
    <row r="58" spans="1:9">
      <c r="C58"/>
      <c r="E58" s="72"/>
      <c r="F58" s="72"/>
      <c r="I58"/>
    </row>
    <row r="59" spans="1:9">
      <c r="A59"/>
      <c r="C59"/>
      <c r="E59" s="72"/>
      <c r="F59" s="72"/>
      <c r="I59"/>
    </row>
    <row r="60" spans="1:9">
      <c r="A60"/>
      <c r="I60"/>
    </row>
    <row r="61" spans="1:9">
      <c r="A61"/>
      <c r="I61"/>
    </row>
    <row r="62" spans="1:9">
      <c r="A62"/>
      <c r="I62"/>
    </row>
    <row r="63" spans="1:9">
      <c r="A63" s="74"/>
      <c r="B63" s="308"/>
      <c r="C63" s="73"/>
      <c r="E63" s="72"/>
      <c r="F63" s="72"/>
    </row>
    <row r="64" spans="1:9">
      <c r="A64" s="74"/>
      <c r="B64" s="308"/>
      <c r="C64" s="73"/>
      <c r="E64" s="72"/>
      <c r="F64" s="72"/>
    </row>
    <row r="65" spans="1:9">
      <c r="C65"/>
      <c r="E65" s="72"/>
      <c r="F65" s="72"/>
    </row>
    <row r="66" spans="1:9">
      <c r="C66"/>
      <c r="E66" s="72"/>
      <c r="F66" s="72"/>
    </row>
    <row r="67" spans="1:9">
      <c r="C67"/>
      <c r="E67" s="72"/>
      <c r="F67" s="72"/>
    </row>
    <row r="68" spans="1:9">
      <c r="A68"/>
      <c r="E68" s="72"/>
      <c r="F68" s="72"/>
    </row>
    <row r="69" spans="1:9">
      <c r="A69"/>
      <c r="C69"/>
      <c r="E69" s="72"/>
      <c r="F69" s="72"/>
      <c r="I69"/>
    </row>
    <row r="70" spans="1:9">
      <c r="E70" s="72"/>
      <c r="F70" s="72"/>
    </row>
    <row r="71" spans="1:9">
      <c r="E71" s="72"/>
      <c r="F71" s="72"/>
    </row>
    <row r="72" spans="1:9">
      <c r="C72"/>
      <c r="E72" s="72"/>
      <c r="F72" s="72"/>
    </row>
    <row r="73" spans="1:9">
      <c r="E73" s="72"/>
      <c r="F73" s="72"/>
    </row>
    <row r="74" spans="1:9">
      <c r="E74" s="72"/>
      <c r="F74" s="72"/>
    </row>
    <row r="75" spans="1:9">
      <c r="E75" s="72"/>
      <c r="F75" s="72"/>
    </row>
    <row r="76" spans="1:9">
      <c r="A76"/>
      <c r="B76" s="308"/>
      <c r="E76" s="72"/>
      <c r="F76" s="72"/>
    </row>
    <row r="77" spans="1:9">
      <c r="E77" s="72"/>
      <c r="F77" s="72"/>
    </row>
    <row r="78" spans="1:9">
      <c r="A78"/>
      <c r="C78" s="73"/>
      <c r="E78" s="72"/>
      <c r="F78" s="72"/>
    </row>
    <row r="79" spans="1:9">
      <c r="C79"/>
      <c r="E79" s="72"/>
      <c r="F79" s="72"/>
      <c r="I79"/>
    </row>
    <row r="80" spans="1:9">
      <c r="C80"/>
      <c r="E80" s="72"/>
      <c r="F80" s="72"/>
      <c r="I80"/>
    </row>
    <row r="81" spans="1:10">
      <c r="A81"/>
      <c r="I81"/>
    </row>
    <row r="82" spans="1:10">
      <c r="A82"/>
      <c r="I82"/>
    </row>
    <row r="83" spans="1:10">
      <c r="A83"/>
      <c r="I83"/>
    </row>
    <row r="84" spans="1:10">
      <c r="A84"/>
      <c r="C84"/>
      <c r="I84"/>
    </row>
    <row r="85" spans="1:10">
      <c r="C85"/>
      <c r="E85" s="72"/>
      <c r="F85" s="72"/>
      <c r="I85"/>
    </row>
    <row r="86" spans="1:10">
      <c r="A86"/>
      <c r="I86"/>
    </row>
    <row r="87" spans="1:10">
      <c r="A87"/>
      <c r="I87"/>
    </row>
    <row r="88" spans="1:10">
      <c r="A88"/>
      <c r="C88" s="73"/>
      <c r="E88" s="72"/>
      <c r="F88" s="72"/>
    </row>
    <row r="89" spans="1:10">
      <c r="A89" s="74"/>
      <c r="C89"/>
      <c r="E89" s="72"/>
      <c r="F89" s="72"/>
      <c r="I89"/>
    </row>
    <row r="90" spans="1:10">
      <c r="A90" s="74"/>
      <c r="C90"/>
      <c r="E90" s="72"/>
      <c r="F90" s="72"/>
      <c r="I90"/>
    </row>
    <row r="91" spans="1:10">
      <c r="C91"/>
      <c r="E91" s="72"/>
      <c r="F91" s="72"/>
      <c r="I91"/>
    </row>
    <row r="92" spans="1:10">
      <c r="A92" s="68"/>
      <c r="D92" s="2"/>
      <c r="E92" s="71"/>
      <c r="F92" s="71"/>
      <c r="G92" s="70"/>
      <c r="H92" s="76"/>
      <c r="I92" s="70"/>
      <c r="J92" s="2"/>
    </row>
    <row r="93" spans="1:10">
      <c r="A93" s="68"/>
      <c r="D93" s="2"/>
      <c r="E93" s="71"/>
      <c r="F93" s="71"/>
      <c r="G93" s="70"/>
      <c r="H93" s="76"/>
      <c r="I93" s="70"/>
      <c r="J93" s="2"/>
    </row>
    <row r="94" spans="1:10">
      <c r="A94" s="68"/>
      <c r="D94" s="2"/>
      <c r="E94" s="71"/>
      <c r="F94" s="71"/>
      <c r="G94" s="70"/>
      <c r="H94" s="76"/>
      <c r="I94" s="70"/>
      <c r="J94" s="2"/>
    </row>
    <row r="95" spans="1:10">
      <c r="A95" s="68"/>
      <c r="D95" s="2"/>
      <c r="E95" s="71"/>
      <c r="F95" s="71"/>
      <c r="G95" s="70"/>
      <c r="H95" s="76"/>
      <c r="I95" s="70"/>
      <c r="J95" s="2"/>
    </row>
    <row r="96" spans="1:10">
      <c r="A96"/>
    </row>
    <row r="97" spans="1:10">
      <c r="A97"/>
    </row>
    <row r="98" spans="1:10">
      <c r="A98"/>
    </row>
    <row r="99" spans="1:10">
      <c r="A99"/>
    </row>
    <row r="100" spans="1:10">
      <c r="A100"/>
    </row>
    <row r="101" spans="1:10">
      <c r="A101"/>
    </row>
    <row r="102" spans="1:10">
      <c r="A102"/>
    </row>
    <row r="103" spans="1:10" s="69" customFormat="1">
      <c r="A103"/>
      <c r="B103" s="2"/>
      <c r="D103"/>
      <c r="E103"/>
      <c r="F103"/>
      <c r="G103" s="46"/>
      <c r="H103" s="79"/>
      <c r="I103" s="46"/>
      <c r="J103"/>
    </row>
    <row r="104" spans="1:10" s="69" customFormat="1">
      <c r="A104"/>
      <c r="B104" s="2"/>
      <c r="D104"/>
      <c r="E104"/>
      <c r="F104"/>
      <c r="G104" s="46"/>
      <c r="H104" s="79"/>
      <c r="I104" s="46"/>
      <c r="J104"/>
    </row>
    <row r="105" spans="1:10" s="69" customFormat="1">
      <c r="A105"/>
      <c r="B105" s="2"/>
      <c r="D105"/>
      <c r="E105"/>
      <c r="F105"/>
      <c r="G105" s="46"/>
      <c r="H105" s="79"/>
      <c r="I105" s="46"/>
      <c r="J105"/>
    </row>
    <row r="106" spans="1:10" s="69" customFormat="1">
      <c r="A106"/>
      <c r="B106" s="2"/>
      <c r="D106"/>
      <c r="E106"/>
      <c r="F106"/>
      <c r="G106" s="46"/>
      <c r="H106" s="79"/>
      <c r="I106" s="46"/>
      <c r="J106"/>
    </row>
    <row r="107" spans="1:10" s="69" customFormat="1">
      <c r="A107"/>
      <c r="B107" s="2"/>
      <c r="D107"/>
      <c r="E107"/>
      <c r="F107"/>
      <c r="G107" s="46"/>
      <c r="H107" s="79"/>
      <c r="I107" s="46"/>
      <c r="J107"/>
    </row>
    <row r="108" spans="1:10" s="69" customFormat="1">
      <c r="A108"/>
      <c r="B108" s="2"/>
      <c r="D108"/>
      <c r="E108"/>
      <c r="F108"/>
      <c r="G108" s="46"/>
      <c r="H108" s="79"/>
      <c r="I108" s="46"/>
      <c r="J108"/>
    </row>
    <row r="109" spans="1:10" s="69" customFormat="1">
      <c r="A109"/>
      <c r="B109" s="2"/>
      <c r="D109"/>
      <c r="E109"/>
      <c r="F109"/>
      <c r="G109" s="46"/>
      <c r="H109" s="79"/>
      <c r="I109" s="46"/>
      <c r="J109"/>
    </row>
    <row r="110" spans="1:10" s="69" customFormat="1">
      <c r="A110"/>
      <c r="B110" s="2"/>
      <c r="D110"/>
      <c r="E110"/>
      <c r="F110"/>
      <c r="G110" s="46"/>
      <c r="H110" s="79"/>
      <c r="I110" s="46"/>
      <c r="J110"/>
    </row>
    <row r="111" spans="1:10" s="69" customFormat="1">
      <c r="A111"/>
      <c r="B111" s="2"/>
      <c r="D111"/>
      <c r="E111"/>
      <c r="F111"/>
      <c r="G111" s="46"/>
      <c r="H111" s="79"/>
      <c r="I111" s="46"/>
      <c r="J111"/>
    </row>
    <row r="112" spans="1:10" s="69" customFormat="1">
      <c r="A112"/>
      <c r="B112" s="2"/>
      <c r="D112"/>
      <c r="E112"/>
      <c r="F112"/>
      <c r="G112" s="46"/>
      <c r="H112" s="79"/>
      <c r="I112" s="46"/>
      <c r="J112"/>
    </row>
    <row r="113" spans="1:10" s="69" customFormat="1">
      <c r="A113"/>
      <c r="B113" s="2"/>
      <c r="D113"/>
      <c r="E113"/>
      <c r="F113"/>
      <c r="G113" s="46"/>
      <c r="H113" s="79"/>
      <c r="I113" s="46"/>
      <c r="J113"/>
    </row>
    <row r="114" spans="1:10" s="69" customFormat="1">
      <c r="A114"/>
      <c r="B114" s="2"/>
      <c r="D114"/>
      <c r="E114"/>
      <c r="F114"/>
      <c r="G114" s="46"/>
      <c r="H114" s="79"/>
      <c r="I114" s="46"/>
      <c r="J114"/>
    </row>
    <row r="115" spans="1:10" s="69" customFormat="1">
      <c r="A115"/>
      <c r="B115" s="2"/>
      <c r="D115"/>
      <c r="E115"/>
      <c r="F115"/>
      <c r="G115" s="46"/>
      <c r="H115" s="79"/>
      <c r="I115" s="46"/>
      <c r="J115"/>
    </row>
    <row r="116" spans="1:10" s="69" customFormat="1">
      <c r="A116"/>
      <c r="B116" s="2"/>
      <c r="D116"/>
      <c r="E116"/>
      <c r="F116"/>
      <c r="G116" s="46"/>
      <c r="H116" s="79"/>
      <c r="I116" s="46"/>
      <c r="J116"/>
    </row>
    <row r="117" spans="1:10" s="69" customFormat="1">
      <c r="A117"/>
      <c r="B117" s="2"/>
      <c r="D117"/>
      <c r="E117"/>
      <c r="F117"/>
      <c r="G117" s="46"/>
      <c r="H117" s="79"/>
      <c r="I117" s="46"/>
      <c r="J117"/>
    </row>
    <row r="118" spans="1:10" s="69" customFormat="1">
      <c r="A118"/>
      <c r="B118" s="2"/>
      <c r="D118"/>
      <c r="E118"/>
      <c r="F118"/>
      <c r="G118" s="46"/>
      <c r="H118" s="79"/>
      <c r="I118" s="46"/>
      <c r="J118"/>
    </row>
    <row r="119" spans="1:10" s="69" customFormat="1">
      <c r="A119"/>
      <c r="B119" s="2"/>
      <c r="D119"/>
      <c r="E119"/>
      <c r="F119"/>
      <c r="G119" s="46"/>
      <c r="H119" s="79"/>
      <c r="I119" s="46"/>
      <c r="J119"/>
    </row>
    <row r="120" spans="1:10" s="69" customFormat="1">
      <c r="A120"/>
      <c r="B120" s="2"/>
      <c r="D120"/>
      <c r="E120"/>
      <c r="F120"/>
      <c r="G120" s="46"/>
      <c r="H120" s="79"/>
      <c r="I120" s="46"/>
      <c r="J120"/>
    </row>
    <row r="121" spans="1:10" s="69" customFormat="1">
      <c r="A121"/>
      <c r="B121" s="2"/>
      <c r="D121"/>
      <c r="E121"/>
      <c r="F121"/>
      <c r="G121" s="46"/>
      <c r="H121" s="79"/>
      <c r="I121" s="46"/>
      <c r="J121"/>
    </row>
    <row r="122" spans="1:10" s="69" customFormat="1">
      <c r="A122"/>
      <c r="B122" s="2"/>
      <c r="D122"/>
      <c r="E122"/>
      <c r="F122"/>
      <c r="G122" s="46"/>
      <c r="H122" s="79"/>
      <c r="I122" s="46"/>
      <c r="J122"/>
    </row>
    <row r="123" spans="1:10" s="69" customFormat="1">
      <c r="A123"/>
      <c r="B123" s="2"/>
      <c r="D123"/>
      <c r="E123"/>
      <c r="F123"/>
      <c r="G123" s="46"/>
      <c r="H123" s="79"/>
      <c r="I123" s="46"/>
      <c r="J123"/>
    </row>
    <row r="124" spans="1:10" s="69" customFormat="1">
      <c r="A124"/>
      <c r="B124" s="2"/>
      <c r="D124"/>
      <c r="E124"/>
      <c r="F124"/>
      <c r="G124" s="46"/>
      <c r="H124" s="79"/>
      <c r="I124" s="46"/>
      <c r="J124"/>
    </row>
    <row r="125" spans="1:10" s="69" customFormat="1">
      <c r="A125"/>
      <c r="B125" s="2"/>
      <c r="D125"/>
      <c r="E125"/>
      <c r="F125"/>
      <c r="G125" s="46"/>
      <c r="H125" s="79"/>
      <c r="I125" s="46"/>
      <c r="J125"/>
    </row>
    <row r="126" spans="1:10" s="69" customFormat="1">
      <c r="A126"/>
      <c r="B126" s="2"/>
      <c r="D126"/>
      <c r="E126"/>
      <c r="F126"/>
      <c r="G126" s="46"/>
      <c r="H126" s="79"/>
      <c r="I126" s="46"/>
      <c r="J126"/>
    </row>
    <row r="127" spans="1:10" s="69" customFormat="1">
      <c r="A127"/>
      <c r="B127" s="2"/>
      <c r="D127"/>
      <c r="E127"/>
      <c r="F127"/>
      <c r="G127" s="46"/>
      <c r="H127" s="79"/>
      <c r="I127" s="46"/>
      <c r="J127"/>
    </row>
    <row r="128" spans="1:10" s="69" customFormat="1">
      <c r="A128"/>
      <c r="B128" s="2"/>
      <c r="D128"/>
      <c r="E128"/>
      <c r="F128"/>
      <c r="G128" s="46"/>
      <c r="H128" s="79"/>
      <c r="I128" s="46"/>
      <c r="J128"/>
    </row>
    <row r="129" spans="1:10" s="69" customFormat="1">
      <c r="A129"/>
      <c r="B129" s="2"/>
      <c r="D129"/>
      <c r="E129"/>
      <c r="F129"/>
      <c r="G129" s="46"/>
      <c r="H129" s="79"/>
      <c r="I129" s="46"/>
      <c r="J129"/>
    </row>
    <row r="130" spans="1:10" s="69" customFormat="1">
      <c r="A130"/>
      <c r="B130" s="2"/>
      <c r="D130"/>
      <c r="E130"/>
      <c r="F130"/>
      <c r="G130" s="46"/>
      <c r="H130" s="79"/>
      <c r="I130" s="46"/>
      <c r="J130"/>
    </row>
    <row r="131" spans="1:10" s="69" customFormat="1">
      <c r="A131"/>
      <c r="B131" s="2"/>
      <c r="D131"/>
      <c r="E131"/>
      <c r="F131"/>
      <c r="G131" s="46"/>
      <c r="H131" s="79"/>
      <c r="I131" s="46"/>
      <c r="J131"/>
    </row>
    <row r="132" spans="1:10" s="69" customFormat="1">
      <c r="A132"/>
      <c r="B132" s="2"/>
      <c r="D132"/>
      <c r="E132"/>
      <c r="F132"/>
      <c r="G132" s="46"/>
      <c r="H132" s="79"/>
      <c r="I132" s="46"/>
      <c r="J132"/>
    </row>
    <row r="133" spans="1:10" s="69" customFormat="1">
      <c r="A133"/>
      <c r="B133" s="2"/>
      <c r="D133"/>
      <c r="E133"/>
      <c r="F133"/>
      <c r="G133" s="46"/>
      <c r="H133" s="79"/>
      <c r="I133" s="46"/>
      <c r="J133"/>
    </row>
    <row r="134" spans="1:10" s="69" customFormat="1">
      <c r="A134"/>
      <c r="B134" s="2"/>
      <c r="D134"/>
      <c r="E134"/>
      <c r="F134"/>
      <c r="G134" s="46"/>
      <c r="H134" s="79"/>
      <c r="I134" s="46"/>
      <c r="J134"/>
    </row>
    <row r="135" spans="1:10" s="69" customFormat="1">
      <c r="A135"/>
      <c r="B135" s="2"/>
      <c r="D135"/>
      <c r="E135"/>
      <c r="F135"/>
      <c r="G135" s="46"/>
      <c r="H135" s="79"/>
      <c r="I135" s="46"/>
      <c r="J135"/>
    </row>
    <row r="136" spans="1:10" s="69" customFormat="1">
      <c r="A136"/>
      <c r="B136" s="2"/>
      <c r="D136"/>
      <c r="E136"/>
      <c r="F136"/>
      <c r="G136" s="46"/>
      <c r="H136" s="79"/>
      <c r="I136" s="46"/>
      <c r="J136"/>
    </row>
    <row r="137" spans="1:10" s="69" customFormat="1">
      <c r="A137"/>
      <c r="B137" s="2"/>
      <c r="D137"/>
      <c r="E137"/>
      <c r="F137"/>
      <c r="G137" s="46"/>
      <c r="H137" s="79"/>
      <c r="I137" s="46"/>
      <c r="J137"/>
    </row>
    <row r="138" spans="1:10" s="69" customFormat="1">
      <c r="A138"/>
      <c r="B138" s="2"/>
      <c r="D138"/>
      <c r="E138"/>
      <c r="F138"/>
      <c r="G138" s="46"/>
      <c r="H138" s="79"/>
      <c r="I138" s="46"/>
      <c r="J138"/>
    </row>
    <row r="139" spans="1:10" s="69" customFormat="1">
      <c r="A139"/>
      <c r="B139" s="2"/>
      <c r="D139"/>
      <c r="E139"/>
      <c r="F139"/>
      <c r="G139" s="46"/>
      <c r="H139" s="79"/>
      <c r="I139" s="46"/>
      <c r="J139"/>
    </row>
    <row r="140" spans="1:10" s="69" customFormat="1">
      <c r="A140"/>
      <c r="B140" s="2"/>
      <c r="D140"/>
      <c r="E140"/>
      <c r="F140"/>
      <c r="G140" s="46"/>
      <c r="H140" s="79"/>
      <c r="I140" s="46"/>
      <c r="J140"/>
    </row>
    <row r="141" spans="1:10" s="69" customFormat="1">
      <c r="A141"/>
      <c r="B141" s="2"/>
      <c r="D141"/>
      <c r="E141"/>
      <c r="F141"/>
      <c r="G141" s="46"/>
      <c r="H141" s="79"/>
      <c r="I141" s="46"/>
      <c r="J141"/>
    </row>
    <row r="142" spans="1:10" s="69" customFormat="1">
      <c r="A142" s="38"/>
      <c r="B142" s="2"/>
      <c r="D142"/>
      <c r="E142"/>
      <c r="F142"/>
      <c r="G142" s="46"/>
      <c r="H142" s="79"/>
      <c r="I142" s="46"/>
      <c r="J142"/>
    </row>
    <row r="143" spans="1:10" s="69" customFormat="1">
      <c r="A143" s="38"/>
      <c r="B143" s="2"/>
      <c r="D143"/>
      <c r="E143"/>
      <c r="F143"/>
      <c r="G143" s="46"/>
      <c r="H143" s="79"/>
      <c r="I143" s="46"/>
      <c r="J143"/>
    </row>
    <row r="144" spans="1:10" s="69" customFormat="1">
      <c r="A144" s="38"/>
      <c r="B144" s="2"/>
      <c r="D144"/>
      <c r="E144"/>
      <c r="F144"/>
      <c r="G144" s="46"/>
      <c r="H144" s="79"/>
      <c r="I144" s="46"/>
      <c r="J144"/>
    </row>
    <row r="145" spans="1:10" s="69" customFormat="1">
      <c r="A145" s="38"/>
      <c r="B145" s="2"/>
      <c r="D145"/>
      <c r="E145"/>
      <c r="F145"/>
      <c r="G145" s="46"/>
      <c r="H145" s="79"/>
      <c r="I145" s="46"/>
      <c r="J145"/>
    </row>
    <row r="146" spans="1:10" s="69" customFormat="1">
      <c r="A146" s="38"/>
      <c r="B146" s="2"/>
      <c r="D146"/>
      <c r="E146"/>
      <c r="F146"/>
      <c r="G146" s="46"/>
      <c r="H146" s="79"/>
      <c r="I146" s="46"/>
      <c r="J146"/>
    </row>
    <row r="147" spans="1:10" s="69" customFormat="1">
      <c r="A147" s="38"/>
      <c r="B147" s="2"/>
      <c r="D147"/>
      <c r="E147"/>
      <c r="F147"/>
      <c r="G147" s="46"/>
      <c r="H147" s="79"/>
      <c r="I147" s="46"/>
      <c r="J147"/>
    </row>
    <row r="148" spans="1:10" s="69" customFormat="1">
      <c r="A148" s="38"/>
      <c r="B148" s="2"/>
      <c r="D148"/>
      <c r="E148"/>
      <c r="F148"/>
      <c r="G148" s="46"/>
      <c r="H148" s="79"/>
      <c r="I148" s="46"/>
      <c r="J148"/>
    </row>
    <row r="149" spans="1:10" s="69" customFormat="1">
      <c r="A149" s="38"/>
      <c r="B149" s="2"/>
      <c r="D149"/>
      <c r="E149"/>
      <c r="F149"/>
      <c r="G149" s="46"/>
      <c r="H149" s="79"/>
      <c r="I149" s="46"/>
      <c r="J149"/>
    </row>
    <row r="150" spans="1:10" s="69" customFormat="1">
      <c r="A150" s="38"/>
      <c r="B150" s="2"/>
      <c r="D150"/>
      <c r="E150"/>
      <c r="F150"/>
      <c r="G150" s="46"/>
      <c r="H150" s="79"/>
      <c r="I150" s="46"/>
      <c r="J150"/>
    </row>
    <row r="151" spans="1:10" s="69" customFormat="1">
      <c r="A151" s="38"/>
      <c r="B151" s="2"/>
      <c r="D151"/>
      <c r="E151"/>
      <c r="F151"/>
      <c r="G151" s="46"/>
      <c r="H151" s="79"/>
      <c r="I151" s="46"/>
      <c r="J151"/>
    </row>
    <row r="152" spans="1:10" s="69" customFormat="1">
      <c r="A152" s="38"/>
      <c r="B152" s="2"/>
      <c r="D152"/>
      <c r="E152"/>
      <c r="F152"/>
      <c r="G152" s="46"/>
      <c r="H152" s="79"/>
      <c r="I152" s="46"/>
      <c r="J152"/>
    </row>
    <row r="153" spans="1:10" s="69" customFormat="1">
      <c r="A153" s="38"/>
      <c r="B153" s="2"/>
      <c r="D153"/>
      <c r="E153"/>
      <c r="F153"/>
      <c r="G153" s="46"/>
      <c r="H153" s="79"/>
      <c r="I153" s="46"/>
      <c r="J153"/>
    </row>
    <row r="154" spans="1:10" s="69" customFormat="1">
      <c r="A154" s="38"/>
      <c r="B154" s="2"/>
      <c r="D154"/>
      <c r="E154"/>
      <c r="F154"/>
      <c r="G154" s="46"/>
      <c r="H154" s="79"/>
      <c r="I154" s="46"/>
      <c r="J154"/>
    </row>
    <row r="155" spans="1:10" s="69" customFormat="1">
      <c r="A155" s="38"/>
      <c r="B155" s="2"/>
      <c r="D155"/>
      <c r="E155"/>
      <c r="F155"/>
      <c r="G155" s="46"/>
      <c r="H155" s="79"/>
      <c r="I155" s="46"/>
      <c r="J155"/>
    </row>
    <row r="156" spans="1:10" s="69" customFormat="1">
      <c r="A156" s="38"/>
      <c r="B156" s="2"/>
      <c r="D156"/>
      <c r="E156"/>
      <c r="F156"/>
      <c r="G156" s="46"/>
      <c r="H156" s="79"/>
      <c r="I156" s="46"/>
      <c r="J156"/>
    </row>
    <row r="157" spans="1:10" s="69" customFormat="1">
      <c r="A157" s="38"/>
      <c r="B157" s="2"/>
      <c r="D157"/>
      <c r="E157"/>
      <c r="F157"/>
      <c r="G157" s="46"/>
      <c r="H157" s="79"/>
      <c r="I157" s="46"/>
      <c r="J157"/>
    </row>
    <row r="158" spans="1:10" s="69" customFormat="1">
      <c r="A158" s="38"/>
      <c r="B158" s="2"/>
      <c r="D158"/>
      <c r="E158"/>
      <c r="F158"/>
      <c r="G158" s="46"/>
      <c r="H158" s="79"/>
      <c r="I158" s="46"/>
      <c r="J158"/>
    </row>
    <row r="159" spans="1:10" s="69" customFormat="1">
      <c r="A159" s="38"/>
      <c r="B159" s="2"/>
      <c r="D159"/>
      <c r="E159"/>
      <c r="F159"/>
      <c r="G159" s="46"/>
      <c r="H159" s="79"/>
      <c r="I159" s="46"/>
      <c r="J159"/>
    </row>
    <row r="160" spans="1:10" s="69" customFormat="1">
      <c r="A160" s="38"/>
      <c r="B160" s="2"/>
      <c r="D160"/>
      <c r="E160"/>
      <c r="F160"/>
      <c r="G160" s="46"/>
      <c r="H160" s="79"/>
      <c r="I160" s="46"/>
      <c r="J160"/>
    </row>
    <row r="161" spans="1:10" s="69" customFormat="1">
      <c r="A161" s="38"/>
      <c r="B161" s="2"/>
      <c r="D161"/>
      <c r="E161"/>
      <c r="F161"/>
      <c r="G161" s="46"/>
      <c r="H161" s="79"/>
      <c r="I161" s="46"/>
      <c r="J161"/>
    </row>
    <row r="162" spans="1:10" s="69" customFormat="1">
      <c r="A162" s="38"/>
      <c r="B162" s="2"/>
      <c r="D162"/>
      <c r="E162"/>
      <c r="F162"/>
      <c r="G162" s="46"/>
      <c r="H162" s="79"/>
      <c r="I162" s="46"/>
      <c r="J162"/>
    </row>
    <row r="163" spans="1:10" s="69" customFormat="1">
      <c r="A163" s="38"/>
      <c r="B163" s="2"/>
      <c r="D163"/>
      <c r="E163"/>
      <c r="F163"/>
      <c r="G163" s="46"/>
      <c r="H163" s="79"/>
      <c r="I163" s="46"/>
      <c r="J163"/>
    </row>
    <row r="164" spans="1:10" s="69" customFormat="1">
      <c r="A164" s="38"/>
      <c r="B164" s="2"/>
      <c r="D164"/>
      <c r="E164"/>
      <c r="F164"/>
      <c r="G164" s="46"/>
      <c r="H164" s="79"/>
      <c r="I164" s="46"/>
      <c r="J164"/>
    </row>
    <row r="165" spans="1:10" s="69" customFormat="1">
      <c r="A165" s="38"/>
      <c r="B165" s="2"/>
      <c r="D165"/>
      <c r="E165"/>
      <c r="F165"/>
      <c r="G165" s="46"/>
      <c r="H165" s="79"/>
      <c r="I165" s="46"/>
      <c r="J165"/>
    </row>
    <row r="166" spans="1:10" s="69" customFormat="1">
      <c r="A166" s="38"/>
      <c r="B166" s="2"/>
      <c r="D166"/>
      <c r="E166"/>
      <c r="F166"/>
      <c r="G166" s="46"/>
      <c r="H166" s="79"/>
      <c r="I166" s="46"/>
      <c r="J166"/>
    </row>
    <row r="167" spans="1:10" s="69" customFormat="1">
      <c r="A167" s="38"/>
      <c r="B167" s="2"/>
      <c r="D167"/>
      <c r="E167"/>
      <c r="F167"/>
      <c r="G167" s="46"/>
      <c r="H167" s="79"/>
      <c r="I167" s="46"/>
      <c r="J167"/>
    </row>
    <row r="168" spans="1:10" s="69" customFormat="1">
      <c r="A168" s="38"/>
      <c r="B168" s="2"/>
      <c r="D168"/>
      <c r="E168"/>
      <c r="F168"/>
      <c r="G168" s="46"/>
      <c r="H168" s="79"/>
      <c r="I168" s="46"/>
      <c r="J168"/>
    </row>
    <row r="169" spans="1:10" s="69" customFormat="1">
      <c r="A169" s="38"/>
      <c r="B169" s="2"/>
      <c r="D169"/>
      <c r="E169"/>
      <c r="F169"/>
      <c r="G169" s="46"/>
      <c r="H169" s="79"/>
      <c r="I169" s="46"/>
      <c r="J169"/>
    </row>
    <row r="170" spans="1:10" s="69" customFormat="1">
      <c r="A170" s="38"/>
      <c r="B170" s="2"/>
      <c r="D170"/>
      <c r="E170"/>
      <c r="F170"/>
      <c r="G170" s="46"/>
      <c r="H170" s="79"/>
      <c r="I170" s="46"/>
      <c r="J170"/>
    </row>
    <row r="171" spans="1:10" s="69" customFormat="1">
      <c r="A171" s="38"/>
      <c r="B171" s="2"/>
      <c r="D171"/>
      <c r="E171"/>
      <c r="F171"/>
      <c r="G171" s="46"/>
      <c r="H171" s="79"/>
      <c r="I171" s="46"/>
      <c r="J171"/>
    </row>
    <row r="172" spans="1:10" s="69" customFormat="1">
      <c r="A172" s="38"/>
      <c r="B172" s="2"/>
      <c r="D172"/>
      <c r="E172"/>
      <c r="F172"/>
      <c r="G172" s="46"/>
      <c r="H172" s="79"/>
      <c r="I172" s="46"/>
      <c r="J172"/>
    </row>
    <row r="173" spans="1:10" s="69" customFormat="1">
      <c r="A173" s="38"/>
      <c r="B173" s="2"/>
      <c r="D173"/>
      <c r="E173"/>
      <c r="F173"/>
      <c r="G173" s="46"/>
      <c r="H173" s="79"/>
      <c r="I173" s="46"/>
      <c r="J173"/>
    </row>
    <row r="174" spans="1:10" s="69" customFormat="1">
      <c r="A174" s="38"/>
      <c r="B174" s="2"/>
      <c r="D174"/>
      <c r="E174"/>
      <c r="F174"/>
      <c r="G174" s="46"/>
      <c r="H174" s="79"/>
      <c r="I174" s="46"/>
      <c r="J174"/>
    </row>
    <row r="175" spans="1:10" s="69" customFormat="1">
      <c r="A175" s="38"/>
      <c r="B175" s="2"/>
      <c r="D175"/>
      <c r="E175"/>
      <c r="F175"/>
      <c r="G175" s="46"/>
      <c r="H175" s="79"/>
      <c r="I175" s="46"/>
      <c r="J175"/>
    </row>
    <row r="176" spans="1:10" s="69" customFormat="1">
      <c r="A176" s="38"/>
      <c r="B176" s="2"/>
      <c r="D176"/>
      <c r="E176"/>
      <c r="F176"/>
      <c r="G176" s="46"/>
      <c r="H176" s="79"/>
      <c r="I176" s="46"/>
      <c r="J176"/>
    </row>
    <row r="177" spans="1:10" s="69" customFormat="1">
      <c r="A177" s="38"/>
      <c r="B177" s="2"/>
      <c r="D177"/>
      <c r="E177"/>
      <c r="F177"/>
      <c r="G177" s="46"/>
      <c r="H177" s="79"/>
      <c r="I177" s="46"/>
      <c r="J177"/>
    </row>
    <row r="178" spans="1:10" s="69" customFormat="1">
      <c r="A178" s="38"/>
      <c r="B178" s="2"/>
      <c r="D178"/>
      <c r="E178"/>
      <c r="F178"/>
      <c r="G178" s="46"/>
      <c r="H178" s="79"/>
      <c r="I178" s="46"/>
      <c r="J178"/>
    </row>
    <row r="179" spans="1:10" s="69" customFormat="1">
      <c r="A179" s="38"/>
      <c r="B179" s="2"/>
      <c r="D179"/>
      <c r="E179"/>
      <c r="F179"/>
      <c r="G179" s="46"/>
      <c r="H179" s="79"/>
      <c r="I179" s="46"/>
      <c r="J179"/>
    </row>
    <row r="180" spans="1:10" s="69" customFormat="1">
      <c r="A180" s="38"/>
      <c r="B180" s="2"/>
      <c r="D180"/>
      <c r="E180"/>
      <c r="F180"/>
      <c r="G180" s="46"/>
      <c r="H180" s="79"/>
      <c r="I180" s="46"/>
      <c r="J180"/>
    </row>
    <row r="181" spans="1:10" s="69" customFormat="1">
      <c r="A181" s="38"/>
      <c r="B181" s="2"/>
      <c r="D181"/>
      <c r="E181"/>
      <c r="F181"/>
      <c r="G181" s="46"/>
      <c r="H181" s="79"/>
      <c r="I181" s="46"/>
      <c r="J181"/>
    </row>
    <row r="182" spans="1:10" s="69" customFormat="1">
      <c r="A182" s="38"/>
      <c r="B182" s="2"/>
      <c r="D182"/>
      <c r="E182"/>
      <c r="F182"/>
      <c r="G182" s="46"/>
      <c r="H182" s="79"/>
      <c r="I182" s="46"/>
      <c r="J182"/>
    </row>
    <row r="183" spans="1:10" s="69" customFormat="1">
      <c r="A183" s="38"/>
      <c r="B183" s="2"/>
      <c r="D183"/>
      <c r="E183"/>
      <c r="F183"/>
      <c r="G183" s="46"/>
      <c r="H183" s="79"/>
      <c r="I183" s="46"/>
      <c r="J183"/>
    </row>
    <row r="184" spans="1:10" s="69" customFormat="1">
      <c r="A184" s="38"/>
      <c r="B184" s="2"/>
      <c r="D184"/>
      <c r="E184"/>
      <c r="F184"/>
      <c r="G184" s="46"/>
      <c r="H184" s="79"/>
      <c r="I184" s="46"/>
      <c r="J184"/>
    </row>
    <row r="185" spans="1:10" s="69" customFormat="1">
      <c r="A185" s="38"/>
      <c r="B185" s="2"/>
      <c r="D185"/>
      <c r="E185"/>
      <c r="F185"/>
      <c r="G185" s="46"/>
      <c r="H185" s="79"/>
      <c r="I185" s="46"/>
      <c r="J185"/>
    </row>
    <row r="186" spans="1:10" s="69" customFormat="1">
      <c r="A186" s="38"/>
      <c r="B186" s="2"/>
      <c r="D186"/>
      <c r="E186"/>
      <c r="F186"/>
      <c r="G186" s="46"/>
      <c r="H186" s="79"/>
      <c r="I186" s="46"/>
      <c r="J186"/>
    </row>
    <row r="187" spans="1:10" s="69" customFormat="1">
      <c r="A187" s="38"/>
      <c r="B187" s="2"/>
      <c r="D187"/>
      <c r="E187"/>
      <c r="F187"/>
      <c r="G187" s="46"/>
      <c r="H187" s="79"/>
      <c r="I187" s="46"/>
      <c r="J187"/>
    </row>
    <row r="188" spans="1:10" s="69" customFormat="1">
      <c r="A188" s="38"/>
      <c r="B188" s="2"/>
      <c r="D188"/>
      <c r="E188"/>
      <c r="F188"/>
      <c r="G188" s="46"/>
      <c r="H188" s="79"/>
      <c r="I188" s="46"/>
      <c r="J188"/>
    </row>
    <row r="189" spans="1:10" s="69" customFormat="1">
      <c r="A189" s="38"/>
      <c r="B189" s="2"/>
      <c r="D189"/>
      <c r="E189"/>
      <c r="F189"/>
      <c r="G189" s="46"/>
      <c r="H189" s="79"/>
      <c r="I189" s="46"/>
      <c r="J189"/>
    </row>
    <row r="190" spans="1:10" s="69" customFormat="1">
      <c r="A190" s="38"/>
      <c r="B190" s="2"/>
      <c r="D190"/>
      <c r="E190"/>
      <c r="F190"/>
      <c r="G190" s="46"/>
      <c r="H190" s="79"/>
      <c r="I190" s="46"/>
      <c r="J190"/>
    </row>
    <row r="191" spans="1:10" s="69" customFormat="1">
      <c r="A191" s="38"/>
      <c r="B191" s="2"/>
      <c r="D191"/>
      <c r="E191"/>
      <c r="F191"/>
      <c r="G191" s="46"/>
      <c r="H191" s="79"/>
      <c r="I191" s="46"/>
      <c r="J191"/>
    </row>
    <row r="192" spans="1:10" s="69" customFormat="1">
      <c r="A192" s="38"/>
      <c r="B192" s="2"/>
      <c r="D192"/>
      <c r="E192"/>
      <c r="F192"/>
      <c r="G192" s="46"/>
      <c r="H192" s="79"/>
      <c r="I192" s="46"/>
      <c r="J192"/>
    </row>
    <row r="193" spans="1:10" s="69" customFormat="1">
      <c r="A193" s="38"/>
      <c r="B193" s="2"/>
      <c r="D193"/>
      <c r="E193"/>
      <c r="F193"/>
      <c r="G193" s="46"/>
      <c r="H193" s="79"/>
      <c r="I193" s="46"/>
      <c r="J193"/>
    </row>
    <row r="194" spans="1:10" s="69" customFormat="1">
      <c r="A194" s="38"/>
      <c r="B194" s="2"/>
      <c r="D194"/>
      <c r="E194"/>
      <c r="F194"/>
      <c r="G194" s="46"/>
      <c r="H194" s="79"/>
      <c r="I194" s="46"/>
      <c r="J194"/>
    </row>
    <row r="195" spans="1:10" s="69" customFormat="1">
      <c r="A195" s="38"/>
      <c r="B195" s="2"/>
      <c r="D195"/>
      <c r="E195"/>
      <c r="F195"/>
      <c r="G195" s="46"/>
      <c r="H195" s="79"/>
      <c r="I195" s="46"/>
      <c r="J195"/>
    </row>
    <row r="196" spans="1:10" s="69" customFormat="1">
      <c r="A196" s="38"/>
      <c r="B196" s="2"/>
      <c r="D196"/>
      <c r="E196"/>
      <c r="F196"/>
      <c r="G196" s="46"/>
      <c r="H196" s="79"/>
      <c r="I196" s="46"/>
      <c r="J196"/>
    </row>
    <row r="197" spans="1:10" s="69" customFormat="1">
      <c r="A197" s="38"/>
      <c r="B197" s="2"/>
      <c r="D197"/>
      <c r="E197"/>
      <c r="F197"/>
      <c r="G197" s="46"/>
      <c r="H197" s="79"/>
      <c r="I197" s="46"/>
      <c r="J197"/>
    </row>
    <row r="198" spans="1:10" s="69" customFormat="1">
      <c r="A198" s="38"/>
      <c r="B198" s="2"/>
      <c r="D198"/>
      <c r="E198"/>
      <c r="F198"/>
      <c r="G198" s="46"/>
      <c r="H198" s="79"/>
      <c r="I198" s="46"/>
      <c r="J198"/>
    </row>
    <row r="199" spans="1:10" s="69" customFormat="1">
      <c r="A199" s="38"/>
      <c r="B199" s="2"/>
      <c r="D199"/>
      <c r="E199"/>
      <c r="F199"/>
      <c r="G199" s="46"/>
      <c r="H199" s="79"/>
      <c r="I199" s="46"/>
      <c r="J199"/>
    </row>
    <row r="200" spans="1:10" s="69" customFormat="1">
      <c r="A200" s="38"/>
      <c r="B200" s="2"/>
      <c r="D200"/>
      <c r="E200"/>
      <c r="F200"/>
      <c r="G200" s="46"/>
      <c r="H200" s="79"/>
      <c r="I200" s="46"/>
      <c r="J200"/>
    </row>
    <row r="201" spans="1:10" s="69" customFormat="1">
      <c r="A201" s="38"/>
      <c r="B201" s="2"/>
      <c r="D201"/>
      <c r="E201"/>
      <c r="F201"/>
      <c r="G201" s="46"/>
      <c r="H201" s="79"/>
      <c r="I201" s="46"/>
      <c r="J201"/>
    </row>
    <row r="202" spans="1:10" s="69" customFormat="1">
      <c r="A202" s="38"/>
      <c r="B202" s="2"/>
      <c r="D202"/>
      <c r="E202"/>
      <c r="F202"/>
      <c r="G202" s="46"/>
      <c r="H202" s="79"/>
      <c r="I202" s="46"/>
      <c r="J202"/>
    </row>
    <row r="203" spans="1:10" s="69" customFormat="1">
      <c r="A203" s="38"/>
      <c r="B203" s="2"/>
      <c r="D203"/>
      <c r="E203"/>
      <c r="F203"/>
      <c r="G203" s="46"/>
      <c r="H203" s="79"/>
      <c r="I203" s="46"/>
      <c r="J203"/>
    </row>
    <row r="204" spans="1:10" s="69" customFormat="1">
      <c r="A204" s="38"/>
      <c r="B204" s="2"/>
      <c r="D204"/>
      <c r="E204"/>
      <c r="F204"/>
      <c r="G204" s="46"/>
      <c r="H204" s="79"/>
      <c r="I204" s="46"/>
      <c r="J204"/>
    </row>
    <row r="205" spans="1:10" s="69" customFormat="1">
      <c r="A205" s="38"/>
      <c r="B205" s="2"/>
      <c r="D205"/>
      <c r="E205"/>
      <c r="F205"/>
      <c r="G205" s="46"/>
      <c r="H205" s="79"/>
      <c r="I205" s="46"/>
      <c r="J205"/>
    </row>
    <row r="206" spans="1:10" s="69" customFormat="1">
      <c r="A206" s="38"/>
      <c r="B206" s="2"/>
      <c r="D206"/>
      <c r="E206"/>
      <c r="F206"/>
      <c r="G206" s="46"/>
      <c r="H206" s="79"/>
      <c r="I206" s="46"/>
      <c r="J206"/>
    </row>
    <row r="207" spans="1:10" s="69" customFormat="1">
      <c r="A207" s="38"/>
      <c r="B207" s="2"/>
      <c r="D207"/>
      <c r="E207"/>
      <c r="F207"/>
      <c r="G207" s="46"/>
      <c r="H207" s="79"/>
      <c r="I207" s="46"/>
      <c r="J207"/>
    </row>
    <row r="208" spans="1:10" s="69" customFormat="1">
      <c r="A208" s="38"/>
      <c r="B208" s="2"/>
      <c r="D208"/>
      <c r="E208"/>
      <c r="F208"/>
      <c r="G208" s="46"/>
      <c r="H208" s="79"/>
      <c r="I208" s="46"/>
      <c r="J208"/>
    </row>
    <row r="209" spans="1:10" s="69" customFormat="1">
      <c r="A209" s="38"/>
      <c r="B209" s="2"/>
      <c r="D209"/>
      <c r="E209"/>
      <c r="F209"/>
      <c r="G209" s="46"/>
      <c r="H209" s="79"/>
      <c r="I209" s="46"/>
      <c r="J209"/>
    </row>
    <row r="210" spans="1:10" s="69" customFormat="1">
      <c r="A210" s="38"/>
      <c r="B210" s="2"/>
      <c r="D210"/>
      <c r="E210"/>
      <c r="F210"/>
      <c r="G210" s="46"/>
      <c r="H210" s="79"/>
      <c r="I210" s="46"/>
      <c r="J210"/>
    </row>
    <row r="211" spans="1:10" s="69" customFormat="1">
      <c r="A211" s="38"/>
      <c r="B211" s="2"/>
      <c r="D211"/>
      <c r="E211"/>
      <c r="F211"/>
      <c r="G211" s="46"/>
      <c r="H211" s="79"/>
      <c r="I211" s="46"/>
      <c r="J211"/>
    </row>
    <row r="212" spans="1:10" s="69" customFormat="1">
      <c r="A212" s="38"/>
      <c r="B212" s="2"/>
      <c r="D212"/>
      <c r="E212"/>
      <c r="F212"/>
      <c r="G212" s="46"/>
      <c r="H212" s="79"/>
      <c r="I212" s="46"/>
      <c r="J212"/>
    </row>
    <row r="213" spans="1:10" s="69" customFormat="1">
      <c r="A213" s="38"/>
      <c r="B213" s="2"/>
      <c r="D213"/>
      <c r="E213"/>
      <c r="F213"/>
      <c r="G213" s="46"/>
      <c r="H213" s="79"/>
      <c r="I213" s="46"/>
      <c r="J213"/>
    </row>
    <row r="214" spans="1:10" s="69" customFormat="1">
      <c r="A214" s="38"/>
      <c r="B214" s="2"/>
      <c r="D214"/>
      <c r="E214"/>
      <c r="F214"/>
      <c r="G214" s="46"/>
      <c r="H214" s="79"/>
      <c r="I214" s="46"/>
      <c r="J214"/>
    </row>
    <row r="215" spans="1:10" s="69" customFormat="1">
      <c r="A215" s="38"/>
      <c r="B215" s="2"/>
      <c r="D215"/>
      <c r="E215"/>
      <c r="F215"/>
      <c r="G215" s="46"/>
      <c r="H215" s="79"/>
      <c r="I215" s="46"/>
      <c r="J215"/>
    </row>
    <row r="216" spans="1:10" s="69" customFormat="1">
      <c r="A216" s="38"/>
      <c r="B216" s="2"/>
      <c r="D216"/>
      <c r="E216"/>
      <c r="F216"/>
      <c r="G216" s="46"/>
      <c r="H216" s="79"/>
      <c r="I216" s="46"/>
      <c r="J216"/>
    </row>
    <row r="217" spans="1:10" s="69" customFormat="1">
      <c r="A217" s="38"/>
      <c r="B217" s="2"/>
      <c r="D217"/>
      <c r="E217"/>
      <c r="F217"/>
      <c r="G217" s="46"/>
      <c r="H217" s="79"/>
      <c r="I217" s="46"/>
      <c r="J217"/>
    </row>
    <row r="218" spans="1:10" s="69" customFormat="1">
      <c r="A218" s="38"/>
      <c r="B218" s="2"/>
      <c r="D218"/>
      <c r="E218"/>
      <c r="F218"/>
      <c r="G218" s="46"/>
      <c r="H218" s="79"/>
      <c r="I218" s="46"/>
      <c r="J218"/>
    </row>
    <row r="219" spans="1:10" s="69" customFormat="1">
      <c r="A219" s="38"/>
      <c r="B219" s="2"/>
      <c r="D219"/>
      <c r="E219"/>
      <c r="F219"/>
      <c r="G219" s="46"/>
      <c r="H219" s="79"/>
      <c r="I219" s="46"/>
      <c r="J219"/>
    </row>
    <row r="220" spans="1:10" s="69" customFormat="1">
      <c r="A220" s="38"/>
      <c r="B220" s="2"/>
      <c r="D220"/>
      <c r="E220"/>
      <c r="F220"/>
      <c r="G220" s="46"/>
      <c r="H220" s="79"/>
      <c r="I220" s="46"/>
      <c r="J220"/>
    </row>
    <row r="221" spans="1:10" s="69" customFormat="1">
      <c r="A221" s="38"/>
      <c r="B221" s="2"/>
      <c r="D221"/>
      <c r="E221"/>
      <c r="F221"/>
      <c r="G221" s="46"/>
      <c r="H221" s="79"/>
      <c r="I221" s="46"/>
      <c r="J221"/>
    </row>
    <row r="222" spans="1:10" s="69" customFormat="1">
      <c r="A222" s="38"/>
      <c r="B222" s="2"/>
      <c r="D222"/>
      <c r="E222"/>
      <c r="F222"/>
      <c r="G222" s="46"/>
      <c r="H222" s="79"/>
      <c r="I222" s="46"/>
      <c r="J222"/>
    </row>
    <row r="223" spans="1:10" s="69" customFormat="1">
      <c r="A223" s="38"/>
      <c r="B223" s="2"/>
      <c r="D223"/>
      <c r="E223"/>
      <c r="F223"/>
      <c r="G223" s="46"/>
      <c r="H223" s="79"/>
      <c r="I223" s="46"/>
      <c r="J223"/>
    </row>
    <row r="224" spans="1:10" s="69" customFormat="1">
      <c r="A224" s="38"/>
      <c r="B224" s="2"/>
      <c r="D224"/>
      <c r="E224"/>
      <c r="F224"/>
      <c r="G224" s="46"/>
      <c r="H224" s="79"/>
      <c r="I224" s="46"/>
      <c r="J224"/>
    </row>
    <row r="225" spans="1:10" s="69" customFormat="1">
      <c r="A225" s="38"/>
      <c r="B225" s="2"/>
      <c r="D225"/>
      <c r="E225"/>
      <c r="F225"/>
      <c r="G225" s="46"/>
      <c r="H225" s="79"/>
      <c r="I225" s="46"/>
      <c r="J225"/>
    </row>
    <row r="226" spans="1:10" s="69" customFormat="1">
      <c r="A226" s="38"/>
      <c r="B226" s="2"/>
      <c r="D226"/>
      <c r="E226"/>
      <c r="F226"/>
      <c r="G226" s="46"/>
      <c r="H226" s="79"/>
      <c r="I226" s="46"/>
      <c r="J226"/>
    </row>
    <row r="227" spans="1:10" s="69" customFormat="1">
      <c r="A227" s="38"/>
      <c r="B227" s="2"/>
      <c r="D227"/>
      <c r="E227"/>
      <c r="F227"/>
      <c r="G227" s="46"/>
      <c r="H227" s="79"/>
      <c r="I227" s="46"/>
      <c r="J227"/>
    </row>
    <row r="228" spans="1:10" s="69" customFormat="1">
      <c r="A228" s="38"/>
      <c r="B228" s="2"/>
      <c r="D228"/>
      <c r="E228"/>
      <c r="F228"/>
      <c r="G228" s="46"/>
      <c r="H228" s="79"/>
      <c r="I228" s="46"/>
      <c r="J228"/>
    </row>
    <row r="229" spans="1:10" s="69" customFormat="1">
      <c r="A229" s="38"/>
      <c r="B229" s="2"/>
      <c r="D229"/>
      <c r="E229"/>
      <c r="F229"/>
      <c r="G229" s="46"/>
      <c r="H229" s="79"/>
      <c r="I229" s="46"/>
      <c r="J229"/>
    </row>
    <row r="230" spans="1:10" s="69" customFormat="1">
      <c r="A230" s="38"/>
      <c r="B230" s="2"/>
      <c r="D230"/>
      <c r="E230"/>
      <c r="F230"/>
      <c r="G230" s="46"/>
      <c r="H230" s="79"/>
      <c r="I230" s="46"/>
      <c r="J230"/>
    </row>
    <row r="231" spans="1:10" s="69" customFormat="1">
      <c r="A231" s="38"/>
      <c r="B231" s="2"/>
      <c r="D231"/>
      <c r="E231"/>
      <c r="F231"/>
      <c r="G231" s="46"/>
      <c r="H231" s="79"/>
      <c r="I231" s="46"/>
      <c r="J231"/>
    </row>
    <row r="232" spans="1:10" s="69" customFormat="1">
      <c r="A232" s="38"/>
      <c r="B232" s="2"/>
      <c r="D232"/>
      <c r="E232"/>
      <c r="F232"/>
      <c r="G232" s="46"/>
      <c r="H232" s="79"/>
      <c r="I232" s="46"/>
      <c r="J232"/>
    </row>
    <row r="233" spans="1:10" s="69" customFormat="1">
      <c r="A233" s="38"/>
      <c r="B233" s="2"/>
      <c r="D233"/>
      <c r="E233"/>
      <c r="F233"/>
      <c r="G233" s="46"/>
      <c r="H233" s="79"/>
      <c r="I233" s="46"/>
      <c r="J233"/>
    </row>
    <row r="234" spans="1:10" s="69" customFormat="1">
      <c r="A234" s="38"/>
      <c r="B234" s="2"/>
      <c r="D234"/>
      <c r="E234"/>
      <c r="F234"/>
      <c r="G234" s="46"/>
      <c r="H234" s="79"/>
      <c r="I234" s="46"/>
      <c r="J234"/>
    </row>
    <row r="235" spans="1:10" s="69" customFormat="1">
      <c r="A235" s="38"/>
      <c r="B235" s="2"/>
      <c r="D235"/>
      <c r="E235"/>
      <c r="F235"/>
      <c r="G235" s="46"/>
      <c r="H235" s="79"/>
      <c r="I235" s="46"/>
      <c r="J235"/>
    </row>
    <row r="236" spans="1:10" s="69" customFormat="1">
      <c r="A236" s="38"/>
      <c r="B236" s="2"/>
      <c r="D236"/>
      <c r="E236"/>
      <c r="F236"/>
      <c r="G236" s="46"/>
      <c r="H236" s="79"/>
      <c r="I236" s="46"/>
      <c r="J236"/>
    </row>
    <row r="237" spans="1:10" s="69" customFormat="1">
      <c r="A237" s="38"/>
      <c r="B237" s="2"/>
      <c r="D237"/>
      <c r="E237"/>
      <c r="F237"/>
      <c r="G237" s="46"/>
      <c r="H237" s="79"/>
      <c r="I237" s="46"/>
      <c r="J237"/>
    </row>
    <row r="238" spans="1:10" s="69" customFormat="1">
      <c r="A238" s="38"/>
      <c r="B238" s="2"/>
      <c r="D238"/>
      <c r="E238"/>
      <c r="F238"/>
      <c r="G238" s="46"/>
      <c r="H238" s="79"/>
      <c r="I238" s="46"/>
      <c r="J238"/>
    </row>
    <row r="239" spans="1:10" s="69" customFormat="1">
      <c r="A239" s="38"/>
      <c r="B239" s="2"/>
      <c r="D239"/>
      <c r="E239"/>
      <c r="F239"/>
      <c r="G239" s="46"/>
      <c r="H239" s="79"/>
      <c r="I239" s="46"/>
      <c r="J239"/>
    </row>
    <row r="240" spans="1:10" s="69" customFormat="1">
      <c r="A240" s="38"/>
      <c r="B240" s="2"/>
      <c r="D240"/>
      <c r="E240"/>
      <c r="F240"/>
      <c r="G240" s="46"/>
      <c r="H240" s="79"/>
      <c r="I240" s="46"/>
      <c r="J240"/>
    </row>
    <row r="241" spans="1:10" s="69" customFormat="1">
      <c r="A241" s="38"/>
      <c r="B241" s="2"/>
      <c r="D241"/>
      <c r="E241"/>
      <c r="F241"/>
      <c r="G241" s="46"/>
      <c r="H241" s="79"/>
      <c r="I241" s="46"/>
      <c r="J241"/>
    </row>
    <row r="242" spans="1:10" s="69" customFormat="1">
      <c r="A242" s="38"/>
      <c r="B242" s="2"/>
      <c r="D242"/>
      <c r="E242"/>
      <c r="F242"/>
      <c r="G242" s="46"/>
      <c r="H242" s="79"/>
      <c r="I242" s="46"/>
      <c r="J242"/>
    </row>
    <row r="243" spans="1:10" s="69" customFormat="1">
      <c r="A243" s="38"/>
      <c r="B243" s="2"/>
      <c r="D243"/>
      <c r="E243"/>
      <c r="F243"/>
      <c r="G243" s="46"/>
      <c r="H243" s="79"/>
      <c r="I243" s="46"/>
      <c r="J243"/>
    </row>
    <row r="244" spans="1:10" s="69" customFormat="1">
      <c r="A244" s="38"/>
      <c r="B244" s="2"/>
      <c r="D244"/>
      <c r="E244"/>
      <c r="F244"/>
      <c r="G244" s="46"/>
      <c r="H244" s="79"/>
      <c r="I244" s="46"/>
      <c r="J244"/>
    </row>
    <row r="245" spans="1:10" s="69" customFormat="1">
      <c r="A245" s="38"/>
      <c r="B245" s="2"/>
      <c r="D245"/>
      <c r="E245"/>
      <c r="F245"/>
      <c r="G245" s="46"/>
      <c r="H245" s="79"/>
      <c r="I245" s="46"/>
      <c r="J245"/>
    </row>
    <row r="246" spans="1:10" s="69" customFormat="1">
      <c r="A246" s="38"/>
      <c r="B246" s="2"/>
      <c r="D246"/>
      <c r="E246"/>
      <c r="F246"/>
      <c r="G246" s="46"/>
      <c r="H246" s="79"/>
      <c r="I246" s="46"/>
      <c r="J246"/>
    </row>
    <row r="247" spans="1:10" s="69" customFormat="1">
      <c r="A247" s="38"/>
      <c r="B247" s="2"/>
      <c r="D247"/>
      <c r="E247"/>
      <c r="F247"/>
      <c r="G247" s="46"/>
      <c r="H247" s="79"/>
      <c r="I247" s="46"/>
      <c r="J247"/>
    </row>
    <row r="248" spans="1:10" s="69" customFormat="1">
      <c r="A248" s="38"/>
      <c r="B248" s="2"/>
      <c r="D248"/>
      <c r="E248"/>
      <c r="F248"/>
      <c r="G248" s="46"/>
      <c r="H248" s="79"/>
      <c r="I248" s="46"/>
      <c r="J248"/>
    </row>
    <row r="249" spans="1:10" s="69" customFormat="1">
      <c r="A249" s="38"/>
      <c r="B249" s="2"/>
      <c r="D249"/>
      <c r="E249"/>
      <c r="F249"/>
      <c r="G249" s="46"/>
      <c r="H249" s="79"/>
      <c r="I249" s="46"/>
      <c r="J249"/>
    </row>
    <row r="250" spans="1:10" s="69" customFormat="1">
      <c r="A250" s="38"/>
      <c r="B250" s="2"/>
      <c r="D250"/>
      <c r="E250"/>
      <c r="F250"/>
      <c r="G250" s="46"/>
      <c r="H250" s="79"/>
      <c r="I250" s="46"/>
      <c r="J250"/>
    </row>
    <row r="251" spans="1:10" s="69" customFormat="1">
      <c r="A251" s="38"/>
      <c r="B251" s="2"/>
      <c r="D251"/>
      <c r="E251"/>
      <c r="F251"/>
      <c r="G251" s="46"/>
      <c r="H251" s="79"/>
      <c r="I251" s="46"/>
      <c r="J251"/>
    </row>
    <row r="252" spans="1:10" s="69" customFormat="1">
      <c r="A252" s="38"/>
      <c r="B252" s="2"/>
      <c r="D252"/>
      <c r="E252"/>
      <c r="F252"/>
      <c r="G252" s="46"/>
      <c r="H252" s="79"/>
      <c r="I252" s="46"/>
      <c r="J252"/>
    </row>
    <row r="253" spans="1:10" s="69" customFormat="1">
      <c r="A253" s="38"/>
      <c r="B253" s="2"/>
      <c r="D253"/>
      <c r="E253"/>
      <c r="F253"/>
      <c r="G253" s="46"/>
      <c r="H253" s="79"/>
      <c r="I253" s="46"/>
      <c r="J253"/>
    </row>
    <row r="254" spans="1:10" s="69" customFormat="1">
      <c r="A254" s="38"/>
      <c r="B254" s="2"/>
      <c r="D254"/>
      <c r="E254"/>
      <c r="F254"/>
      <c r="G254" s="46"/>
      <c r="H254" s="79"/>
      <c r="I254" s="46"/>
      <c r="J254"/>
    </row>
    <row r="255" spans="1:10" s="69" customFormat="1">
      <c r="A255" s="38"/>
      <c r="B255" s="2"/>
      <c r="D255"/>
      <c r="E255"/>
      <c r="F255"/>
      <c r="G255" s="46"/>
      <c r="H255" s="79"/>
      <c r="I255" s="46"/>
      <c r="J255"/>
    </row>
    <row r="256" spans="1:10" s="69" customFormat="1">
      <c r="A256" s="38"/>
      <c r="B256" s="2"/>
      <c r="D256"/>
      <c r="E256"/>
      <c r="F256"/>
      <c r="G256" s="46"/>
      <c r="H256" s="79"/>
      <c r="I256" s="46"/>
      <c r="J256"/>
    </row>
    <row r="257" spans="1:10" s="69" customFormat="1">
      <c r="A257" s="38"/>
      <c r="B257" s="2"/>
      <c r="D257"/>
      <c r="E257"/>
      <c r="F257"/>
      <c r="G257" s="46"/>
      <c r="H257" s="79"/>
      <c r="I257" s="46"/>
      <c r="J257"/>
    </row>
    <row r="258" spans="1:10" s="69" customFormat="1">
      <c r="A258" s="38"/>
      <c r="B258" s="2"/>
      <c r="D258"/>
      <c r="E258"/>
      <c r="F258"/>
      <c r="G258" s="46"/>
      <c r="H258" s="79"/>
      <c r="I258" s="46"/>
      <c r="J258"/>
    </row>
    <row r="259" spans="1:10" s="69" customFormat="1">
      <c r="A259" s="38"/>
      <c r="B259" s="2"/>
      <c r="D259"/>
      <c r="E259"/>
      <c r="F259"/>
      <c r="G259" s="46"/>
      <c r="H259" s="79"/>
      <c r="I259" s="46"/>
      <c r="J259"/>
    </row>
    <row r="260" spans="1:10" s="69" customFormat="1">
      <c r="A260" s="38"/>
      <c r="B260" s="2"/>
      <c r="D260"/>
      <c r="E260"/>
      <c r="F260"/>
      <c r="G260" s="46"/>
      <c r="H260" s="79"/>
      <c r="I260" s="46"/>
      <c r="J260"/>
    </row>
    <row r="261" spans="1:10" s="69" customFormat="1">
      <c r="A261" s="38"/>
      <c r="B261" s="2"/>
      <c r="D261"/>
      <c r="E261"/>
      <c r="F261"/>
      <c r="G261" s="46"/>
      <c r="H261" s="79"/>
      <c r="I261" s="46"/>
      <c r="J261"/>
    </row>
    <row r="262" spans="1:10" s="69" customFormat="1">
      <c r="A262" s="38"/>
      <c r="B262" s="2"/>
      <c r="D262"/>
      <c r="E262"/>
      <c r="F262"/>
      <c r="G262" s="46"/>
      <c r="H262" s="79"/>
      <c r="I262" s="46"/>
      <c r="J262"/>
    </row>
    <row r="263" spans="1:10" s="69" customFormat="1">
      <c r="A263" s="38"/>
      <c r="B263" s="2"/>
      <c r="D263"/>
      <c r="E263"/>
      <c r="F263"/>
      <c r="G263" s="46"/>
      <c r="H263" s="79"/>
      <c r="I263" s="46"/>
      <c r="J263"/>
    </row>
    <row r="264" spans="1:10" s="69" customFormat="1">
      <c r="A264" s="38"/>
      <c r="B264" s="2"/>
      <c r="D264"/>
      <c r="E264"/>
      <c r="F264"/>
      <c r="G264" s="46"/>
      <c r="H264" s="79"/>
      <c r="I264" s="46"/>
      <c r="J264"/>
    </row>
    <row r="265" spans="1:10" s="69" customFormat="1">
      <c r="A265" s="38"/>
      <c r="B265" s="2"/>
      <c r="D265"/>
      <c r="E265"/>
      <c r="F265"/>
      <c r="G265" s="46"/>
      <c r="H265" s="79"/>
      <c r="I265" s="46"/>
      <c r="J265"/>
    </row>
    <row r="266" spans="1:10" s="69" customFormat="1">
      <c r="A266" s="38"/>
      <c r="B266" s="2"/>
      <c r="D266"/>
      <c r="E266"/>
      <c r="F266"/>
      <c r="G266" s="46"/>
      <c r="H266" s="79"/>
      <c r="I266" s="46"/>
      <c r="J266"/>
    </row>
    <row r="267" spans="1:10" s="69" customFormat="1">
      <c r="A267" s="38"/>
      <c r="B267" s="2"/>
      <c r="D267"/>
      <c r="E267"/>
      <c r="F267"/>
      <c r="G267" s="46"/>
      <c r="H267" s="79"/>
      <c r="I267" s="46"/>
      <c r="J267"/>
    </row>
    <row r="268" spans="1:10" s="69" customFormat="1">
      <c r="A268" s="38"/>
      <c r="B268" s="2"/>
      <c r="D268"/>
      <c r="E268"/>
      <c r="F268"/>
      <c r="G268" s="46"/>
      <c r="H268" s="79"/>
      <c r="I268" s="46"/>
      <c r="J268"/>
    </row>
    <row r="269" spans="1:10" s="69" customFormat="1">
      <c r="A269" s="38"/>
      <c r="B269" s="2"/>
      <c r="D269"/>
      <c r="E269"/>
      <c r="F269"/>
      <c r="G269" s="46"/>
      <c r="H269" s="79"/>
      <c r="I269" s="46"/>
      <c r="J269"/>
    </row>
    <row r="270" spans="1:10" s="69" customFormat="1">
      <c r="A270" s="38"/>
      <c r="B270" s="2"/>
      <c r="D270"/>
      <c r="E270"/>
      <c r="F270"/>
      <c r="G270" s="46"/>
      <c r="H270" s="79"/>
      <c r="I270" s="46"/>
      <c r="J270"/>
    </row>
    <row r="271" spans="1:10" s="69" customFormat="1">
      <c r="A271" s="38"/>
      <c r="B271" s="2"/>
      <c r="D271"/>
      <c r="E271"/>
      <c r="F271"/>
      <c r="G271" s="46"/>
      <c r="H271" s="79"/>
      <c r="I271" s="46"/>
      <c r="J271"/>
    </row>
    <row r="272" spans="1:10" s="69" customFormat="1">
      <c r="A272" s="38"/>
      <c r="B272" s="2"/>
      <c r="D272"/>
      <c r="E272"/>
      <c r="F272"/>
      <c r="G272" s="46"/>
      <c r="H272" s="79"/>
      <c r="I272" s="46"/>
      <c r="J272"/>
    </row>
    <row r="273" spans="1:10" s="69" customFormat="1">
      <c r="A273" s="38"/>
      <c r="B273" s="2"/>
      <c r="D273"/>
      <c r="E273"/>
      <c r="F273"/>
      <c r="G273" s="46"/>
      <c r="H273" s="79"/>
      <c r="I273" s="46"/>
      <c r="J273"/>
    </row>
    <row r="274" spans="1:10" s="69" customFormat="1">
      <c r="A274" s="38"/>
      <c r="B274" s="2"/>
      <c r="D274"/>
      <c r="E274"/>
      <c r="F274"/>
      <c r="G274" s="46"/>
      <c r="H274" s="79"/>
      <c r="I274" s="46"/>
      <c r="J274"/>
    </row>
    <row r="275" spans="1:10" s="69" customFormat="1">
      <c r="A275" s="38"/>
      <c r="B275" s="2"/>
      <c r="D275"/>
      <c r="E275"/>
      <c r="F275"/>
      <c r="G275" s="46"/>
      <c r="H275" s="79"/>
      <c r="I275" s="46"/>
      <c r="J275"/>
    </row>
    <row r="276" spans="1:10" s="69" customFormat="1">
      <c r="A276" s="38"/>
      <c r="B276" s="2"/>
      <c r="D276"/>
      <c r="E276"/>
      <c r="F276"/>
      <c r="G276" s="46"/>
      <c r="H276" s="79"/>
      <c r="I276" s="46"/>
      <c r="J276"/>
    </row>
    <row r="277" spans="1:10" s="69" customFormat="1">
      <c r="A277" s="38"/>
      <c r="B277" s="2"/>
      <c r="D277"/>
      <c r="E277"/>
      <c r="F277"/>
      <c r="G277" s="46"/>
      <c r="H277" s="79"/>
      <c r="I277" s="46"/>
      <c r="J277"/>
    </row>
    <row r="278" spans="1:10" s="69" customFormat="1">
      <c r="A278" s="38"/>
      <c r="B278" s="2"/>
      <c r="D278"/>
      <c r="E278"/>
      <c r="F278"/>
      <c r="G278" s="46"/>
      <c r="H278" s="79"/>
      <c r="I278" s="46"/>
      <c r="J278"/>
    </row>
    <row r="279" spans="1:10" s="69" customFormat="1">
      <c r="A279" s="38"/>
      <c r="B279" s="2"/>
      <c r="D279"/>
      <c r="E279"/>
      <c r="F279"/>
      <c r="G279" s="46"/>
      <c r="H279" s="79"/>
      <c r="I279" s="46"/>
      <c r="J279"/>
    </row>
    <row r="280" spans="1:10" s="69" customFormat="1">
      <c r="A280" s="38"/>
      <c r="B280" s="2"/>
      <c r="D280"/>
      <c r="E280"/>
      <c r="F280"/>
      <c r="G280" s="46"/>
      <c r="H280" s="79"/>
      <c r="I280" s="46"/>
      <c r="J280"/>
    </row>
    <row r="281" spans="1:10" s="69" customFormat="1">
      <c r="A281" s="38"/>
      <c r="B281" s="2"/>
      <c r="D281"/>
      <c r="E281"/>
      <c r="F281"/>
      <c r="G281" s="46"/>
      <c r="H281" s="79"/>
      <c r="I281" s="46"/>
      <c r="J281"/>
    </row>
    <row r="282" spans="1:10" s="69" customFormat="1">
      <c r="A282" s="38"/>
      <c r="B282" s="2"/>
      <c r="D282"/>
      <c r="E282"/>
      <c r="F282"/>
      <c r="G282" s="46"/>
      <c r="H282" s="79"/>
      <c r="I282" s="46"/>
      <c r="J282"/>
    </row>
    <row r="283" spans="1:10" s="69" customFormat="1">
      <c r="A283" s="38"/>
      <c r="B283" s="2"/>
      <c r="D283"/>
      <c r="E283"/>
      <c r="F283"/>
      <c r="G283" s="46"/>
      <c r="H283" s="79"/>
      <c r="I283" s="46"/>
      <c r="J283"/>
    </row>
    <row r="284" spans="1:10" s="69" customFormat="1">
      <c r="A284" s="38"/>
      <c r="B284" s="2"/>
      <c r="D284"/>
      <c r="E284"/>
      <c r="F284"/>
      <c r="G284" s="46"/>
      <c r="H284" s="79"/>
      <c r="I284" s="46"/>
      <c r="J284"/>
    </row>
    <row r="285" spans="1:10" s="69" customFormat="1">
      <c r="A285" s="38"/>
      <c r="B285" s="2"/>
      <c r="D285"/>
      <c r="E285"/>
      <c r="F285"/>
      <c r="G285" s="46"/>
      <c r="H285" s="79"/>
      <c r="I285" s="46"/>
      <c r="J285"/>
    </row>
    <row r="286" spans="1:10" s="69" customFormat="1">
      <c r="A286" s="38"/>
      <c r="B286" s="2"/>
      <c r="D286"/>
      <c r="E286"/>
      <c r="F286"/>
      <c r="G286" s="46"/>
      <c r="H286" s="79"/>
      <c r="I286" s="46"/>
      <c r="J286"/>
    </row>
    <row r="287" spans="1:10" s="69" customFormat="1">
      <c r="A287" s="38"/>
      <c r="B287" s="2"/>
      <c r="D287"/>
      <c r="E287"/>
      <c r="F287"/>
      <c r="G287" s="46"/>
      <c r="H287" s="79"/>
      <c r="I287" s="46"/>
      <c r="J287"/>
    </row>
    <row r="288" spans="1:10" s="69" customFormat="1">
      <c r="A288" s="38"/>
      <c r="B288" s="2"/>
      <c r="D288"/>
      <c r="E288"/>
      <c r="F288"/>
      <c r="G288" s="46"/>
      <c r="H288" s="79"/>
      <c r="I288" s="46"/>
      <c r="J288"/>
    </row>
    <row r="289" spans="1:10" s="69" customFormat="1">
      <c r="A289" s="38"/>
      <c r="B289" s="2"/>
      <c r="D289"/>
      <c r="E289"/>
      <c r="F289"/>
      <c r="G289" s="46"/>
      <c r="H289" s="79"/>
      <c r="I289" s="46"/>
      <c r="J289"/>
    </row>
    <row r="290" spans="1:10" s="69" customFormat="1">
      <c r="A290" s="38"/>
      <c r="B290" s="2"/>
      <c r="D290"/>
      <c r="E290"/>
      <c r="F290"/>
      <c r="G290" s="46"/>
      <c r="H290" s="79"/>
      <c r="I290" s="46"/>
      <c r="J290"/>
    </row>
    <row r="291" spans="1:10" s="69" customFormat="1">
      <c r="A291" s="38"/>
      <c r="B291" s="2"/>
      <c r="D291"/>
      <c r="E291"/>
      <c r="F291"/>
      <c r="G291" s="46"/>
      <c r="H291" s="79"/>
      <c r="I291" s="46"/>
      <c r="J291"/>
    </row>
    <row r="292" spans="1:10" s="69" customFormat="1">
      <c r="A292" s="38"/>
      <c r="B292" s="2"/>
      <c r="D292"/>
      <c r="E292"/>
      <c r="F292"/>
      <c r="G292" s="46"/>
      <c r="H292" s="79"/>
      <c r="I292" s="46"/>
      <c r="J292"/>
    </row>
    <row r="293" spans="1:10" s="69" customFormat="1">
      <c r="A293" s="38"/>
      <c r="B293" s="2"/>
      <c r="D293"/>
      <c r="E293"/>
      <c r="F293"/>
      <c r="G293" s="46"/>
      <c r="H293" s="79"/>
      <c r="I293" s="46"/>
      <c r="J293"/>
    </row>
    <row r="294" spans="1:10" s="69" customFormat="1">
      <c r="A294" s="38"/>
      <c r="B294" s="2"/>
      <c r="D294"/>
      <c r="E294"/>
      <c r="F294"/>
      <c r="G294" s="46"/>
      <c r="H294" s="79"/>
      <c r="I294" s="46"/>
      <c r="J294"/>
    </row>
    <row r="295" spans="1:10" s="69" customFormat="1">
      <c r="A295" s="38"/>
      <c r="B295" s="2"/>
      <c r="D295"/>
      <c r="E295"/>
      <c r="F295"/>
      <c r="G295" s="46"/>
      <c r="H295" s="79"/>
      <c r="I295" s="46"/>
      <c r="J295"/>
    </row>
    <row r="296" spans="1:10" s="69" customFormat="1">
      <c r="A296" s="38"/>
      <c r="B296" s="2"/>
      <c r="D296"/>
      <c r="E296"/>
      <c r="F296"/>
      <c r="G296" s="46"/>
      <c r="H296" s="79"/>
      <c r="I296" s="46"/>
      <c r="J296"/>
    </row>
    <row r="297" spans="1:10" s="69" customFormat="1">
      <c r="A297" s="38"/>
      <c r="B297" s="2"/>
      <c r="D297"/>
      <c r="E297"/>
      <c r="F297"/>
      <c r="G297" s="46"/>
      <c r="H297" s="79"/>
      <c r="I297" s="46"/>
      <c r="J297"/>
    </row>
    <row r="298" spans="1:10" s="69" customFormat="1">
      <c r="A298" s="38"/>
      <c r="B298" s="2"/>
      <c r="D298"/>
      <c r="E298"/>
      <c r="F298"/>
      <c r="G298" s="46"/>
      <c r="H298" s="79"/>
      <c r="I298" s="46"/>
      <c r="J298"/>
    </row>
    <row r="299" spans="1:10" s="69" customFormat="1">
      <c r="A299" s="38"/>
      <c r="B299" s="2"/>
      <c r="D299"/>
      <c r="E299"/>
      <c r="F299"/>
      <c r="G299" s="46"/>
      <c r="H299" s="79"/>
      <c r="I299" s="46"/>
      <c r="J299"/>
    </row>
    <row r="300" spans="1:10" s="69" customFormat="1">
      <c r="A300" s="38"/>
      <c r="B300" s="2"/>
      <c r="D300"/>
      <c r="E300"/>
      <c r="F300"/>
      <c r="G300" s="46"/>
      <c r="H300" s="79"/>
      <c r="I300" s="46"/>
      <c r="J300"/>
    </row>
    <row r="301" spans="1:10" s="69" customFormat="1">
      <c r="A301" s="38"/>
      <c r="B301" s="2"/>
      <c r="D301"/>
      <c r="E301"/>
      <c r="F301"/>
      <c r="G301" s="46"/>
      <c r="H301" s="79"/>
      <c r="I301" s="46"/>
      <c r="J301"/>
    </row>
    <row r="302" spans="1:10" s="69" customFormat="1">
      <c r="A302" s="38"/>
      <c r="B302" s="2"/>
      <c r="D302"/>
      <c r="E302"/>
      <c r="F302"/>
      <c r="G302" s="46"/>
      <c r="H302" s="79"/>
      <c r="I302" s="46"/>
      <c r="J302"/>
    </row>
    <row r="303" spans="1:10" s="69" customFormat="1">
      <c r="A303" s="38"/>
      <c r="B303" s="2"/>
      <c r="D303"/>
      <c r="E303"/>
      <c r="F303"/>
      <c r="G303" s="46"/>
      <c r="H303" s="79"/>
      <c r="I303" s="46"/>
      <c r="J303"/>
    </row>
    <row r="304" spans="1:10" s="69" customFormat="1">
      <c r="A304" s="38"/>
      <c r="B304" s="2"/>
      <c r="D304"/>
      <c r="E304"/>
      <c r="F304"/>
      <c r="G304" s="46"/>
      <c r="H304" s="79"/>
      <c r="I304" s="46"/>
      <c r="J304"/>
    </row>
    <row r="305" spans="1:10" s="69" customFormat="1">
      <c r="A305" s="38"/>
      <c r="B305" s="2"/>
      <c r="D305"/>
      <c r="E305"/>
      <c r="F305"/>
      <c r="G305" s="46"/>
      <c r="H305" s="79"/>
      <c r="I305" s="46"/>
      <c r="J305"/>
    </row>
    <row r="306" spans="1:10" s="69" customFormat="1">
      <c r="A306" s="38"/>
      <c r="B306" s="2"/>
      <c r="D306"/>
      <c r="E306"/>
      <c r="F306"/>
      <c r="G306" s="46"/>
      <c r="H306" s="79"/>
      <c r="I306" s="46"/>
      <c r="J306"/>
    </row>
    <row r="307" spans="1:10" s="69" customFormat="1">
      <c r="A307" s="38"/>
      <c r="B307" s="2"/>
      <c r="D307"/>
      <c r="E307"/>
      <c r="F307"/>
      <c r="G307" s="46"/>
      <c r="H307" s="79"/>
      <c r="I307" s="46"/>
      <c r="J307"/>
    </row>
    <row r="308" spans="1:10" s="69" customFormat="1">
      <c r="A308" s="38"/>
      <c r="B308" s="2"/>
      <c r="D308"/>
      <c r="E308"/>
      <c r="F308"/>
      <c r="G308" s="46"/>
      <c r="H308" s="79"/>
      <c r="I308" s="46"/>
      <c r="J308"/>
    </row>
    <row r="309" spans="1:10" s="69" customFormat="1">
      <c r="A309" s="38"/>
      <c r="B309" s="2"/>
      <c r="D309"/>
      <c r="E309"/>
      <c r="F309"/>
      <c r="G309" s="46"/>
      <c r="H309" s="79"/>
      <c r="I309" s="46"/>
      <c r="J309"/>
    </row>
    <row r="310" spans="1:10" s="69" customFormat="1">
      <c r="A310" s="38"/>
      <c r="B310" s="2"/>
      <c r="D310"/>
      <c r="E310"/>
      <c r="F310"/>
      <c r="G310" s="46"/>
      <c r="H310" s="79"/>
      <c r="I310" s="46"/>
      <c r="J310"/>
    </row>
    <row r="311" spans="1:10" s="69" customFormat="1">
      <c r="A311" s="38"/>
      <c r="B311" s="2"/>
      <c r="D311"/>
      <c r="E311"/>
      <c r="F311"/>
      <c r="G311" s="46"/>
      <c r="H311" s="79"/>
      <c r="I311" s="46"/>
      <c r="J311"/>
    </row>
    <row r="312" spans="1:10" s="69" customFormat="1">
      <c r="A312" s="38"/>
      <c r="B312" s="2"/>
      <c r="D312"/>
      <c r="E312"/>
      <c r="F312"/>
      <c r="G312" s="46"/>
      <c r="H312" s="79"/>
      <c r="I312" s="46"/>
      <c r="J312"/>
    </row>
    <row r="313" spans="1:10" s="69" customFormat="1">
      <c r="A313" s="38"/>
      <c r="B313" s="2"/>
      <c r="D313"/>
      <c r="E313"/>
      <c r="F313"/>
      <c r="G313" s="46"/>
      <c r="H313" s="79"/>
      <c r="I313" s="46"/>
      <c r="J313"/>
    </row>
    <row r="314" spans="1:10" s="69" customFormat="1">
      <c r="A314" s="38"/>
      <c r="B314" s="2"/>
      <c r="D314"/>
      <c r="E314"/>
      <c r="F314"/>
      <c r="G314" s="46"/>
      <c r="H314" s="79"/>
      <c r="I314" s="46"/>
      <c r="J314"/>
    </row>
    <row r="315" spans="1:10" s="69" customFormat="1">
      <c r="A315" s="38"/>
      <c r="B315" s="2"/>
      <c r="D315"/>
      <c r="E315"/>
      <c r="F315"/>
      <c r="G315" s="46"/>
      <c r="H315" s="79"/>
      <c r="I315" s="46"/>
      <c r="J315"/>
    </row>
    <row r="316" spans="1:10" s="69" customFormat="1">
      <c r="A316" s="38"/>
      <c r="B316" s="2"/>
      <c r="D316"/>
      <c r="E316"/>
      <c r="F316"/>
      <c r="G316" s="46"/>
      <c r="H316" s="79"/>
      <c r="I316" s="46"/>
      <c r="J316"/>
    </row>
    <row r="317" spans="1:10" s="69" customFormat="1">
      <c r="A317" s="38"/>
      <c r="B317" s="2"/>
      <c r="D317"/>
      <c r="E317"/>
      <c r="F317"/>
      <c r="G317" s="46"/>
      <c r="H317" s="79"/>
      <c r="I317" s="46"/>
      <c r="J317"/>
    </row>
    <row r="318" spans="1:10" s="69" customFormat="1">
      <c r="A318" s="38"/>
      <c r="B318" s="2"/>
      <c r="D318"/>
      <c r="E318"/>
      <c r="F318"/>
      <c r="G318" s="46"/>
      <c r="H318" s="79"/>
      <c r="I318" s="46"/>
      <c r="J318"/>
    </row>
    <row r="319" spans="1:10" s="69" customFormat="1">
      <c r="A319" s="38"/>
      <c r="B319" s="2"/>
      <c r="D319"/>
      <c r="E319"/>
      <c r="F319"/>
      <c r="G319" s="46"/>
      <c r="H319" s="79"/>
      <c r="I319" s="46"/>
      <c r="J319"/>
    </row>
    <row r="320" spans="1:10" s="69" customFormat="1">
      <c r="A320" s="38"/>
      <c r="B320" s="2"/>
      <c r="D320"/>
      <c r="E320"/>
      <c r="F320"/>
      <c r="G320" s="46"/>
      <c r="H320" s="79"/>
      <c r="I320" s="46"/>
      <c r="J320"/>
    </row>
    <row r="321" spans="1:10" s="69" customFormat="1">
      <c r="A321" s="38"/>
      <c r="B321" s="2"/>
      <c r="D321"/>
      <c r="E321"/>
      <c r="F321"/>
      <c r="G321" s="46"/>
      <c r="H321" s="79"/>
      <c r="I321" s="46"/>
      <c r="J321"/>
    </row>
    <row r="322" spans="1:10" s="69" customFormat="1">
      <c r="A322" s="38"/>
      <c r="B322" s="2"/>
      <c r="D322"/>
      <c r="E322"/>
      <c r="F322"/>
      <c r="G322" s="46"/>
      <c r="H322" s="79"/>
      <c r="I322" s="46"/>
      <c r="J322"/>
    </row>
    <row r="323" spans="1:10" s="69" customFormat="1">
      <c r="A323" s="38"/>
      <c r="B323" s="2"/>
      <c r="D323"/>
      <c r="E323"/>
      <c r="F323"/>
      <c r="G323" s="46"/>
      <c r="H323" s="79"/>
      <c r="I323" s="46"/>
      <c r="J323"/>
    </row>
    <row r="324" spans="1:10" s="69" customFormat="1">
      <c r="A324" s="38"/>
      <c r="B324" s="2"/>
      <c r="D324"/>
      <c r="E324"/>
      <c r="F324"/>
      <c r="G324" s="46"/>
      <c r="H324" s="79"/>
      <c r="I324" s="46"/>
      <c r="J324"/>
    </row>
    <row r="325" spans="1:10" s="69" customFormat="1">
      <c r="A325" s="38"/>
      <c r="B325" s="2"/>
      <c r="D325"/>
      <c r="E325"/>
      <c r="F325"/>
      <c r="G325" s="46"/>
      <c r="H325" s="79"/>
      <c r="I325" s="46"/>
      <c r="J325"/>
    </row>
    <row r="326" spans="1:10" s="69" customFormat="1">
      <c r="A326" s="38"/>
      <c r="B326" s="2"/>
      <c r="D326"/>
      <c r="E326"/>
      <c r="F326"/>
      <c r="G326" s="46"/>
      <c r="H326" s="79"/>
      <c r="I326" s="46"/>
      <c r="J326"/>
    </row>
    <row r="327" spans="1:10" s="69" customFormat="1">
      <c r="A327" s="38"/>
      <c r="B327" s="2"/>
      <c r="D327"/>
      <c r="E327"/>
      <c r="F327"/>
      <c r="G327" s="46"/>
      <c r="H327" s="79"/>
      <c r="I327" s="46"/>
      <c r="J327"/>
    </row>
    <row r="328" spans="1:10" s="69" customFormat="1">
      <c r="A328" s="38"/>
      <c r="B328" s="2"/>
      <c r="D328"/>
      <c r="E328"/>
      <c r="F328"/>
      <c r="G328" s="46"/>
      <c r="H328" s="79"/>
      <c r="I328" s="46"/>
      <c r="J328"/>
    </row>
    <row r="329" spans="1:10" s="69" customFormat="1">
      <c r="A329" s="38"/>
      <c r="B329" s="2"/>
      <c r="D329"/>
      <c r="E329"/>
      <c r="F329"/>
      <c r="G329" s="46"/>
      <c r="H329" s="79"/>
      <c r="I329" s="46"/>
      <c r="J329"/>
    </row>
    <row r="330" spans="1:10" s="69" customFormat="1">
      <c r="A330" s="38"/>
      <c r="B330" s="2"/>
      <c r="D330"/>
      <c r="E330"/>
      <c r="F330"/>
      <c r="G330" s="46"/>
      <c r="H330" s="79"/>
      <c r="I330" s="46"/>
      <c r="J330"/>
    </row>
    <row r="331" spans="1:10" s="69" customFormat="1">
      <c r="A331" s="38"/>
      <c r="B331" s="2"/>
      <c r="D331"/>
      <c r="E331"/>
      <c r="F331"/>
      <c r="G331" s="46"/>
      <c r="H331" s="79"/>
      <c r="I331" s="46"/>
      <c r="J331"/>
    </row>
    <row r="332" spans="1:10" s="69" customFormat="1">
      <c r="A332" s="38"/>
      <c r="B332" s="2"/>
      <c r="D332"/>
      <c r="E332"/>
      <c r="F332"/>
      <c r="G332" s="46"/>
      <c r="H332" s="79"/>
      <c r="I332" s="46"/>
      <c r="J332"/>
    </row>
    <row r="333" spans="1:10" s="69" customFormat="1">
      <c r="A333" s="38"/>
      <c r="B333" s="2"/>
      <c r="D333"/>
      <c r="E333"/>
      <c r="F333"/>
      <c r="G333" s="46"/>
      <c r="H333" s="79"/>
      <c r="I333" s="46"/>
      <c r="J333"/>
    </row>
    <row r="334" spans="1:10" s="69" customFormat="1">
      <c r="A334" s="38"/>
      <c r="B334" s="2"/>
      <c r="D334"/>
      <c r="E334"/>
      <c r="F334"/>
      <c r="G334" s="46"/>
      <c r="H334" s="79"/>
      <c r="I334" s="46"/>
      <c r="J334"/>
    </row>
    <row r="335" spans="1:10" s="69" customFormat="1">
      <c r="A335" s="38"/>
      <c r="B335" s="2"/>
      <c r="D335"/>
      <c r="E335"/>
      <c r="F335"/>
      <c r="G335" s="46"/>
      <c r="H335" s="79"/>
      <c r="I335" s="46"/>
      <c r="J335"/>
    </row>
    <row r="336" spans="1:10" s="69" customFormat="1">
      <c r="A336" s="38"/>
      <c r="B336" s="2"/>
      <c r="D336"/>
      <c r="E336"/>
      <c r="F336"/>
      <c r="G336" s="46"/>
      <c r="H336" s="79"/>
      <c r="I336" s="46"/>
      <c r="J336"/>
    </row>
    <row r="337" spans="1:10" s="69" customFormat="1">
      <c r="A337" s="38"/>
      <c r="B337" s="2"/>
      <c r="D337"/>
      <c r="E337"/>
      <c r="F337"/>
      <c r="G337" s="46"/>
      <c r="H337" s="79"/>
      <c r="I337" s="46"/>
      <c r="J337"/>
    </row>
    <row r="338" spans="1:10" s="69" customFormat="1">
      <c r="A338" s="38"/>
      <c r="B338" s="2"/>
      <c r="D338"/>
      <c r="E338"/>
      <c r="F338"/>
      <c r="G338" s="46"/>
      <c r="H338" s="79"/>
      <c r="I338" s="46"/>
      <c r="J338"/>
    </row>
    <row r="339" spans="1:10" s="69" customFormat="1">
      <c r="A339" s="38"/>
      <c r="B339" s="2"/>
      <c r="D339"/>
      <c r="E339"/>
      <c r="F339"/>
      <c r="G339" s="46"/>
      <c r="H339" s="79"/>
      <c r="I339" s="46"/>
      <c r="J339"/>
    </row>
    <row r="340" spans="1:10" s="69" customFormat="1">
      <c r="A340" s="38"/>
      <c r="B340" s="2"/>
      <c r="D340"/>
      <c r="E340"/>
      <c r="F340"/>
      <c r="G340" s="46"/>
      <c r="H340" s="79"/>
      <c r="I340" s="46"/>
      <c r="J340"/>
    </row>
    <row r="341" spans="1:10" s="69" customFormat="1">
      <c r="A341" s="38"/>
      <c r="B341" s="2"/>
      <c r="D341"/>
      <c r="E341"/>
      <c r="F341"/>
      <c r="G341" s="46"/>
      <c r="H341" s="79"/>
      <c r="I341" s="46"/>
      <c r="J341"/>
    </row>
    <row r="342" spans="1:10" s="69" customFormat="1">
      <c r="A342" s="38"/>
      <c r="B342" s="2"/>
      <c r="D342"/>
      <c r="E342"/>
      <c r="F342"/>
      <c r="G342" s="46"/>
      <c r="H342" s="79"/>
      <c r="I342" s="46"/>
      <c r="J342"/>
    </row>
    <row r="343" spans="1:10" s="69" customFormat="1">
      <c r="A343" s="38"/>
      <c r="B343" s="2"/>
      <c r="D343"/>
      <c r="E343"/>
      <c r="F343"/>
      <c r="G343" s="46"/>
      <c r="H343" s="79"/>
      <c r="I343" s="46"/>
      <c r="J343"/>
    </row>
    <row r="344" spans="1:10" s="69" customFormat="1">
      <c r="A344" s="38"/>
      <c r="B344" s="2"/>
      <c r="D344"/>
      <c r="E344"/>
      <c r="F344"/>
      <c r="G344" s="46"/>
      <c r="H344" s="79"/>
      <c r="I344" s="46"/>
      <c r="J344"/>
    </row>
    <row r="345" spans="1:10" s="69" customFormat="1">
      <c r="A345" s="38"/>
      <c r="B345" s="2"/>
      <c r="D345"/>
      <c r="E345"/>
      <c r="F345"/>
      <c r="G345" s="46"/>
      <c r="H345" s="79"/>
      <c r="I345" s="46"/>
      <c r="J345"/>
    </row>
    <row r="346" spans="1:10" s="69" customFormat="1">
      <c r="A346" s="38"/>
      <c r="B346" s="2"/>
      <c r="D346"/>
      <c r="E346"/>
      <c r="F346"/>
      <c r="G346" s="46"/>
      <c r="H346" s="79"/>
      <c r="I346" s="46"/>
      <c r="J346"/>
    </row>
    <row r="347" spans="1:10" s="69" customFormat="1">
      <c r="A347" s="38"/>
      <c r="B347" s="2"/>
      <c r="D347"/>
      <c r="E347"/>
      <c r="F347"/>
      <c r="G347" s="46"/>
      <c r="H347" s="79"/>
      <c r="I347" s="46"/>
      <c r="J347"/>
    </row>
    <row r="348" spans="1:10" s="69" customFormat="1">
      <c r="A348" s="38"/>
      <c r="B348" s="2"/>
      <c r="D348"/>
      <c r="E348"/>
      <c r="F348"/>
      <c r="G348" s="46"/>
      <c r="H348" s="79"/>
      <c r="I348" s="46"/>
      <c r="J348"/>
    </row>
    <row r="349" spans="1:10" s="69" customFormat="1">
      <c r="A349" s="38"/>
      <c r="B349" s="2"/>
      <c r="D349"/>
      <c r="E349"/>
      <c r="F349"/>
      <c r="G349" s="46"/>
      <c r="H349" s="79"/>
      <c r="I349" s="46"/>
      <c r="J349"/>
    </row>
    <row r="350" spans="1:10" s="69" customFormat="1">
      <c r="A350" s="38"/>
      <c r="B350" s="2"/>
      <c r="D350"/>
      <c r="E350"/>
      <c r="F350"/>
      <c r="G350" s="46"/>
      <c r="H350" s="79"/>
      <c r="I350" s="46"/>
      <c r="J350"/>
    </row>
    <row r="351" spans="1:10" s="69" customFormat="1">
      <c r="A351" s="38"/>
      <c r="B351" s="2"/>
      <c r="D351"/>
      <c r="E351"/>
      <c r="F351"/>
      <c r="G351" s="46"/>
      <c r="H351" s="79"/>
      <c r="I351" s="46"/>
      <c r="J351"/>
    </row>
    <row r="352" spans="1:10" s="69" customFormat="1">
      <c r="A352" s="38"/>
      <c r="B352" s="2"/>
      <c r="D352"/>
      <c r="E352"/>
      <c r="F352"/>
      <c r="G352" s="46"/>
      <c r="H352" s="79"/>
      <c r="I352" s="46"/>
      <c r="J352"/>
    </row>
    <row r="353" spans="1:10" s="69" customFormat="1">
      <c r="A353" s="38"/>
      <c r="B353" s="2"/>
      <c r="D353"/>
      <c r="E353"/>
      <c r="F353"/>
      <c r="G353" s="46"/>
      <c r="H353" s="79"/>
      <c r="I353" s="46"/>
      <c r="J353"/>
    </row>
    <row r="354" spans="1:10" s="69" customFormat="1">
      <c r="A354" s="38"/>
      <c r="B354" s="2"/>
      <c r="D354"/>
      <c r="E354"/>
      <c r="F354"/>
      <c r="G354" s="46"/>
      <c r="H354" s="79"/>
      <c r="I354" s="46"/>
      <c r="J354"/>
    </row>
    <row r="355" spans="1:10" s="69" customFormat="1">
      <c r="A355" s="38"/>
      <c r="B355" s="2"/>
      <c r="D355"/>
      <c r="E355"/>
      <c r="F355"/>
      <c r="G355" s="46"/>
      <c r="H355" s="79"/>
      <c r="I355" s="46"/>
      <c r="J355"/>
    </row>
    <row r="356" spans="1:10" s="69" customFormat="1">
      <c r="A356" s="38"/>
      <c r="B356" s="2"/>
      <c r="D356"/>
      <c r="E356"/>
      <c r="F356"/>
      <c r="G356" s="46"/>
      <c r="H356" s="79"/>
      <c r="I356" s="46"/>
      <c r="J356"/>
    </row>
    <row r="357" spans="1:10" s="69" customFormat="1">
      <c r="A357" s="38"/>
      <c r="B357" s="2"/>
      <c r="D357"/>
      <c r="E357"/>
      <c r="F357"/>
      <c r="G357" s="46"/>
      <c r="H357" s="79"/>
      <c r="I357" s="46"/>
      <c r="J357"/>
    </row>
    <row r="358" spans="1:10" s="69" customFormat="1">
      <c r="A358" s="38"/>
      <c r="B358" s="2"/>
      <c r="D358"/>
      <c r="E358"/>
      <c r="F358"/>
      <c r="G358" s="46"/>
      <c r="H358" s="79"/>
      <c r="I358" s="46"/>
      <c r="J358"/>
    </row>
    <row r="359" spans="1:10" s="69" customFormat="1">
      <c r="A359" s="38"/>
      <c r="B359" s="2"/>
      <c r="D359"/>
      <c r="E359"/>
      <c r="F359"/>
      <c r="G359" s="46"/>
      <c r="H359" s="79"/>
      <c r="I359" s="46"/>
      <c r="J359"/>
    </row>
    <row r="360" spans="1:10" s="69" customFormat="1">
      <c r="A360" s="38"/>
      <c r="B360" s="2"/>
      <c r="D360"/>
      <c r="E360"/>
      <c r="F360"/>
      <c r="G360" s="46"/>
      <c r="H360" s="79"/>
      <c r="I360" s="46"/>
      <c r="J360"/>
    </row>
    <row r="361" spans="1:10" s="69" customFormat="1">
      <c r="A361" s="38"/>
      <c r="B361" s="2"/>
      <c r="D361"/>
      <c r="E361"/>
      <c r="F361"/>
      <c r="G361" s="46"/>
      <c r="H361" s="79"/>
      <c r="I361" s="46"/>
      <c r="J361"/>
    </row>
    <row r="362" spans="1:10" s="69" customFormat="1">
      <c r="A362" s="38"/>
      <c r="B362" s="2"/>
      <c r="D362"/>
      <c r="E362"/>
      <c r="F362"/>
      <c r="G362" s="46"/>
      <c r="H362" s="79"/>
      <c r="I362" s="46"/>
      <c r="J362"/>
    </row>
    <row r="363" spans="1:10" s="69" customFormat="1">
      <c r="A363" s="38"/>
      <c r="B363" s="2"/>
      <c r="D363"/>
      <c r="E363"/>
      <c r="F363"/>
      <c r="G363" s="46"/>
      <c r="H363" s="79"/>
      <c r="I363" s="46"/>
      <c r="J363"/>
    </row>
    <row r="364" spans="1:10" s="69" customFormat="1">
      <c r="A364" s="38"/>
      <c r="B364" s="2"/>
      <c r="D364"/>
      <c r="E364"/>
      <c r="F364"/>
      <c r="G364" s="46"/>
      <c r="H364" s="79"/>
      <c r="I364" s="46"/>
      <c r="J364"/>
    </row>
    <row r="365" spans="1:10" s="69" customFormat="1">
      <c r="A365" s="38"/>
      <c r="B365" s="2"/>
      <c r="D365"/>
      <c r="E365"/>
      <c r="F365"/>
      <c r="G365" s="46"/>
      <c r="H365" s="79"/>
      <c r="I365" s="46"/>
      <c r="J365"/>
    </row>
    <row r="366" spans="1:10" s="69" customFormat="1">
      <c r="A366" s="38"/>
      <c r="B366" s="2"/>
      <c r="D366"/>
      <c r="E366"/>
      <c r="F366"/>
      <c r="G366" s="46"/>
      <c r="H366" s="79"/>
      <c r="I366" s="46"/>
      <c r="J366"/>
    </row>
    <row r="367" spans="1:10" s="69" customFormat="1">
      <c r="A367" s="38"/>
      <c r="B367" s="2"/>
      <c r="D367"/>
      <c r="E367"/>
      <c r="F367"/>
      <c r="G367" s="46"/>
      <c r="H367" s="79"/>
      <c r="I367" s="46"/>
      <c r="J367"/>
    </row>
    <row r="368" spans="1:10" s="69" customFormat="1">
      <c r="A368" s="38"/>
      <c r="B368" s="2"/>
      <c r="D368"/>
      <c r="E368"/>
      <c r="F368"/>
      <c r="G368" s="46"/>
      <c r="H368" s="79"/>
      <c r="I368" s="46"/>
      <c r="J368"/>
    </row>
    <row r="369" spans="1:10" s="69" customFormat="1">
      <c r="A369" s="38"/>
      <c r="B369" s="2"/>
      <c r="D369"/>
      <c r="E369"/>
      <c r="F369"/>
      <c r="G369" s="46"/>
      <c r="H369" s="79"/>
      <c r="I369" s="46"/>
      <c r="J369"/>
    </row>
    <row r="370" spans="1:10" s="69" customFormat="1">
      <c r="A370" s="38"/>
      <c r="B370" s="2"/>
      <c r="D370"/>
      <c r="E370"/>
      <c r="F370"/>
      <c r="G370" s="46"/>
      <c r="H370" s="79"/>
      <c r="I370" s="46"/>
      <c r="J370"/>
    </row>
    <row r="371" spans="1:10" s="69" customFormat="1">
      <c r="A371" s="38"/>
      <c r="B371" s="2"/>
      <c r="D371"/>
      <c r="E371"/>
      <c r="F371"/>
      <c r="G371" s="46"/>
      <c r="H371" s="79"/>
      <c r="I371" s="46"/>
      <c r="J371"/>
    </row>
    <row r="372" spans="1:10" s="69" customFormat="1">
      <c r="A372" s="38"/>
      <c r="B372" s="2"/>
      <c r="D372"/>
      <c r="E372"/>
      <c r="F372"/>
      <c r="G372" s="46"/>
      <c r="H372" s="79"/>
      <c r="I372" s="46"/>
      <c r="J372"/>
    </row>
    <row r="373" spans="1:10" s="69" customFormat="1">
      <c r="A373" s="38"/>
      <c r="B373" s="2"/>
      <c r="D373"/>
      <c r="E373"/>
      <c r="F373"/>
      <c r="G373" s="46"/>
      <c r="H373" s="79"/>
      <c r="I373" s="46"/>
      <c r="J373"/>
    </row>
    <row r="374" spans="1:10" s="69" customFormat="1">
      <c r="A374" s="38"/>
      <c r="B374" s="2"/>
      <c r="D374"/>
      <c r="E374"/>
      <c r="F374"/>
      <c r="G374" s="46"/>
      <c r="H374" s="79"/>
      <c r="I374" s="46"/>
      <c r="J374"/>
    </row>
    <row r="375" spans="1:10" s="69" customFormat="1">
      <c r="A375" s="38"/>
      <c r="B375" s="2"/>
      <c r="D375"/>
      <c r="E375"/>
      <c r="F375"/>
      <c r="G375" s="46"/>
      <c r="H375" s="79"/>
      <c r="I375" s="46"/>
      <c r="J375"/>
    </row>
    <row r="376" spans="1:10" s="69" customFormat="1">
      <c r="A376" s="38"/>
      <c r="B376" s="2"/>
      <c r="D376"/>
      <c r="E376"/>
      <c r="F376"/>
      <c r="G376" s="46"/>
      <c r="H376" s="79"/>
      <c r="I376" s="46"/>
      <c r="J376"/>
    </row>
    <row r="377" spans="1:10" s="69" customFormat="1">
      <c r="A377" s="38"/>
      <c r="B377" s="2"/>
      <c r="D377"/>
      <c r="E377"/>
      <c r="F377"/>
      <c r="G377" s="46"/>
      <c r="H377" s="79"/>
      <c r="I377" s="46"/>
      <c r="J377"/>
    </row>
    <row r="378" spans="1:10" s="69" customFormat="1">
      <c r="A378" s="38"/>
      <c r="B378" s="2"/>
      <c r="D378"/>
      <c r="E378"/>
      <c r="F378"/>
      <c r="G378" s="46"/>
      <c r="H378" s="79"/>
      <c r="I378" s="46"/>
      <c r="J378"/>
    </row>
    <row r="379" spans="1:10" s="69" customFormat="1">
      <c r="A379" s="38"/>
      <c r="B379" s="2"/>
      <c r="D379"/>
      <c r="E379"/>
      <c r="F379"/>
      <c r="G379" s="46"/>
      <c r="H379" s="79"/>
      <c r="I379" s="46"/>
      <c r="J379"/>
    </row>
    <row r="380" spans="1:10" s="69" customFormat="1">
      <c r="A380" s="38"/>
      <c r="B380" s="2"/>
      <c r="D380"/>
      <c r="E380"/>
      <c r="F380"/>
      <c r="G380" s="46"/>
      <c r="H380" s="79"/>
      <c r="I380" s="46"/>
      <c r="J380"/>
    </row>
    <row r="381" spans="1:10" s="69" customFormat="1">
      <c r="A381" s="38"/>
      <c r="B381" s="2"/>
      <c r="D381"/>
      <c r="E381"/>
      <c r="F381"/>
      <c r="G381" s="46"/>
      <c r="H381" s="79"/>
      <c r="I381" s="46"/>
      <c r="J381"/>
    </row>
    <row r="382" spans="1:10" s="69" customFormat="1">
      <c r="A382" s="38"/>
      <c r="B382" s="2"/>
      <c r="D382"/>
      <c r="E382"/>
      <c r="F382"/>
      <c r="G382" s="46"/>
      <c r="H382" s="79"/>
      <c r="I382" s="46"/>
      <c r="J382"/>
    </row>
    <row r="383" spans="1:10" s="69" customFormat="1">
      <c r="A383" s="38"/>
      <c r="B383" s="2"/>
      <c r="D383"/>
      <c r="E383"/>
      <c r="F383"/>
      <c r="G383" s="46"/>
      <c r="H383" s="79"/>
      <c r="I383" s="46"/>
      <c r="J383"/>
    </row>
    <row r="384" spans="1:10" s="69" customFormat="1">
      <c r="A384" s="38"/>
      <c r="B384" s="2"/>
      <c r="D384"/>
      <c r="E384"/>
      <c r="F384"/>
      <c r="G384" s="46"/>
      <c r="H384" s="79"/>
      <c r="I384" s="46"/>
      <c r="J384"/>
    </row>
    <row r="385" spans="1:10" s="69" customFormat="1">
      <c r="A385" s="38"/>
      <c r="B385" s="2"/>
      <c r="D385"/>
      <c r="E385"/>
      <c r="F385"/>
      <c r="G385" s="46"/>
      <c r="H385" s="79"/>
      <c r="I385" s="46"/>
      <c r="J385"/>
    </row>
    <row r="386" spans="1:10" s="69" customFormat="1">
      <c r="A386" s="38"/>
      <c r="B386" s="2"/>
      <c r="D386"/>
      <c r="E386"/>
      <c r="F386"/>
      <c r="G386" s="46"/>
      <c r="H386" s="79"/>
      <c r="I386" s="46"/>
      <c r="J386"/>
    </row>
    <row r="387" spans="1:10" s="69" customFormat="1">
      <c r="A387" s="38"/>
      <c r="B387" s="2"/>
      <c r="D387"/>
      <c r="E387"/>
      <c r="F387"/>
      <c r="G387" s="46"/>
      <c r="H387" s="79"/>
      <c r="I387" s="46"/>
      <c r="J387"/>
    </row>
    <row r="388" spans="1:10" s="69" customFormat="1">
      <c r="A388" s="38"/>
      <c r="B388" s="2"/>
      <c r="D388"/>
      <c r="E388"/>
      <c r="F388"/>
      <c r="G388" s="46"/>
      <c r="H388" s="79"/>
      <c r="I388" s="46"/>
      <c r="J388"/>
    </row>
    <row r="389" spans="1:10" s="69" customFormat="1">
      <c r="A389" s="38"/>
      <c r="B389" s="2"/>
      <c r="D389"/>
      <c r="E389"/>
      <c r="F389"/>
      <c r="G389" s="46"/>
      <c r="H389" s="79"/>
      <c r="I389" s="46"/>
      <c r="J389"/>
    </row>
    <row r="390" spans="1:10" s="69" customFormat="1">
      <c r="A390" s="38"/>
      <c r="B390" s="2"/>
      <c r="D390"/>
      <c r="E390"/>
      <c r="F390"/>
      <c r="G390" s="46"/>
      <c r="H390" s="79"/>
      <c r="I390" s="46"/>
      <c r="J390"/>
    </row>
    <row r="391" spans="1:10" s="69" customFormat="1">
      <c r="A391" s="38"/>
      <c r="B391" s="2"/>
      <c r="D391"/>
      <c r="E391"/>
      <c r="F391"/>
      <c r="G391" s="46"/>
      <c r="H391" s="79"/>
      <c r="I391" s="46"/>
      <c r="J391"/>
    </row>
    <row r="392" spans="1:10" s="69" customFormat="1">
      <c r="A392" s="38"/>
      <c r="B392" s="2"/>
      <c r="D392"/>
      <c r="E392"/>
      <c r="F392"/>
      <c r="G392" s="46"/>
      <c r="H392" s="79"/>
      <c r="I392" s="46"/>
      <c r="J392"/>
    </row>
    <row r="393" spans="1:10" s="69" customFormat="1">
      <c r="A393" s="38"/>
      <c r="B393" s="2"/>
      <c r="D393"/>
      <c r="E393"/>
      <c r="F393"/>
      <c r="G393" s="46"/>
      <c r="H393" s="79"/>
      <c r="I393" s="46"/>
      <c r="J393"/>
    </row>
    <row r="394" spans="1:10" s="69" customFormat="1">
      <c r="A394" s="38"/>
      <c r="B394" s="2"/>
      <c r="D394"/>
      <c r="E394"/>
      <c r="F394"/>
      <c r="G394" s="46"/>
      <c r="H394" s="79"/>
      <c r="I394" s="46"/>
      <c r="J394"/>
    </row>
    <row r="395" spans="1:10" s="69" customFormat="1">
      <c r="A395" s="38"/>
      <c r="B395" s="2"/>
      <c r="D395"/>
      <c r="E395"/>
      <c r="F395"/>
      <c r="G395" s="46"/>
      <c r="H395" s="79"/>
      <c r="I395" s="46"/>
      <c r="J395"/>
    </row>
    <row r="396" spans="1:10" s="69" customFormat="1">
      <c r="A396" s="38"/>
      <c r="B396" s="2"/>
      <c r="D396"/>
      <c r="E396"/>
      <c r="F396"/>
      <c r="G396" s="46"/>
      <c r="H396" s="79"/>
      <c r="I396" s="46"/>
      <c r="J396"/>
    </row>
    <row r="397" spans="1:10" s="69" customFormat="1">
      <c r="A397" s="38"/>
      <c r="B397" s="2"/>
      <c r="D397"/>
      <c r="E397"/>
      <c r="F397"/>
      <c r="G397" s="46"/>
      <c r="H397" s="79"/>
      <c r="I397" s="46"/>
      <c r="J397"/>
    </row>
    <row r="398" spans="1:10" s="69" customFormat="1">
      <c r="A398" s="38"/>
      <c r="B398" s="2"/>
      <c r="D398"/>
      <c r="E398"/>
      <c r="F398"/>
      <c r="G398" s="46"/>
      <c r="H398" s="79"/>
      <c r="I398" s="46"/>
      <c r="J398"/>
    </row>
    <row r="399" spans="1:10" s="69" customFormat="1">
      <c r="A399" s="38"/>
      <c r="B399" s="2"/>
      <c r="D399"/>
      <c r="E399"/>
      <c r="F399"/>
      <c r="G399" s="46"/>
      <c r="H399" s="79"/>
      <c r="I399" s="46"/>
      <c r="J399"/>
    </row>
    <row r="400" spans="1:10" s="69" customFormat="1">
      <c r="A400" s="38"/>
      <c r="B400" s="2"/>
      <c r="D400"/>
      <c r="E400"/>
      <c r="F400"/>
      <c r="G400" s="46"/>
      <c r="H400" s="79"/>
      <c r="I400" s="46"/>
      <c r="J400"/>
    </row>
    <row r="401" spans="1:10" s="69" customFormat="1">
      <c r="A401" s="38"/>
      <c r="B401" s="2"/>
      <c r="D401"/>
      <c r="E401"/>
      <c r="F401"/>
      <c r="G401" s="46"/>
      <c r="H401" s="79"/>
      <c r="I401" s="46"/>
      <c r="J401"/>
    </row>
    <row r="402" spans="1:10" s="69" customFormat="1">
      <c r="A402" s="38"/>
      <c r="B402" s="2"/>
      <c r="D402"/>
      <c r="E402"/>
      <c r="F402"/>
      <c r="G402" s="46"/>
      <c r="H402" s="79"/>
      <c r="I402" s="46"/>
      <c r="J402"/>
    </row>
    <row r="403" spans="1:10" s="69" customFormat="1">
      <c r="A403" s="38"/>
      <c r="B403" s="2"/>
      <c r="D403"/>
      <c r="E403"/>
      <c r="F403"/>
      <c r="G403" s="46"/>
      <c r="H403" s="79"/>
      <c r="I403" s="46"/>
      <c r="J403"/>
    </row>
    <row r="404" spans="1:10" s="69" customFormat="1">
      <c r="A404" s="38"/>
      <c r="B404" s="2"/>
      <c r="D404"/>
      <c r="E404"/>
      <c r="F404"/>
      <c r="G404" s="46"/>
      <c r="H404" s="79"/>
      <c r="I404" s="46"/>
      <c r="J404"/>
    </row>
    <row r="405" spans="1:10" s="69" customFormat="1">
      <c r="A405" s="38"/>
      <c r="B405" s="2"/>
      <c r="D405"/>
      <c r="E405"/>
      <c r="F405"/>
      <c r="G405" s="46"/>
      <c r="H405" s="79"/>
      <c r="I405" s="46"/>
      <c r="J405"/>
    </row>
    <row r="406" spans="1:10" s="69" customFormat="1">
      <c r="A406" s="38"/>
      <c r="B406" s="2"/>
      <c r="D406"/>
      <c r="E406"/>
      <c r="F406"/>
      <c r="G406" s="46"/>
      <c r="H406" s="79"/>
      <c r="I406" s="46"/>
      <c r="J406"/>
    </row>
    <row r="407" spans="1:10" s="69" customFormat="1">
      <c r="A407" s="38"/>
      <c r="B407" s="2"/>
      <c r="D407"/>
      <c r="E407"/>
      <c r="F407"/>
      <c r="G407" s="46"/>
      <c r="H407" s="79"/>
      <c r="I407" s="46"/>
      <c r="J407"/>
    </row>
    <row r="408" spans="1:10" s="69" customFormat="1">
      <c r="A408" s="38"/>
      <c r="B408" s="2"/>
      <c r="D408"/>
      <c r="E408"/>
      <c r="F408"/>
      <c r="G408" s="46"/>
      <c r="H408" s="79"/>
      <c r="I408" s="46"/>
      <c r="J408"/>
    </row>
    <row r="409" spans="1:10" s="69" customFormat="1">
      <c r="A409" s="38"/>
      <c r="B409" s="2"/>
      <c r="D409"/>
      <c r="E409"/>
      <c r="F409"/>
      <c r="G409" s="46"/>
      <c r="H409" s="79"/>
      <c r="I409" s="46"/>
      <c r="J409"/>
    </row>
    <row r="410" spans="1:10" s="69" customFormat="1">
      <c r="A410" s="38"/>
      <c r="B410" s="2"/>
      <c r="D410"/>
      <c r="E410"/>
      <c r="F410"/>
      <c r="G410" s="46"/>
      <c r="H410" s="79"/>
      <c r="I410" s="46"/>
      <c r="J410"/>
    </row>
    <row r="411" spans="1:10" s="69" customFormat="1">
      <c r="A411" s="38"/>
      <c r="B411" s="2"/>
      <c r="D411"/>
      <c r="E411"/>
      <c r="F411"/>
      <c r="G411" s="46"/>
      <c r="H411" s="79"/>
      <c r="I411" s="46"/>
      <c r="J411"/>
    </row>
    <row r="412" spans="1:10" s="69" customFormat="1">
      <c r="A412" s="38"/>
      <c r="B412" s="2"/>
      <c r="D412"/>
      <c r="E412"/>
      <c r="F412"/>
      <c r="G412" s="46"/>
      <c r="H412" s="79"/>
      <c r="I412" s="46"/>
      <c r="J412"/>
    </row>
    <row r="413" spans="1:10" s="69" customFormat="1">
      <c r="A413" s="38"/>
      <c r="B413" s="2"/>
      <c r="D413"/>
      <c r="E413"/>
      <c r="F413"/>
      <c r="G413" s="46"/>
      <c r="H413" s="79"/>
      <c r="I413" s="46"/>
      <c r="J413"/>
    </row>
    <row r="414" spans="1:10" s="69" customFormat="1">
      <c r="A414" s="38"/>
      <c r="B414" s="2"/>
      <c r="D414"/>
      <c r="E414"/>
      <c r="F414"/>
      <c r="G414" s="46"/>
      <c r="H414" s="79"/>
      <c r="I414" s="46"/>
      <c r="J414"/>
    </row>
    <row r="415" spans="1:10" s="69" customFormat="1">
      <c r="A415" s="38"/>
      <c r="B415" s="2"/>
      <c r="D415"/>
      <c r="E415"/>
      <c r="F415"/>
      <c r="G415" s="46"/>
      <c r="H415" s="79"/>
      <c r="I415" s="46"/>
      <c r="J415"/>
    </row>
    <row r="416" spans="1:10" s="69" customFormat="1">
      <c r="A416" s="38"/>
      <c r="B416" s="2"/>
      <c r="D416"/>
      <c r="E416"/>
      <c r="F416"/>
      <c r="G416" s="46"/>
      <c r="H416" s="79"/>
      <c r="I416" s="46"/>
      <c r="J416"/>
    </row>
    <row r="417" spans="1:10" s="69" customFormat="1">
      <c r="A417" s="38"/>
      <c r="B417" s="2"/>
      <c r="D417"/>
      <c r="E417"/>
      <c r="F417"/>
      <c r="G417" s="46"/>
      <c r="H417" s="79"/>
      <c r="I417" s="46"/>
      <c r="J417"/>
    </row>
    <row r="418" spans="1:10" s="69" customFormat="1">
      <c r="A418" s="38"/>
      <c r="B418" s="2"/>
      <c r="D418"/>
      <c r="E418"/>
      <c r="F418"/>
      <c r="G418" s="46"/>
      <c r="H418" s="79"/>
      <c r="I418" s="46"/>
      <c r="J418"/>
    </row>
    <row r="419" spans="1:10" s="69" customFormat="1">
      <c r="A419" s="38"/>
      <c r="B419" s="2"/>
      <c r="D419"/>
      <c r="E419"/>
      <c r="F419"/>
      <c r="G419" s="46"/>
      <c r="H419" s="79"/>
      <c r="I419" s="46"/>
      <c r="J419"/>
    </row>
    <row r="420" spans="1:10" s="69" customFormat="1">
      <c r="A420" s="38"/>
      <c r="B420" s="2"/>
      <c r="D420"/>
      <c r="E420"/>
      <c r="F420"/>
      <c r="G420" s="46"/>
      <c r="H420" s="79"/>
      <c r="I420" s="46"/>
      <c r="J420"/>
    </row>
    <row r="421" spans="1:10" s="69" customFormat="1">
      <c r="A421" s="38"/>
      <c r="B421" s="2"/>
      <c r="D421"/>
      <c r="E421"/>
      <c r="F421"/>
      <c r="G421" s="46"/>
      <c r="H421" s="79"/>
      <c r="I421" s="46"/>
      <c r="J421"/>
    </row>
    <row r="422" spans="1:10" s="69" customFormat="1">
      <c r="A422" s="38"/>
      <c r="B422" s="2"/>
      <c r="D422"/>
      <c r="E422"/>
      <c r="F422"/>
      <c r="G422" s="46"/>
      <c r="H422" s="79"/>
      <c r="I422" s="46"/>
      <c r="J422"/>
    </row>
    <row r="423" spans="1:10" s="69" customFormat="1">
      <c r="A423" s="38"/>
      <c r="B423" s="2"/>
      <c r="D423"/>
      <c r="E423"/>
      <c r="F423"/>
      <c r="G423" s="46"/>
      <c r="H423" s="79"/>
      <c r="I423" s="46"/>
      <c r="J423"/>
    </row>
    <row r="424" spans="1:10" s="69" customFormat="1">
      <c r="A424" s="38"/>
      <c r="B424" s="2"/>
      <c r="D424"/>
      <c r="E424"/>
      <c r="F424"/>
      <c r="G424" s="46"/>
      <c r="H424" s="79"/>
      <c r="I424" s="46"/>
      <c r="J424"/>
    </row>
    <row r="425" spans="1:10" s="69" customFormat="1">
      <c r="A425" s="38"/>
      <c r="B425" s="2"/>
      <c r="D425"/>
      <c r="E425"/>
      <c r="F425"/>
      <c r="G425" s="46"/>
      <c r="H425" s="79"/>
      <c r="I425" s="46"/>
      <c r="J425"/>
    </row>
    <row r="426" spans="1:10" s="69" customFormat="1">
      <c r="A426" s="38"/>
      <c r="B426" s="2"/>
      <c r="D426"/>
      <c r="E426"/>
      <c r="F426"/>
      <c r="G426" s="46"/>
      <c r="H426" s="79"/>
      <c r="I426" s="46"/>
      <c r="J426"/>
    </row>
    <row r="427" spans="1:10" s="69" customFormat="1">
      <c r="A427" s="38"/>
      <c r="B427" s="2"/>
      <c r="D427"/>
      <c r="E427"/>
      <c r="F427"/>
      <c r="G427" s="46"/>
      <c r="H427" s="79"/>
      <c r="I427" s="46"/>
      <c r="J427"/>
    </row>
    <row r="428" spans="1:10" s="69" customFormat="1">
      <c r="A428" s="38"/>
      <c r="B428" s="2"/>
      <c r="D428"/>
      <c r="E428"/>
      <c r="F428"/>
      <c r="G428" s="46"/>
      <c r="H428" s="79"/>
      <c r="I428" s="46"/>
      <c r="J428"/>
    </row>
    <row r="429" spans="1:10" s="69" customFormat="1">
      <c r="A429" s="38"/>
      <c r="B429" s="2"/>
      <c r="D429"/>
      <c r="E429"/>
      <c r="F429"/>
      <c r="G429" s="46"/>
      <c r="H429" s="79"/>
      <c r="I429" s="46"/>
      <c r="J429"/>
    </row>
    <row r="430" spans="1:10" s="69" customFormat="1">
      <c r="A430" s="38"/>
      <c r="B430" s="2"/>
      <c r="D430"/>
      <c r="E430"/>
      <c r="F430"/>
      <c r="G430" s="46"/>
      <c r="H430" s="79"/>
      <c r="I430" s="46"/>
      <c r="J430"/>
    </row>
    <row r="431" spans="1:10" s="69" customFormat="1">
      <c r="A431" s="38"/>
      <c r="B431" s="2"/>
      <c r="D431"/>
      <c r="E431"/>
      <c r="F431"/>
      <c r="G431" s="46"/>
      <c r="H431" s="79"/>
      <c r="I431" s="46"/>
      <c r="J431"/>
    </row>
    <row r="432" spans="1:10" s="69" customFormat="1">
      <c r="A432" s="38"/>
      <c r="B432" s="2"/>
      <c r="D432"/>
      <c r="E432"/>
      <c r="F432"/>
      <c r="G432" s="46"/>
      <c r="H432" s="79"/>
      <c r="I432" s="46"/>
      <c r="J432"/>
    </row>
    <row r="433" spans="1:10" s="69" customFormat="1">
      <c r="A433" s="38"/>
      <c r="B433" s="2"/>
      <c r="D433"/>
      <c r="E433"/>
      <c r="F433"/>
      <c r="G433" s="46"/>
      <c r="H433" s="79"/>
      <c r="I433" s="46"/>
      <c r="J433"/>
    </row>
    <row r="434" spans="1:10" s="69" customFormat="1">
      <c r="A434" s="38"/>
      <c r="B434" s="2"/>
      <c r="D434"/>
      <c r="E434"/>
      <c r="F434"/>
      <c r="G434" s="46"/>
      <c r="H434" s="79"/>
      <c r="I434" s="46"/>
      <c r="J434"/>
    </row>
    <row r="435" spans="1:10" s="69" customFormat="1">
      <c r="A435" s="38"/>
      <c r="B435" s="2"/>
      <c r="D435"/>
      <c r="E435"/>
      <c r="F435"/>
      <c r="G435" s="46"/>
      <c r="H435" s="79"/>
      <c r="I435" s="46"/>
      <c r="J435"/>
    </row>
    <row r="436" spans="1:10" s="69" customFormat="1">
      <c r="A436" s="38"/>
      <c r="B436" s="2"/>
      <c r="D436"/>
      <c r="E436"/>
      <c r="F436"/>
      <c r="G436" s="46"/>
      <c r="H436" s="79"/>
      <c r="I436" s="46"/>
      <c r="J436"/>
    </row>
    <row r="437" spans="1:10" s="69" customFormat="1">
      <c r="A437" s="38"/>
      <c r="B437" s="2"/>
      <c r="D437"/>
      <c r="E437"/>
      <c r="F437"/>
      <c r="G437" s="46"/>
      <c r="H437" s="79"/>
      <c r="I437" s="46"/>
      <c r="J437"/>
    </row>
    <row r="438" spans="1:10" s="69" customFormat="1">
      <c r="A438" s="38"/>
      <c r="B438" s="2"/>
      <c r="D438"/>
      <c r="E438"/>
      <c r="F438"/>
      <c r="G438" s="46"/>
      <c r="H438" s="79"/>
      <c r="I438" s="46"/>
      <c r="J438"/>
    </row>
    <row r="439" spans="1:10" s="69" customFormat="1">
      <c r="A439" s="38"/>
      <c r="B439" s="2"/>
      <c r="D439"/>
      <c r="E439"/>
      <c r="F439"/>
      <c r="G439" s="46"/>
      <c r="H439" s="79"/>
      <c r="I439" s="46"/>
      <c r="J439"/>
    </row>
    <row r="440" spans="1:10" s="69" customFormat="1">
      <c r="A440" s="38"/>
      <c r="B440" s="2"/>
      <c r="D440"/>
      <c r="E440"/>
      <c r="F440"/>
      <c r="G440" s="46"/>
      <c r="H440" s="79"/>
      <c r="I440" s="46"/>
      <c r="J440"/>
    </row>
    <row r="441" spans="1:10" s="69" customFormat="1">
      <c r="A441" s="38"/>
      <c r="B441" s="2"/>
      <c r="D441"/>
      <c r="E441"/>
      <c r="F441"/>
      <c r="G441" s="46"/>
      <c r="H441" s="79"/>
      <c r="I441" s="46"/>
      <c r="J441"/>
    </row>
    <row r="442" spans="1:10" s="69" customFormat="1">
      <c r="A442" s="38"/>
      <c r="B442" s="2"/>
      <c r="D442"/>
      <c r="E442"/>
      <c r="F442"/>
      <c r="G442" s="46"/>
      <c r="H442" s="79"/>
      <c r="I442" s="46"/>
      <c r="J442"/>
    </row>
    <row r="443" spans="1:10" s="69" customFormat="1">
      <c r="A443" s="38"/>
      <c r="B443" s="2"/>
      <c r="D443"/>
      <c r="E443"/>
      <c r="F443"/>
      <c r="G443" s="46"/>
      <c r="H443" s="79"/>
      <c r="I443" s="46"/>
      <c r="J443"/>
    </row>
    <row r="444" spans="1:10" s="69" customFormat="1">
      <c r="A444" s="38"/>
      <c r="B444" s="2"/>
      <c r="D444"/>
      <c r="E444"/>
      <c r="F444"/>
      <c r="G444" s="46"/>
      <c r="H444" s="79"/>
      <c r="I444" s="46"/>
      <c r="J444"/>
    </row>
    <row r="445" spans="1:10" s="69" customFormat="1">
      <c r="A445" s="38"/>
      <c r="B445" s="2"/>
      <c r="D445"/>
      <c r="E445"/>
      <c r="F445"/>
      <c r="G445" s="46"/>
      <c r="H445" s="79"/>
      <c r="I445" s="46"/>
      <c r="J445"/>
    </row>
    <row r="446" spans="1:10" s="69" customFormat="1">
      <c r="A446" s="38"/>
      <c r="B446" s="2"/>
      <c r="D446"/>
      <c r="E446"/>
      <c r="F446"/>
      <c r="G446" s="46"/>
      <c r="H446" s="79"/>
      <c r="I446" s="46"/>
      <c r="J446"/>
    </row>
    <row r="447" spans="1:10" s="69" customFormat="1">
      <c r="A447" s="38"/>
      <c r="B447" s="2"/>
      <c r="D447"/>
      <c r="E447"/>
      <c r="F447"/>
      <c r="G447" s="46"/>
      <c r="H447" s="79"/>
      <c r="I447" s="46"/>
      <c r="J447"/>
    </row>
    <row r="448" spans="1:10" s="69" customFormat="1">
      <c r="A448" s="38"/>
      <c r="B448" s="2"/>
      <c r="D448"/>
      <c r="E448"/>
      <c r="F448"/>
      <c r="G448" s="46"/>
      <c r="H448" s="79"/>
      <c r="I448" s="46"/>
      <c r="J448"/>
    </row>
    <row r="449" spans="1:10" s="69" customFormat="1">
      <c r="A449" s="38"/>
      <c r="B449" s="2"/>
      <c r="D449"/>
      <c r="E449"/>
      <c r="F449"/>
      <c r="G449" s="46"/>
      <c r="H449" s="79"/>
      <c r="I449" s="46"/>
      <c r="J449"/>
    </row>
    <row r="450" spans="1:10" s="69" customFormat="1">
      <c r="A450" s="38"/>
      <c r="B450" s="2"/>
      <c r="D450"/>
      <c r="E450"/>
      <c r="F450"/>
      <c r="G450" s="46"/>
      <c r="H450" s="79"/>
      <c r="I450" s="46"/>
      <c r="J450"/>
    </row>
    <row r="451" spans="1:10" s="69" customFormat="1">
      <c r="A451" s="38"/>
      <c r="B451" s="2"/>
      <c r="D451"/>
      <c r="E451"/>
      <c r="F451"/>
      <c r="G451" s="46"/>
      <c r="H451" s="79"/>
      <c r="I451" s="46"/>
      <c r="J451"/>
    </row>
    <row r="452" spans="1:10" s="69" customFormat="1">
      <c r="A452" s="38"/>
      <c r="B452" s="2"/>
      <c r="D452"/>
      <c r="E452"/>
      <c r="F452"/>
      <c r="G452" s="46"/>
      <c r="H452" s="79"/>
      <c r="I452" s="46"/>
      <c r="J452"/>
    </row>
    <row r="453" spans="1:10" s="69" customFormat="1">
      <c r="A453" s="38"/>
      <c r="B453" s="2"/>
      <c r="D453"/>
      <c r="E453"/>
      <c r="F453"/>
      <c r="G453" s="46"/>
      <c r="H453" s="79"/>
      <c r="I453" s="46"/>
      <c r="J453"/>
    </row>
    <row r="454" spans="1:10" s="69" customFormat="1">
      <c r="A454" s="38"/>
      <c r="B454" s="2"/>
      <c r="D454"/>
      <c r="E454"/>
      <c r="F454"/>
      <c r="G454" s="46"/>
      <c r="H454" s="79"/>
      <c r="I454" s="46"/>
      <c r="J454"/>
    </row>
    <row r="455" spans="1:10" s="69" customFormat="1">
      <c r="A455" s="38"/>
      <c r="B455" s="2"/>
      <c r="D455"/>
      <c r="E455"/>
      <c r="F455"/>
      <c r="G455" s="46"/>
      <c r="H455" s="79"/>
      <c r="I455" s="46"/>
      <c r="J455"/>
    </row>
    <row r="456" spans="1:10" s="69" customFormat="1">
      <c r="A456" s="38"/>
      <c r="B456" s="2"/>
      <c r="D456"/>
      <c r="E456"/>
      <c r="F456"/>
      <c r="G456" s="46"/>
      <c r="H456" s="79"/>
      <c r="I456" s="46"/>
      <c r="J456"/>
    </row>
    <row r="457" spans="1:10" s="69" customFormat="1">
      <c r="A457" s="38"/>
      <c r="B457" s="2"/>
      <c r="D457"/>
      <c r="E457"/>
      <c r="F457"/>
      <c r="G457" s="46"/>
      <c r="H457" s="79"/>
      <c r="I457" s="46"/>
      <c r="J457"/>
    </row>
    <row r="458" spans="1:10" s="69" customFormat="1">
      <c r="A458" s="38"/>
      <c r="B458" s="2"/>
      <c r="D458"/>
      <c r="E458"/>
      <c r="F458"/>
      <c r="G458" s="46"/>
      <c r="H458" s="79"/>
      <c r="I458" s="46"/>
      <c r="J458"/>
    </row>
    <row r="459" spans="1:10" s="69" customFormat="1">
      <c r="A459" s="38"/>
      <c r="B459" s="2"/>
      <c r="D459"/>
      <c r="E459"/>
      <c r="F459"/>
      <c r="G459" s="46"/>
      <c r="H459" s="79"/>
      <c r="I459" s="46"/>
      <c r="J459"/>
    </row>
    <row r="460" spans="1:10" s="69" customFormat="1">
      <c r="A460" s="38"/>
      <c r="B460" s="2"/>
      <c r="D460"/>
      <c r="E460"/>
      <c r="F460"/>
      <c r="G460" s="46"/>
      <c r="H460" s="79"/>
      <c r="I460" s="46"/>
      <c r="J460"/>
    </row>
    <row r="461" spans="1:10" s="69" customFormat="1">
      <c r="A461" s="38"/>
      <c r="B461" s="2"/>
      <c r="D461"/>
      <c r="E461"/>
      <c r="F461"/>
      <c r="G461" s="46"/>
      <c r="H461" s="79"/>
      <c r="I461" s="46"/>
      <c r="J461"/>
    </row>
    <row r="462" spans="1:10" s="69" customFormat="1">
      <c r="A462" s="38"/>
      <c r="B462" s="2"/>
      <c r="D462"/>
      <c r="E462"/>
      <c r="F462"/>
      <c r="G462" s="46"/>
      <c r="H462" s="79"/>
      <c r="I462" s="46"/>
      <c r="J462"/>
    </row>
    <row r="463" spans="1:10" s="69" customFormat="1">
      <c r="A463" s="38"/>
      <c r="B463" s="2"/>
      <c r="D463"/>
      <c r="E463"/>
      <c r="F463"/>
      <c r="G463" s="46"/>
      <c r="H463" s="79"/>
      <c r="I463" s="46"/>
      <c r="J463"/>
    </row>
    <row r="464" spans="1:10" s="69" customFormat="1">
      <c r="A464" s="38"/>
      <c r="B464" s="2"/>
      <c r="D464"/>
      <c r="E464"/>
      <c r="F464"/>
      <c r="G464" s="46"/>
      <c r="H464" s="79"/>
      <c r="I464" s="46"/>
      <c r="J464"/>
    </row>
    <row r="465" spans="1:10" s="69" customFormat="1">
      <c r="A465" s="38"/>
      <c r="B465" s="2"/>
      <c r="D465"/>
      <c r="E465"/>
      <c r="F465"/>
      <c r="G465" s="46"/>
      <c r="H465" s="79"/>
      <c r="I465" s="46"/>
      <c r="J465"/>
    </row>
    <row r="466" spans="1:10" s="69" customFormat="1">
      <c r="A466" s="38"/>
      <c r="B466" s="2"/>
      <c r="D466"/>
      <c r="E466"/>
      <c r="F466"/>
      <c r="G466" s="46"/>
      <c r="H466" s="79"/>
      <c r="I466" s="46"/>
      <c r="J466"/>
    </row>
    <row r="467" spans="1:10" s="69" customFormat="1">
      <c r="A467" s="38"/>
      <c r="B467" s="2"/>
      <c r="D467"/>
      <c r="E467"/>
      <c r="F467"/>
      <c r="G467" s="46"/>
      <c r="H467" s="79"/>
      <c r="I467" s="46"/>
      <c r="J467"/>
    </row>
    <row r="468" spans="1:10" s="69" customFormat="1">
      <c r="A468" s="38"/>
      <c r="B468" s="2"/>
      <c r="D468"/>
      <c r="E468"/>
      <c r="F468"/>
      <c r="G468" s="46"/>
      <c r="H468" s="79"/>
      <c r="I468" s="46"/>
      <c r="J468"/>
    </row>
    <row r="469" spans="1:10" s="69" customFormat="1">
      <c r="A469" s="38"/>
      <c r="B469" s="2"/>
      <c r="D469"/>
      <c r="E469"/>
      <c r="F469"/>
      <c r="G469" s="46"/>
      <c r="H469" s="79"/>
      <c r="I469" s="46"/>
      <c r="J469"/>
    </row>
    <row r="470" spans="1:10" s="69" customFormat="1">
      <c r="A470" s="38"/>
      <c r="B470" s="2"/>
      <c r="D470"/>
      <c r="E470"/>
      <c r="F470"/>
      <c r="G470" s="46"/>
      <c r="H470" s="79"/>
      <c r="I470" s="46"/>
      <c r="J470"/>
    </row>
    <row r="471" spans="1:10" s="69" customFormat="1">
      <c r="A471" s="38"/>
      <c r="B471" s="2"/>
      <c r="D471"/>
      <c r="E471"/>
      <c r="F471"/>
      <c r="G471" s="46"/>
      <c r="H471" s="79"/>
      <c r="I471" s="46"/>
      <c r="J471"/>
    </row>
    <row r="472" spans="1:10" s="69" customFormat="1">
      <c r="A472" s="38"/>
      <c r="B472" s="2"/>
      <c r="D472"/>
      <c r="E472"/>
      <c r="F472"/>
      <c r="G472" s="46"/>
      <c r="H472" s="79"/>
      <c r="I472" s="46"/>
      <c r="J472"/>
    </row>
    <row r="473" spans="1:10" s="69" customFormat="1">
      <c r="A473" s="38"/>
      <c r="B473" s="2"/>
      <c r="D473"/>
      <c r="E473"/>
      <c r="F473"/>
      <c r="G473" s="46"/>
      <c r="H473" s="79"/>
      <c r="I473" s="46"/>
      <c r="J473"/>
    </row>
    <row r="474" spans="1:10" s="69" customFormat="1">
      <c r="A474" s="38"/>
      <c r="B474" s="2"/>
      <c r="D474"/>
      <c r="E474"/>
      <c r="F474"/>
      <c r="G474" s="46"/>
      <c r="H474" s="79"/>
      <c r="I474" s="46"/>
      <c r="J474"/>
    </row>
    <row r="475" spans="1:10" s="69" customFormat="1">
      <c r="A475" s="38"/>
      <c r="B475" s="2"/>
      <c r="D475"/>
      <c r="E475"/>
      <c r="F475"/>
      <c r="G475" s="46"/>
      <c r="H475" s="79"/>
      <c r="I475" s="46"/>
      <c r="J475"/>
    </row>
    <row r="476" spans="1:10" s="69" customFormat="1">
      <c r="A476" s="38"/>
      <c r="B476" s="2"/>
      <c r="D476"/>
      <c r="E476"/>
      <c r="F476"/>
      <c r="G476" s="46"/>
      <c r="H476" s="79"/>
      <c r="I476" s="46"/>
      <c r="J476"/>
    </row>
    <row r="477" spans="1:10" s="69" customFormat="1">
      <c r="A477" s="38"/>
      <c r="B477" s="2"/>
      <c r="D477"/>
      <c r="E477"/>
      <c r="F477"/>
      <c r="G477" s="46"/>
      <c r="H477" s="79"/>
      <c r="I477" s="46"/>
      <c r="J477"/>
    </row>
    <row r="478" spans="1:10" s="69" customFormat="1">
      <c r="A478" s="38"/>
      <c r="B478" s="2"/>
      <c r="D478"/>
      <c r="E478"/>
      <c r="F478"/>
      <c r="G478" s="46"/>
      <c r="H478" s="79"/>
      <c r="I478" s="46"/>
      <c r="J478"/>
    </row>
    <row r="479" spans="1:10" s="69" customFormat="1">
      <c r="A479" s="38"/>
      <c r="B479" s="2"/>
      <c r="D479"/>
      <c r="E479"/>
      <c r="F479"/>
      <c r="G479" s="46"/>
      <c r="H479" s="79"/>
      <c r="I479" s="46"/>
      <c r="J479"/>
    </row>
    <row r="480" spans="1:10" s="69" customFormat="1">
      <c r="A480" s="38"/>
      <c r="B480" s="2"/>
      <c r="D480"/>
      <c r="E480"/>
      <c r="F480"/>
      <c r="G480" s="46"/>
      <c r="H480" s="79"/>
      <c r="I480" s="46"/>
      <c r="J480"/>
    </row>
    <row r="481" spans="1:10" s="69" customFormat="1">
      <c r="A481" s="38"/>
      <c r="B481" s="2"/>
      <c r="D481"/>
      <c r="E481"/>
      <c r="F481"/>
      <c r="G481" s="46"/>
      <c r="H481" s="79"/>
      <c r="I481" s="46"/>
      <c r="J481"/>
    </row>
    <row r="482" spans="1:10" s="69" customFormat="1">
      <c r="A482" s="38"/>
      <c r="B482" s="2"/>
      <c r="D482"/>
      <c r="E482"/>
      <c r="F482"/>
      <c r="G482" s="46"/>
      <c r="H482" s="79"/>
      <c r="I482" s="46"/>
      <c r="J482"/>
    </row>
    <row r="483" spans="1:10" s="69" customFormat="1">
      <c r="A483" s="38"/>
      <c r="B483" s="2"/>
      <c r="D483"/>
      <c r="E483"/>
      <c r="F483"/>
      <c r="G483" s="46"/>
      <c r="H483" s="79"/>
      <c r="I483" s="46"/>
      <c r="J483"/>
    </row>
    <row r="484" spans="1:10" s="69" customFormat="1">
      <c r="A484" s="38"/>
      <c r="B484" s="2"/>
      <c r="D484"/>
      <c r="E484"/>
      <c r="F484"/>
      <c r="G484" s="46"/>
      <c r="H484" s="79"/>
      <c r="I484" s="46"/>
      <c r="J484"/>
    </row>
    <row r="485" spans="1:10" s="69" customFormat="1">
      <c r="A485" s="38"/>
      <c r="B485" s="2"/>
      <c r="D485"/>
      <c r="E485"/>
      <c r="F485"/>
      <c r="G485" s="46"/>
      <c r="H485" s="79"/>
      <c r="I485" s="46"/>
      <c r="J485"/>
    </row>
    <row r="486" spans="1:10" s="69" customFormat="1">
      <c r="A486" s="38"/>
      <c r="B486" s="2"/>
      <c r="D486"/>
      <c r="E486"/>
      <c r="F486"/>
      <c r="G486" s="46"/>
      <c r="H486" s="79"/>
      <c r="I486" s="46"/>
      <c r="J486"/>
    </row>
    <row r="487" spans="1:10" s="69" customFormat="1">
      <c r="A487" s="38"/>
      <c r="B487" s="2"/>
      <c r="D487"/>
      <c r="E487"/>
      <c r="F487"/>
      <c r="G487" s="46"/>
      <c r="H487" s="79"/>
      <c r="I487" s="46"/>
      <c r="J487"/>
    </row>
    <row r="488" spans="1:10" s="69" customFormat="1">
      <c r="A488" s="38"/>
      <c r="B488" s="2"/>
      <c r="D488"/>
      <c r="E488"/>
      <c r="F488"/>
      <c r="G488" s="46"/>
      <c r="H488" s="79"/>
      <c r="I488" s="46"/>
      <c r="J488"/>
    </row>
    <row r="489" spans="1:10" s="69" customFormat="1">
      <c r="A489" s="38"/>
      <c r="B489" s="2"/>
      <c r="D489"/>
      <c r="E489"/>
      <c r="F489"/>
      <c r="G489" s="46"/>
      <c r="H489" s="79"/>
      <c r="I489" s="46"/>
      <c r="J489"/>
    </row>
    <row r="490" spans="1:10" s="69" customFormat="1">
      <c r="A490" s="38"/>
      <c r="B490" s="2"/>
      <c r="D490"/>
      <c r="E490"/>
      <c r="F490"/>
      <c r="G490" s="46"/>
      <c r="H490" s="79"/>
      <c r="I490" s="46"/>
      <c r="J490"/>
    </row>
    <row r="491" spans="1:10" s="69" customFormat="1">
      <c r="A491" s="38"/>
      <c r="B491" s="2"/>
      <c r="D491"/>
      <c r="E491"/>
      <c r="F491"/>
      <c r="G491" s="46"/>
      <c r="H491" s="79"/>
      <c r="I491" s="46"/>
      <c r="J491"/>
    </row>
    <row r="492" spans="1:10" s="69" customFormat="1">
      <c r="A492" s="38"/>
      <c r="B492" s="2"/>
      <c r="D492"/>
      <c r="E492"/>
      <c r="F492"/>
      <c r="G492" s="46"/>
      <c r="H492" s="79"/>
      <c r="I492" s="46"/>
      <c r="J492"/>
    </row>
    <row r="493" spans="1:10" s="69" customFormat="1">
      <c r="A493" s="38"/>
      <c r="B493" s="2"/>
      <c r="D493"/>
      <c r="E493"/>
      <c r="F493"/>
      <c r="G493" s="46"/>
      <c r="H493" s="79"/>
      <c r="I493" s="46"/>
      <c r="J493"/>
    </row>
    <row r="494" spans="1:10" s="69" customFormat="1">
      <c r="A494" s="38"/>
      <c r="B494" s="2"/>
      <c r="D494"/>
      <c r="E494"/>
      <c r="F494"/>
      <c r="G494" s="46"/>
      <c r="H494" s="79"/>
      <c r="I494" s="46"/>
      <c r="J494"/>
    </row>
    <row r="495" spans="1:10" s="69" customFormat="1">
      <c r="A495" s="38"/>
      <c r="B495" s="2"/>
      <c r="D495"/>
      <c r="E495"/>
      <c r="F495"/>
      <c r="G495" s="46"/>
      <c r="H495" s="79"/>
      <c r="I495" s="46"/>
      <c r="J495"/>
    </row>
    <row r="496" spans="1:10" s="69" customFormat="1">
      <c r="A496" s="38"/>
      <c r="B496" s="2"/>
      <c r="D496"/>
      <c r="E496"/>
      <c r="F496"/>
      <c r="G496" s="46"/>
      <c r="H496" s="79"/>
      <c r="I496" s="46"/>
      <c r="J496"/>
    </row>
    <row r="497" spans="1:10" s="69" customFormat="1">
      <c r="A497" s="38"/>
      <c r="B497" s="2"/>
      <c r="D497"/>
      <c r="E497"/>
      <c r="F497"/>
      <c r="G497" s="46"/>
      <c r="H497" s="79"/>
      <c r="I497" s="46"/>
      <c r="J497"/>
    </row>
    <row r="498" spans="1:10" s="69" customFormat="1">
      <c r="A498" s="38"/>
      <c r="B498" s="2"/>
      <c r="D498"/>
      <c r="E498"/>
      <c r="F498"/>
      <c r="G498" s="46"/>
      <c r="H498" s="79"/>
      <c r="I498" s="46"/>
      <c r="J498"/>
    </row>
    <row r="499" spans="1:10" s="69" customFormat="1">
      <c r="A499" s="38"/>
      <c r="B499" s="2"/>
      <c r="D499"/>
      <c r="E499"/>
      <c r="F499"/>
      <c r="G499" s="46"/>
      <c r="H499" s="79"/>
      <c r="I499" s="46"/>
      <c r="J499"/>
    </row>
    <row r="500" spans="1:10" s="69" customFormat="1">
      <c r="A500" s="38"/>
      <c r="B500" s="2"/>
      <c r="D500"/>
      <c r="E500"/>
      <c r="F500"/>
      <c r="G500" s="46"/>
      <c r="H500" s="79"/>
      <c r="I500" s="46"/>
      <c r="J500"/>
    </row>
    <row r="501" spans="1:10" s="69" customFormat="1">
      <c r="A501" s="38"/>
      <c r="B501" s="2"/>
      <c r="D501"/>
      <c r="E501"/>
      <c r="F501"/>
      <c r="G501" s="46"/>
      <c r="H501" s="79"/>
      <c r="I501" s="46"/>
      <c r="J501"/>
    </row>
    <row r="502" spans="1:10" s="69" customFormat="1">
      <c r="A502" s="38"/>
      <c r="B502" s="2"/>
      <c r="D502"/>
      <c r="E502"/>
      <c r="F502"/>
      <c r="G502" s="46"/>
      <c r="H502" s="79"/>
      <c r="I502" s="46"/>
      <c r="J502"/>
    </row>
    <row r="503" spans="1:10" s="69" customFormat="1">
      <c r="A503" s="38"/>
      <c r="B503" s="2"/>
      <c r="D503"/>
      <c r="E503"/>
      <c r="F503"/>
      <c r="G503" s="46"/>
      <c r="H503" s="79"/>
      <c r="I503" s="46"/>
      <c r="J503"/>
    </row>
    <row r="504" spans="1:10" s="69" customFormat="1">
      <c r="A504" s="38"/>
      <c r="B504" s="2"/>
      <c r="D504"/>
      <c r="E504"/>
      <c r="F504"/>
      <c r="G504" s="46"/>
      <c r="H504" s="79"/>
      <c r="I504" s="46"/>
      <c r="J504"/>
    </row>
    <row r="505" spans="1:10" s="69" customFormat="1">
      <c r="A505" s="38"/>
      <c r="B505" s="2"/>
      <c r="D505"/>
      <c r="E505"/>
      <c r="F505"/>
      <c r="G505" s="46"/>
      <c r="H505" s="79"/>
      <c r="I505" s="46"/>
      <c r="J505"/>
    </row>
    <row r="506" spans="1:10" s="69" customFormat="1">
      <c r="A506" s="38"/>
      <c r="B506" s="2"/>
      <c r="D506"/>
      <c r="E506"/>
      <c r="F506"/>
      <c r="G506" s="46"/>
      <c r="H506" s="79"/>
      <c r="I506" s="46"/>
      <c r="J506"/>
    </row>
    <row r="507" spans="1:10" s="69" customFormat="1">
      <c r="A507" s="38"/>
      <c r="B507" s="2"/>
      <c r="D507"/>
      <c r="E507"/>
      <c r="F507"/>
      <c r="G507" s="46"/>
      <c r="H507" s="79"/>
      <c r="I507" s="46"/>
      <c r="J507"/>
    </row>
    <row r="508" spans="1:10" s="69" customFormat="1">
      <c r="A508" s="38"/>
      <c r="B508" s="2"/>
      <c r="D508"/>
      <c r="E508"/>
      <c r="F508"/>
      <c r="G508" s="46"/>
      <c r="H508" s="79"/>
      <c r="I508" s="46"/>
      <c r="J508"/>
    </row>
    <row r="509" spans="1:10" s="69" customFormat="1">
      <c r="A509" s="38"/>
      <c r="B509" s="2"/>
      <c r="D509"/>
      <c r="E509"/>
      <c r="F509"/>
      <c r="G509" s="46"/>
      <c r="H509" s="79"/>
      <c r="I509" s="46"/>
      <c r="J509"/>
    </row>
    <row r="510" spans="1:10" s="69" customFormat="1">
      <c r="A510" s="38"/>
      <c r="B510" s="2"/>
      <c r="D510"/>
      <c r="E510"/>
      <c r="F510"/>
      <c r="G510" s="46"/>
      <c r="H510" s="79"/>
      <c r="I510" s="46"/>
      <c r="J510"/>
    </row>
    <row r="511" spans="1:10" s="69" customFormat="1">
      <c r="A511" s="38"/>
      <c r="B511" s="2"/>
      <c r="D511"/>
      <c r="E511"/>
      <c r="F511"/>
      <c r="G511" s="46"/>
      <c r="H511" s="79"/>
      <c r="I511" s="46"/>
      <c r="J511"/>
    </row>
    <row r="512" spans="1:10" s="69" customFormat="1">
      <c r="A512" s="38"/>
      <c r="B512" s="2"/>
      <c r="D512"/>
      <c r="E512"/>
      <c r="F512"/>
      <c r="G512" s="46"/>
      <c r="H512" s="79"/>
      <c r="I512" s="46"/>
      <c r="J512"/>
    </row>
    <row r="513" spans="1:10" s="69" customFormat="1">
      <c r="A513" s="38"/>
      <c r="B513" s="2"/>
      <c r="D513"/>
      <c r="E513"/>
      <c r="F513"/>
      <c r="G513" s="46"/>
      <c r="H513" s="79"/>
      <c r="I513" s="46"/>
      <c r="J513"/>
    </row>
    <row r="514" spans="1:10" s="69" customFormat="1">
      <c r="A514" s="38"/>
      <c r="B514" s="2"/>
      <c r="D514"/>
      <c r="E514"/>
      <c r="F514"/>
      <c r="G514" s="46"/>
      <c r="H514" s="79"/>
      <c r="I514" s="46"/>
      <c r="J514"/>
    </row>
    <row r="515" spans="1:10" s="69" customFormat="1">
      <c r="A515" s="38"/>
      <c r="B515" s="2"/>
      <c r="D515"/>
      <c r="E515"/>
      <c r="F515"/>
      <c r="G515" s="46"/>
      <c r="H515" s="79"/>
      <c r="I515" s="46"/>
      <c r="J515"/>
    </row>
    <row r="516" spans="1:10" s="69" customFormat="1">
      <c r="A516" s="38"/>
      <c r="B516" s="2"/>
      <c r="D516"/>
      <c r="E516"/>
      <c r="F516"/>
      <c r="G516" s="46"/>
      <c r="H516" s="79"/>
      <c r="I516" s="46"/>
      <c r="J516"/>
    </row>
    <row r="517" spans="1:10" s="69" customFormat="1">
      <c r="A517" s="38"/>
      <c r="B517" s="2"/>
      <c r="D517"/>
      <c r="E517"/>
      <c r="F517"/>
      <c r="G517" s="46"/>
      <c r="H517" s="79"/>
      <c r="I517" s="46"/>
      <c r="J517"/>
    </row>
    <row r="518" spans="1:10" s="69" customFormat="1">
      <c r="A518" s="38"/>
      <c r="B518" s="2"/>
      <c r="D518"/>
      <c r="E518"/>
      <c r="F518"/>
      <c r="G518" s="46"/>
      <c r="H518" s="79"/>
      <c r="I518" s="46"/>
      <c r="J518"/>
    </row>
    <row r="519" spans="1:10" s="69" customFormat="1">
      <c r="A519" s="38"/>
      <c r="B519" s="2"/>
      <c r="D519"/>
      <c r="E519"/>
      <c r="F519"/>
      <c r="G519" s="46"/>
      <c r="H519" s="79"/>
      <c r="I519" s="46"/>
      <c r="J519"/>
    </row>
    <row r="520" spans="1:10" s="69" customFormat="1">
      <c r="A520" s="38"/>
      <c r="B520" s="2"/>
      <c r="D520"/>
      <c r="E520"/>
      <c r="F520"/>
      <c r="G520" s="46"/>
      <c r="H520" s="79"/>
      <c r="I520" s="46"/>
      <c r="J520"/>
    </row>
    <row r="521" spans="1:10" s="69" customFormat="1">
      <c r="A521" s="38"/>
      <c r="B521" s="2"/>
      <c r="D521"/>
      <c r="E521"/>
      <c r="F521"/>
      <c r="G521" s="46"/>
      <c r="H521" s="79"/>
      <c r="I521" s="46"/>
      <c r="J521"/>
    </row>
    <row r="522" spans="1:10" s="69" customFormat="1">
      <c r="A522" s="38"/>
      <c r="B522" s="2"/>
      <c r="D522"/>
      <c r="E522"/>
      <c r="F522"/>
      <c r="G522" s="46"/>
      <c r="H522" s="79"/>
      <c r="I522" s="46"/>
      <c r="J522"/>
    </row>
    <row r="523" spans="1:10" s="69" customFormat="1">
      <c r="A523" s="38"/>
      <c r="B523" s="2"/>
      <c r="D523"/>
      <c r="E523"/>
      <c r="F523"/>
      <c r="G523" s="46"/>
      <c r="H523" s="79"/>
      <c r="I523" s="46"/>
      <c r="J523"/>
    </row>
    <row r="524" spans="1:10" s="69" customFormat="1">
      <c r="A524" s="38"/>
      <c r="B524" s="2"/>
      <c r="D524"/>
      <c r="E524"/>
      <c r="F524"/>
      <c r="G524" s="46"/>
      <c r="H524" s="79"/>
      <c r="I524" s="46"/>
      <c r="J524"/>
    </row>
    <row r="525" spans="1:10" s="69" customFormat="1">
      <c r="A525" s="38"/>
      <c r="B525" s="2"/>
      <c r="D525"/>
      <c r="E525"/>
      <c r="F525"/>
      <c r="G525" s="46"/>
      <c r="H525" s="79"/>
      <c r="I525" s="46"/>
      <c r="J525"/>
    </row>
    <row r="526" spans="1:10" s="69" customFormat="1">
      <c r="A526" s="38"/>
      <c r="B526" s="2"/>
      <c r="D526"/>
      <c r="E526"/>
      <c r="F526"/>
      <c r="G526" s="46"/>
      <c r="H526" s="79"/>
      <c r="I526" s="46"/>
      <c r="J526"/>
    </row>
    <row r="527" spans="1:10" s="69" customFormat="1">
      <c r="A527" s="38"/>
      <c r="B527" s="2"/>
      <c r="D527"/>
      <c r="E527"/>
      <c r="F527"/>
      <c r="G527" s="46"/>
      <c r="H527" s="79"/>
      <c r="I527" s="46"/>
      <c r="J527"/>
    </row>
    <row r="528" spans="1:10" s="69" customFormat="1">
      <c r="A528" s="38"/>
      <c r="B528" s="2"/>
      <c r="D528"/>
      <c r="E528"/>
      <c r="F528"/>
      <c r="G528" s="46"/>
      <c r="H528" s="79"/>
      <c r="I528" s="46"/>
      <c r="J528"/>
    </row>
    <row r="529" spans="1:10" s="69" customFormat="1">
      <c r="A529" s="38"/>
      <c r="B529" s="2"/>
      <c r="D529"/>
      <c r="E529"/>
      <c r="F529"/>
      <c r="G529" s="46"/>
      <c r="H529" s="79"/>
      <c r="I529" s="46"/>
      <c r="J529"/>
    </row>
    <row r="530" spans="1:10" s="69" customFormat="1">
      <c r="A530" s="38"/>
      <c r="B530" s="2"/>
      <c r="D530"/>
      <c r="E530"/>
      <c r="F530"/>
      <c r="G530" s="46"/>
      <c r="H530" s="79"/>
      <c r="I530" s="46"/>
      <c r="J530"/>
    </row>
    <row r="531" spans="1:10" s="69" customFormat="1">
      <c r="A531" s="38"/>
      <c r="B531" s="2"/>
      <c r="D531"/>
      <c r="E531"/>
      <c r="F531"/>
      <c r="G531" s="46"/>
      <c r="H531" s="79"/>
      <c r="I531" s="46"/>
      <c r="J531"/>
    </row>
    <row r="532" spans="1:10" s="69" customFormat="1">
      <c r="A532" s="38"/>
      <c r="B532" s="2"/>
      <c r="D532"/>
      <c r="E532"/>
      <c r="F532"/>
      <c r="G532" s="46"/>
      <c r="H532" s="79"/>
      <c r="I532" s="46"/>
      <c r="J532"/>
    </row>
    <row r="533" spans="1:10" s="69" customFormat="1">
      <c r="A533" s="38"/>
      <c r="B533" s="2"/>
      <c r="D533"/>
      <c r="E533"/>
      <c r="F533"/>
      <c r="G533" s="46"/>
      <c r="H533" s="79"/>
      <c r="I533" s="46"/>
      <c r="J533"/>
    </row>
    <row r="534" spans="1:10" s="69" customFormat="1">
      <c r="A534" s="38"/>
      <c r="B534" s="2"/>
      <c r="D534"/>
      <c r="E534"/>
      <c r="F534"/>
      <c r="G534" s="46"/>
      <c r="H534" s="79"/>
      <c r="I534" s="46"/>
      <c r="J534"/>
    </row>
    <row r="535" spans="1:10" s="69" customFormat="1">
      <c r="A535" s="38"/>
      <c r="B535" s="2"/>
      <c r="D535"/>
      <c r="E535"/>
      <c r="F535"/>
      <c r="G535" s="46"/>
      <c r="H535" s="79"/>
      <c r="I535" s="46"/>
      <c r="J535"/>
    </row>
    <row r="536" spans="1:10" s="69" customFormat="1">
      <c r="A536" s="38"/>
      <c r="B536" s="2"/>
      <c r="D536"/>
      <c r="E536"/>
      <c r="F536"/>
      <c r="G536" s="46"/>
      <c r="H536" s="79"/>
      <c r="I536" s="46"/>
      <c r="J536"/>
    </row>
    <row r="537" spans="1:10" s="69" customFormat="1">
      <c r="A537" s="38"/>
      <c r="B537" s="2"/>
      <c r="D537"/>
      <c r="E537"/>
      <c r="F537"/>
      <c r="G537" s="46"/>
      <c r="H537" s="79"/>
      <c r="I537" s="46"/>
      <c r="J537"/>
    </row>
    <row r="538" spans="1:10" s="69" customFormat="1">
      <c r="A538" s="38"/>
      <c r="B538" s="2"/>
      <c r="D538"/>
      <c r="E538"/>
      <c r="F538"/>
      <c r="G538" s="46"/>
      <c r="H538" s="79"/>
      <c r="I538" s="46"/>
      <c r="J538"/>
    </row>
    <row r="539" spans="1:10" s="69" customFormat="1">
      <c r="A539" s="38"/>
      <c r="B539" s="2"/>
      <c r="D539"/>
      <c r="E539"/>
      <c r="F539"/>
      <c r="G539" s="46"/>
      <c r="H539" s="79"/>
      <c r="I539" s="46"/>
      <c r="J539"/>
    </row>
    <row r="540" spans="1:10" s="69" customFormat="1">
      <c r="A540" s="38"/>
      <c r="B540" s="2"/>
      <c r="D540"/>
      <c r="E540"/>
      <c r="F540"/>
      <c r="G540" s="46"/>
      <c r="H540" s="79"/>
      <c r="I540" s="46"/>
      <c r="J540"/>
    </row>
    <row r="541" spans="1:10" s="69" customFormat="1">
      <c r="A541" s="38"/>
      <c r="B541" s="2"/>
      <c r="D541"/>
      <c r="E541"/>
      <c r="F541"/>
      <c r="G541" s="46"/>
      <c r="H541" s="79"/>
      <c r="I541" s="46"/>
      <c r="J541"/>
    </row>
    <row r="542" spans="1:10" s="69" customFormat="1">
      <c r="A542" s="38"/>
      <c r="B542" s="2"/>
      <c r="D542"/>
      <c r="E542"/>
      <c r="F542"/>
      <c r="G542" s="46"/>
      <c r="H542" s="79"/>
      <c r="I542" s="46"/>
      <c r="J542"/>
    </row>
    <row r="543" spans="1:10" s="69" customFormat="1">
      <c r="A543" s="38"/>
      <c r="B543" s="2"/>
      <c r="D543"/>
      <c r="E543"/>
      <c r="F543"/>
      <c r="G543" s="46"/>
      <c r="H543" s="79"/>
      <c r="I543" s="46"/>
      <c r="J543"/>
    </row>
    <row r="544" spans="1:10" s="69" customFormat="1">
      <c r="A544" s="38"/>
      <c r="B544" s="2"/>
      <c r="D544"/>
      <c r="E544"/>
      <c r="F544"/>
      <c r="G544" s="46"/>
      <c r="H544" s="79"/>
      <c r="I544" s="46"/>
      <c r="J544"/>
    </row>
    <row r="545" spans="1:10" s="69" customFormat="1">
      <c r="A545" s="38"/>
      <c r="B545" s="2"/>
      <c r="D545"/>
      <c r="E545"/>
      <c r="F545"/>
      <c r="G545" s="46"/>
      <c r="H545" s="79"/>
      <c r="I545" s="46"/>
      <c r="J545"/>
    </row>
    <row r="546" spans="1:10" s="69" customFormat="1">
      <c r="A546" s="38"/>
      <c r="B546" s="2"/>
      <c r="D546"/>
      <c r="E546"/>
      <c r="F546"/>
      <c r="G546" s="46"/>
      <c r="H546" s="79"/>
      <c r="I546" s="46"/>
      <c r="J546"/>
    </row>
    <row r="547" spans="1:10" s="69" customFormat="1">
      <c r="A547" s="38"/>
      <c r="B547" s="2"/>
      <c r="D547"/>
      <c r="E547"/>
      <c r="F547"/>
      <c r="G547" s="46"/>
      <c r="H547" s="79"/>
      <c r="I547" s="46"/>
      <c r="J547"/>
    </row>
    <row r="548" spans="1:10" s="69" customFormat="1">
      <c r="A548" s="38"/>
      <c r="B548" s="2"/>
      <c r="D548"/>
      <c r="E548"/>
      <c r="F548"/>
      <c r="G548" s="46"/>
      <c r="H548" s="79"/>
      <c r="I548" s="46"/>
      <c r="J548"/>
    </row>
    <row r="549" spans="1:10" s="69" customFormat="1">
      <c r="A549" s="38"/>
      <c r="B549" s="2"/>
      <c r="D549"/>
      <c r="E549"/>
      <c r="F549"/>
      <c r="G549" s="46"/>
      <c r="H549" s="79"/>
      <c r="I549" s="46"/>
      <c r="J549"/>
    </row>
    <row r="550" spans="1:10" s="69" customFormat="1">
      <c r="A550" s="38"/>
      <c r="B550" s="2"/>
      <c r="D550"/>
      <c r="E550"/>
      <c r="F550"/>
      <c r="G550" s="46"/>
      <c r="H550" s="79"/>
      <c r="I550" s="46"/>
      <c r="J550"/>
    </row>
    <row r="551" spans="1:10" s="69" customFormat="1">
      <c r="A551" s="38"/>
      <c r="B551" s="2"/>
      <c r="D551"/>
      <c r="E551"/>
      <c r="F551"/>
      <c r="G551" s="46"/>
      <c r="H551" s="79"/>
      <c r="I551" s="46"/>
      <c r="J551"/>
    </row>
    <row r="552" spans="1:10" s="69" customFormat="1">
      <c r="A552" s="38"/>
      <c r="B552" s="2"/>
      <c r="D552"/>
      <c r="E552"/>
      <c r="F552"/>
      <c r="G552" s="46"/>
      <c r="H552" s="79"/>
      <c r="I552" s="46"/>
      <c r="J552"/>
    </row>
    <row r="553" spans="1:10" s="69" customFormat="1">
      <c r="A553" s="38"/>
      <c r="B553" s="2"/>
      <c r="D553"/>
      <c r="E553"/>
      <c r="F553"/>
      <c r="G553" s="46"/>
      <c r="H553" s="79"/>
      <c r="I553" s="46"/>
      <c r="J553"/>
    </row>
    <row r="554" spans="1:10" s="69" customFormat="1">
      <c r="A554" s="38"/>
      <c r="B554" s="2"/>
      <c r="D554"/>
      <c r="E554"/>
      <c r="F554"/>
      <c r="G554" s="46"/>
      <c r="H554" s="79"/>
      <c r="I554" s="46"/>
      <c r="J554"/>
    </row>
    <row r="555" spans="1:10" s="69" customFormat="1">
      <c r="A555" s="38"/>
      <c r="B555" s="2"/>
      <c r="D555"/>
      <c r="E555"/>
      <c r="F555"/>
      <c r="G555" s="46"/>
      <c r="H555" s="79"/>
      <c r="I555" s="46"/>
      <c r="J555"/>
    </row>
    <row r="556" spans="1:10" s="69" customFormat="1">
      <c r="A556" s="38"/>
      <c r="B556" s="2"/>
      <c r="D556"/>
      <c r="E556"/>
      <c r="F556"/>
      <c r="G556" s="46"/>
      <c r="H556" s="79"/>
      <c r="I556" s="46"/>
      <c r="J556"/>
    </row>
    <row r="557" spans="1:10" s="69" customFormat="1">
      <c r="A557" s="38"/>
      <c r="B557" s="2"/>
      <c r="D557"/>
      <c r="E557"/>
      <c r="F557"/>
      <c r="G557" s="46"/>
      <c r="H557" s="79"/>
      <c r="I557" s="46"/>
      <c r="J557"/>
    </row>
    <row r="558" spans="1:10" s="69" customFormat="1">
      <c r="A558" s="38"/>
      <c r="B558" s="2"/>
      <c r="D558"/>
      <c r="E558"/>
      <c r="F558"/>
      <c r="G558" s="46"/>
      <c r="H558" s="79"/>
      <c r="I558" s="46"/>
      <c r="J558"/>
    </row>
    <row r="559" spans="1:10" s="69" customFormat="1">
      <c r="A559" s="38"/>
      <c r="B559" s="2"/>
      <c r="D559"/>
      <c r="E559"/>
      <c r="F559"/>
      <c r="G559" s="46"/>
      <c r="H559" s="79"/>
      <c r="I559" s="46"/>
      <c r="J559"/>
    </row>
    <row r="560" spans="1:10" s="69" customFormat="1">
      <c r="A560" s="38"/>
      <c r="B560" s="2"/>
      <c r="D560"/>
      <c r="E560"/>
      <c r="F560"/>
      <c r="G560" s="46"/>
      <c r="H560" s="79"/>
      <c r="I560" s="46"/>
      <c r="J560"/>
    </row>
    <row r="561" spans="1:10" s="69" customFormat="1">
      <c r="A561" s="38"/>
      <c r="B561" s="2"/>
      <c r="D561"/>
      <c r="E561"/>
      <c r="F561"/>
      <c r="G561" s="46"/>
      <c r="H561" s="79"/>
      <c r="I561" s="46"/>
      <c r="J561"/>
    </row>
    <row r="562" spans="1:10" s="69" customFormat="1">
      <c r="A562" s="38"/>
      <c r="B562" s="2"/>
      <c r="D562"/>
      <c r="E562"/>
      <c r="F562"/>
      <c r="G562" s="46"/>
      <c r="H562" s="79"/>
      <c r="I562" s="46"/>
      <c r="J562"/>
    </row>
    <row r="563" spans="1:10" s="69" customFormat="1">
      <c r="A563" s="38"/>
      <c r="B563" s="2"/>
      <c r="D563"/>
      <c r="E563"/>
      <c r="F563"/>
      <c r="G563" s="46"/>
      <c r="H563" s="79"/>
      <c r="I563" s="46"/>
      <c r="J563"/>
    </row>
    <row r="564" spans="1:10" s="69" customFormat="1">
      <c r="A564" s="38"/>
      <c r="B564" s="2"/>
      <c r="D564"/>
      <c r="E564"/>
      <c r="F564"/>
      <c r="G564" s="46"/>
      <c r="H564" s="79"/>
      <c r="I564" s="46"/>
      <c r="J564"/>
    </row>
    <row r="565" spans="1:10" s="69" customFormat="1">
      <c r="A565" s="38"/>
      <c r="B565" s="2"/>
      <c r="D565"/>
      <c r="E565"/>
      <c r="F565"/>
      <c r="G565" s="46"/>
      <c r="H565" s="79"/>
      <c r="I565" s="46"/>
      <c r="J565"/>
    </row>
    <row r="566" spans="1:10" s="69" customFormat="1">
      <c r="A566" s="38"/>
      <c r="B566" s="2"/>
      <c r="D566"/>
      <c r="E566"/>
      <c r="F566"/>
      <c r="G566" s="46"/>
      <c r="H566" s="79"/>
      <c r="I566" s="46"/>
      <c r="J566"/>
    </row>
    <row r="567" spans="1:10" s="69" customFormat="1">
      <c r="A567" s="38"/>
      <c r="B567" s="2"/>
      <c r="D567"/>
      <c r="E567"/>
      <c r="F567"/>
      <c r="G567" s="46"/>
      <c r="H567" s="79"/>
      <c r="I567" s="46"/>
      <c r="J567"/>
    </row>
    <row r="568" spans="1:10" s="69" customFormat="1">
      <c r="A568" s="38"/>
      <c r="B568" s="2"/>
      <c r="D568"/>
      <c r="E568"/>
      <c r="F568"/>
      <c r="G568" s="46"/>
      <c r="H568" s="79"/>
      <c r="I568" s="46"/>
      <c r="J568"/>
    </row>
    <row r="569" spans="1:10" s="69" customFormat="1">
      <c r="A569" s="38"/>
      <c r="B569" s="2"/>
      <c r="D569"/>
      <c r="E569"/>
      <c r="F569"/>
      <c r="G569" s="46"/>
      <c r="H569" s="79"/>
      <c r="I569" s="46"/>
      <c r="J569"/>
    </row>
    <row r="570" spans="1:10" s="69" customFormat="1">
      <c r="A570" s="38"/>
      <c r="B570" s="2"/>
      <c r="D570"/>
      <c r="E570"/>
      <c r="F570"/>
      <c r="G570" s="46"/>
      <c r="H570" s="79"/>
      <c r="I570" s="46"/>
      <c r="J570"/>
    </row>
    <row r="571" spans="1:10" s="69" customFormat="1">
      <c r="A571" s="38"/>
      <c r="B571" s="2"/>
      <c r="D571"/>
      <c r="E571"/>
      <c r="F571"/>
      <c r="G571" s="46"/>
      <c r="H571" s="79"/>
      <c r="I571" s="46"/>
      <c r="J571"/>
    </row>
    <row r="572" spans="1:10" s="69" customFormat="1">
      <c r="A572" s="38"/>
      <c r="B572" s="2"/>
      <c r="D572"/>
      <c r="E572"/>
      <c r="F572"/>
      <c r="G572" s="46"/>
      <c r="H572" s="79"/>
      <c r="I572" s="46"/>
      <c r="J572"/>
    </row>
    <row r="573" spans="1:10" s="69" customFormat="1">
      <c r="A573" s="38"/>
      <c r="B573" s="2"/>
      <c r="D573"/>
      <c r="E573"/>
      <c r="F573"/>
      <c r="G573" s="46"/>
      <c r="H573" s="79"/>
      <c r="I573" s="46"/>
      <c r="J573"/>
    </row>
    <row r="574" spans="1:10" s="69" customFormat="1">
      <c r="A574" s="38"/>
      <c r="B574" s="2"/>
      <c r="D574"/>
      <c r="E574"/>
      <c r="F574"/>
      <c r="G574" s="46"/>
      <c r="H574" s="79"/>
      <c r="I574" s="46"/>
      <c r="J574"/>
    </row>
    <row r="575" spans="1:10" s="69" customFormat="1">
      <c r="A575" s="38"/>
      <c r="B575" s="2"/>
      <c r="D575"/>
      <c r="E575"/>
      <c r="F575"/>
      <c r="G575" s="46"/>
      <c r="H575" s="79"/>
      <c r="I575" s="46"/>
      <c r="J575"/>
    </row>
    <row r="576" spans="1:10" s="69" customFormat="1">
      <c r="A576" s="38"/>
      <c r="B576" s="2"/>
      <c r="D576"/>
      <c r="E576"/>
      <c r="F576"/>
      <c r="G576" s="46"/>
      <c r="H576" s="79"/>
      <c r="I576" s="46"/>
      <c r="J576"/>
    </row>
    <row r="577" spans="1:10" s="69" customFormat="1">
      <c r="A577" s="38"/>
      <c r="B577" s="2"/>
      <c r="D577"/>
      <c r="E577"/>
      <c r="F577"/>
      <c r="G577" s="46"/>
      <c r="H577" s="79"/>
      <c r="I577" s="46"/>
      <c r="J577"/>
    </row>
    <row r="578" spans="1:10" s="69" customFormat="1">
      <c r="A578" s="38"/>
      <c r="B578" s="2"/>
      <c r="D578"/>
      <c r="E578"/>
      <c r="F578"/>
      <c r="G578" s="46"/>
      <c r="H578" s="79"/>
      <c r="I578" s="46"/>
      <c r="J578"/>
    </row>
    <row r="579" spans="1:10" s="69" customFormat="1">
      <c r="A579" s="38"/>
      <c r="B579" s="2"/>
      <c r="D579"/>
      <c r="E579"/>
      <c r="F579"/>
      <c r="G579" s="46"/>
      <c r="H579" s="79"/>
      <c r="I579" s="46"/>
      <c r="J579"/>
    </row>
    <row r="580" spans="1:10" s="69" customFormat="1">
      <c r="A580" s="38"/>
      <c r="B580" s="2"/>
      <c r="D580"/>
      <c r="E580"/>
      <c r="F580"/>
      <c r="G580" s="46"/>
      <c r="H580" s="79"/>
      <c r="I580" s="46"/>
      <c r="J580"/>
    </row>
    <row r="581" spans="1:10" s="69" customFormat="1">
      <c r="A581" s="38"/>
      <c r="B581" s="2"/>
      <c r="D581"/>
      <c r="E581"/>
      <c r="F581"/>
      <c r="G581" s="46"/>
      <c r="H581" s="79"/>
      <c r="I581" s="46"/>
      <c r="J581"/>
    </row>
    <row r="582" spans="1:10" s="69" customFormat="1">
      <c r="A582" s="38"/>
      <c r="B582" s="2"/>
      <c r="D582"/>
      <c r="E582"/>
      <c r="F582"/>
      <c r="G582" s="46"/>
      <c r="H582" s="79"/>
      <c r="I582" s="46"/>
      <c r="J582"/>
    </row>
    <row r="583" spans="1:10" s="69" customFormat="1">
      <c r="A583" s="38"/>
      <c r="B583" s="2"/>
      <c r="D583"/>
      <c r="E583"/>
      <c r="F583"/>
      <c r="G583" s="46"/>
      <c r="H583" s="79"/>
      <c r="I583" s="46"/>
      <c r="J583"/>
    </row>
    <row r="584" spans="1:10" s="69" customFormat="1">
      <c r="A584" s="38"/>
      <c r="B584" s="2"/>
      <c r="D584"/>
      <c r="E584"/>
      <c r="F584"/>
      <c r="G584" s="46"/>
      <c r="H584" s="79"/>
      <c r="I584" s="46"/>
      <c r="J584"/>
    </row>
    <row r="585" spans="1:10" s="69" customFormat="1">
      <c r="A585" s="38"/>
      <c r="B585" s="2"/>
      <c r="D585"/>
      <c r="E585"/>
      <c r="F585"/>
      <c r="G585" s="46"/>
      <c r="H585" s="79"/>
      <c r="I585" s="46"/>
      <c r="J585"/>
    </row>
    <row r="586" spans="1:10" s="69" customFormat="1">
      <c r="A586" s="38"/>
      <c r="B586" s="2"/>
      <c r="D586"/>
      <c r="E586"/>
      <c r="F586"/>
      <c r="G586" s="46"/>
      <c r="H586" s="79"/>
      <c r="I586" s="46"/>
      <c r="J586"/>
    </row>
    <row r="587" spans="1:10" s="69" customFormat="1">
      <c r="A587" s="38"/>
      <c r="B587" s="2"/>
      <c r="D587"/>
      <c r="E587"/>
      <c r="F587"/>
      <c r="G587" s="46"/>
      <c r="H587" s="79"/>
      <c r="I587" s="46"/>
      <c r="J587"/>
    </row>
    <row r="588" spans="1:10" s="69" customFormat="1">
      <c r="A588" s="38"/>
      <c r="B588" s="2"/>
      <c r="D588"/>
      <c r="E588"/>
      <c r="F588"/>
      <c r="G588" s="46"/>
      <c r="H588" s="79"/>
      <c r="I588" s="46"/>
      <c r="J588"/>
    </row>
    <row r="589" spans="1:10" s="69" customFormat="1">
      <c r="A589" s="38"/>
      <c r="B589" s="2"/>
      <c r="D589"/>
      <c r="E589"/>
      <c r="F589"/>
      <c r="G589" s="46"/>
      <c r="H589" s="79"/>
      <c r="I589" s="46"/>
      <c r="J589"/>
    </row>
    <row r="590" spans="1:10" s="69" customFormat="1">
      <c r="A590" s="38"/>
      <c r="B590" s="2"/>
      <c r="D590"/>
      <c r="E590"/>
      <c r="F590"/>
      <c r="G590" s="46"/>
      <c r="H590" s="79"/>
      <c r="I590" s="46"/>
      <c r="J590"/>
    </row>
    <row r="591" spans="1:10" s="69" customFormat="1">
      <c r="A591" s="38"/>
      <c r="B591" s="2"/>
      <c r="D591"/>
      <c r="E591"/>
      <c r="F591"/>
      <c r="G591" s="46"/>
      <c r="H591" s="79"/>
      <c r="I591" s="46"/>
      <c r="J591"/>
    </row>
    <row r="592" spans="1:10" s="69" customFormat="1">
      <c r="A592" s="38"/>
      <c r="B592" s="2"/>
      <c r="D592"/>
      <c r="E592"/>
      <c r="F592"/>
      <c r="G592" s="46"/>
      <c r="H592" s="79"/>
      <c r="I592" s="46"/>
      <c r="J592"/>
    </row>
    <row r="593" spans="1:10" s="69" customFormat="1">
      <c r="A593" s="38"/>
      <c r="B593" s="2"/>
      <c r="D593"/>
      <c r="E593"/>
      <c r="F593"/>
      <c r="G593" s="46"/>
      <c r="H593" s="79"/>
      <c r="I593" s="46"/>
      <c r="J593"/>
    </row>
    <row r="594" spans="1:10" s="69" customFormat="1">
      <c r="A594" s="38"/>
      <c r="B594" s="2"/>
      <c r="D594"/>
      <c r="E594"/>
      <c r="F594"/>
      <c r="G594" s="46"/>
      <c r="H594" s="79"/>
      <c r="I594" s="46"/>
      <c r="J594"/>
    </row>
    <row r="595" spans="1:10" s="69" customFormat="1">
      <c r="A595" s="38"/>
      <c r="B595" s="2"/>
      <c r="D595"/>
      <c r="E595"/>
      <c r="F595"/>
      <c r="G595" s="46"/>
      <c r="H595" s="79"/>
      <c r="I595" s="46"/>
      <c r="J595"/>
    </row>
    <row r="596" spans="1:10" s="69" customFormat="1">
      <c r="A596" s="38"/>
      <c r="B596" s="2"/>
      <c r="D596"/>
      <c r="E596"/>
      <c r="F596"/>
      <c r="G596" s="46"/>
      <c r="H596" s="79"/>
      <c r="I596" s="46"/>
      <c r="J596"/>
    </row>
    <row r="597" spans="1:10" s="69" customFormat="1">
      <c r="A597" s="38"/>
      <c r="B597" s="2"/>
      <c r="D597"/>
      <c r="E597"/>
      <c r="F597"/>
      <c r="G597" s="46"/>
      <c r="H597" s="79"/>
      <c r="I597" s="46"/>
      <c r="J597"/>
    </row>
    <row r="598" spans="1:10" s="69" customFormat="1">
      <c r="A598" s="38"/>
      <c r="B598" s="2"/>
      <c r="D598"/>
      <c r="E598"/>
      <c r="F598"/>
      <c r="G598" s="46"/>
      <c r="H598" s="79"/>
      <c r="I598" s="46"/>
      <c r="J598"/>
    </row>
    <row r="599" spans="1:10" s="69" customFormat="1">
      <c r="A599" s="38"/>
      <c r="B599" s="2"/>
      <c r="D599"/>
      <c r="E599"/>
      <c r="F599"/>
      <c r="G599" s="46"/>
      <c r="H599" s="79"/>
      <c r="I599" s="46"/>
      <c r="J599"/>
    </row>
    <row r="600" spans="1:10" s="69" customFormat="1">
      <c r="A600" s="38"/>
      <c r="B600" s="2"/>
      <c r="D600"/>
      <c r="E600"/>
      <c r="F600"/>
      <c r="G600" s="46"/>
      <c r="H600" s="79"/>
      <c r="I600" s="46"/>
      <c r="J600"/>
    </row>
    <row r="601" spans="1:10" s="69" customFormat="1">
      <c r="A601" s="38"/>
      <c r="B601" s="2"/>
      <c r="D601"/>
      <c r="E601"/>
      <c r="F601"/>
      <c r="G601" s="46"/>
      <c r="H601" s="79"/>
      <c r="I601" s="46"/>
      <c r="J601"/>
    </row>
    <row r="602" spans="1:10" s="69" customFormat="1">
      <c r="A602" s="38"/>
      <c r="B602" s="2"/>
      <c r="D602"/>
      <c r="E602"/>
      <c r="F602"/>
      <c r="G602" s="46"/>
      <c r="H602" s="79"/>
      <c r="I602" s="46"/>
      <c r="J602"/>
    </row>
    <row r="603" spans="1:10" s="69" customFormat="1">
      <c r="A603" s="38"/>
      <c r="B603" s="2"/>
      <c r="D603"/>
      <c r="E603"/>
      <c r="F603"/>
      <c r="G603" s="46"/>
      <c r="H603" s="79"/>
      <c r="I603" s="46"/>
      <c r="J603"/>
    </row>
    <row r="604" spans="1:10" s="69" customFormat="1">
      <c r="A604" s="38"/>
      <c r="B604" s="2"/>
      <c r="D604"/>
      <c r="E604"/>
      <c r="F604"/>
      <c r="G604" s="46"/>
      <c r="H604" s="79"/>
      <c r="I604" s="46"/>
      <c r="J604"/>
    </row>
    <row r="605" spans="1:10" s="69" customFormat="1">
      <c r="A605" s="38"/>
      <c r="B605" s="2"/>
      <c r="D605"/>
      <c r="E605"/>
      <c r="F605"/>
      <c r="G605" s="46"/>
      <c r="H605" s="79"/>
      <c r="I605" s="46"/>
      <c r="J605"/>
    </row>
    <row r="606" spans="1:10" s="69" customFormat="1">
      <c r="A606" s="38"/>
      <c r="B606" s="2"/>
      <c r="D606"/>
      <c r="E606"/>
      <c r="F606"/>
      <c r="G606" s="46"/>
      <c r="H606" s="79"/>
      <c r="I606" s="46"/>
      <c r="J606"/>
    </row>
    <row r="607" spans="1:10" s="69" customFormat="1">
      <c r="A607" s="38"/>
      <c r="B607" s="2"/>
      <c r="D607"/>
      <c r="E607"/>
      <c r="F607"/>
      <c r="G607" s="46"/>
      <c r="H607" s="79"/>
      <c r="I607" s="46"/>
      <c r="J607"/>
    </row>
    <row r="608" spans="1:10" s="69" customFormat="1">
      <c r="A608" s="38"/>
      <c r="B608" s="2"/>
      <c r="D608"/>
      <c r="E608"/>
      <c r="F608"/>
      <c r="G608" s="46"/>
      <c r="H608" s="79"/>
      <c r="I608" s="46"/>
      <c r="J608"/>
    </row>
    <row r="609" spans="1:10" s="69" customFormat="1">
      <c r="A609" s="38"/>
      <c r="B609" s="2"/>
      <c r="D609"/>
      <c r="E609"/>
      <c r="F609"/>
      <c r="G609" s="46"/>
      <c r="H609" s="79"/>
      <c r="I609" s="46"/>
      <c r="J609"/>
    </row>
    <row r="610" spans="1:10" s="69" customFormat="1">
      <c r="A610" s="38"/>
      <c r="B610" s="2"/>
      <c r="D610"/>
      <c r="E610"/>
      <c r="F610"/>
      <c r="G610" s="46"/>
      <c r="H610" s="79"/>
      <c r="I610" s="46"/>
      <c r="J610"/>
    </row>
    <row r="611" spans="1:10" s="69" customFormat="1">
      <c r="A611" s="38"/>
      <c r="B611" s="2"/>
      <c r="D611"/>
      <c r="E611"/>
      <c r="F611"/>
      <c r="G611" s="46"/>
      <c r="H611" s="79"/>
      <c r="I611" s="46"/>
      <c r="J611"/>
    </row>
    <row r="612" spans="1:10" s="69" customFormat="1">
      <c r="A612" s="38"/>
      <c r="B612" s="2"/>
      <c r="D612"/>
      <c r="E612"/>
      <c r="F612"/>
      <c r="G612" s="46"/>
      <c r="H612" s="79"/>
      <c r="I612" s="46"/>
      <c r="J612"/>
    </row>
    <row r="613" spans="1:10" s="69" customFormat="1">
      <c r="A613" s="38"/>
      <c r="B613" s="2"/>
      <c r="D613"/>
      <c r="E613"/>
      <c r="F613"/>
      <c r="G613" s="46"/>
      <c r="H613" s="79"/>
      <c r="I613" s="46"/>
      <c r="J613"/>
    </row>
    <row r="614" spans="1:10" s="69" customFormat="1">
      <c r="A614" s="38"/>
      <c r="B614" s="2"/>
      <c r="D614"/>
      <c r="E614"/>
      <c r="F614"/>
      <c r="G614" s="46"/>
      <c r="H614" s="79"/>
      <c r="I614" s="46"/>
      <c r="J614"/>
    </row>
    <row r="615" spans="1:10" s="69" customFormat="1">
      <c r="A615" s="38"/>
      <c r="B615" s="2"/>
      <c r="D615"/>
      <c r="E615"/>
      <c r="F615"/>
      <c r="G615" s="46"/>
      <c r="H615" s="79"/>
      <c r="I615" s="46"/>
      <c r="J615"/>
    </row>
    <row r="616" spans="1:10" s="69" customFormat="1">
      <c r="A616" s="38"/>
      <c r="B616" s="2"/>
      <c r="D616"/>
      <c r="E616"/>
      <c r="F616"/>
      <c r="G616" s="46"/>
      <c r="H616" s="79"/>
      <c r="I616" s="46"/>
      <c r="J616"/>
    </row>
    <row r="617" spans="1:10" s="69" customFormat="1">
      <c r="A617" s="38"/>
      <c r="B617" s="2"/>
      <c r="D617"/>
      <c r="E617"/>
      <c r="F617"/>
      <c r="G617" s="46"/>
      <c r="H617" s="79"/>
      <c r="I617" s="46"/>
      <c r="J617"/>
    </row>
    <row r="618" spans="1:10" s="69" customFormat="1">
      <c r="A618" s="38"/>
      <c r="B618" s="2"/>
      <c r="D618"/>
      <c r="E618"/>
      <c r="F618"/>
      <c r="G618" s="46"/>
      <c r="H618" s="79"/>
      <c r="I618" s="46"/>
      <c r="J618"/>
    </row>
    <row r="619" spans="1:10" s="69" customFormat="1">
      <c r="A619" s="38"/>
      <c r="B619" s="2"/>
      <c r="D619"/>
      <c r="E619"/>
      <c r="F619"/>
      <c r="G619" s="46"/>
      <c r="H619" s="79"/>
      <c r="I619" s="46"/>
      <c r="J619"/>
    </row>
    <row r="620" spans="1:10" s="69" customFormat="1">
      <c r="A620" s="38"/>
      <c r="B620" s="2"/>
      <c r="D620"/>
      <c r="E620"/>
      <c r="F620"/>
      <c r="G620" s="46"/>
      <c r="H620" s="79"/>
      <c r="I620" s="46"/>
      <c r="J620"/>
    </row>
    <row r="621" spans="1:10" s="69" customFormat="1">
      <c r="A621" s="38"/>
      <c r="B621" s="2"/>
      <c r="D621"/>
      <c r="E621"/>
      <c r="F621"/>
      <c r="G621" s="46"/>
      <c r="H621" s="79"/>
      <c r="I621" s="46"/>
      <c r="J621"/>
    </row>
    <row r="622" spans="1:10" s="69" customFormat="1">
      <c r="A622" s="38"/>
      <c r="B622" s="2"/>
      <c r="D622"/>
      <c r="E622"/>
      <c r="F622"/>
      <c r="G622" s="46"/>
      <c r="H622" s="79"/>
      <c r="I622" s="46"/>
      <c r="J622"/>
    </row>
    <row r="623" spans="1:10" s="69" customFormat="1">
      <c r="A623" s="38"/>
      <c r="B623" s="2"/>
      <c r="D623"/>
      <c r="E623"/>
      <c r="F623"/>
      <c r="G623" s="46"/>
      <c r="H623" s="79"/>
      <c r="I623" s="46"/>
      <c r="J623"/>
    </row>
    <row r="624" spans="1:10" s="69" customFormat="1">
      <c r="A624" s="38"/>
      <c r="B624" s="2"/>
      <c r="D624"/>
      <c r="E624"/>
      <c r="F624"/>
      <c r="G624" s="46"/>
      <c r="H624" s="79"/>
      <c r="I624" s="46"/>
      <c r="J624"/>
    </row>
    <row r="625" spans="1:10" s="69" customFormat="1">
      <c r="A625" s="38"/>
      <c r="B625" s="2"/>
      <c r="D625"/>
      <c r="E625"/>
      <c r="F625"/>
      <c r="G625" s="46"/>
      <c r="H625" s="79"/>
      <c r="I625" s="46"/>
      <c r="J625"/>
    </row>
    <row r="626" spans="1:10" s="69" customFormat="1">
      <c r="A626" s="38"/>
      <c r="B626" s="2"/>
      <c r="D626"/>
      <c r="E626"/>
      <c r="F626"/>
      <c r="G626" s="46"/>
      <c r="H626" s="79"/>
      <c r="I626" s="46"/>
      <c r="J626"/>
    </row>
    <row r="627" spans="1:10" s="69" customFormat="1">
      <c r="A627" s="38"/>
      <c r="B627" s="2"/>
      <c r="D627"/>
      <c r="E627"/>
      <c r="F627"/>
      <c r="G627" s="46"/>
      <c r="H627" s="79"/>
      <c r="I627" s="46"/>
      <c r="J627"/>
    </row>
    <row r="628" spans="1:10" s="69" customFormat="1">
      <c r="A628" s="38"/>
      <c r="B628" s="2"/>
      <c r="D628"/>
      <c r="E628"/>
      <c r="F628"/>
      <c r="G628" s="46"/>
      <c r="H628" s="79"/>
      <c r="I628" s="46"/>
      <c r="J628"/>
    </row>
    <row r="629" spans="1:10" s="69" customFormat="1">
      <c r="A629" s="38"/>
      <c r="B629" s="2"/>
      <c r="D629"/>
      <c r="E629"/>
      <c r="F629"/>
      <c r="G629" s="46"/>
      <c r="H629" s="79"/>
      <c r="I629" s="46"/>
      <c r="J629"/>
    </row>
    <row r="630" spans="1:10" s="69" customFormat="1">
      <c r="A630" s="38"/>
      <c r="B630" s="2"/>
      <c r="D630"/>
      <c r="E630"/>
      <c r="F630"/>
      <c r="G630" s="46"/>
      <c r="H630" s="79"/>
      <c r="I630" s="46"/>
      <c r="J630"/>
    </row>
    <row r="631" spans="1:10" s="38" customFormat="1">
      <c r="B631" s="2"/>
      <c r="C631" s="69"/>
      <c r="D631"/>
      <c r="E631"/>
      <c r="F631"/>
      <c r="G631" s="46"/>
      <c r="H631" s="79"/>
      <c r="I631" s="46"/>
      <c r="J631"/>
    </row>
    <row r="632" spans="1:10" s="38" customFormat="1">
      <c r="B632" s="2"/>
      <c r="C632" s="69"/>
      <c r="D632"/>
      <c r="E632"/>
      <c r="F632"/>
      <c r="G632" s="46"/>
      <c r="H632" s="79"/>
      <c r="I632" s="46"/>
      <c r="J632"/>
    </row>
    <row r="633" spans="1:10" s="38" customFormat="1">
      <c r="B633" s="2"/>
      <c r="C633" s="69"/>
      <c r="D633"/>
      <c r="E633"/>
      <c r="F633"/>
      <c r="G633" s="46"/>
      <c r="H633" s="79"/>
      <c r="I633" s="46"/>
      <c r="J633"/>
    </row>
    <row r="634" spans="1:10" s="38" customFormat="1">
      <c r="B634" s="2"/>
      <c r="C634" s="69"/>
      <c r="D634"/>
      <c r="E634"/>
      <c r="F634"/>
      <c r="G634" s="46"/>
      <c r="H634" s="79"/>
      <c r="I634" s="46"/>
      <c r="J634"/>
    </row>
  </sheetData>
  <sheetProtection algorithmName="SHA-512" hashValue="Zp7d792/JFtEM0rQnPjjN2NRgF9LLCvFCKJvn59bxAC1C+072baZNfjliRetE3XQCbX6O97gnZ7HT/MVauqNfQ==" saltValue="tbFY1Np2ms3l16NOxsAxPA==" spinCount="100000" sheet="1" objects="1" scenarios="1"/>
  <autoFilter ref="A1:S634" xr:uid="{00000000-0009-0000-0000-000008000000}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3"/>
  <dimension ref="A1:J36"/>
  <sheetViews>
    <sheetView showGridLines="0" workbookViewId="0">
      <selection activeCell="J8" sqref="J8"/>
    </sheetView>
  </sheetViews>
  <sheetFormatPr defaultRowHeight="15"/>
  <cols>
    <col min="1" max="1" width="70.42578125" customWidth="1"/>
    <col min="5" max="5" width="59.85546875" customWidth="1"/>
    <col min="6" max="6" width="9.85546875" customWidth="1"/>
    <col min="7" max="7" width="13" style="2" customWidth="1"/>
    <col min="10" max="10" width="60.42578125" bestFit="1" customWidth="1"/>
  </cols>
  <sheetData>
    <row r="1" spans="1:10">
      <c r="A1" s="488"/>
      <c r="D1" s="488"/>
      <c r="E1" s="488"/>
      <c r="F1" s="488"/>
      <c r="G1" s="488"/>
      <c r="I1" s="488"/>
      <c r="J1" s="488"/>
    </row>
    <row r="2" spans="1:10">
      <c r="A2" s="486" t="s">
        <v>286</v>
      </c>
      <c r="D2" s="420" t="str">
        <f t="shared" ref="D2:D29" si="0">IF(AND(G2&gt;0,ISNUMBER(G2)),ROW(),"")</f>
        <v/>
      </c>
      <c r="E2" s="420" t="str">
        <f>Produtividade!C194</f>
        <v>2.A - Áreas internas</v>
      </c>
      <c r="F2" s="420"/>
      <c r="G2" s="428" t="str">
        <f>IFERROR(INDEX(Produtividade!L:L,MATCH(E2,Produtividade!C:C,0)),"")</f>
        <v>Área mensal</v>
      </c>
      <c r="I2" s="420" t="str">
        <f>IFERROR(SMALL(D:D,ROW()-1),"")</f>
        <v/>
      </c>
      <c r="J2" s="420" t="str">
        <f t="shared" ref="J2:J19" si="1">IF($I2="","",INDEX(E:E,MATCH($I2,$D:$D,0)))</f>
        <v/>
      </c>
    </row>
    <row r="3" spans="1:10">
      <c r="A3" s="486" t="s">
        <v>287</v>
      </c>
      <c r="D3" s="420" t="str">
        <f t="shared" si="0"/>
        <v/>
      </c>
      <c r="E3" s="420" t="str">
        <f>Produtividade!C195</f>
        <v>Pisos acarpetados</v>
      </c>
      <c r="F3" s="420" t="s">
        <v>450</v>
      </c>
      <c r="G3" s="428">
        <f>IFERROR(INDEX(Produtividade!L:L,MATCH(E3,Produtividade!C:C,0)),"")</f>
        <v>0</v>
      </c>
      <c r="I3" s="420" t="str">
        <f t="shared" ref="I3:I19" si="2">IFERROR(SMALL(D:D,ROW()-1),"")</f>
        <v/>
      </c>
      <c r="J3" s="420" t="str">
        <f t="shared" si="1"/>
        <v/>
      </c>
    </row>
    <row r="4" spans="1:10">
      <c r="A4" s="486" t="s">
        <v>288</v>
      </c>
      <c r="D4" s="420" t="str">
        <f t="shared" si="0"/>
        <v/>
      </c>
      <c r="E4" s="420" t="str">
        <f>Produtividade!C196</f>
        <v>Pisos Frios</v>
      </c>
      <c r="F4" s="420" t="s">
        <v>450</v>
      </c>
      <c r="G4" s="428">
        <f>IFERROR(INDEX(Produtividade!L:L,MATCH(E4,Produtividade!C:C,0)),"")</f>
        <v>0</v>
      </c>
      <c r="I4" s="420" t="str">
        <f t="shared" si="2"/>
        <v/>
      </c>
      <c r="J4" s="420" t="str">
        <f t="shared" si="1"/>
        <v/>
      </c>
    </row>
    <row r="5" spans="1:10">
      <c r="A5" s="486" t="s">
        <v>289</v>
      </c>
      <c r="D5" s="420" t="str">
        <f t="shared" si="0"/>
        <v/>
      </c>
      <c r="E5" s="420" t="str">
        <f>Produtividade!C197</f>
        <v>Laboratoriais</v>
      </c>
      <c r="F5" s="420" t="s">
        <v>450</v>
      </c>
      <c r="G5" s="428">
        <f>IFERROR(INDEX(Produtividade!L:L,MATCH(E5,Produtividade!C:C,0)),"")</f>
        <v>0</v>
      </c>
      <c r="I5" s="420" t="str">
        <f t="shared" si="2"/>
        <v/>
      </c>
      <c r="J5" s="420" t="str">
        <f t="shared" si="1"/>
        <v/>
      </c>
    </row>
    <row r="6" spans="1:10">
      <c r="A6" s="486" t="s">
        <v>290</v>
      </c>
      <c r="D6" s="420" t="str">
        <f t="shared" si="0"/>
        <v/>
      </c>
      <c r="E6" s="420" t="str">
        <f>Produtividade!C198</f>
        <v>Almoxarifados/galpões</v>
      </c>
      <c r="F6" s="420" t="s">
        <v>450</v>
      </c>
      <c r="G6" s="428">
        <f>IFERROR(INDEX(Produtividade!L:L,MATCH(E6,Produtividade!C:C,0)),"")</f>
        <v>0</v>
      </c>
      <c r="I6" s="420" t="str">
        <f t="shared" si="2"/>
        <v/>
      </c>
      <c r="J6" s="420" t="str">
        <f t="shared" si="1"/>
        <v/>
      </c>
    </row>
    <row r="7" spans="1:10">
      <c r="A7" s="486" t="s">
        <v>291</v>
      </c>
      <c r="D7" s="420" t="str">
        <f t="shared" si="0"/>
        <v/>
      </c>
      <c r="E7" s="420" t="str">
        <f>Produtividade!C199</f>
        <v>Oficinas</v>
      </c>
      <c r="F7" s="420" t="s">
        <v>450</v>
      </c>
      <c r="G7" s="428">
        <f>IFERROR(INDEX(Produtividade!L:L,MATCH(E7,Produtividade!C:C,0)),"")</f>
        <v>0</v>
      </c>
      <c r="I7" s="420" t="str">
        <f t="shared" si="2"/>
        <v/>
      </c>
      <c r="J7" s="420" t="str">
        <f t="shared" si="1"/>
        <v/>
      </c>
    </row>
    <row r="8" spans="1:10">
      <c r="A8" s="486" t="s">
        <v>292</v>
      </c>
      <c r="D8" s="420" t="str">
        <f t="shared" si="0"/>
        <v/>
      </c>
      <c r="E8" s="420" t="str">
        <f>Produtividade!C200</f>
        <v>Áreas com espaços livres - saguão, hall e salão</v>
      </c>
      <c r="F8" s="420" t="s">
        <v>450</v>
      </c>
      <c r="G8" s="428">
        <f>IFERROR(INDEX(Produtividade!L:L,MATCH(E8,Produtividade!C:C,0)),"")</f>
        <v>0</v>
      </c>
      <c r="I8" s="420" t="str">
        <f t="shared" si="2"/>
        <v/>
      </c>
      <c r="J8" s="420" t="str">
        <f t="shared" si="1"/>
        <v/>
      </c>
    </row>
    <row r="9" spans="1:10">
      <c r="A9" s="486" t="s">
        <v>293</v>
      </c>
      <c r="D9" s="420" t="str">
        <f t="shared" si="0"/>
        <v/>
      </c>
      <c r="E9" s="420" t="str">
        <f>Produtividade!C201</f>
        <v>Banheiros</v>
      </c>
      <c r="F9" s="420" t="s">
        <v>450</v>
      </c>
      <c r="G9" s="428">
        <f>IFERROR(INDEX(Produtividade!L:L,MATCH(E9,Produtividade!C:C,0)),"")</f>
        <v>0</v>
      </c>
      <c r="I9" s="420" t="str">
        <f t="shared" si="2"/>
        <v/>
      </c>
      <c r="J9" s="420" t="str">
        <f t="shared" si="1"/>
        <v/>
      </c>
    </row>
    <row r="10" spans="1:10">
      <c r="A10" s="486" t="s">
        <v>294</v>
      </c>
      <c r="D10" s="420" t="str">
        <f t="shared" si="0"/>
        <v/>
      </c>
      <c r="E10" s="420">
        <f>Produtividade!C202</f>
        <v>0</v>
      </c>
      <c r="F10" s="420"/>
      <c r="G10" s="428" t="str">
        <f>IFERROR(INDEX(Produtividade!L:L,MATCH(E10,Produtividade!C:C,0)),"")</f>
        <v/>
      </c>
      <c r="I10" s="420" t="str">
        <f t="shared" si="2"/>
        <v/>
      </c>
      <c r="J10" s="420" t="str">
        <f t="shared" si="1"/>
        <v/>
      </c>
    </row>
    <row r="11" spans="1:10">
      <c r="A11" s="486" t="s">
        <v>295</v>
      </c>
      <c r="D11" s="420" t="str">
        <f t="shared" si="0"/>
        <v/>
      </c>
      <c r="E11" s="420" t="str">
        <f>Produtividade!C203</f>
        <v>2.B - Áreas externas</v>
      </c>
      <c r="F11" s="420"/>
      <c r="G11" s="428" t="str">
        <f>IFERROR(INDEX(Produtividade!L:L,MATCH(E11,Produtividade!C:C,0)),"")</f>
        <v>Área mensal</v>
      </c>
      <c r="I11" s="420" t="str">
        <f t="shared" si="2"/>
        <v/>
      </c>
      <c r="J11" s="420" t="str">
        <f t="shared" si="1"/>
        <v/>
      </c>
    </row>
    <row r="12" spans="1:10">
      <c r="A12" s="486" t="s">
        <v>296</v>
      </c>
      <c r="D12" s="420" t="str">
        <f t="shared" si="0"/>
        <v/>
      </c>
      <c r="E12" s="420" t="str">
        <f>Produtividade!C204</f>
        <v>Pisos pavimentados adjacentes/contíguos às edificações</v>
      </c>
      <c r="F12" s="420" t="s">
        <v>451</v>
      </c>
      <c r="G12" s="428">
        <f>IFERROR(INDEX(Produtividade!L:L,MATCH(E12,Produtividade!C:C,0)),"")</f>
        <v>0</v>
      </c>
      <c r="I12" s="420" t="str">
        <f t="shared" si="2"/>
        <v/>
      </c>
      <c r="J12" s="420" t="str">
        <f t="shared" si="1"/>
        <v/>
      </c>
    </row>
    <row r="13" spans="1:10">
      <c r="A13" s="486" t="s">
        <v>297</v>
      </c>
      <c r="D13" s="420" t="str">
        <f t="shared" si="0"/>
        <v/>
      </c>
      <c r="E13" s="420" t="str">
        <f>Produtividade!C205</f>
        <v>Varrição de passeios e arruamentos</v>
      </c>
      <c r="F13" s="420" t="s">
        <v>451</v>
      </c>
      <c r="G13" s="428">
        <f>IFERROR(INDEX(Produtividade!L:L,MATCH(E13,Produtividade!C:C,0)),"")</f>
        <v>0</v>
      </c>
      <c r="I13" s="420" t="str">
        <f t="shared" si="2"/>
        <v/>
      </c>
      <c r="J13" s="420" t="str">
        <f t="shared" si="1"/>
        <v/>
      </c>
    </row>
    <row r="14" spans="1:10">
      <c r="A14" s="486" t="s">
        <v>298</v>
      </c>
      <c r="D14" s="420" t="str">
        <f t="shared" si="0"/>
        <v/>
      </c>
      <c r="E14" s="420" t="str">
        <f>Produtividade!C206</f>
        <v>Pátios e áreas verdes com alta frequência</v>
      </c>
      <c r="F14" s="420" t="s">
        <v>451</v>
      </c>
      <c r="G14" s="428">
        <f>IFERROR(INDEX(Produtividade!L:L,MATCH(E14,Produtividade!C:C,0)),"")</f>
        <v>0</v>
      </c>
      <c r="I14" s="420" t="str">
        <f t="shared" si="2"/>
        <v/>
      </c>
      <c r="J14" s="420" t="str">
        <f t="shared" si="1"/>
        <v/>
      </c>
    </row>
    <row r="15" spans="1:10">
      <c r="A15" s="486" t="s">
        <v>299</v>
      </c>
      <c r="D15" s="420" t="str">
        <f t="shared" si="0"/>
        <v/>
      </c>
      <c r="E15" s="420" t="str">
        <f>Produtividade!C207</f>
        <v>Pátios e áreas verdes com média frequência</v>
      </c>
      <c r="F15" s="420" t="s">
        <v>451</v>
      </c>
      <c r="G15" s="428">
        <f>IFERROR(INDEX(Produtividade!L:L,MATCH(E15,Produtividade!C:C,0)),"")</f>
        <v>0</v>
      </c>
      <c r="I15" s="420" t="str">
        <f t="shared" si="2"/>
        <v/>
      </c>
      <c r="J15" s="420" t="str">
        <f t="shared" si="1"/>
        <v/>
      </c>
    </row>
    <row r="16" spans="1:10">
      <c r="A16" s="486" t="s">
        <v>300</v>
      </c>
      <c r="D16" s="420" t="str">
        <f t="shared" si="0"/>
        <v/>
      </c>
      <c r="E16" s="420" t="str">
        <f>Produtividade!C208</f>
        <v>Pátios e áreas verdes com baixa frequência</v>
      </c>
      <c r="F16" s="420" t="s">
        <v>451</v>
      </c>
      <c r="G16" s="428">
        <f>IFERROR(INDEX(Produtividade!L:L,MATCH(E16,Produtividade!C:C,0)),"")</f>
        <v>0</v>
      </c>
      <c r="I16" s="420" t="str">
        <f t="shared" si="2"/>
        <v/>
      </c>
      <c r="J16" s="420" t="str">
        <f t="shared" si="1"/>
        <v/>
      </c>
    </row>
    <row r="17" spans="1:10">
      <c r="A17" s="486" t="s">
        <v>301</v>
      </c>
      <c r="D17" s="420" t="str">
        <f t="shared" si="0"/>
        <v/>
      </c>
      <c r="E17" s="420" t="str">
        <f>Produtividade!C209</f>
        <v>Coleta de detritos em pátios e áreas verdes com frequência diária</v>
      </c>
      <c r="F17" s="420" t="s">
        <v>451</v>
      </c>
      <c r="G17" s="428">
        <f>IFERROR(INDEX(Produtividade!L:L,MATCH(E17,Produtividade!C:C,0)),"")</f>
        <v>0</v>
      </c>
      <c r="I17" s="420" t="str">
        <f t="shared" si="2"/>
        <v/>
      </c>
      <c r="J17" s="420" t="str">
        <f t="shared" si="1"/>
        <v/>
      </c>
    </row>
    <row r="18" spans="1:10">
      <c r="A18" s="486" t="s">
        <v>302</v>
      </c>
      <c r="D18" s="420" t="str">
        <f t="shared" si="0"/>
        <v/>
      </c>
      <c r="E18" s="420">
        <f>Produtividade!C210</f>
        <v>0</v>
      </c>
      <c r="F18" s="420"/>
      <c r="G18" s="428" t="str">
        <f>IFERROR(INDEX(Produtividade!L:L,MATCH(E18,Produtividade!C:C,0)),"")</f>
        <v/>
      </c>
      <c r="I18" s="420" t="str">
        <f t="shared" si="2"/>
        <v/>
      </c>
      <c r="J18" s="420" t="str">
        <f t="shared" si="1"/>
        <v/>
      </c>
    </row>
    <row r="19" spans="1:10">
      <c r="A19" s="486" t="s">
        <v>303</v>
      </c>
      <c r="D19" s="420" t="str">
        <f t="shared" si="0"/>
        <v/>
      </c>
      <c r="E19" s="420" t="str">
        <f>Produtividade!C211</f>
        <v>2.C - Esquadrias externas</v>
      </c>
      <c r="F19" s="420"/>
      <c r="G19" s="428" t="str">
        <f>IFERROR(INDEX(Produtividade!L:L,MATCH(E19,Produtividade!C:C,0)),"")</f>
        <v>Área mensal</v>
      </c>
      <c r="I19" s="420" t="str">
        <f t="shared" si="2"/>
        <v/>
      </c>
      <c r="J19" s="420" t="str">
        <f t="shared" si="1"/>
        <v/>
      </c>
    </row>
    <row r="20" spans="1:10">
      <c r="A20" s="486" t="s">
        <v>304</v>
      </c>
      <c r="D20" s="420" t="str">
        <f t="shared" si="0"/>
        <v/>
      </c>
      <c r="E20" s="420" t="str">
        <f>Produtividade!C212</f>
        <v>Face externa com exposição a situação de risco</v>
      </c>
      <c r="F20" s="420" t="s">
        <v>476</v>
      </c>
      <c r="G20" s="428">
        <f>IFERROR(INDEX(Produtividade!L:L,MATCH(E20,Produtividade!C:C,0)),"")</f>
        <v>0</v>
      </c>
      <c r="I20" t="str">
        <f t="shared" ref="I20:I25" si="3">IFERROR(SMALL(D:D,ROW()-1),"")</f>
        <v/>
      </c>
      <c r="J20" t="str">
        <f t="shared" ref="J20:J25" si="4">IF($I20="","",INDEX(E:E,MATCH($I20,$D:$D,0)))</f>
        <v/>
      </c>
    </row>
    <row r="21" spans="1:10">
      <c r="A21" s="486" t="s">
        <v>305</v>
      </c>
      <c r="D21" s="420" t="str">
        <f t="shared" si="0"/>
        <v/>
      </c>
      <c r="E21" s="420" t="str">
        <f>Produtividade!C213</f>
        <v>Face externa sem exposição a situação de risco</v>
      </c>
      <c r="F21" s="420" t="s">
        <v>476</v>
      </c>
      <c r="G21" s="428">
        <f>IFERROR(INDEX(Produtividade!L:L,MATCH(E21,Produtividade!C:C,0)),"")</f>
        <v>0</v>
      </c>
      <c r="I21" t="str">
        <f t="shared" si="3"/>
        <v/>
      </c>
      <c r="J21" t="str">
        <f t="shared" si="4"/>
        <v/>
      </c>
    </row>
    <row r="22" spans="1:10">
      <c r="A22" s="486" t="s">
        <v>306</v>
      </c>
      <c r="D22" s="420" t="str">
        <f t="shared" si="0"/>
        <v/>
      </c>
      <c r="E22" s="420" t="str">
        <f>Produtividade!C214</f>
        <v>Face interna</v>
      </c>
      <c r="F22" s="420" t="s">
        <v>476</v>
      </c>
      <c r="G22" s="428">
        <f>IFERROR(INDEX(Produtividade!L:L,MATCH(E22,Produtividade!C:C,0)),"")</f>
        <v>0</v>
      </c>
      <c r="I22" t="str">
        <f t="shared" si="3"/>
        <v/>
      </c>
      <c r="J22" t="str">
        <f t="shared" si="4"/>
        <v/>
      </c>
    </row>
    <row r="23" spans="1:10">
      <c r="A23" s="486" t="s">
        <v>307</v>
      </c>
      <c r="D23" s="420" t="str">
        <f t="shared" si="0"/>
        <v/>
      </c>
      <c r="E23" s="420">
        <f>Produtividade!C215</f>
        <v>0</v>
      </c>
      <c r="F23" s="420"/>
      <c r="G23" s="428" t="str">
        <f>IFERROR(INDEX(Produtividade!L:L,MATCH(E23,Produtividade!C:C,0)),"")</f>
        <v/>
      </c>
      <c r="I23" t="str">
        <f t="shared" si="3"/>
        <v/>
      </c>
      <c r="J23" t="str">
        <f t="shared" si="4"/>
        <v/>
      </c>
    </row>
    <row r="24" spans="1:10">
      <c r="A24" s="486" t="s">
        <v>308</v>
      </c>
      <c r="D24" s="420" t="str">
        <f t="shared" si="0"/>
        <v/>
      </c>
      <c r="E24" s="420" t="str">
        <f>Produtividade!C216</f>
        <v>2.D - Fachadas</v>
      </c>
      <c r="F24" s="420"/>
      <c r="G24" s="428" t="str">
        <f>IFERROR(INDEX(Produtividade!L:L,MATCH(E24,Produtividade!C:C,0)),"")</f>
        <v>Área mensal</v>
      </c>
      <c r="I24" t="str">
        <f t="shared" si="3"/>
        <v/>
      </c>
      <c r="J24" t="str">
        <f t="shared" si="4"/>
        <v/>
      </c>
    </row>
    <row r="25" spans="1:10">
      <c r="A25" s="486" t="s">
        <v>309</v>
      </c>
      <c r="D25" s="420" t="str">
        <f t="shared" si="0"/>
        <v/>
      </c>
      <c r="E25" s="420" t="str">
        <f>Produtividade!C217</f>
        <v>Fachadas Envidraçadas</v>
      </c>
      <c r="F25" s="420" t="s">
        <v>477</v>
      </c>
      <c r="G25" s="428">
        <f>IFERROR(INDEX(Produtividade!L:L,MATCH(E25,Produtividade!C:C,0)),"")</f>
        <v>0</v>
      </c>
      <c r="I25" t="str">
        <f t="shared" si="3"/>
        <v/>
      </c>
      <c r="J25" t="str">
        <f t="shared" si="4"/>
        <v/>
      </c>
    </row>
    <row r="26" spans="1:10">
      <c r="A26" s="486" t="s">
        <v>310</v>
      </c>
      <c r="D26" s="420" t="str">
        <f t="shared" si="0"/>
        <v/>
      </c>
      <c r="E26" s="420">
        <f>Produtividade!C218</f>
        <v>0</v>
      </c>
      <c r="F26" s="420"/>
      <c r="G26" s="428" t="str">
        <f>IFERROR(INDEX(Produtividade!L:L,MATCH(E26,Produtividade!C:C,0)),"")</f>
        <v/>
      </c>
      <c r="I26" t="str">
        <f>IFERROR(SMALL(D:D,ROW()-1),"")</f>
        <v/>
      </c>
      <c r="J26" t="str">
        <f>IF($I26="","",INDEX(E:E,MATCH($I26,$D:$D,0)))</f>
        <v/>
      </c>
    </row>
    <row r="27" spans="1:10">
      <c r="A27" s="486" t="s">
        <v>311</v>
      </c>
      <c r="D27" s="420" t="str">
        <f t="shared" si="0"/>
        <v/>
      </c>
      <c r="E27" s="420" t="str">
        <f>Produtividade!C219</f>
        <v>2.E - Áreas Hospitalares</v>
      </c>
      <c r="F27" s="420"/>
      <c r="G27" s="428" t="str">
        <f>IFERROR(INDEX(Produtividade!L:L,MATCH(E27,Produtividade!C:C,0)),"")</f>
        <v>Área mensal</v>
      </c>
      <c r="I27" t="str">
        <f>IFERROR(SMALL(D:D,ROW()-1),"")</f>
        <v/>
      </c>
      <c r="J27" t="str">
        <f>IF($I27="","",INDEX(E:E,MATCH($I27,$D:$D,0)))</f>
        <v/>
      </c>
    </row>
    <row r="28" spans="1:10">
      <c r="A28" s="486" t="s">
        <v>312</v>
      </c>
      <c r="D28" s="420" t="str">
        <f t="shared" si="0"/>
        <v/>
      </c>
      <c r="E28" s="420" t="str">
        <f>Produtividade!C220</f>
        <v>Áreas Hospitalares e assemelhadas</v>
      </c>
      <c r="F28" s="420" t="s">
        <v>478</v>
      </c>
      <c r="G28" s="428">
        <f>IFERROR(INDEX(Produtividade!L:L,MATCH(E28,Produtividade!C:C,0)),"")</f>
        <v>0</v>
      </c>
      <c r="I28" t="str">
        <f>IFERROR(SMALL(D:D,ROW()-1),"")</f>
        <v/>
      </c>
      <c r="J28" t="str">
        <f>IF($I28="","",INDEX(E:E,MATCH($I28,$D:$D,0)))</f>
        <v/>
      </c>
    </row>
    <row r="29" spans="1:10">
      <c r="A29" s="486" t="s">
        <v>313</v>
      </c>
      <c r="D29" s="420" t="str">
        <f t="shared" si="0"/>
        <v/>
      </c>
      <c r="E29" s="420">
        <f>Produtividade!C221</f>
        <v>0</v>
      </c>
      <c r="F29" s="420"/>
      <c r="G29" s="428" t="str">
        <f>IFERROR(INDEX(Produtividade!L:L,MATCH(E29,Produtividade!C:C,0)),"")</f>
        <v/>
      </c>
      <c r="I29" t="str">
        <f>IFERROR(SMALL(D:D,ROW()-1),"")</f>
        <v/>
      </c>
      <c r="J29" t="str">
        <f>IF($I29="","",INDEX(E:E,MATCH($I29,$D:$D,0)))</f>
        <v/>
      </c>
    </row>
    <row r="30" spans="1:10">
      <c r="A30" s="486" t="s">
        <v>314</v>
      </c>
      <c r="G30"/>
    </row>
    <row r="31" spans="1:10">
      <c r="A31" s="486" t="s">
        <v>315</v>
      </c>
      <c r="G31"/>
    </row>
    <row r="32" spans="1:10">
      <c r="A32" s="486" t="s">
        <v>316</v>
      </c>
      <c r="G32"/>
    </row>
    <row r="33" spans="1:1">
      <c r="A33" s="486"/>
    </row>
    <row r="34" spans="1:1">
      <c r="A34" s="486"/>
    </row>
    <row r="35" spans="1:1">
      <c r="A35" s="486"/>
    </row>
    <row r="36" spans="1:1">
      <c r="A36" s="487"/>
    </row>
  </sheetData>
  <sheetProtection algorithmName="SHA-512" hashValue="ZMX2kdvePQgNSEeFvpdi9HxCb+ujXLEpAHnB/7op7IZxJJPdiEuWCgqti95D+Oj3oru0AqhWB63FnFYnxycdvg==" saltValue="ZDOCMHnetJaErTFlju+95A==" spinCount="100000" sheet="1" objects="1" scenarios="1"/>
  <conditionalFormatting sqref="G2:G29">
    <cfRule type="expression" dxfId="0" priority="1">
      <formula>$H$5=1</formula>
    </cfRule>
  </conditionalFormatting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2</vt:i4>
      </vt:variant>
    </vt:vector>
  </HeadingPairs>
  <TitlesOfParts>
    <vt:vector size="12" baseType="lpstr">
      <vt:lpstr>Mão de Obra</vt:lpstr>
      <vt:lpstr>Produtividade</vt:lpstr>
      <vt:lpstr>Veículos</vt:lpstr>
      <vt:lpstr>Mat Individual e Uniformes func</vt:lpstr>
      <vt:lpstr>Mat Coletivo e Equipamentos</vt:lpstr>
      <vt:lpstr>Proposta</vt:lpstr>
      <vt:lpstr>Apoio - Regime de Trabalho</vt:lpstr>
      <vt:lpstr>Apoio - Notas Explicativas</vt:lpstr>
      <vt:lpstr>Apoio - Posto</vt:lpstr>
      <vt:lpstr>Apoio - Dados</vt:lpstr>
      <vt:lpstr>'Mão de Obra'!Area_de_impressao</vt:lpstr>
      <vt:lpstr>Produtividade!Area_de_impressao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Machry</dc:creator>
  <cp:lastModifiedBy>Antônio Cláudio Ferreira Sciortino</cp:lastModifiedBy>
  <cp:lastPrinted>2024-08-21T21:37:30Z</cp:lastPrinted>
  <dcterms:created xsi:type="dcterms:W3CDTF">2015-06-05T18:19:34Z</dcterms:created>
  <dcterms:modified xsi:type="dcterms:W3CDTF">2024-10-10T17:52:09Z</dcterms:modified>
</cp:coreProperties>
</file>