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abio\Downloads\"/>
    </mc:Choice>
  </mc:AlternateContent>
  <xr:revisionPtr revIDLastSave="0" documentId="13_ncr:1_{737898A3-C3FE-4AD5-BEAE-495B0E575F1F}" xr6:coauthVersionLast="47" xr6:coauthVersionMax="47" xr10:uidLastSave="{00000000-0000-0000-0000-000000000000}"/>
  <bookViews>
    <workbookView xWindow="-108" yWindow="-108" windowWidth="23256" windowHeight="12456" tabRatio="500" xr2:uid="{00000000-000D-0000-FFFF-FFFF00000000}"/>
  </bookViews>
  <sheets>
    <sheet name="Mão de Obra" sheetId="1" r:id="rId1"/>
    <sheet name="Mat Individual e Uniformes" sheetId="2" r:id="rId2"/>
    <sheet name="Mat Coletivo e Equipamentos" sheetId="3" r:id="rId3"/>
    <sheet name="Veículos" sheetId="4" r:id="rId4"/>
    <sheet name="Produtividade" sheetId="5" state="hidden" r:id="rId5"/>
    <sheet name="Proposta" sheetId="6" r:id="rId6"/>
    <sheet name="Apoio - Regime de Trabalho" sheetId="7" state="hidden" r:id="rId7"/>
    <sheet name="Apoio - Notas Explicativas" sheetId="8" r:id="rId8"/>
    <sheet name="Apoio - Posto" sheetId="9" state="hidden" r:id="rId9"/>
    <sheet name="Apoio - Dados" sheetId="10"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E29" i="10" l="1"/>
  <c r="E28" i="10"/>
  <c r="E27" i="10"/>
  <c r="E26" i="10"/>
  <c r="E25" i="10"/>
  <c r="E24" i="10"/>
  <c r="E23" i="10"/>
  <c r="E22" i="10"/>
  <c r="E21" i="10"/>
  <c r="E20" i="10"/>
  <c r="E19" i="10"/>
  <c r="E18" i="10"/>
  <c r="E17" i="10"/>
  <c r="E16" i="10"/>
  <c r="E15" i="10"/>
  <c r="E14" i="10"/>
  <c r="E13" i="10"/>
  <c r="E12" i="10"/>
  <c r="E11" i="10"/>
  <c r="E10" i="10"/>
  <c r="E9" i="10"/>
  <c r="E8" i="10"/>
  <c r="E7" i="10"/>
  <c r="E6" i="10"/>
  <c r="E5" i="10"/>
  <c r="E4" i="10"/>
  <c r="E3" i="10"/>
  <c r="E2" i="10"/>
  <c r="S21" i="9"/>
  <c r="G21" i="9"/>
  <c r="S20" i="9"/>
  <c r="G20" i="9"/>
  <c r="S19" i="9"/>
  <c r="G19" i="9"/>
  <c r="S18" i="9"/>
  <c r="G18" i="9"/>
  <c r="S17" i="9"/>
  <c r="L17" i="9"/>
  <c r="J16" i="9"/>
  <c r="J15" i="9"/>
  <c r="J14" i="9"/>
  <c r="J13" i="9"/>
  <c r="J12" i="9"/>
  <c r="J11" i="9"/>
  <c r="J10" i="9"/>
  <c r="J9" i="9"/>
  <c r="J8" i="9"/>
  <c r="J7" i="9"/>
  <c r="J6" i="9"/>
  <c r="J5" i="9"/>
  <c r="J4" i="9"/>
  <c r="J3" i="9"/>
  <c r="L143" i="8"/>
  <c r="M143" i="8" s="1"/>
  <c r="N143" i="8" s="1"/>
  <c r="O143" i="8" s="1"/>
  <c r="P143" i="8" s="1"/>
  <c r="I143" i="8"/>
  <c r="K143" i="8" s="1"/>
  <c r="I142" i="8"/>
  <c r="K108" i="8"/>
  <c r="L108" i="8" s="1"/>
  <c r="M108" i="8" s="1"/>
  <c r="N108" i="8" s="1"/>
  <c r="O108" i="8" s="1"/>
  <c r="P108" i="8" s="1"/>
  <c r="J108" i="8"/>
  <c r="I108" i="8"/>
  <c r="K107" i="8"/>
  <c r="L107" i="8" s="1"/>
  <c r="M107" i="8" s="1"/>
  <c r="N107" i="8" s="1"/>
  <c r="O107" i="8" s="1"/>
  <c r="P107" i="8" s="1"/>
  <c r="I107" i="8"/>
  <c r="J107" i="8" s="1"/>
  <c r="H104" i="8"/>
  <c r="I104" i="8" s="1"/>
  <c r="H103" i="8"/>
  <c r="I103" i="8" s="1"/>
  <c r="H102" i="8"/>
  <c r="I102" i="8" s="1"/>
  <c r="N101" i="8"/>
  <c r="O101" i="8" s="1"/>
  <c r="P101" i="8" s="1"/>
  <c r="J101" i="8"/>
  <c r="H101" i="8"/>
  <c r="I101" i="8" s="1"/>
  <c r="K101" i="8" s="1"/>
  <c r="L101" i="8" s="1"/>
  <c r="M101" i="8" s="1"/>
  <c r="I100" i="8"/>
  <c r="H100" i="8"/>
  <c r="H96" i="8"/>
  <c r="I96" i="8" s="1"/>
  <c r="J95" i="8"/>
  <c r="H95" i="8"/>
  <c r="I95" i="8" s="1"/>
  <c r="K95" i="8" s="1"/>
  <c r="L95" i="8" s="1"/>
  <c r="M95" i="8" s="1"/>
  <c r="N95" i="8" s="1"/>
  <c r="O95" i="8" s="1"/>
  <c r="P95" i="8" s="1"/>
  <c r="I94" i="8"/>
  <c r="N93" i="8"/>
  <c r="O93" i="8" s="1"/>
  <c r="P93" i="8" s="1"/>
  <c r="M93" i="8"/>
  <c r="J93" i="8"/>
  <c r="I93" i="8"/>
  <c r="K93" i="8" s="1"/>
  <c r="L93" i="8" s="1"/>
  <c r="K92" i="8"/>
  <c r="L92" i="8" s="1"/>
  <c r="M92" i="8" s="1"/>
  <c r="N92" i="8" s="1"/>
  <c r="O92" i="8" s="1"/>
  <c r="P92" i="8" s="1"/>
  <c r="J92" i="8"/>
  <c r="I92" i="8"/>
  <c r="H91" i="8"/>
  <c r="M90" i="8"/>
  <c r="N90" i="8" s="1"/>
  <c r="O90" i="8" s="1"/>
  <c r="P90" i="8" s="1"/>
  <c r="J90" i="8"/>
  <c r="I90" i="8"/>
  <c r="K90" i="8" s="1"/>
  <c r="L90" i="8" s="1"/>
  <c r="K89" i="8"/>
  <c r="L89" i="8" s="1"/>
  <c r="M89" i="8" s="1"/>
  <c r="N89" i="8" s="1"/>
  <c r="O89" i="8" s="1"/>
  <c r="P89" i="8" s="1"/>
  <c r="J89" i="8"/>
  <c r="I89" i="8"/>
  <c r="O88" i="8"/>
  <c r="P88" i="8" s="1"/>
  <c r="L88" i="8"/>
  <c r="M88" i="8" s="1"/>
  <c r="N88" i="8" s="1"/>
  <c r="K88" i="8"/>
  <c r="I88" i="8"/>
  <c r="J88" i="8" s="1"/>
  <c r="Q87" i="8"/>
  <c r="I87" i="8"/>
  <c r="Q86" i="8"/>
  <c r="M86" i="8"/>
  <c r="N86" i="8" s="1"/>
  <c r="O86" i="8" s="1"/>
  <c r="P86" i="8" s="1"/>
  <c r="J86" i="8"/>
  <c r="I86" i="8"/>
  <c r="K86" i="8" s="1"/>
  <c r="L86" i="8" s="1"/>
  <c r="N85" i="8"/>
  <c r="O85" i="8" s="1"/>
  <c r="P85" i="8" s="1"/>
  <c r="I85" i="8"/>
  <c r="K85" i="8" s="1"/>
  <c r="L85" i="8" s="1"/>
  <c r="M85" i="8" s="1"/>
  <c r="L84" i="8"/>
  <c r="M84" i="8" s="1"/>
  <c r="N84" i="8" s="1"/>
  <c r="O84" i="8" s="1"/>
  <c r="P84" i="8" s="1"/>
  <c r="K84" i="8"/>
  <c r="J84" i="8"/>
  <c r="I84" i="8"/>
  <c r="Q79" i="8"/>
  <c r="L79" i="8"/>
  <c r="M79" i="8" s="1"/>
  <c r="N79" i="8" s="1"/>
  <c r="O79" i="8" s="1"/>
  <c r="P79" i="8" s="1"/>
  <c r="K79" i="8"/>
  <c r="I79" i="8"/>
  <c r="J79" i="8" s="1"/>
  <c r="J77" i="8"/>
  <c r="H77" i="8"/>
  <c r="I77" i="8" s="1"/>
  <c r="K77" i="8" s="1"/>
  <c r="O75" i="8"/>
  <c r="P75" i="8" s="1"/>
  <c r="N75" i="8"/>
  <c r="J75" i="8"/>
  <c r="H75" i="8"/>
  <c r="I75" i="8" s="1"/>
  <c r="K75" i="8" s="1"/>
  <c r="L75" i="8" s="1"/>
  <c r="M75" i="8" s="1"/>
  <c r="I74" i="8"/>
  <c r="H74" i="8"/>
  <c r="N71" i="8"/>
  <c r="O71" i="8" s="1"/>
  <c r="P71" i="8" s="1"/>
  <c r="L71" i="8"/>
  <c r="M71" i="8" s="1"/>
  <c r="K71" i="8"/>
  <c r="J71" i="8"/>
  <c r="I71" i="8"/>
  <c r="Q70" i="8"/>
  <c r="M70" i="8"/>
  <c r="N70" i="8" s="1"/>
  <c r="O70" i="8" s="1"/>
  <c r="P70" i="8" s="1"/>
  <c r="L70" i="8"/>
  <c r="K70" i="8"/>
  <c r="I70" i="8"/>
  <c r="J70" i="8" s="1"/>
  <c r="Q69" i="8"/>
  <c r="L69" i="8"/>
  <c r="M69" i="8" s="1"/>
  <c r="N69" i="8" s="1"/>
  <c r="O69" i="8" s="1"/>
  <c r="P69" i="8" s="1"/>
  <c r="J69" i="8"/>
  <c r="I69" i="8"/>
  <c r="K69" i="8" s="1"/>
  <c r="I68" i="8"/>
  <c r="L67" i="8"/>
  <c r="M67" i="8" s="1"/>
  <c r="N67" i="8" s="1"/>
  <c r="O67" i="8" s="1"/>
  <c r="P67" i="8" s="1"/>
  <c r="K67" i="8"/>
  <c r="J67" i="8"/>
  <c r="I67" i="8"/>
  <c r="Q66" i="8"/>
  <c r="L66" i="8"/>
  <c r="M66" i="8" s="1"/>
  <c r="N66" i="8" s="1"/>
  <c r="O66" i="8" s="1"/>
  <c r="P66" i="8" s="1"/>
  <c r="K66" i="8"/>
  <c r="I66" i="8"/>
  <c r="J66" i="8" s="1"/>
  <c r="Q51" i="8"/>
  <c r="H51" i="8"/>
  <c r="Q49" i="8"/>
  <c r="L49" i="8"/>
  <c r="M49" i="8" s="1"/>
  <c r="N49" i="8" s="1"/>
  <c r="O49" i="8" s="1"/>
  <c r="P49" i="8" s="1"/>
  <c r="K49" i="8"/>
  <c r="I49" i="8"/>
  <c r="J49" i="8" s="1"/>
  <c r="I48" i="8"/>
  <c r="I47" i="8" s="1"/>
  <c r="Q47" i="8"/>
  <c r="H47" i="8"/>
  <c r="Q46" i="8"/>
  <c r="Q44" i="8"/>
  <c r="Q42" i="8"/>
  <c r="Q41" i="8"/>
  <c r="Q37" i="8"/>
  <c r="P37" i="8"/>
  <c r="O37" i="8"/>
  <c r="N37" i="8"/>
  <c r="M37" i="8"/>
  <c r="L37" i="8"/>
  <c r="K37" i="8"/>
  <c r="J37" i="8"/>
  <c r="I37" i="8"/>
  <c r="H37" i="8"/>
  <c r="Q36" i="8"/>
  <c r="D66" i="5" s="1"/>
  <c r="P36" i="8"/>
  <c r="O36" i="8"/>
  <c r="N36" i="8"/>
  <c r="M36" i="8"/>
  <c r="L36" i="8"/>
  <c r="K36" i="8"/>
  <c r="J36" i="8"/>
  <c r="I36" i="8"/>
  <c r="H36" i="8"/>
  <c r="H38" i="8" s="1"/>
  <c r="Q18" i="8"/>
  <c r="Q17" i="8"/>
  <c r="D9" i="8"/>
  <c r="D7" i="8" s="1"/>
  <c r="F7" i="8"/>
  <c r="I16" i="7"/>
  <c r="H16" i="7"/>
  <c r="G16" i="7"/>
  <c r="J16" i="7" s="1"/>
  <c r="I15" i="7"/>
  <c r="H15" i="7"/>
  <c r="G15" i="7"/>
  <c r="J15" i="7" s="1"/>
  <c r="G27" i="5" s="1"/>
  <c r="I14" i="7"/>
  <c r="H14" i="7"/>
  <c r="G14" i="7"/>
  <c r="J14" i="7" s="1"/>
  <c r="I13" i="7"/>
  <c r="H13" i="7"/>
  <c r="G13" i="7"/>
  <c r="J13" i="7" s="1"/>
  <c r="I12" i="7"/>
  <c r="G12" i="7"/>
  <c r="J12" i="7" s="1"/>
  <c r="I11" i="7"/>
  <c r="H11" i="7"/>
  <c r="G11" i="7"/>
  <c r="J11" i="7" s="1"/>
  <c r="I10" i="7"/>
  <c r="H10" i="7"/>
  <c r="G10" i="7"/>
  <c r="J10" i="7" s="1"/>
  <c r="I9" i="7"/>
  <c r="H9" i="7"/>
  <c r="G9" i="7"/>
  <c r="J9" i="7" s="1"/>
  <c r="I8" i="7"/>
  <c r="H8" i="7"/>
  <c r="G8" i="7"/>
  <c r="J8" i="7" s="1"/>
  <c r="I7" i="7"/>
  <c r="H7" i="7"/>
  <c r="G7" i="7"/>
  <c r="J7" i="7" s="1"/>
  <c r="I6" i="7"/>
  <c r="H6" i="7"/>
  <c r="G6" i="7"/>
  <c r="J6" i="7" s="1"/>
  <c r="I5" i="7"/>
  <c r="H5" i="7"/>
  <c r="G5" i="7"/>
  <c r="J5" i="7" s="1"/>
  <c r="J4" i="7"/>
  <c r="I4" i="7"/>
  <c r="I3" i="7"/>
  <c r="J3" i="7" s="1"/>
  <c r="F40" i="6"/>
  <c r="D40" i="6"/>
  <c r="B40" i="6"/>
  <c r="F39" i="6"/>
  <c r="D39" i="6"/>
  <c r="B39" i="6"/>
  <c r="F38" i="6"/>
  <c r="D38" i="6"/>
  <c r="B38" i="6"/>
  <c r="F37" i="6"/>
  <c r="D37" i="6"/>
  <c r="B37" i="6"/>
  <c r="F36" i="6"/>
  <c r="D36" i="6"/>
  <c r="B36" i="6"/>
  <c r="E26" i="6"/>
  <c r="D26" i="6"/>
  <c r="C26" i="6"/>
  <c r="B26" i="6"/>
  <c r="E25" i="6"/>
  <c r="D25" i="6"/>
  <c r="C25" i="6"/>
  <c r="B25" i="6"/>
  <c r="E24" i="6"/>
  <c r="D24" i="6"/>
  <c r="C24" i="6"/>
  <c r="B24" i="6"/>
  <c r="E23" i="6"/>
  <c r="D23" i="6"/>
  <c r="C23" i="6"/>
  <c r="B23" i="6"/>
  <c r="E22" i="6"/>
  <c r="D22" i="6"/>
  <c r="C22" i="6"/>
  <c r="B22" i="6"/>
  <c r="E21" i="6"/>
  <c r="D21" i="6"/>
  <c r="C21" i="6"/>
  <c r="B21" i="6"/>
  <c r="E20" i="6"/>
  <c r="D20" i="6"/>
  <c r="C20" i="6"/>
  <c r="B20" i="6"/>
  <c r="E19" i="6"/>
  <c r="D19" i="6"/>
  <c r="C19" i="6"/>
  <c r="B19" i="6"/>
  <c r="E18" i="6"/>
  <c r="D18" i="6"/>
  <c r="C18" i="6"/>
  <c r="B18" i="6"/>
  <c r="E17" i="6"/>
  <c r="E27" i="6" s="1"/>
  <c r="D17" i="6"/>
  <c r="C17" i="6"/>
  <c r="B17" i="6"/>
  <c r="J10" i="6"/>
  <c r="J9" i="6"/>
  <c r="B8" i="6"/>
  <c r="J7" i="6"/>
  <c r="C7" i="6"/>
  <c r="J6" i="6"/>
  <c r="C6" i="6"/>
  <c r="B3" i="6"/>
  <c r="K219" i="5"/>
  <c r="K218" i="5"/>
  <c r="K216" i="5"/>
  <c r="K215" i="5"/>
  <c r="K213" i="5"/>
  <c r="K211" i="5"/>
  <c r="K210" i="5"/>
  <c r="K208" i="5"/>
  <c r="K207" i="5"/>
  <c r="K206" i="5"/>
  <c r="K203" i="5"/>
  <c r="K202" i="5"/>
  <c r="K200" i="5"/>
  <c r="K199" i="5"/>
  <c r="K198" i="5"/>
  <c r="K197" i="5"/>
  <c r="K196" i="5"/>
  <c r="K195" i="5"/>
  <c r="K194" i="5"/>
  <c r="K193" i="5"/>
  <c r="I175" i="5"/>
  <c r="I176" i="5" s="1"/>
  <c r="I174" i="5"/>
  <c r="I173" i="5"/>
  <c r="I168" i="5"/>
  <c r="I166" i="5"/>
  <c r="I163" i="5"/>
  <c r="H163" i="5"/>
  <c r="G163" i="5"/>
  <c r="F163" i="5"/>
  <c r="E163" i="5"/>
  <c r="I160" i="5"/>
  <c r="I157" i="5"/>
  <c r="I156" i="5"/>
  <c r="I155" i="5"/>
  <c r="I150" i="5"/>
  <c r="I180" i="5" s="1"/>
  <c r="I186" i="5" s="1"/>
  <c r="I149" i="5"/>
  <c r="D149" i="5"/>
  <c r="I148" i="5"/>
  <c r="I142" i="5"/>
  <c r="I143" i="5" s="1"/>
  <c r="H142" i="5"/>
  <c r="H143" i="5" s="1"/>
  <c r="G142" i="5"/>
  <c r="G143" i="5" s="1"/>
  <c r="F142" i="5"/>
  <c r="F143" i="5" s="1"/>
  <c r="E142" i="5"/>
  <c r="E143" i="5" s="1"/>
  <c r="I134" i="5"/>
  <c r="D122" i="5"/>
  <c r="I111" i="5"/>
  <c r="H111" i="5"/>
  <c r="G111" i="5"/>
  <c r="F111" i="5"/>
  <c r="E111" i="5"/>
  <c r="I107" i="5"/>
  <c r="H107" i="5"/>
  <c r="G107" i="5"/>
  <c r="F107" i="5"/>
  <c r="E107" i="5"/>
  <c r="D107" i="5"/>
  <c r="I101" i="5"/>
  <c r="H101" i="5"/>
  <c r="G101" i="5"/>
  <c r="F101" i="5"/>
  <c r="E101" i="5"/>
  <c r="I95" i="5"/>
  <c r="I96" i="5" s="1"/>
  <c r="H95" i="5"/>
  <c r="G95" i="5"/>
  <c r="F95" i="5"/>
  <c r="E95" i="5"/>
  <c r="I94" i="5"/>
  <c r="F94" i="5"/>
  <c r="F96" i="5" s="1"/>
  <c r="I93" i="5"/>
  <c r="H93" i="5"/>
  <c r="G93" i="5"/>
  <c r="F93" i="5"/>
  <c r="E93" i="5"/>
  <c r="I90" i="5"/>
  <c r="H90" i="5"/>
  <c r="G90" i="5"/>
  <c r="F90" i="5"/>
  <c r="E90" i="5"/>
  <c r="I89" i="5"/>
  <c r="F89" i="5"/>
  <c r="I88" i="5"/>
  <c r="H88" i="5"/>
  <c r="G88" i="5"/>
  <c r="F88" i="5"/>
  <c r="E88" i="5"/>
  <c r="I87" i="5"/>
  <c r="H87" i="5"/>
  <c r="G87" i="5"/>
  <c r="F87" i="5"/>
  <c r="E87" i="5"/>
  <c r="D80" i="5"/>
  <c r="D77" i="5"/>
  <c r="D75" i="5"/>
  <c r="D73" i="5"/>
  <c r="D72" i="5"/>
  <c r="D67" i="5"/>
  <c r="I59" i="5"/>
  <c r="E59" i="5"/>
  <c r="I56" i="5"/>
  <c r="I55" i="5"/>
  <c r="I38" i="5"/>
  <c r="I37" i="5"/>
  <c r="H37" i="5"/>
  <c r="G37" i="5"/>
  <c r="F37" i="5"/>
  <c r="E37" i="5"/>
  <c r="I34" i="5"/>
  <c r="H34" i="5"/>
  <c r="G34" i="5"/>
  <c r="F34" i="5"/>
  <c r="E34" i="5"/>
  <c r="I29" i="5"/>
  <c r="I28" i="5"/>
  <c r="H28" i="5"/>
  <c r="G28" i="5"/>
  <c r="F28" i="5"/>
  <c r="E28" i="5"/>
  <c r="I25" i="5"/>
  <c r="H25" i="5"/>
  <c r="G25" i="5"/>
  <c r="F25" i="5"/>
  <c r="E25" i="5"/>
  <c r="I24" i="5"/>
  <c r="H24" i="5"/>
  <c r="G24" i="5"/>
  <c r="F24" i="5"/>
  <c r="E24" i="5"/>
  <c r="I23" i="5"/>
  <c r="H23" i="5"/>
  <c r="G23" i="5"/>
  <c r="F23" i="5"/>
  <c r="E23" i="5"/>
  <c r="I22" i="5"/>
  <c r="I165" i="5" s="1"/>
  <c r="H22" i="5"/>
  <c r="G22" i="5"/>
  <c r="F22" i="5"/>
  <c r="E22" i="5"/>
  <c r="I21" i="5"/>
  <c r="I32" i="5" s="1"/>
  <c r="H21" i="5"/>
  <c r="G21" i="5"/>
  <c r="F21" i="5"/>
  <c r="E21" i="5"/>
  <c r="E32" i="5" s="1"/>
  <c r="I20" i="5"/>
  <c r="I161" i="5" s="1"/>
  <c r="H20" i="5"/>
  <c r="H44" i="5" s="1"/>
  <c r="G20" i="5"/>
  <c r="F20" i="5"/>
  <c r="F44" i="5" s="1"/>
  <c r="E20" i="5"/>
  <c r="E44" i="5" s="1"/>
  <c r="I17" i="5"/>
  <c r="D15" i="5"/>
  <c r="D12" i="5"/>
  <c r="A2" i="5"/>
  <c r="I96" i="4"/>
  <c r="K40" i="6" s="1"/>
  <c r="H96" i="4"/>
  <c r="K39" i="6" s="1"/>
  <c r="G96" i="4"/>
  <c r="K38" i="6" s="1"/>
  <c r="F96" i="4"/>
  <c r="K37" i="6" s="1"/>
  <c r="I95" i="4"/>
  <c r="J40" i="6" s="1"/>
  <c r="H95" i="4"/>
  <c r="J39" i="6" s="1"/>
  <c r="G95" i="4"/>
  <c r="J38" i="6" s="1"/>
  <c r="F95" i="4"/>
  <c r="J37" i="6" s="1"/>
  <c r="I94" i="4"/>
  <c r="H94" i="4"/>
  <c r="G94" i="4"/>
  <c r="F94" i="4"/>
  <c r="I93" i="4"/>
  <c r="H93" i="4"/>
  <c r="G93" i="4"/>
  <c r="F93" i="4"/>
  <c r="I90" i="4"/>
  <c r="I40" i="6" s="1"/>
  <c r="H90" i="4"/>
  <c r="I39" i="6" s="1"/>
  <c r="G90" i="4"/>
  <c r="I38" i="6" s="1"/>
  <c r="F90" i="4"/>
  <c r="I37" i="6" s="1"/>
  <c r="I88" i="4"/>
  <c r="H88" i="4"/>
  <c r="G88" i="4"/>
  <c r="F88" i="4"/>
  <c r="I84" i="4"/>
  <c r="E40" i="6" s="1"/>
  <c r="H84" i="4"/>
  <c r="E39" i="6" s="1"/>
  <c r="G84" i="4"/>
  <c r="E38" i="6" s="1"/>
  <c r="F84" i="4"/>
  <c r="E37" i="6" s="1"/>
  <c r="I77" i="4"/>
  <c r="I89" i="4" s="1"/>
  <c r="I85" i="4" s="1"/>
  <c r="G40" i="6" s="1"/>
  <c r="H77" i="4"/>
  <c r="H89" i="4" s="1"/>
  <c r="G77" i="4"/>
  <c r="G89" i="4" s="1"/>
  <c r="F77" i="4"/>
  <c r="F89" i="4" s="1"/>
  <c r="I75" i="4"/>
  <c r="H75" i="4"/>
  <c r="G75" i="4"/>
  <c r="F75" i="4"/>
  <c r="I74" i="4"/>
  <c r="H74" i="4"/>
  <c r="G74" i="4"/>
  <c r="F74" i="4"/>
  <c r="D74" i="4"/>
  <c r="I73" i="4"/>
  <c r="H73" i="4"/>
  <c r="G73" i="4"/>
  <c r="F73" i="4"/>
  <c r="I70" i="4"/>
  <c r="H70" i="4"/>
  <c r="G70" i="4"/>
  <c r="F70" i="4"/>
  <c r="I69" i="4"/>
  <c r="H69" i="4"/>
  <c r="G69" i="4"/>
  <c r="F69" i="4"/>
  <c r="I66" i="4"/>
  <c r="H66" i="4"/>
  <c r="G66" i="4"/>
  <c r="F66" i="4"/>
  <c r="I65" i="4"/>
  <c r="H65" i="4"/>
  <c r="G65" i="4"/>
  <c r="F65" i="4"/>
  <c r="I64" i="4"/>
  <c r="H64" i="4"/>
  <c r="G64" i="4"/>
  <c r="F64" i="4"/>
  <c r="I59" i="4"/>
  <c r="H59" i="4"/>
  <c r="G59" i="4"/>
  <c r="F59" i="4"/>
  <c r="I58" i="4"/>
  <c r="H58" i="4"/>
  <c r="G58" i="4"/>
  <c r="F58" i="4"/>
  <c r="D57" i="4"/>
  <c r="I54" i="4"/>
  <c r="H54" i="4"/>
  <c r="G54" i="4"/>
  <c r="F54" i="4"/>
  <c r="I53" i="4"/>
  <c r="H53" i="4"/>
  <c r="G53" i="4"/>
  <c r="F53" i="4"/>
  <c r="D51" i="4"/>
  <c r="I48" i="4"/>
  <c r="H48" i="4"/>
  <c r="G48" i="4"/>
  <c r="G85" i="4" s="1"/>
  <c r="G38" i="6" s="1"/>
  <c r="F48" i="4"/>
  <c r="I47" i="4"/>
  <c r="H47" i="4"/>
  <c r="G47" i="4"/>
  <c r="F47" i="4"/>
  <c r="E47" i="4"/>
  <c r="I43" i="4"/>
  <c r="H43" i="4"/>
  <c r="G43" i="4"/>
  <c r="F43" i="4"/>
  <c r="I42" i="4"/>
  <c r="H42" i="4"/>
  <c r="G42" i="4"/>
  <c r="F42" i="4"/>
  <c r="E42" i="4"/>
  <c r="I41" i="4"/>
  <c r="H41" i="4"/>
  <c r="G41" i="4"/>
  <c r="F41" i="4"/>
  <c r="E41" i="4"/>
  <c r="I38" i="4"/>
  <c r="H38" i="4"/>
  <c r="G38" i="4"/>
  <c r="F38" i="4"/>
  <c r="E38" i="4"/>
  <c r="I37" i="4"/>
  <c r="H37" i="4"/>
  <c r="G37" i="4"/>
  <c r="F37" i="4"/>
  <c r="E37" i="4"/>
  <c r="I34" i="4"/>
  <c r="I82" i="4" s="1"/>
  <c r="H40" i="6" s="1"/>
  <c r="H34" i="4"/>
  <c r="G34" i="4"/>
  <c r="F34" i="4"/>
  <c r="I33" i="4"/>
  <c r="H33" i="4"/>
  <c r="G33" i="4"/>
  <c r="F33" i="4"/>
  <c r="I32" i="4"/>
  <c r="H32" i="4"/>
  <c r="G32" i="4"/>
  <c r="F32" i="4"/>
  <c r="E32" i="4"/>
  <c r="I26" i="4"/>
  <c r="H26" i="4"/>
  <c r="G26" i="4"/>
  <c r="F26" i="4"/>
  <c r="E26" i="4"/>
  <c r="I21" i="4"/>
  <c r="H21" i="4"/>
  <c r="G21" i="4"/>
  <c r="F21" i="4"/>
  <c r="E21" i="4"/>
  <c r="I17" i="4"/>
  <c r="H17" i="4"/>
  <c r="G17" i="4"/>
  <c r="F17" i="4"/>
  <c r="E17" i="4"/>
  <c r="I12" i="4"/>
  <c r="H12" i="4"/>
  <c r="G12" i="4"/>
  <c r="F12" i="4"/>
  <c r="E12" i="4"/>
  <c r="J205" i="3"/>
  <c r="I205" i="3" s="1"/>
  <c r="J204" i="3"/>
  <c r="I204" i="3"/>
  <c r="J203" i="3"/>
  <c r="I203" i="3" s="1"/>
  <c r="J202" i="3"/>
  <c r="I202" i="3"/>
  <c r="J201" i="3"/>
  <c r="I201" i="3" s="1"/>
  <c r="J200" i="3"/>
  <c r="I200" i="3"/>
  <c r="J199" i="3"/>
  <c r="I199" i="3" s="1"/>
  <c r="J198" i="3"/>
  <c r="I198" i="3"/>
  <c r="J197" i="3"/>
  <c r="I197" i="3" s="1"/>
  <c r="J196" i="3"/>
  <c r="I196" i="3"/>
  <c r="J195" i="3"/>
  <c r="I195" i="3" s="1"/>
  <c r="J194" i="3"/>
  <c r="I194" i="3"/>
  <c r="J193" i="3"/>
  <c r="I193" i="3" s="1"/>
  <c r="J192" i="3"/>
  <c r="I192" i="3"/>
  <c r="J191" i="3"/>
  <c r="I191" i="3" s="1"/>
  <c r="J190" i="3"/>
  <c r="I190" i="3"/>
  <c r="J189" i="3"/>
  <c r="I189" i="3" s="1"/>
  <c r="J188" i="3"/>
  <c r="I188" i="3"/>
  <c r="J187" i="3"/>
  <c r="I187" i="3" s="1"/>
  <c r="J186" i="3"/>
  <c r="I186" i="3"/>
  <c r="J185" i="3"/>
  <c r="I185" i="3" s="1"/>
  <c r="J184" i="3"/>
  <c r="I184" i="3"/>
  <c r="J183" i="3"/>
  <c r="I183" i="3" s="1"/>
  <c r="J182" i="3"/>
  <c r="I182" i="3"/>
  <c r="J181" i="3"/>
  <c r="I181" i="3" s="1"/>
  <c r="J180" i="3"/>
  <c r="I180" i="3"/>
  <c r="J179" i="3"/>
  <c r="I179" i="3" s="1"/>
  <c r="J178" i="3"/>
  <c r="I178" i="3"/>
  <c r="J177" i="3"/>
  <c r="I177" i="3" s="1"/>
  <c r="J176" i="3"/>
  <c r="I176" i="3"/>
  <c r="J175" i="3"/>
  <c r="I175" i="3" s="1"/>
  <c r="J174" i="3"/>
  <c r="I174" i="3"/>
  <c r="J173" i="3"/>
  <c r="I173" i="3" s="1"/>
  <c r="J172" i="3"/>
  <c r="I172" i="3"/>
  <c r="J171" i="3"/>
  <c r="I171" i="3" s="1"/>
  <c r="J170" i="3"/>
  <c r="I170" i="3"/>
  <c r="J169" i="3"/>
  <c r="I169" i="3" s="1"/>
  <c r="J168" i="3"/>
  <c r="I168" i="3"/>
  <c r="J167" i="3"/>
  <c r="I167" i="3" s="1"/>
  <c r="J166" i="3"/>
  <c r="I166" i="3"/>
  <c r="J165" i="3"/>
  <c r="I165" i="3" s="1"/>
  <c r="J164" i="3"/>
  <c r="I164" i="3"/>
  <c r="J163" i="3"/>
  <c r="I163" i="3" s="1"/>
  <c r="J162" i="3"/>
  <c r="I162" i="3"/>
  <c r="J161" i="3"/>
  <c r="I161" i="3" s="1"/>
  <c r="J160" i="3"/>
  <c r="I160" i="3"/>
  <c r="J159" i="3"/>
  <c r="I159" i="3" s="1"/>
  <c r="J158" i="3"/>
  <c r="I158" i="3"/>
  <c r="J157" i="3"/>
  <c r="I157" i="3" s="1"/>
  <c r="J156" i="3"/>
  <c r="I156" i="3"/>
  <c r="J155" i="3"/>
  <c r="I155" i="3" s="1"/>
  <c r="J154" i="3"/>
  <c r="I154" i="3"/>
  <c r="J153" i="3"/>
  <c r="I153" i="3" s="1"/>
  <c r="J152" i="3"/>
  <c r="I152" i="3"/>
  <c r="J151" i="3"/>
  <c r="I151" i="3" s="1"/>
  <c r="J150" i="3"/>
  <c r="I150" i="3"/>
  <c r="J149" i="3"/>
  <c r="I149" i="3" s="1"/>
  <c r="J148" i="3"/>
  <c r="I148" i="3"/>
  <c r="J147" i="3"/>
  <c r="I147" i="3" s="1"/>
  <c r="J146" i="3"/>
  <c r="I146" i="3"/>
  <c r="J145" i="3"/>
  <c r="I145" i="3" s="1"/>
  <c r="J144" i="3"/>
  <c r="I144" i="3"/>
  <c r="J143" i="3"/>
  <c r="I143" i="3" s="1"/>
  <c r="J142" i="3"/>
  <c r="I142" i="3"/>
  <c r="J141" i="3"/>
  <c r="I141" i="3" s="1"/>
  <c r="J140" i="3"/>
  <c r="I140" i="3"/>
  <c r="J139" i="3"/>
  <c r="I139" i="3" s="1"/>
  <c r="J138" i="3"/>
  <c r="I138" i="3"/>
  <c r="J137" i="3"/>
  <c r="I137" i="3" s="1"/>
  <c r="J136" i="3"/>
  <c r="I136" i="3"/>
  <c r="J135" i="3"/>
  <c r="I135" i="3" s="1"/>
  <c r="J134" i="3"/>
  <c r="I134" i="3"/>
  <c r="J133" i="3"/>
  <c r="I133" i="3" s="1"/>
  <c r="J132" i="3"/>
  <c r="I132" i="3"/>
  <c r="J131" i="3"/>
  <c r="I131" i="3" s="1"/>
  <c r="J130" i="3"/>
  <c r="I130" i="3"/>
  <c r="J129" i="3"/>
  <c r="I129" i="3" s="1"/>
  <c r="J128" i="3"/>
  <c r="I128" i="3"/>
  <c r="J127" i="3"/>
  <c r="I127" i="3" s="1"/>
  <c r="J126" i="3"/>
  <c r="I126" i="3"/>
  <c r="J125" i="3"/>
  <c r="I125" i="3" s="1"/>
  <c r="J124" i="3"/>
  <c r="I124" i="3"/>
  <c r="J123" i="3"/>
  <c r="I123" i="3" s="1"/>
  <c r="J122" i="3"/>
  <c r="I122" i="3"/>
  <c r="J121" i="3"/>
  <c r="I121" i="3" s="1"/>
  <c r="J120" i="3"/>
  <c r="I120" i="3"/>
  <c r="J119" i="3"/>
  <c r="I119" i="3" s="1"/>
  <c r="J118" i="3"/>
  <c r="I118" i="3"/>
  <c r="J117" i="3"/>
  <c r="I117" i="3" s="1"/>
  <c r="J116" i="3"/>
  <c r="I116" i="3"/>
  <c r="J115" i="3"/>
  <c r="I115" i="3" s="1"/>
  <c r="J114" i="3"/>
  <c r="I114" i="3"/>
  <c r="J113" i="3"/>
  <c r="I113" i="3" s="1"/>
  <c r="J112" i="3"/>
  <c r="I112" i="3"/>
  <c r="J111" i="3"/>
  <c r="I111" i="3" s="1"/>
  <c r="J110" i="3"/>
  <c r="I110" i="3"/>
  <c r="J109" i="3"/>
  <c r="I109" i="3" s="1"/>
  <c r="J108" i="3"/>
  <c r="I108" i="3"/>
  <c r="J107" i="3"/>
  <c r="I107" i="3" s="1"/>
  <c r="J106" i="3"/>
  <c r="I106" i="3"/>
  <c r="J105" i="3"/>
  <c r="I105" i="3" s="1"/>
  <c r="J104" i="3"/>
  <c r="I104" i="3"/>
  <c r="J103" i="3"/>
  <c r="I103" i="3" s="1"/>
  <c r="J102" i="3"/>
  <c r="I102" i="3"/>
  <c r="J101" i="3"/>
  <c r="I101" i="3" s="1"/>
  <c r="J100" i="3"/>
  <c r="I100" i="3"/>
  <c r="J99" i="3"/>
  <c r="I99" i="3" s="1"/>
  <c r="J98" i="3"/>
  <c r="I98" i="3"/>
  <c r="J97" i="3"/>
  <c r="I97" i="3" s="1"/>
  <c r="J96" i="3"/>
  <c r="I96" i="3"/>
  <c r="J95" i="3"/>
  <c r="I95" i="3" s="1"/>
  <c r="J94" i="3"/>
  <c r="I94" i="3"/>
  <c r="J93" i="3"/>
  <c r="I93" i="3" s="1"/>
  <c r="J92" i="3"/>
  <c r="I92" i="3"/>
  <c r="J91" i="3"/>
  <c r="I91" i="3" s="1"/>
  <c r="J90" i="3"/>
  <c r="I90" i="3" s="1"/>
  <c r="J89" i="3"/>
  <c r="I89" i="3" s="1"/>
  <c r="J88" i="3"/>
  <c r="I88" i="3"/>
  <c r="J87" i="3"/>
  <c r="I87" i="3" s="1"/>
  <c r="J86" i="3"/>
  <c r="I86" i="3"/>
  <c r="J85" i="3"/>
  <c r="I85" i="3" s="1"/>
  <c r="J84" i="3"/>
  <c r="I84" i="3"/>
  <c r="J83" i="3"/>
  <c r="I83" i="3" s="1"/>
  <c r="J82" i="3"/>
  <c r="I82" i="3" s="1"/>
  <c r="J81" i="3"/>
  <c r="I81" i="3" s="1"/>
  <c r="J80" i="3"/>
  <c r="I80" i="3"/>
  <c r="J79" i="3"/>
  <c r="I79" i="3" s="1"/>
  <c r="J78" i="3"/>
  <c r="I78" i="3"/>
  <c r="J77" i="3"/>
  <c r="I77" i="3" s="1"/>
  <c r="J76" i="3"/>
  <c r="I76" i="3"/>
  <c r="J75" i="3"/>
  <c r="I75" i="3" s="1"/>
  <c r="J74" i="3"/>
  <c r="I74" i="3" s="1"/>
  <c r="J73" i="3"/>
  <c r="I73" i="3" s="1"/>
  <c r="J72" i="3"/>
  <c r="I72" i="3"/>
  <c r="J71" i="3"/>
  <c r="I71" i="3" s="1"/>
  <c r="J70" i="3"/>
  <c r="I70" i="3"/>
  <c r="J69" i="3"/>
  <c r="I69" i="3" s="1"/>
  <c r="J68" i="3"/>
  <c r="I68" i="3"/>
  <c r="J67" i="3"/>
  <c r="I67" i="3" s="1"/>
  <c r="J66" i="3"/>
  <c r="I66" i="3" s="1"/>
  <c r="J65" i="3"/>
  <c r="I65" i="3" s="1"/>
  <c r="J64" i="3"/>
  <c r="I64" i="3"/>
  <c r="J63" i="3"/>
  <c r="I63" i="3" s="1"/>
  <c r="J62" i="3"/>
  <c r="I62" i="3"/>
  <c r="J61" i="3"/>
  <c r="I61" i="3" s="1"/>
  <c r="J60" i="3"/>
  <c r="I60" i="3"/>
  <c r="J59" i="3"/>
  <c r="I59" i="3" s="1"/>
  <c r="J58" i="3"/>
  <c r="I58" i="3" s="1"/>
  <c r="J57" i="3"/>
  <c r="I57" i="3" s="1"/>
  <c r="J56" i="3"/>
  <c r="I56" i="3"/>
  <c r="J55" i="3"/>
  <c r="I55" i="3" s="1"/>
  <c r="J54" i="3"/>
  <c r="I54" i="3"/>
  <c r="J53" i="3"/>
  <c r="I53" i="3" s="1"/>
  <c r="J52" i="3"/>
  <c r="I52" i="3"/>
  <c r="J51" i="3"/>
  <c r="I51" i="3" s="1"/>
  <c r="J50" i="3"/>
  <c r="I50" i="3" s="1"/>
  <c r="J49" i="3"/>
  <c r="I49" i="3" s="1"/>
  <c r="J48" i="3"/>
  <c r="I48" i="3"/>
  <c r="J47" i="3"/>
  <c r="I47" i="3" s="1"/>
  <c r="J46" i="3"/>
  <c r="I46" i="3"/>
  <c r="J45" i="3"/>
  <c r="I45" i="3" s="1"/>
  <c r="J44" i="3"/>
  <c r="I44" i="3"/>
  <c r="J43" i="3"/>
  <c r="I43" i="3" s="1"/>
  <c r="J42" i="3"/>
  <c r="I42" i="3" s="1"/>
  <c r="J41" i="3"/>
  <c r="I41" i="3" s="1"/>
  <c r="J40" i="3"/>
  <c r="I40" i="3"/>
  <c r="J39" i="3"/>
  <c r="I39" i="3"/>
  <c r="J38" i="3"/>
  <c r="I38" i="3"/>
  <c r="J37" i="3"/>
  <c r="I37" i="3"/>
  <c r="J36" i="3"/>
  <c r="I36" i="3"/>
  <c r="J35" i="3"/>
  <c r="I35" i="3"/>
  <c r="J34" i="3"/>
  <c r="I34" i="3"/>
  <c r="J33" i="3"/>
  <c r="I33" i="3"/>
  <c r="J32" i="3"/>
  <c r="I32" i="3"/>
  <c r="J31" i="3"/>
  <c r="I31" i="3"/>
  <c r="J30" i="3"/>
  <c r="I30" i="3"/>
  <c r="J29" i="3"/>
  <c r="I29" i="3"/>
  <c r="J28" i="3"/>
  <c r="I28" i="3"/>
  <c r="J27" i="3"/>
  <c r="I27" i="3"/>
  <c r="J26" i="3"/>
  <c r="I26" i="3"/>
  <c r="J25" i="3"/>
  <c r="I25" i="3"/>
  <c r="J24" i="3"/>
  <c r="I24" i="3"/>
  <c r="J23" i="3"/>
  <c r="I23" i="3"/>
  <c r="J22" i="3"/>
  <c r="I22" i="3"/>
  <c r="J21" i="3"/>
  <c r="I21" i="3"/>
  <c r="J20" i="3"/>
  <c r="I20" i="3"/>
  <c r="J19" i="3"/>
  <c r="I19" i="3"/>
  <c r="J18" i="3"/>
  <c r="I18" i="3"/>
  <c r="J17" i="3"/>
  <c r="I17" i="3"/>
  <c r="J16" i="3"/>
  <c r="I16" i="3"/>
  <c r="J15" i="3"/>
  <c r="I15" i="3"/>
  <c r="J14" i="3"/>
  <c r="I14" i="3"/>
  <c r="J13" i="3"/>
  <c r="I13" i="3"/>
  <c r="J12" i="3"/>
  <c r="I12" i="3"/>
  <c r="J11" i="3"/>
  <c r="I11" i="3"/>
  <c r="J10" i="3"/>
  <c r="I10" i="3"/>
  <c r="J9" i="3"/>
  <c r="I9" i="3"/>
  <c r="J8" i="3"/>
  <c r="I8" i="3"/>
  <c r="J7" i="3"/>
  <c r="I7" i="3" s="1"/>
  <c r="J6" i="3"/>
  <c r="I6" i="3"/>
  <c r="H25" i="2"/>
  <c r="H24" i="2"/>
  <c r="H23" i="2"/>
  <c r="H22" i="2"/>
  <c r="H21" i="2"/>
  <c r="H20" i="2"/>
  <c r="H19" i="2"/>
  <c r="H18" i="2"/>
  <c r="H17" i="2"/>
  <c r="H16" i="2"/>
  <c r="H15" i="2"/>
  <c r="H14" i="2"/>
  <c r="H13" i="2"/>
  <c r="H12" i="2"/>
  <c r="H11" i="2"/>
  <c r="H10" i="2"/>
  <c r="H9" i="2"/>
  <c r="H8" i="2"/>
  <c r="H7" i="2"/>
  <c r="N4" i="2" s="1"/>
  <c r="H6" i="2"/>
  <c r="Q4" i="2"/>
  <c r="AC3" i="2"/>
  <c r="AB3" i="2"/>
  <c r="AA3" i="2"/>
  <c r="Z3" i="2"/>
  <c r="Y3" i="2"/>
  <c r="X3" i="2"/>
  <c r="W3" i="2"/>
  <c r="V3" i="2"/>
  <c r="U3" i="2"/>
  <c r="T3" i="2"/>
  <c r="S3" i="2"/>
  <c r="R3" i="2"/>
  <c r="Q3" i="2"/>
  <c r="P3" i="2"/>
  <c r="O3" i="2"/>
  <c r="N3" i="2"/>
  <c r="M3" i="2"/>
  <c r="L3" i="2"/>
  <c r="K3" i="2"/>
  <c r="J3" i="2"/>
  <c r="X175" i="1"/>
  <c r="W175" i="1"/>
  <c r="V175" i="1"/>
  <c r="U175" i="1"/>
  <c r="T175" i="1"/>
  <c r="S175" i="1"/>
  <c r="R175" i="1"/>
  <c r="Q175" i="1"/>
  <c r="P175" i="1"/>
  <c r="O175" i="1"/>
  <c r="N175" i="1"/>
  <c r="M175" i="1"/>
  <c r="L175" i="1"/>
  <c r="K175" i="1"/>
  <c r="J175" i="1"/>
  <c r="I175" i="1"/>
  <c r="H175" i="1"/>
  <c r="G175" i="1"/>
  <c r="F175" i="1"/>
  <c r="X174" i="1"/>
  <c r="W174" i="1"/>
  <c r="V174" i="1"/>
  <c r="U174" i="1"/>
  <c r="T174" i="1"/>
  <c r="S174" i="1"/>
  <c r="R174" i="1"/>
  <c r="Q174" i="1"/>
  <c r="P174" i="1"/>
  <c r="O174" i="1"/>
  <c r="N174" i="1"/>
  <c r="H26" i="6" s="1"/>
  <c r="M174" i="1"/>
  <c r="H25" i="6" s="1"/>
  <c r="L174" i="1"/>
  <c r="H24" i="6" s="1"/>
  <c r="K174" i="1"/>
  <c r="H23" i="6" s="1"/>
  <c r="J174" i="1"/>
  <c r="H22" i="6" s="1"/>
  <c r="I174" i="1"/>
  <c r="H21" i="6" s="1"/>
  <c r="H174" i="1"/>
  <c r="H20" i="6" s="1"/>
  <c r="G174" i="1"/>
  <c r="H19" i="6" s="1"/>
  <c r="F174" i="1"/>
  <c r="H18" i="6" s="1"/>
  <c r="X173" i="1"/>
  <c r="W173" i="1"/>
  <c r="V173" i="1"/>
  <c r="U173" i="1"/>
  <c r="T173" i="1"/>
  <c r="S173" i="1"/>
  <c r="R173" i="1"/>
  <c r="Q173" i="1"/>
  <c r="P173" i="1"/>
  <c r="O173" i="1"/>
  <c r="N173" i="1"/>
  <c r="G26" i="6" s="1"/>
  <c r="M173" i="1"/>
  <c r="G25" i="6" s="1"/>
  <c r="L173" i="1"/>
  <c r="G24" i="6" s="1"/>
  <c r="K173" i="1"/>
  <c r="G23" i="6" s="1"/>
  <c r="J173" i="1"/>
  <c r="G22" i="6" s="1"/>
  <c r="I173" i="1"/>
  <c r="G21" i="6" s="1"/>
  <c r="H173" i="1"/>
  <c r="G20" i="6" s="1"/>
  <c r="G173" i="1"/>
  <c r="G19" i="6" s="1"/>
  <c r="F173" i="1"/>
  <c r="G18" i="6" s="1"/>
  <c r="X168" i="1"/>
  <c r="W168" i="1"/>
  <c r="V168" i="1"/>
  <c r="U168" i="1"/>
  <c r="T168" i="1"/>
  <c r="S168" i="1"/>
  <c r="R168" i="1"/>
  <c r="Q168" i="1"/>
  <c r="P168" i="1"/>
  <c r="O168" i="1"/>
  <c r="N168" i="1"/>
  <c r="M168" i="1"/>
  <c r="L168" i="1"/>
  <c r="K168" i="1"/>
  <c r="J168" i="1"/>
  <c r="I168" i="1"/>
  <c r="H168" i="1"/>
  <c r="G168" i="1"/>
  <c r="F168" i="1"/>
  <c r="X166" i="1"/>
  <c r="W166" i="1"/>
  <c r="V166" i="1"/>
  <c r="U166" i="1"/>
  <c r="T166" i="1"/>
  <c r="S166" i="1"/>
  <c r="R166" i="1"/>
  <c r="Q166" i="1"/>
  <c r="P166" i="1"/>
  <c r="O166" i="1"/>
  <c r="N166" i="1"/>
  <c r="M166" i="1"/>
  <c r="L166" i="1"/>
  <c r="K166" i="1"/>
  <c r="J166" i="1"/>
  <c r="I166" i="1"/>
  <c r="H166" i="1"/>
  <c r="G166" i="1"/>
  <c r="F166" i="1"/>
  <c r="X163" i="1"/>
  <c r="W163" i="1"/>
  <c r="V163" i="1"/>
  <c r="U163" i="1"/>
  <c r="T163" i="1"/>
  <c r="S163" i="1"/>
  <c r="R163" i="1"/>
  <c r="Q163" i="1"/>
  <c r="P163" i="1"/>
  <c r="O163" i="1"/>
  <c r="N163" i="1"/>
  <c r="M163" i="1"/>
  <c r="L163" i="1"/>
  <c r="K163" i="1"/>
  <c r="J163" i="1"/>
  <c r="I163" i="1"/>
  <c r="H163" i="1"/>
  <c r="G163" i="1"/>
  <c r="F163" i="1"/>
  <c r="E163" i="1"/>
  <c r="X160" i="1"/>
  <c r="W160" i="1"/>
  <c r="V160" i="1"/>
  <c r="U160" i="1"/>
  <c r="T160" i="1"/>
  <c r="S160" i="1"/>
  <c r="R160" i="1"/>
  <c r="Q160" i="1"/>
  <c r="P160" i="1"/>
  <c r="O160" i="1"/>
  <c r="N160" i="1"/>
  <c r="M160" i="1"/>
  <c r="L160" i="1"/>
  <c r="K160" i="1"/>
  <c r="J160" i="1"/>
  <c r="I160" i="1"/>
  <c r="H160" i="1"/>
  <c r="G160" i="1"/>
  <c r="F160" i="1"/>
  <c r="X157" i="1"/>
  <c r="W157" i="1"/>
  <c r="V157" i="1"/>
  <c r="U157" i="1"/>
  <c r="T157" i="1"/>
  <c r="S157" i="1"/>
  <c r="R157" i="1"/>
  <c r="Q157" i="1"/>
  <c r="P157" i="1"/>
  <c r="O157" i="1"/>
  <c r="N157" i="1"/>
  <c r="M157" i="1"/>
  <c r="L157" i="1"/>
  <c r="K157" i="1"/>
  <c r="J157" i="1"/>
  <c r="I157" i="1"/>
  <c r="H157" i="1"/>
  <c r="G157" i="1"/>
  <c r="F157" i="1"/>
  <c r="X156" i="1"/>
  <c r="W156" i="1"/>
  <c r="V156" i="1"/>
  <c r="U156" i="1"/>
  <c r="T156" i="1"/>
  <c r="S156" i="1"/>
  <c r="R156" i="1"/>
  <c r="Q156" i="1"/>
  <c r="P156" i="1"/>
  <c r="O156" i="1"/>
  <c r="N156" i="1"/>
  <c r="M156" i="1"/>
  <c r="L156" i="1"/>
  <c r="K156" i="1"/>
  <c r="J156" i="1"/>
  <c r="I156" i="1"/>
  <c r="H156" i="1"/>
  <c r="G156" i="1"/>
  <c r="F156" i="1"/>
  <c r="X155" i="1"/>
  <c r="W155" i="1"/>
  <c r="V155" i="1"/>
  <c r="U155" i="1"/>
  <c r="T155" i="1"/>
  <c r="S155" i="1"/>
  <c r="R155" i="1"/>
  <c r="Q155" i="1"/>
  <c r="P155" i="1"/>
  <c r="O155" i="1"/>
  <c r="N155" i="1"/>
  <c r="M155" i="1"/>
  <c r="L155" i="1"/>
  <c r="K155" i="1"/>
  <c r="J155" i="1"/>
  <c r="I155" i="1"/>
  <c r="H155" i="1"/>
  <c r="G155" i="1"/>
  <c r="F155" i="1"/>
  <c r="X150" i="1"/>
  <c r="X180" i="1" s="1"/>
  <c r="X186" i="1" s="1"/>
  <c r="W150" i="1"/>
  <c r="V150" i="1"/>
  <c r="U150" i="1"/>
  <c r="T150" i="1"/>
  <c r="T180" i="1" s="1"/>
  <c r="T186" i="1" s="1"/>
  <c r="S150" i="1"/>
  <c r="R150" i="1"/>
  <c r="Q150" i="1"/>
  <c r="P150" i="1"/>
  <c r="P180" i="1" s="1"/>
  <c r="P186" i="1" s="1"/>
  <c r="O150" i="1"/>
  <c r="N150" i="1"/>
  <c r="M150" i="1"/>
  <c r="L150" i="1"/>
  <c r="L180" i="1" s="1"/>
  <c r="L186" i="1" s="1"/>
  <c r="K150" i="1"/>
  <c r="J150" i="1"/>
  <c r="I150" i="1"/>
  <c r="H150" i="1"/>
  <c r="H180" i="1" s="1"/>
  <c r="H186" i="1" s="1"/>
  <c r="G150" i="1"/>
  <c r="F150" i="1"/>
  <c r="X149" i="1"/>
  <c r="W149" i="1"/>
  <c r="V149" i="1"/>
  <c r="U149" i="1"/>
  <c r="T149" i="1"/>
  <c r="S149" i="1"/>
  <c r="R149" i="1"/>
  <c r="Q149" i="1"/>
  <c r="P149" i="1"/>
  <c r="O149" i="1"/>
  <c r="N149" i="1"/>
  <c r="M149" i="1"/>
  <c r="L149" i="1"/>
  <c r="K149" i="1"/>
  <c r="J149" i="1"/>
  <c r="I149" i="1"/>
  <c r="H149" i="1"/>
  <c r="G149" i="1"/>
  <c r="F149" i="1"/>
  <c r="E149" i="1"/>
  <c r="X148" i="1"/>
  <c r="W148" i="1"/>
  <c r="V148" i="1"/>
  <c r="U148" i="1"/>
  <c r="T148" i="1"/>
  <c r="S148" i="1"/>
  <c r="R148" i="1"/>
  <c r="Q148" i="1"/>
  <c r="P148" i="1"/>
  <c r="O148" i="1"/>
  <c r="N148" i="1"/>
  <c r="M148" i="1"/>
  <c r="L148" i="1"/>
  <c r="K148" i="1"/>
  <c r="J148" i="1"/>
  <c r="I148" i="1"/>
  <c r="H148" i="1"/>
  <c r="G148" i="1"/>
  <c r="F148" i="1"/>
  <c r="S143" i="1"/>
  <c r="X142" i="1"/>
  <c r="X143" i="1" s="1"/>
  <c r="W142" i="1"/>
  <c r="W143" i="1" s="1"/>
  <c r="V142" i="1"/>
  <c r="V143" i="1" s="1"/>
  <c r="U142" i="1"/>
  <c r="U143" i="1" s="1"/>
  <c r="T142" i="1"/>
  <c r="T143" i="1" s="1"/>
  <c r="S142" i="1"/>
  <c r="R142" i="1"/>
  <c r="R143" i="1" s="1"/>
  <c r="Q142" i="1"/>
  <c r="Q143" i="1" s="1"/>
  <c r="P142" i="1"/>
  <c r="P143" i="1" s="1"/>
  <c r="O142" i="1"/>
  <c r="O143" i="1" s="1"/>
  <c r="N142" i="1"/>
  <c r="N143" i="1" s="1"/>
  <c r="M142" i="1"/>
  <c r="M143" i="1" s="1"/>
  <c r="L142" i="1"/>
  <c r="L143" i="1" s="1"/>
  <c r="K142" i="1"/>
  <c r="K143" i="1" s="1"/>
  <c r="J142" i="1"/>
  <c r="J143" i="1" s="1"/>
  <c r="I142" i="1"/>
  <c r="I143" i="1" s="1"/>
  <c r="H142" i="1"/>
  <c r="H143" i="1" s="1"/>
  <c r="G142" i="1"/>
  <c r="G143" i="1" s="1"/>
  <c r="F142" i="1"/>
  <c r="F143" i="1" s="1"/>
  <c r="E142" i="1"/>
  <c r="E143" i="1" s="1"/>
  <c r="X134" i="1"/>
  <c r="W134" i="1"/>
  <c r="V134" i="1"/>
  <c r="U134" i="1"/>
  <c r="T134" i="1"/>
  <c r="S134" i="1"/>
  <c r="R134" i="1"/>
  <c r="Q134" i="1"/>
  <c r="P134" i="1"/>
  <c r="O134" i="1"/>
  <c r="N134" i="1"/>
  <c r="M134" i="1"/>
  <c r="L134" i="1"/>
  <c r="K134" i="1"/>
  <c r="J134" i="1"/>
  <c r="I134" i="1"/>
  <c r="H134" i="1"/>
  <c r="G134" i="1"/>
  <c r="F134" i="1"/>
  <c r="D122" i="1"/>
  <c r="X111" i="1"/>
  <c r="W111" i="1"/>
  <c r="V111" i="1"/>
  <c r="U111" i="1"/>
  <c r="T111" i="1"/>
  <c r="S111" i="1"/>
  <c r="R111" i="1"/>
  <c r="Q111" i="1"/>
  <c r="P111" i="1"/>
  <c r="O111" i="1"/>
  <c r="N111" i="1"/>
  <c r="M111" i="1"/>
  <c r="L111" i="1"/>
  <c r="K111" i="1"/>
  <c r="J111" i="1"/>
  <c r="I111" i="1"/>
  <c r="H111" i="1"/>
  <c r="G111" i="1"/>
  <c r="F111" i="1"/>
  <c r="E111" i="1"/>
  <c r="X107" i="1"/>
  <c r="W107" i="1"/>
  <c r="V107" i="1"/>
  <c r="U107" i="1"/>
  <c r="T107" i="1"/>
  <c r="S107" i="1"/>
  <c r="R107" i="1"/>
  <c r="Q107" i="1"/>
  <c r="P107" i="1"/>
  <c r="O107" i="1"/>
  <c r="N107" i="1"/>
  <c r="M107" i="1"/>
  <c r="L107" i="1"/>
  <c r="K107" i="1"/>
  <c r="J107" i="1"/>
  <c r="I107" i="1"/>
  <c r="H107" i="1"/>
  <c r="G107" i="1"/>
  <c r="F107" i="1"/>
  <c r="E107" i="1"/>
  <c r="D107" i="1"/>
  <c r="X101" i="1"/>
  <c r="W101" i="1"/>
  <c r="V101" i="1"/>
  <c r="U101" i="1"/>
  <c r="T101" i="1"/>
  <c r="S101" i="1"/>
  <c r="R101" i="1"/>
  <c r="Q101" i="1"/>
  <c r="P101" i="1"/>
  <c r="O101" i="1"/>
  <c r="N101" i="1"/>
  <c r="M101" i="1"/>
  <c r="L101" i="1"/>
  <c r="K101" i="1"/>
  <c r="J101" i="1"/>
  <c r="I101" i="1"/>
  <c r="H101" i="1"/>
  <c r="G101" i="1"/>
  <c r="F101" i="1"/>
  <c r="E101" i="1"/>
  <c r="X95" i="1"/>
  <c r="W95" i="1"/>
  <c r="V95" i="1"/>
  <c r="U95" i="1"/>
  <c r="T95" i="1"/>
  <c r="S95" i="1"/>
  <c r="R95" i="1"/>
  <c r="Q95" i="1"/>
  <c r="P95" i="1"/>
  <c r="O95" i="1"/>
  <c r="N95" i="1"/>
  <c r="M95" i="1"/>
  <c r="L95" i="1"/>
  <c r="K95" i="1"/>
  <c r="J95" i="1"/>
  <c r="I95" i="1"/>
  <c r="H95" i="1"/>
  <c r="G95" i="1"/>
  <c r="F95" i="1"/>
  <c r="E95" i="1"/>
  <c r="X94" i="1"/>
  <c r="W94" i="1"/>
  <c r="V94" i="1"/>
  <c r="U94" i="1"/>
  <c r="T94" i="1"/>
  <c r="S94" i="1"/>
  <c r="R94" i="1"/>
  <c r="Q94" i="1"/>
  <c r="P94" i="1"/>
  <c r="O94" i="1"/>
  <c r="N94" i="1"/>
  <c r="M94" i="1"/>
  <c r="L94" i="1"/>
  <c r="K94" i="1"/>
  <c r="J94" i="1"/>
  <c r="I94" i="1"/>
  <c r="H94" i="1"/>
  <c r="G94" i="1"/>
  <c r="F94" i="1"/>
  <c r="E94" i="1"/>
  <c r="X93" i="1"/>
  <c r="X96" i="1" s="1"/>
  <c r="W93" i="1"/>
  <c r="W96" i="1" s="1"/>
  <c r="V93" i="1"/>
  <c r="V96" i="1" s="1"/>
  <c r="U93" i="1"/>
  <c r="U96" i="1" s="1"/>
  <c r="T93" i="1"/>
  <c r="T96" i="1" s="1"/>
  <c r="S93" i="1"/>
  <c r="S96" i="1" s="1"/>
  <c r="R93" i="1"/>
  <c r="R96" i="1" s="1"/>
  <c r="Q93" i="1"/>
  <c r="Q96" i="1" s="1"/>
  <c r="P93" i="1"/>
  <c r="P96" i="1" s="1"/>
  <c r="O93" i="1"/>
  <c r="O96" i="1" s="1"/>
  <c r="N93" i="1"/>
  <c r="N96" i="1" s="1"/>
  <c r="M93" i="1"/>
  <c r="M96" i="1" s="1"/>
  <c r="L93" i="1"/>
  <c r="L96" i="1" s="1"/>
  <c r="K93" i="1"/>
  <c r="K96" i="1" s="1"/>
  <c r="J93" i="1"/>
  <c r="J96" i="1" s="1"/>
  <c r="I93" i="1"/>
  <c r="I96" i="1" s="1"/>
  <c r="H93" i="1"/>
  <c r="H96" i="1" s="1"/>
  <c r="G93" i="1"/>
  <c r="G96" i="1" s="1"/>
  <c r="F93" i="1"/>
  <c r="F96" i="1" s="1"/>
  <c r="E93" i="1"/>
  <c r="E96" i="1" s="1"/>
  <c r="X90" i="1"/>
  <c r="W90" i="1"/>
  <c r="V90" i="1"/>
  <c r="U90" i="1"/>
  <c r="T90" i="1"/>
  <c r="S90" i="1"/>
  <c r="R90" i="1"/>
  <c r="Q90" i="1"/>
  <c r="P90" i="1"/>
  <c r="O90" i="1"/>
  <c r="N90" i="1"/>
  <c r="M90" i="1"/>
  <c r="L90" i="1"/>
  <c r="K90" i="1"/>
  <c r="J90" i="1"/>
  <c r="I90" i="1"/>
  <c r="H90" i="1"/>
  <c r="G90" i="1"/>
  <c r="F90" i="1"/>
  <c r="E90" i="1"/>
  <c r="X89" i="1"/>
  <c r="W89" i="1"/>
  <c r="V89" i="1"/>
  <c r="U89" i="1"/>
  <c r="T89" i="1"/>
  <c r="S89" i="1"/>
  <c r="R89" i="1"/>
  <c r="Q89" i="1"/>
  <c r="P89" i="1"/>
  <c r="O89" i="1"/>
  <c r="N89" i="1"/>
  <c r="M89" i="1"/>
  <c r="L89" i="1"/>
  <c r="K89" i="1"/>
  <c r="J89" i="1"/>
  <c r="I89" i="1"/>
  <c r="H89" i="1"/>
  <c r="G89" i="1"/>
  <c r="F89" i="1"/>
  <c r="E89" i="1"/>
  <c r="X88" i="1"/>
  <c r="W88" i="1"/>
  <c r="V88" i="1"/>
  <c r="U88" i="1"/>
  <c r="T88" i="1"/>
  <c r="S88" i="1"/>
  <c r="R88" i="1"/>
  <c r="Q88" i="1"/>
  <c r="P88" i="1"/>
  <c r="O88" i="1"/>
  <c r="N88" i="1"/>
  <c r="M88" i="1"/>
  <c r="L88" i="1"/>
  <c r="K88" i="1"/>
  <c r="J88" i="1"/>
  <c r="I88" i="1"/>
  <c r="H88" i="1"/>
  <c r="G88" i="1"/>
  <c r="F88" i="1"/>
  <c r="E88" i="1"/>
  <c r="X87" i="1"/>
  <c r="W87" i="1"/>
  <c r="V87" i="1"/>
  <c r="U87" i="1"/>
  <c r="T87" i="1"/>
  <c r="S87" i="1"/>
  <c r="R87" i="1"/>
  <c r="R91" i="1" s="1"/>
  <c r="Q87" i="1"/>
  <c r="P87" i="1"/>
  <c r="O87" i="1"/>
  <c r="N87" i="1"/>
  <c r="M87" i="1"/>
  <c r="L87" i="1"/>
  <c r="K87" i="1"/>
  <c r="J87" i="1"/>
  <c r="J91" i="1" s="1"/>
  <c r="I87" i="1"/>
  <c r="H87" i="1"/>
  <c r="G87" i="1"/>
  <c r="F87" i="1"/>
  <c r="E87" i="1"/>
  <c r="D80" i="1"/>
  <c r="D77" i="1"/>
  <c r="D75" i="1"/>
  <c r="D73" i="1"/>
  <c r="D72" i="1"/>
  <c r="D67" i="1"/>
  <c r="D66" i="1"/>
  <c r="X61" i="1"/>
  <c r="X122" i="1" s="1"/>
  <c r="L61" i="1"/>
  <c r="G61" i="1"/>
  <c r="X59" i="1"/>
  <c r="W59" i="1"/>
  <c r="V59" i="1"/>
  <c r="U59" i="1"/>
  <c r="T59" i="1"/>
  <c r="S59" i="1"/>
  <c r="R59" i="1"/>
  <c r="Q59" i="1"/>
  <c r="P59" i="1"/>
  <c r="O59" i="1"/>
  <c r="N59" i="1"/>
  <c r="M59" i="1"/>
  <c r="L59" i="1"/>
  <c r="K59" i="1"/>
  <c r="J59" i="1"/>
  <c r="I59" i="1"/>
  <c r="H59" i="1"/>
  <c r="G59" i="1"/>
  <c r="F59" i="1"/>
  <c r="E59" i="1"/>
  <c r="V57" i="1"/>
  <c r="R57" i="1"/>
  <c r="N57" i="1"/>
  <c r="J57" i="1"/>
  <c r="F57" i="1"/>
  <c r="X56" i="1"/>
  <c r="W56" i="1"/>
  <c r="V56" i="1"/>
  <c r="U56" i="1"/>
  <c r="T56" i="1"/>
  <c r="S56" i="1"/>
  <c r="R56" i="1"/>
  <c r="Q56" i="1"/>
  <c r="P56" i="1"/>
  <c r="O56" i="1"/>
  <c r="N56" i="1"/>
  <c r="M56" i="1"/>
  <c r="L56" i="1"/>
  <c r="K56" i="1"/>
  <c r="J56" i="1"/>
  <c r="I56" i="1"/>
  <c r="H56" i="1"/>
  <c r="G56" i="1"/>
  <c r="F56" i="1"/>
  <c r="X55" i="1"/>
  <c r="W55" i="1"/>
  <c r="V55" i="1"/>
  <c r="V58" i="1" s="1"/>
  <c r="U55" i="1"/>
  <c r="T55" i="1"/>
  <c r="S55" i="1"/>
  <c r="R55" i="1"/>
  <c r="R58" i="1" s="1"/>
  <c r="Q55" i="1"/>
  <c r="P55" i="1"/>
  <c r="O55" i="1"/>
  <c r="N55" i="1"/>
  <c r="N58" i="1" s="1"/>
  <c r="M55" i="1"/>
  <c r="L55" i="1"/>
  <c r="K55" i="1"/>
  <c r="J55" i="1"/>
  <c r="J58" i="1" s="1"/>
  <c r="I55" i="1"/>
  <c r="H55" i="1"/>
  <c r="G55" i="1"/>
  <c r="F55" i="1"/>
  <c r="F58" i="1" s="1"/>
  <c r="V44" i="1"/>
  <c r="V48" i="1" s="1"/>
  <c r="R44" i="1"/>
  <c r="N44" i="1"/>
  <c r="N48" i="1" s="1"/>
  <c r="J44" i="1"/>
  <c r="F44" i="1"/>
  <c r="F48" i="1" s="1"/>
  <c r="V39" i="1"/>
  <c r="R39" i="1"/>
  <c r="N39" i="1"/>
  <c r="J39" i="1"/>
  <c r="F39" i="1"/>
  <c r="X37" i="1"/>
  <c r="W37" i="1"/>
  <c r="V37" i="1"/>
  <c r="U37" i="1"/>
  <c r="T37" i="1"/>
  <c r="S37" i="1"/>
  <c r="R37" i="1"/>
  <c r="Q37" i="1"/>
  <c r="P37" i="1"/>
  <c r="O37" i="1"/>
  <c r="N37" i="1"/>
  <c r="M37" i="1"/>
  <c r="L37" i="1"/>
  <c r="K37" i="1"/>
  <c r="J37" i="1"/>
  <c r="I37" i="1"/>
  <c r="H37" i="1"/>
  <c r="G37" i="1"/>
  <c r="F37" i="1"/>
  <c r="E37" i="1"/>
  <c r="X34" i="1"/>
  <c r="W34" i="1"/>
  <c r="V34" i="1"/>
  <c r="U34" i="1"/>
  <c r="T34" i="1"/>
  <c r="S34" i="1"/>
  <c r="R34" i="1"/>
  <c r="Q34" i="1"/>
  <c r="P34" i="1"/>
  <c r="O34" i="1"/>
  <c r="N34" i="1"/>
  <c r="M34" i="1"/>
  <c r="L34" i="1"/>
  <c r="K34" i="1"/>
  <c r="J34" i="1"/>
  <c r="I34" i="1"/>
  <c r="H34" i="1"/>
  <c r="G34" i="1"/>
  <c r="F34" i="1"/>
  <c r="E34" i="1"/>
  <c r="V32" i="1"/>
  <c r="V42" i="1" s="1"/>
  <c r="R32" i="1"/>
  <c r="N32" i="1"/>
  <c r="N42" i="1" s="1"/>
  <c r="J32" i="1"/>
  <c r="F32" i="1"/>
  <c r="F42" i="1" s="1"/>
  <c r="X29" i="1"/>
  <c r="W29" i="1"/>
  <c r="V29" i="1"/>
  <c r="U29" i="1"/>
  <c r="T29" i="1"/>
  <c r="S29" i="1"/>
  <c r="R29" i="1"/>
  <c r="Q29" i="1"/>
  <c r="P29" i="1"/>
  <c r="O29" i="1"/>
  <c r="N29" i="1"/>
  <c r="M29" i="1"/>
  <c r="F25" i="6" s="1"/>
  <c r="L29" i="1"/>
  <c r="K29" i="1"/>
  <c r="J29" i="1"/>
  <c r="I29" i="1"/>
  <c r="H29" i="1"/>
  <c r="G29" i="1"/>
  <c r="F29" i="1"/>
  <c r="X28" i="1"/>
  <c r="W28" i="1"/>
  <c r="V28" i="1"/>
  <c r="U28" i="1"/>
  <c r="T28" i="1"/>
  <c r="S28" i="1"/>
  <c r="R28" i="1"/>
  <c r="Q28" i="1"/>
  <c r="Q176" i="1" s="1"/>
  <c r="P28" i="1"/>
  <c r="O28" i="1"/>
  <c r="N28" i="1"/>
  <c r="M28" i="1"/>
  <c r="L28" i="1"/>
  <c r="K28" i="1"/>
  <c r="J28" i="1"/>
  <c r="I28" i="1"/>
  <c r="H28" i="1"/>
  <c r="G28" i="1"/>
  <c r="F28" i="1"/>
  <c r="E28" i="1"/>
  <c r="E29" i="1" s="1"/>
  <c r="X25" i="1"/>
  <c r="W25" i="1"/>
  <c r="V25" i="1"/>
  <c r="U25" i="1"/>
  <c r="T25" i="1"/>
  <c r="S25" i="1"/>
  <c r="R25" i="1"/>
  <c r="Q25" i="1"/>
  <c r="P25" i="1"/>
  <c r="O25" i="1"/>
  <c r="N25" i="1"/>
  <c r="M25" i="1"/>
  <c r="L25" i="1"/>
  <c r="K25" i="1"/>
  <c r="J25" i="1"/>
  <c r="I25" i="1"/>
  <c r="H25" i="1"/>
  <c r="G25" i="1"/>
  <c r="F25" i="1"/>
  <c r="E25" i="1"/>
  <c r="X24" i="1"/>
  <c r="W24" i="1"/>
  <c r="V24" i="1"/>
  <c r="U24" i="1"/>
  <c r="T24" i="1"/>
  <c r="S24" i="1"/>
  <c r="R24" i="1"/>
  <c r="Q24" i="1"/>
  <c r="P24" i="1"/>
  <c r="O24" i="1"/>
  <c r="N24" i="1"/>
  <c r="M24" i="1"/>
  <c r="L24" i="1"/>
  <c r="K24" i="1"/>
  <c r="J24" i="1"/>
  <c r="I24" i="1"/>
  <c r="H24" i="1"/>
  <c r="G24" i="1"/>
  <c r="F24" i="1"/>
  <c r="E24" i="1"/>
  <c r="X23" i="1"/>
  <c r="W23" i="1"/>
  <c r="V23" i="1"/>
  <c r="U23" i="1"/>
  <c r="T23" i="1"/>
  <c r="S23" i="1"/>
  <c r="R23" i="1"/>
  <c r="Q23" i="1"/>
  <c r="P23" i="1"/>
  <c r="O23" i="1"/>
  <c r="N23" i="1"/>
  <c r="M23" i="1"/>
  <c r="L23" i="1"/>
  <c r="K23" i="1"/>
  <c r="J23" i="1"/>
  <c r="I23" i="1"/>
  <c r="H23" i="1"/>
  <c r="G23" i="1"/>
  <c r="F23" i="1"/>
  <c r="X22" i="1"/>
  <c r="X165" i="1" s="1"/>
  <c r="W22" i="1"/>
  <c r="W165" i="1" s="1"/>
  <c r="V22" i="1"/>
  <c r="V165" i="1" s="1"/>
  <c r="U22" i="1"/>
  <c r="U165" i="1" s="1"/>
  <c r="T22" i="1"/>
  <c r="T165" i="1" s="1"/>
  <c r="S22" i="1"/>
  <c r="S165" i="1" s="1"/>
  <c r="R22" i="1"/>
  <c r="R165" i="1" s="1"/>
  <c r="Q22" i="1"/>
  <c r="Q165" i="1" s="1"/>
  <c r="P22" i="1"/>
  <c r="P165" i="1" s="1"/>
  <c r="O22" i="1"/>
  <c r="O165" i="1" s="1"/>
  <c r="N22" i="1"/>
  <c r="N165" i="1" s="1"/>
  <c r="M22" i="1"/>
  <c r="M165" i="1" s="1"/>
  <c r="L22" i="1"/>
  <c r="L165" i="1" s="1"/>
  <c r="K22" i="1"/>
  <c r="K165" i="1" s="1"/>
  <c r="J22" i="1"/>
  <c r="J165" i="1" s="1"/>
  <c r="I22" i="1"/>
  <c r="I165" i="1" s="1"/>
  <c r="H22" i="1"/>
  <c r="H165" i="1" s="1"/>
  <c r="G22" i="1"/>
  <c r="G165" i="1" s="1"/>
  <c r="F22" i="1"/>
  <c r="F165" i="1" s="1"/>
  <c r="E22" i="1"/>
  <c r="X21" i="1"/>
  <c r="X57" i="1" s="1"/>
  <c r="W21" i="1"/>
  <c r="W128" i="1" s="1"/>
  <c r="V21" i="1"/>
  <c r="V112" i="1" s="1"/>
  <c r="U21" i="1"/>
  <c r="T21" i="1"/>
  <c r="T61" i="1" s="1"/>
  <c r="S21" i="1"/>
  <c r="S61" i="1" s="1"/>
  <c r="R21" i="1"/>
  <c r="R100" i="1" s="1"/>
  <c r="Q21" i="1"/>
  <c r="Q61" i="1" s="1"/>
  <c r="P21" i="1"/>
  <c r="P57" i="1" s="1"/>
  <c r="O21" i="1"/>
  <c r="O61" i="1" s="1"/>
  <c r="N21" i="1"/>
  <c r="N106" i="1" s="1"/>
  <c r="M21" i="1"/>
  <c r="M61" i="1" s="1"/>
  <c r="L21" i="1"/>
  <c r="L57" i="1" s="1"/>
  <c r="K21" i="1"/>
  <c r="K57" i="1" s="1"/>
  <c r="J21" i="1"/>
  <c r="J106" i="1" s="1"/>
  <c r="I21" i="1"/>
  <c r="I61" i="1" s="1"/>
  <c r="H21" i="1"/>
  <c r="H57" i="1" s="1"/>
  <c r="G21" i="1"/>
  <c r="G114" i="1" s="1"/>
  <c r="F21" i="1"/>
  <c r="F112" i="1" s="1"/>
  <c r="E21" i="1"/>
  <c r="X20" i="1"/>
  <c r="X161" i="1" s="1"/>
  <c r="W20" i="1"/>
  <c r="W161" i="1" s="1"/>
  <c r="V20" i="1"/>
  <c r="V161" i="1" s="1"/>
  <c r="U20" i="1"/>
  <c r="U161" i="1" s="1"/>
  <c r="T20" i="1"/>
  <c r="T161" i="1" s="1"/>
  <c r="S20" i="1"/>
  <c r="S161" i="1" s="1"/>
  <c r="R20" i="1"/>
  <c r="R161" i="1" s="1"/>
  <c r="Q20" i="1"/>
  <c r="Q161" i="1" s="1"/>
  <c r="P20" i="1"/>
  <c r="P161" i="1" s="1"/>
  <c r="O20" i="1"/>
  <c r="O161" i="1" s="1"/>
  <c r="N20" i="1"/>
  <c r="N161" i="1" s="1"/>
  <c r="M20" i="1"/>
  <c r="M44" i="1" s="1"/>
  <c r="L20" i="1"/>
  <c r="L161" i="1" s="1"/>
  <c r="K20" i="1"/>
  <c r="K161" i="1" s="1"/>
  <c r="J20" i="1"/>
  <c r="J161" i="1" s="1"/>
  <c r="I20" i="1"/>
  <c r="I161" i="1" s="1"/>
  <c r="H20" i="1"/>
  <c r="H161" i="1" s="1"/>
  <c r="G20" i="1"/>
  <c r="G161" i="1" s="1"/>
  <c r="F20" i="1"/>
  <c r="F161" i="1" s="1"/>
  <c r="E20" i="1"/>
  <c r="A2" i="1"/>
  <c r="I4" i="3" l="1"/>
  <c r="J4" i="3"/>
  <c r="V4" i="2"/>
  <c r="U181" i="1"/>
  <c r="U187" i="1" s="1"/>
  <c r="L4" i="2"/>
  <c r="G148" i="5" s="1"/>
  <c r="Z4" i="2"/>
  <c r="T4" i="2"/>
  <c r="AB4" i="2"/>
  <c r="G82" i="4"/>
  <c r="H38" i="6" s="1"/>
  <c r="H82" i="4"/>
  <c r="H39" i="6" s="1"/>
  <c r="I67" i="1"/>
  <c r="I75" i="1"/>
  <c r="Q67" i="1"/>
  <c r="Q75" i="1"/>
  <c r="O73" i="1"/>
  <c r="O67" i="1"/>
  <c r="M48" i="1"/>
  <c r="M45" i="1"/>
  <c r="M67" i="1"/>
  <c r="M75" i="1"/>
  <c r="M72" i="1"/>
  <c r="Q72" i="1"/>
  <c r="K58" i="1"/>
  <c r="S77" i="1"/>
  <c r="S67" i="1"/>
  <c r="S66" i="1"/>
  <c r="S73" i="1"/>
  <c r="F17" i="6"/>
  <c r="H58" i="1"/>
  <c r="L58" i="1"/>
  <c r="P58" i="1"/>
  <c r="X58" i="1"/>
  <c r="F19" i="6"/>
  <c r="F23" i="6"/>
  <c r="G32" i="1"/>
  <c r="K32" i="1"/>
  <c r="O32" i="1"/>
  <c r="S32" i="1"/>
  <c r="W32" i="1"/>
  <c r="G39" i="1"/>
  <c r="K39" i="1"/>
  <c r="O39" i="1"/>
  <c r="S39" i="1"/>
  <c r="W39" i="1"/>
  <c r="G44" i="1"/>
  <c r="K44" i="1"/>
  <c r="O44" i="1"/>
  <c r="S44" i="1"/>
  <c r="W44" i="1"/>
  <c r="G57" i="1"/>
  <c r="G58" i="1" s="1"/>
  <c r="O57" i="1"/>
  <c r="O58" i="1" s="1"/>
  <c r="S57" i="1"/>
  <c r="S58" i="1" s="1"/>
  <c r="W57" i="1"/>
  <c r="W58" i="1" s="1"/>
  <c r="H61" i="1"/>
  <c r="Q66" i="1"/>
  <c r="M66" i="1"/>
  <c r="I66" i="1"/>
  <c r="L66" i="1"/>
  <c r="T66" i="1"/>
  <c r="H72" i="1"/>
  <c r="X72" i="1"/>
  <c r="Q77" i="1"/>
  <c r="M77" i="1"/>
  <c r="I77" i="1"/>
  <c r="L77" i="1"/>
  <c r="T77" i="1"/>
  <c r="N100" i="1"/>
  <c r="O128" i="1"/>
  <c r="I176" i="1"/>
  <c r="I21" i="6" s="1"/>
  <c r="M176" i="1"/>
  <c r="I25" i="6" s="1"/>
  <c r="U176" i="1"/>
  <c r="E106" i="1"/>
  <c r="E100" i="1"/>
  <c r="M114" i="1"/>
  <c r="M112" i="1"/>
  <c r="M128" i="1"/>
  <c r="M106" i="1"/>
  <c r="M100" i="1"/>
  <c r="M164" i="1"/>
  <c r="F22" i="6"/>
  <c r="F35" i="1"/>
  <c r="F49" i="1" s="1"/>
  <c r="J35" i="1"/>
  <c r="N35" i="1"/>
  <c r="N49" i="1" s="1"/>
  <c r="R35" i="1"/>
  <c r="V35" i="1"/>
  <c r="V49" i="1" s="1"/>
  <c r="J42" i="1"/>
  <c r="N45" i="1"/>
  <c r="N46" i="1" s="1"/>
  <c r="J48" i="1"/>
  <c r="J49" i="1" s="1"/>
  <c r="R48" i="1"/>
  <c r="R49" i="1" s="1"/>
  <c r="F91" i="1"/>
  <c r="N91" i="1"/>
  <c r="V91" i="1"/>
  <c r="F20" i="6"/>
  <c r="F24" i="6"/>
  <c r="H32" i="1"/>
  <c r="L32" i="1"/>
  <c r="P32" i="1"/>
  <c r="T32" i="1"/>
  <c r="X32" i="1"/>
  <c r="H39" i="1"/>
  <c r="L39" i="1"/>
  <c r="P39" i="1"/>
  <c r="T39" i="1"/>
  <c r="X39" i="1"/>
  <c r="H44" i="1"/>
  <c r="L44" i="1"/>
  <c r="P44" i="1"/>
  <c r="T44" i="1"/>
  <c r="X44" i="1"/>
  <c r="T57" i="1"/>
  <c r="T58" i="1" s="1"/>
  <c r="G66" i="1"/>
  <c r="O66" i="1"/>
  <c r="G67" i="1"/>
  <c r="I72" i="1"/>
  <c r="J73" i="1"/>
  <c r="Q73" i="1"/>
  <c r="M73" i="1"/>
  <c r="I73" i="1"/>
  <c r="L73" i="1"/>
  <c r="T73" i="1"/>
  <c r="G77" i="1"/>
  <c r="O77" i="1"/>
  <c r="M180" i="1"/>
  <c r="M186" i="1" s="1"/>
  <c r="Q180" i="1"/>
  <c r="Q186" i="1" s="1"/>
  <c r="U180" i="1"/>
  <c r="U186" i="1" s="1"/>
  <c r="M161" i="1"/>
  <c r="E84" i="4"/>
  <c r="E36" i="6" s="1"/>
  <c r="I114" i="1"/>
  <c r="I112" i="1"/>
  <c r="I106" i="1"/>
  <c r="I100" i="1"/>
  <c r="I128" i="1"/>
  <c r="Q114" i="1"/>
  <c r="Q112" i="1"/>
  <c r="Q106" i="1"/>
  <c r="Q100" i="1"/>
  <c r="Q164" i="1"/>
  <c r="Q128" i="1"/>
  <c r="U114" i="1"/>
  <c r="U112" i="1"/>
  <c r="U164" i="1"/>
  <c r="U128" i="1"/>
  <c r="U106" i="1"/>
  <c r="U100" i="1"/>
  <c r="F18" i="6"/>
  <c r="F26" i="6"/>
  <c r="R42" i="1"/>
  <c r="F45" i="1"/>
  <c r="F46" i="1" s="1"/>
  <c r="F53" i="1" s="1"/>
  <c r="J45" i="1"/>
  <c r="J46" i="1" s="1"/>
  <c r="R45" i="1"/>
  <c r="R46" i="1" s="1"/>
  <c r="V45" i="1"/>
  <c r="V46" i="1" s="1"/>
  <c r="V53" i="1" s="1"/>
  <c r="X67" i="1"/>
  <c r="X73" i="1"/>
  <c r="F164" i="1"/>
  <c r="F128" i="1"/>
  <c r="F114" i="1"/>
  <c r="F61" i="1"/>
  <c r="J164" i="1"/>
  <c r="J128" i="1"/>
  <c r="J112" i="1"/>
  <c r="J114" i="1"/>
  <c r="J61" i="1"/>
  <c r="J77" i="1" s="1"/>
  <c r="N164" i="1"/>
  <c r="N128" i="1"/>
  <c r="N112" i="1"/>
  <c r="N61" i="1"/>
  <c r="N66" i="1" s="1"/>
  <c r="R164" i="1"/>
  <c r="R128" i="1"/>
  <c r="R114" i="1"/>
  <c r="R61" i="1"/>
  <c r="R112" i="1"/>
  <c r="V164" i="1"/>
  <c r="V128" i="1"/>
  <c r="V61" i="1"/>
  <c r="G164" i="1"/>
  <c r="G112" i="1"/>
  <c r="G106" i="1"/>
  <c r="G100" i="1"/>
  <c r="K164" i="1"/>
  <c r="K114" i="1"/>
  <c r="K128" i="1"/>
  <c r="K106" i="1"/>
  <c r="K100" i="1"/>
  <c r="O164" i="1"/>
  <c r="O114" i="1"/>
  <c r="O112" i="1"/>
  <c r="O106" i="1"/>
  <c r="O100" i="1"/>
  <c r="S164" i="1"/>
  <c r="S114" i="1"/>
  <c r="S128" i="1"/>
  <c r="S112" i="1"/>
  <c r="S106" i="1"/>
  <c r="S100" i="1"/>
  <c r="W164" i="1"/>
  <c r="W114" i="1"/>
  <c r="W61" i="1"/>
  <c r="W77" i="1" s="1"/>
  <c r="W112" i="1"/>
  <c r="W106" i="1"/>
  <c r="W100" i="1"/>
  <c r="H164" i="1"/>
  <c r="H128" i="1"/>
  <c r="H112" i="1"/>
  <c r="H106" i="1"/>
  <c r="H100" i="1"/>
  <c r="H114" i="1"/>
  <c r="L164" i="1"/>
  <c r="L128" i="1"/>
  <c r="L114" i="1"/>
  <c r="L106" i="1"/>
  <c r="L100" i="1"/>
  <c r="L112" i="1"/>
  <c r="P164" i="1"/>
  <c r="P128" i="1"/>
  <c r="P106" i="1"/>
  <c r="P100" i="1"/>
  <c r="P114" i="1"/>
  <c r="T164" i="1"/>
  <c r="T128" i="1"/>
  <c r="T114" i="1"/>
  <c r="T112" i="1"/>
  <c r="T106" i="1"/>
  <c r="T100" i="1"/>
  <c r="X164" i="1"/>
  <c r="X128" i="1"/>
  <c r="X112" i="1"/>
  <c r="X106" i="1"/>
  <c r="X100" i="1"/>
  <c r="X114" i="1"/>
  <c r="F21" i="6"/>
  <c r="E32" i="1"/>
  <c r="I32" i="1"/>
  <c r="M32" i="1"/>
  <c r="M91" i="1" s="1"/>
  <c r="Q32" i="1"/>
  <c r="U32" i="1"/>
  <c r="E39" i="1"/>
  <c r="I39" i="1"/>
  <c r="M39" i="1"/>
  <c r="Q39" i="1"/>
  <c r="U39" i="1"/>
  <c r="E44" i="1"/>
  <c r="I44" i="1"/>
  <c r="Q44" i="1"/>
  <c r="U44" i="1"/>
  <c r="E57" i="1"/>
  <c r="I57" i="1"/>
  <c r="I58" i="1" s="1"/>
  <c r="M57" i="1"/>
  <c r="M58" i="1" s="1"/>
  <c r="Q57" i="1"/>
  <c r="Q58" i="1" s="1"/>
  <c r="U57" i="1"/>
  <c r="U58" i="1" s="1"/>
  <c r="K61" i="1"/>
  <c r="P61" i="1"/>
  <c r="U61" i="1"/>
  <c r="U77" i="1" s="1"/>
  <c r="X66" i="1"/>
  <c r="W72" i="1"/>
  <c r="S72" i="1"/>
  <c r="O72" i="1"/>
  <c r="K72" i="1"/>
  <c r="G72" i="1"/>
  <c r="V72" i="1"/>
  <c r="R72" i="1"/>
  <c r="N72" i="1"/>
  <c r="J72" i="1"/>
  <c r="F72" i="1"/>
  <c r="L72" i="1"/>
  <c r="T72" i="1"/>
  <c r="G73" i="1"/>
  <c r="X75" i="1"/>
  <c r="X77" i="1"/>
  <c r="H91" i="1"/>
  <c r="L91" i="1"/>
  <c r="P91" i="1"/>
  <c r="T91" i="1"/>
  <c r="X91" i="1"/>
  <c r="F100" i="1"/>
  <c r="V100" i="1"/>
  <c r="R106" i="1"/>
  <c r="K112" i="1"/>
  <c r="N114" i="1"/>
  <c r="I164" i="1"/>
  <c r="H181" i="1"/>
  <c r="H187" i="1" s="1"/>
  <c r="L181" i="1"/>
  <c r="L187" i="1" s="1"/>
  <c r="P181" i="1"/>
  <c r="P187" i="1" s="1"/>
  <c r="T181" i="1"/>
  <c r="T187" i="1" s="1"/>
  <c r="X181" i="1"/>
  <c r="X187" i="1" s="1"/>
  <c r="I180" i="1"/>
  <c r="I186" i="1" s="1"/>
  <c r="J100" i="1"/>
  <c r="F106" i="1"/>
  <c r="V106" i="1"/>
  <c r="P112" i="1"/>
  <c r="V114" i="1"/>
  <c r="G128" i="1"/>
  <c r="I181" i="1"/>
  <c r="I187" i="1" s="1"/>
  <c r="M181" i="1"/>
  <c r="M187" i="1" s="1"/>
  <c r="Q181" i="1"/>
  <c r="Q187" i="1" s="1"/>
  <c r="H176" i="1"/>
  <c r="I20" i="6" s="1"/>
  <c r="L176" i="1"/>
  <c r="I24" i="6" s="1"/>
  <c r="P176" i="1"/>
  <c r="T176" i="1"/>
  <c r="X176" i="1"/>
  <c r="H67" i="1"/>
  <c r="L67" i="1"/>
  <c r="P67" i="1"/>
  <c r="T67" i="1"/>
  <c r="G75" i="1"/>
  <c r="K75" i="1"/>
  <c r="O75" i="1"/>
  <c r="S75" i="1"/>
  <c r="W75" i="1"/>
  <c r="W122" i="1"/>
  <c r="S122" i="1"/>
  <c r="O122" i="1"/>
  <c r="K122" i="1"/>
  <c r="G122" i="1"/>
  <c r="U122" i="1"/>
  <c r="Q122" i="1"/>
  <c r="M122" i="1"/>
  <c r="I122" i="1"/>
  <c r="L122" i="1"/>
  <c r="T122" i="1"/>
  <c r="F180" i="1"/>
  <c r="F186" i="1" s="1"/>
  <c r="J180" i="1"/>
  <c r="J186" i="1" s="1"/>
  <c r="N180" i="1"/>
  <c r="N186" i="1" s="1"/>
  <c r="R180" i="1"/>
  <c r="R186" i="1" s="1"/>
  <c r="V180" i="1"/>
  <c r="V186" i="1" s="1"/>
  <c r="F181" i="1"/>
  <c r="F187" i="1" s="1"/>
  <c r="J181" i="1"/>
  <c r="J187" i="1" s="1"/>
  <c r="N181" i="1"/>
  <c r="N187" i="1" s="1"/>
  <c r="R181" i="1"/>
  <c r="R187" i="1" s="1"/>
  <c r="V181" i="1"/>
  <c r="V187" i="1" s="1"/>
  <c r="F176" i="1"/>
  <c r="I18" i="6" s="1"/>
  <c r="J176" i="1"/>
  <c r="I22" i="6" s="1"/>
  <c r="N176" i="1"/>
  <c r="I26" i="6" s="1"/>
  <c r="R176" i="1"/>
  <c r="V176" i="1"/>
  <c r="H75" i="1"/>
  <c r="L75" i="1"/>
  <c r="P75" i="1"/>
  <c r="T75" i="1"/>
  <c r="G180" i="1"/>
  <c r="G186" i="1" s="1"/>
  <c r="K180" i="1"/>
  <c r="K186" i="1" s="1"/>
  <c r="O180" i="1"/>
  <c r="O186" i="1" s="1"/>
  <c r="S180" i="1"/>
  <c r="S186" i="1" s="1"/>
  <c r="W180" i="1"/>
  <c r="W186" i="1" s="1"/>
  <c r="G181" i="1"/>
  <c r="G187" i="1" s="1"/>
  <c r="K181" i="1"/>
  <c r="K187" i="1" s="1"/>
  <c r="O181" i="1"/>
  <c r="O187" i="1" s="1"/>
  <c r="S181" i="1"/>
  <c r="S187" i="1" s="1"/>
  <c r="W181" i="1"/>
  <c r="W187" i="1" s="1"/>
  <c r="G176" i="1"/>
  <c r="I19" i="6" s="1"/>
  <c r="K176" i="1"/>
  <c r="I23" i="6" s="1"/>
  <c r="O176" i="1"/>
  <c r="S176" i="1"/>
  <c r="W176" i="1"/>
  <c r="M4" i="2"/>
  <c r="H148" i="5" s="1"/>
  <c r="R4" i="2"/>
  <c r="X4" i="2"/>
  <c r="E53" i="4"/>
  <c r="E43" i="4"/>
  <c r="E33" i="4"/>
  <c r="E34" i="4" s="1"/>
  <c r="E54" i="4"/>
  <c r="H85" i="4"/>
  <c r="G39" i="6" s="1"/>
  <c r="E45" i="5"/>
  <c r="E46" i="5" s="1"/>
  <c r="E48" i="5"/>
  <c r="F48" i="5"/>
  <c r="F45" i="5"/>
  <c r="E42" i="5"/>
  <c r="E35" i="5"/>
  <c r="I42" i="5"/>
  <c r="I35" i="5"/>
  <c r="I91" i="5"/>
  <c r="J4" i="2"/>
  <c r="P4" i="2"/>
  <c r="U4" i="2"/>
  <c r="F82" i="4"/>
  <c r="H37" i="6" s="1"/>
  <c r="E58" i="4"/>
  <c r="E59" i="4" s="1"/>
  <c r="F85" i="4"/>
  <c r="G37" i="6" s="1"/>
  <c r="G44" i="5"/>
  <c r="D8" i="8"/>
  <c r="K204" i="5"/>
  <c r="AA4" i="2"/>
  <c r="W4" i="2"/>
  <c r="S4" i="2"/>
  <c r="O4" i="2"/>
  <c r="K4" i="2"/>
  <c r="F148" i="5" s="1"/>
  <c r="AC4" i="2"/>
  <c r="Y4" i="2"/>
  <c r="E48" i="4"/>
  <c r="H45" i="5"/>
  <c r="H48" i="5"/>
  <c r="G29" i="5"/>
  <c r="H27" i="5"/>
  <c r="H29" i="5" s="1"/>
  <c r="F32" i="5"/>
  <c r="E39" i="5"/>
  <c r="I39" i="5"/>
  <c r="G100" i="5"/>
  <c r="E106" i="5"/>
  <c r="I106" i="5"/>
  <c r="I112" i="5"/>
  <c r="I128" i="5"/>
  <c r="I164" i="5"/>
  <c r="N148" i="8"/>
  <c r="M147" i="8"/>
  <c r="P146" i="8"/>
  <c r="L146" i="8"/>
  <c r="M148" i="8"/>
  <c r="P147" i="8"/>
  <c r="L147" i="8"/>
  <c r="O146" i="8"/>
  <c r="K146" i="8"/>
  <c r="P148" i="8"/>
  <c r="L148" i="8"/>
  <c r="O147" i="8"/>
  <c r="K147" i="8"/>
  <c r="N146" i="8"/>
  <c r="M146" i="8"/>
  <c r="O148" i="8"/>
  <c r="K148" i="8"/>
  <c r="N147" i="8"/>
  <c r="G32" i="5"/>
  <c r="F39" i="5"/>
  <c r="F59" i="5"/>
  <c r="F57" i="5" s="1"/>
  <c r="I61" i="5"/>
  <c r="G89" i="5"/>
  <c r="G91" i="5" s="1"/>
  <c r="G112" i="5" s="1"/>
  <c r="G94" i="5"/>
  <c r="G96" i="5" s="1"/>
  <c r="H100" i="5"/>
  <c r="F106" i="5"/>
  <c r="I114" i="5"/>
  <c r="I122" i="5"/>
  <c r="I181" i="5"/>
  <c r="I187" i="5" s="1"/>
  <c r="H32" i="5"/>
  <c r="G39" i="5"/>
  <c r="I44" i="5"/>
  <c r="E57" i="5"/>
  <c r="I57" i="5"/>
  <c r="I58" i="5" s="1"/>
  <c r="G59" i="5"/>
  <c r="G57" i="5" s="1"/>
  <c r="H89" i="5"/>
  <c r="H91" i="5" s="1"/>
  <c r="H112" i="5" s="1"/>
  <c r="H94" i="5"/>
  <c r="H96" i="5" s="1"/>
  <c r="E100" i="5"/>
  <c r="I100" i="5"/>
  <c r="G106" i="5"/>
  <c r="H39" i="5"/>
  <c r="H59" i="5"/>
  <c r="H57" i="5" s="1"/>
  <c r="E89" i="5"/>
  <c r="E91" i="5" s="1"/>
  <c r="E112" i="5" s="1"/>
  <c r="E94" i="5"/>
  <c r="E96" i="5" s="1"/>
  <c r="F100" i="5"/>
  <c r="H106" i="5"/>
  <c r="K48" i="8"/>
  <c r="I51" i="8"/>
  <c r="I38" i="8" s="1"/>
  <c r="J48" i="8"/>
  <c r="K68" i="8"/>
  <c r="L68" i="8" s="1"/>
  <c r="M68" i="8" s="1"/>
  <c r="N68" i="8" s="1"/>
  <c r="O68" i="8" s="1"/>
  <c r="P68" i="8" s="1"/>
  <c r="J68" i="8"/>
  <c r="K74" i="8"/>
  <c r="L74" i="8" s="1"/>
  <c r="M74" i="8" s="1"/>
  <c r="N74" i="8" s="1"/>
  <c r="O74" i="8" s="1"/>
  <c r="P74" i="8" s="1"/>
  <c r="J74" i="8"/>
  <c r="K103" i="8"/>
  <c r="L103" i="8" s="1"/>
  <c r="M103" i="8" s="1"/>
  <c r="N103" i="8" s="1"/>
  <c r="O103" i="8" s="1"/>
  <c r="P103" i="8" s="1"/>
  <c r="J103" i="8"/>
  <c r="L77" i="8"/>
  <c r="K94" i="8"/>
  <c r="L94" i="8" s="1"/>
  <c r="M94" i="8" s="1"/>
  <c r="N94" i="8" s="1"/>
  <c r="O94" i="8" s="1"/>
  <c r="P94" i="8" s="1"/>
  <c r="J94" i="8"/>
  <c r="K96" i="8"/>
  <c r="L96" i="8" s="1"/>
  <c r="M96" i="8" s="1"/>
  <c r="N96" i="8" s="1"/>
  <c r="O96" i="8" s="1"/>
  <c r="P96" i="8" s="1"/>
  <c r="J96" i="8"/>
  <c r="K100" i="8"/>
  <c r="L100" i="8" s="1"/>
  <c r="M100" i="8" s="1"/>
  <c r="N100" i="8" s="1"/>
  <c r="O100" i="8" s="1"/>
  <c r="P100" i="8" s="1"/>
  <c r="J100" i="8"/>
  <c r="K142" i="8"/>
  <c r="L142" i="8" s="1"/>
  <c r="M142" i="8" s="1"/>
  <c r="N142" i="8" s="1"/>
  <c r="O142" i="8" s="1"/>
  <c r="P142" i="8" s="1"/>
  <c r="J142" i="8"/>
  <c r="H76" i="8"/>
  <c r="I76" i="8" s="1"/>
  <c r="Q74" i="8"/>
  <c r="I78" i="8"/>
  <c r="J85" i="8"/>
  <c r="Q149" i="8"/>
  <c r="Q147" i="8"/>
  <c r="Q108" i="8"/>
  <c r="Q103" i="8"/>
  <c r="Q101" i="8"/>
  <c r="Q95" i="8"/>
  <c r="Q92" i="8"/>
  <c r="Q89" i="8"/>
  <c r="Q148" i="8"/>
  <c r="Q107" i="8"/>
  <c r="Q91" i="8"/>
  <c r="Q88" i="8"/>
  <c r="Q143" i="8"/>
  <c r="Q104" i="8"/>
  <c r="Q102" i="8"/>
  <c r="Q100" i="8"/>
  <c r="Q146" i="8"/>
  <c r="Q96" i="8"/>
  <c r="Q93" i="8"/>
  <c r="Q85" i="8"/>
  <c r="Q84" i="8"/>
  <c r="Q77" i="8"/>
  <c r="Q75" i="8"/>
  <c r="Q71" i="8"/>
  <c r="Q67" i="8"/>
  <c r="Q50" i="8"/>
  <c r="Q43" i="8"/>
  <c r="Q38" i="8"/>
  <c r="Q45" i="8"/>
  <c r="Q48" i="8"/>
  <c r="Q68" i="8"/>
  <c r="Q76" i="8"/>
  <c r="H78" i="8"/>
  <c r="Q78" i="8" s="1"/>
  <c r="K87" i="8"/>
  <c r="L87" i="8" s="1"/>
  <c r="M87" i="8" s="1"/>
  <c r="N87" i="8" s="1"/>
  <c r="O87" i="8" s="1"/>
  <c r="P87" i="8" s="1"/>
  <c r="J87" i="8"/>
  <c r="Q90" i="8"/>
  <c r="K104" i="8"/>
  <c r="L104" i="8" s="1"/>
  <c r="M104" i="8" s="1"/>
  <c r="N104" i="8" s="1"/>
  <c r="O104" i="8" s="1"/>
  <c r="P104" i="8" s="1"/>
  <c r="J104" i="8"/>
  <c r="H97" i="8"/>
  <c r="I91" i="8"/>
  <c r="Q94" i="8"/>
  <c r="Q142" i="8"/>
  <c r="K102" i="8"/>
  <c r="L102" i="8" s="1"/>
  <c r="M102" i="8" s="1"/>
  <c r="N102" i="8" s="1"/>
  <c r="O102" i="8" s="1"/>
  <c r="P102" i="8" s="1"/>
  <c r="J102" i="8"/>
  <c r="J143" i="8"/>
  <c r="J53" i="1" l="1"/>
  <c r="R53" i="1"/>
  <c r="E53" i="5"/>
  <c r="E56" i="5" s="1"/>
  <c r="D118" i="5"/>
  <c r="D118" i="1"/>
  <c r="D129" i="5"/>
  <c r="D129" i="1"/>
  <c r="D161" i="5"/>
  <c r="D161" i="1"/>
  <c r="D70" i="4" s="1"/>
  <c r="J47" i="8"/>
  <c r="J51" i="8" s="1"/>
  <c r="I45" i="5"/>
  <c r="I46" i="5" s="1"/>
  <c r="I53" i="5" s="1"/>
  <c r="I48" i="5"/>
  <c r="I49" i="5" s="1"/>
  <c r="I77" i="5"/>
  <c r="I75" i="5"/>
  <c r="I73" i="5"/>
  <c r="P122" i="1"/>
  <c r="P77" i="1"/>
  <c r="P66" i="1"/>
  <c r="P73" i="1"/>
  <c r="U48" i="1"/>
  <c r="U45" i="1"/>
  <c r="U46" i="1" s="1"/>
  <c r="U53" i="1" s="1"/>
  <c r="I42" i="1"/>
  <c r="I35" i="1"/>
  <c r="I53" i="1" s="1"/>
  <c r="P48" i="1"/>
  <c r="P45" i="1"/>
  <c r="P46" i="1" s="1"/>
  <c r="P53" i="1" s="1"/>
  <c r="X42" i="1"/>
  <c r="X35" i="1"/>
  <c r="H42" i="1"/>
  <c r="H35" i="1"/>
  <c r="W48" i="1"/>
  <c r="W45" i="1"/>
  <c r="W46" i="1" s="1"/>
  <c r="W53" i="1" s="1"/>
  <c r="G48" i="1"/>
  <c r="G45" i="1"/>
  <c r="G46" i="1" s="1"/>
  <c r="G53" i="1" s="1"/>
  <c r="O91" i="1"/>
  <c r="O42" i="1"/>
  <c r="O35" i="1"/>
  <c r="O53" i="1" s="1"/>
  <c r="J91" i="8"/>
  <c r="K91" i="8"/>
  <c r="L91" i="8" s="1"/>
  <c r="M91" i="8" s="1"/>
  <c r="N91" i="8" s="1"/>
  <c r="O91" i="8" s="1"/>
  <c r="P91" i="8" s="1"/>
  <c r="D82" i="5"/>
  <c r="D82" i="1"/>
  <c r="D120" i="5"/>
  <c r="D120" i="1"/>
  <c r="D132" i="5"/>
  <c r="D132" i="1"/>
  <c r="D131" i="5"/>
  <c r="D131" i="1"/>
  <c r="I72" i="5"/>
  <c r="G42" i="5"/>
  <c r="G35" i="5"/>
  <c r="G53" i="5" s="1"/>
  <c r="I66" i="5"/>
  <c r="K77" i="1"/>
  <c r="K67" i="1"/>
  <c r="K66" i="1"/>
  <c r="K73" i="1"/>
  <c r="Q48" i="1"/>
  <c r="Q45" i="1"/>
  <c r="U42" i="1"/>
  <c r="U35" i="1"/>
  <c r="E42" i="1"/>
  <c r="E35" i="1"/>
  <c r="E53" i="1" s="1"/>
  <c r="E56" i="1" s="1"/>
  <c r="V122" i="1"/>
  <c r="V75" i="1"/>
  <c r="V67" i="1"/>
  <c r="R122" i="1"/>
  <c r="R75" i="1"/>
  <c r="R67" i="1"/>
  <c r="N122" i="1"/>
  <c r="N75" i="1"/>
  <c r="N67" i="1"/>
  <c r="J122" i="1"/>
  <c r="J75" i="1"/>
  <c r="J67" i="1"/>
  <c r="N73" i="1"/>
  <c r="L48" i="1"/>
  <c r="L45" i="1"/>
  <c r="T42" i="1"/>
  <c r="T35" i="1"/>
  <c r="T53" i="1" s="1"/>
  <c r="I91" i="1"/>
  <c r="N53" i="1"/>
  <c r="N77" i="1"/>
  <c r="P72" i="1"/>
  <c r="U66" i="1"/>
  <c r="R66" i="1"/>
  <c r="S48" i="1"/>
  <c r="S45" i="1"/>
  <c r="K91" i="1"/>
  <c r="K42" i="1"/>
  <c r="K35" i="1"/>
  <c r="D74" i="5"/>
  <c r="D74" i="1"/>
  <c r="D155" i="5"/>
  <c r="D155" i="1"/>
  <c r="D76" i="5"/>
  <c r="D76" i="1"/>
  <c r="D160" i="5"/>
  <c r="D160" i="1"/>
  <c r="D69" i="4" s="1"/>
  <c r="D135" i="5"/>
  <c r="H135" i="5" s="1"/>
  <c r="D135" i="1"/>
  <c r="R135" i="1" s="1"/>
  <c r="D117" i="5"/>
  <c r="D117" i="1"/>
  <c r="M77" i="8"/>
  <c r="K47" i="8"/>
  <c r="K51" i="8" s="1"/>
  <c r="L48" i="8"/>
  <c r="H42" i="5"/>
  <c r="H35" i="5"/>
  <c r="I67" i="5"/>
  <c r="E88" i="4"/>
  <c r="E148" i="5"/>
  <c r="E148" i="1"/>
  <c r="E150" i="1" s="1"/>
  <c r="E180" i="1" s="1"/>
  <c r="E186" i="1" s="1"/>
  <c r="K135" i="1"/>
  <c r="I48" i="1"/>
  <c r="I49" i="1" s="1"/>
  <c r="I46" i="1"/>
  <c r="I45" i="1"/>
  <c r="Q42" i="1"/>
  <c r="Q35" i="1"/>
  <c r="Q46" i="1" s="1"/>
  <c r="Q53" i="1" s="1"/>
  <c r="T135" i="1"/>
  <c r="W73" i="1"/>
  <c r="W67" i="1"/>
  <c r="N135" i="1"/>
  <c r="F122" i="1"/>
  <c r="F75" i="1"/>
  <c r="F67" i="1"/>
  <c r="Q91" i="1"/>
  <c r="Q135" i="1"/>
  <c r="U73" i="1"/>
  <c r="R73" i="1"/>
  <c r="W66" i="1"/>
  <c r="X48" i="1"/>
  <c r="X49" i="1" s="1"/>
  <c r="X45" i="1"/>
  <c r="X46" i="1" s="1"/>
  <c r="H48" i="1"/>
  <c r="H49" i="1" s="1"/>
  <c r="H45" i="1"/>
  <c r="H46" i="1" s="1"/>
  <c r="H53" i="1" s="1"/>
  <c r="P42" i="1"/>
  <c r="P35" i="1"/>
  <c r="E91" i="1"/>
  <c r="E112" i="1" s="1"/>
  <c r="R77" i="1"/>
  <c r="F66" i="1"/>
  <c r="V66" i="1"/>
  <c r="O48" i="1"/>
  <c r="O49" i="1" s="1"/>
  <c r="O46" i="1"/>
  <c r="O45" i="1"/>
  <c r="W91" i="1"/>
  <c r="W135" i="1" s="1"/>
  <c r="W42" i="1"/>
  <c r="W35" i="1"/>
  <c r="G91" i="1"/>
  <c r="G42" i="1"/>
  <c r="G35" i="1"/>
  <c r="F27" i="6"/>
  <c r="D130" i="5"/>
  <c r="D130" i="1"/>
  <c r="I97" i="8"/>
  <c r="H105" i="8"/>
  <c r="D121" i="5"/>
  <c r="D121" i="1"/>
  <c r="D119" i="5"/>
  <c r="D119" i="1"/>
  <c r="D68" i="5"/>
  <c r="D68" i="1"/>
  <c r="D128" i="5"/>
  <c r="D128" i="1"/>
  <c r="D156" i="5"/>
  <c r="D156" i="1"/>
  <c r="Q97" i="8"/>
  <c r="D136" i="5"/>
  <c r="D136" i="1"/>
  <c r="K76" i="8"/>
  <c r="L76" i="8" s="1"/>
  <c r="M76" i="8" s="1"/>
  <c r="N76" i="8" s="1"/>
  <c r="O76" i="8" s="1"/>
  <c r="P76" i="8" s="1"/>
  <c r="J76" i="8"/>
  <c r="F42" i="5"/>
  <c r="F35" i="5"/>
  <c r="F46" i="5" s="1"/>
  <c r="K205" i="5"/>
  <c r="E27" i="5" s="1"/>
  <c r="K212" i="5"/>
  <c r="F91" i="5"/>
  <c r="F112" i="5" s="1"/>
  <c r="G48" i="5"/>
  <c r="G49" i="5" s="1"/>
  <c r="G46" i="5"/>
  <c r="G55" i="5" s="1"/>
  <c r="G45" i="5"/>
  <c r="E49" i="5"/>
  <c r="E55" i="5" s="1"/>
  <c r="E58" i="5" s="1"/>
  <c r="U67" i="1"/>
  <c r="U75" i="1"/>
  <c r="U72" i="1"/>
  <c r="E48" i="1"/>
  <c r="E49" i="1" s="1"/>
  <c r="E46" i="1"/>
  <c r="E55" i="1" s="1"/>
  <c r="E45" i="1"/>
  <c r="M42" i="1"/>
  <c r="M35" i="1"/>
  <c r="M49" i="1" s="1"/>
  <c r="L135" i="1"/>
  <c r="G135" i="1"/>
  <c r="J135" i="1"/>
  <c r="I135" i="1"/>
  <c r="F73" i="1"/>
  <c r="V73" i="1"/>
  <c r="T48" i="1"/>
  <c r="T49" i="1" s="1"/>
  <c r="T46" i="1"/>
  <c r="T45" i="1"/>
  <c r="L42" i="1"/>
  <c r="L35" i="1"/>
  <c r="L46" i="1" s="1"/>
  <c r="U91" i="1"/>
  <c r="M135" i="1"/>
  <c r="F77" i="1"/>
  <c r="V77" i="1"/>
  <c r="J66" i="1"/>
  <c r="H122" i="1"/>
  <c r="H77" i="1"/>
  <c r="H66" i="1"/>
  <c r="H73" i="1"/>
  <c r="K48" i="1"/>
  <c r="K49" i="1" s="1"/>
  <c r="K46" i="1"/>
  <c r="K53" i="1" s="1"/>
  <c r="K45" i="1"/>
  <c r="S91" i="1"/>
  <c r="S135" i="1" s="1"/>
  <c r="S42" i="1"/>
  <c r="S35" i="1"/>
  <c r="S46" i="1" s="1"/>
  <c r="S53" i="1" s="1"/>
  <c r="X53" i="1" l="1"/>
  <c r="F27" i="5"/>
  <c r="F29" i="5" s="1"/>
  <c r="E29" i="5"/>
  <c r="J38" i="8"/>
  <c r="J78" i="8"/>
  <c r="V119" i="1"/>
  <c r="R119" i="1"/>
  <c r="N119" i="1"/>
  <c r="J119" i="1"/>
  <c r="F119" i="1"/>
  <c r="X119" i="1"/>
  <c r="T119" i="1"/>
  <c r="P119" i="1"/>
  <c r="L119" i="1"/>
  <c r="H119" i="1"/>
  <c r="U119" i="1"/>
  <c r="M119" i="1"/>
  <c r="S119" i="1"/>
  <c r="K119" i="1"/>
  <c r="Q119" i="1"/>
  <c r="I119" i="1"/>
  <c r="W119" i="1"/>
  <c r="O119" i="1"/>
  <c r="G119" i="1"/>
  <c r="I105" i="8"/>
  <c r="Q105" i="8"/>
  <c r="H106" i="8"/>
  <c r="Q106" i="8" s="1"/>
  <c r="E135" i="1"/>
  <c r="E93" i="4"/>
  <c r="J61" i="6" s="1"/>
  <c r="K61" i="6" s="1"/>
  <c r="K78" i="8"/>
  <c r="K38" i="8"/>
  <c r="I117" i="5"/>
  <c r="L49" i="1"/>
  <c r="F49" i="5"/>
  <c r="F55" i="5" s="1"/>
  <c r="F58" i="5" s="1"/>
  <c r="F61" i="5" s="1"/>
  <c r="V132" i="1"/>
  <c r="R132" i="1"/>
  <c r="N132" i="1"/>
  <c r="J132" i="1"/>
  <c r="F132" i="1"/>
  <c r="X132" i="1"/>
  <c r="T132" i="1"/>
  <c r="P132" i="1"/>
  <c r="L132" i="1"/>
  <c r="H132" i="1"/>
  <c r="Q132" i="1"/>
  <c r="I132" i="1"/>
  <c r="W132" i="1"/>
  <c r="O132" i="1"/>
  <c r="G132" i="1"/>
  <c r="U132" i="1"/>
  <c r="M132" i="1"/>
  <c r="S132" i="1"/>
  <c r="K132" i="1"/>
  <c r="U82" i="1"/>
  <c r="Q82" i="1"/>
  <c r="M82" i="1"/>
  <c r="I82" i="1"/>
  <c r="X82" i="1"/>
  <c r="T82" i="1"/>
  <c r="P82" i="1"/>
  <c r="L82" i="1"/>
  <c r="H82" i="1"/>
  <c r="S82" i="1"/>
  <c r="K82" i="1"/>
  <c r="V82" i="1"/>
  <c r="F82" i="1"/>
  <c r="R82" i="1"/>
  <c r="J82" i="1"/>
  <c r="N82" i="1"/>
  <c r="W82" i="1"/>
  <c r="O82" i="1"/>
  <c r="G82" i="1"/>
  <c r="H49" i="5"/>
  <c r="I118" i="5"/>
  <c r="E135" i="5"/>
  <c r="M46" i="1"/>
  <c r="M53" i="1" s="1"/>
  <c r="L53" i="1"/>
  <c r="F135" i="5"/>
  <c r="F53" i="5"/>
  <c r="I119" i="5"/>
  <c r="J97" i="8"/>
  <c r="K97" i="8"/>
  <c r="L97" i="8" s="1"/>
  <c r="M97" i="8" s="1"/>
  <c r="N97" i="8" s="1"/>
  <c r="O97" i="8" s="1"/>
  <c r="P97" i="8" s="1"/>
  <c r="F135" i="1"/>
  <c r="V135" i="1"/>
  <c r="W76" i="1"/>
  <c r="S76" i="1"/>
  <c r="O76" i="1"/>
  <c r="K76" i="1"/>
  <c r="G76" i="1"/>
  <c r="V76" i="1"/>
  <c r="R76" i="1"/>
  <c r="N76" i="1"/>
  <c r="J76" i="1"/>
  <c r="F76" i="1"/>
  <c r="U76" i="1"/>
  <c r="M76" i="1"/>
  <c r="X76" i="1"/>
  <c r="P76" i="1"/>
  <c r="H76" i="1"/>
  <c r="T76" i="1"/>
  <c r="L76" i="1"/>
  <c r="Q76" i="1"/>
  <c r="I76" i="1"/>
  <c r="U74" i="1"/>
  <c r="Q74" i="1"/>
  <c r="M74" i="1"/>
  <c r="I74" i="1"/>
  <c r="X74" i="1"/>
  <c r="T74" i="1"/>
  <c r="P74" i="1"/>
  <c r="L74" i="1"/>
  <c r="H74" i="1"/>
  <c r="R74" i="1"/>
  <c r="J74" i="1"/>
  <c r="S74" i="1"/>
  <c r="K74" i="1"/>
  <c r="W74" i="1"/>
  <c r="O74" i="1"/>
  <c r="G74" i="1"/>
  <c r="V74" i="1"/>
  <c r="N74" i="1"/>
  <c r="F74" i="1"/>
  <c r="I132" i="5"/>
  <c r="I82" i="5"/>
  <c r="W49" i="1"/>
  <c r="P49" i="1"/>
  <c r="U135" i="1"/>
  <c r="U49" i="1"/>
  <c r="U129" i="1"/>
  <c r="Q129" i="1"/>
  <c r="M129" i="1"/>
  <c r="I129" i="1"/>
  <c r="W129" i="1"/>
  <c r="S129" i="1"/>
  <c r="O129" i="1"/>
  <c r="K129" i="1"/>
  <c r="G129" i="1"/>
  <c r="X129" i="1"/>
  <c r="P129" i="1"/>
  <c r="H129" i="1"/>
  <c r="V129" i="1"/>
  <c r="N129" i="1"/>
  <c r="F129" i="1"/>
  <c r="T129" i="1"/>
  <c r="L129" i="1"/>
  <c r="R129" i="1"/>
  <c r="J129" i="1"/>
  <c r="E58" i="1"/>
  <c r="D65" i="4"/>
  <c r="X68" i="1"/>
  <c r="X69" i="1" s="1"/>
  <c r="T68" i="1"/>
  <c r="T69" i="1" s="1"/>
  <c r="P68" i="1"/>
  <c r="P69" i="1" s="1"/>
  <c r="L68" i="1"/>
  <c r="L69" i="1" s="1"/>
  <c r="H68" i="1"/>
  <c r="H69" i="1" s="1"/>
  <c r="W68" i="1"/>
  <c r="S68" i="1"/>
  <c r="S69" i="1" s="1"/>
  <c r="O68" i="1"/>
  <c r="O69" i="1" s="1"/>
  <c r="K68" i="1"/>
  <c r="K69" i="1" s="1"/>
  <c r="G68" i="1"/>
  <c r="G69" i="1" s="1"/>
  <c r="U68" i="1"/>
  <c r="U69" i="1" s="1"/>
  <c r="M68" i="1"/>
  <c r="M69" i="1" s="1"/>
  <c r="V68" i="1"/>
  <c r="V69" i="1" s="1"/>
  <c r="N68" i="1"/>
  <c r="N69" i="1" s="1"/>
  <c r="F68" i="1"/>
  <c r="F69" i="1" s="1"/>
  <c r="R68" i="1"/>
  <c r="R69" i="1" s="1"/>
  <c r="J68" i="1"/>
  <c r="J69" i="1" s="1"/>
  <c r="Q68" i="1"/>
  <c r="Q69" i="1" s="1"/>
  <c r="I68" i="1"/>
  <c r="I69" i="1" s="1"/>
  <c r="X121" i="1"/>
  <c r="T121" i="1"/>
  <c r="P121" i="1"/>
  <c r="L121" i="1"/>
  <c r="H121" i="1"/>
  <c r="V121" i="1"/>
  <c r="R121" i="1"/>
  <c r="N121" i="1"/>
  <c r="J121" i="1"/>
  <c r="F121" i="1"/>
  <c r="S121" i="1"/>
  <c r="K121" i="1"/>
  <c r="Q121" i="1"/>
  <c r="I121" i="1"/>
  <c r="W121" i="1"/>
  <c r="O121" i="1"/>
  <c r="G121" i="1"/>
  <c r="M121" i="1"/>
  <c r="U121" i="1"/>
  <c r="X130" i="1"/>
  <c r="T130" i="1"/>
  <c r="P130" i="1"/>
  <c r="L130" i="1"/>
  <c r="H130" i="1"/>
  <c r="V130" i="1"/>
  <c r="R130" i="1"/>
  <c r="N130" i="1"/>
  <c r="J130" i="1"/>
  <c r="F130" i="1"/>
  <c r="S130" i="1"/>
  <c r="K130" i="1"/>
  <c r="Q130" i="1"/>
  <c r="I130" i="1"/>
  <c r="W130" i="1"/>
  <c r="O130" i="1"/>
  <c r="G130" i="1"/>
  <c r="U130" i="1"/>
  <c r="M130" i="1"/>
  <c r="W69" i="1"/>
  <c r="H46" i="5"/>
  <c r="H53" i="5" s="1"/>
  <c r="N77" i="8"/>
  <c r="I76" i="5"/>
  <c r="I74" i="5"/>
  <c r="O135" i="1"/>
  <c r="X135" i="1"/>
  <c r="W131" i="1"/>
  <c r="S131" i="1"/>
  <c r="O131" i="1"/>
  <c r="K131" i="1"/>
  <c r="G131" i="1"/>
  <c r="U131" i="1"/>
  <c r="Q131" i="1"/>
  <c r="M131" i="1"/>
  <c r="I131" i="1"/>
  <c r="V131" i="1"/>
  <c r="N131" i="1"/>
  <c r="F131" i="1"/>
  <c r="T131" i="1"/>
  <c r="L131" i="1"/>
  <c r="R131" i="1"/>
  <c r="J131" i="1"/>
  <c r="H131" i="1"/>
  <c r="X131" i="1"/>
  <c r="P131" i="1"/>
  <c r="U120" i="1"/>
  <c r="Q120" i="1"/>
  <c r="M120" i="1"/>
  <c r="I120" i="1"/>
  <c r="W120" i="1"/>
  <c r="S120" i="1"/>
  <c r="O120" i="1"/>
  <c r="K120" i="1"/>
  <c r="G120" i="1"/>
  <c r="X120" i="1"/>
  <c r="P120" i="1"/>
  <c r="H120" i="1"/>
  <c r="V120" i="1"/>
  <c r="N120" i="1"/>
  <c r="F120" i="1"/>
  <c r="T120" i="1"/>
  <c r="L120" i="1"/>
  <c r="R120" i="1"/>
  <c r="J120" i="1"/>
  <c r="G49" i="1"/>
  <c r="H135" i="1"/>
  <c r="P135" i="1"/>
  <c r="I129" i="5"/>
  <c r="G135" i="5"/>
  <c r="E61" i="5"/>
  <c r="I68" i="5"/>
  <c r="I69" i="5" s="1"/>
  <c r="E68" i="5"/>
  <c r="I121" i="5"/>
  <c r="E121" i="5"/>
  <c r="I130" i="5"/>
  <c r="J59" i="6"/>
  <c r="K59" i="6" s="1"/>
  <c r="L47" i="8"/>
  <c r="M48" i="8"/>
  <c r="L51" i="8"/>
  <c r="X117" i="1"/>
  <c r="T117" i="1"/>
  <c r="P117" i="1"/>
  <c r="L117" i="1"/>
  <c r="H117" i="1"/>
  <c r="V117" i="1"/>
  <c r="R117" i="1"/>
  <c r="N117" i="1"/>
  <c r="J117" i="1"/>
  <c r="F117" i="1"/>
  <c r="W117" i="1"/>
  <c r="O117" i="1"/>
  <c r="G117" i="1"/>
  <c r="U117" i="1"/>
  <c r="M117" i="1"/>
  <c r="S117" i="1"/>
  <c r="K117" i="1"/>
  <c r="Q117" i="1"/>
  <c r="I117" i="1"/>
  <c r="D64" i="4"/>
  <c r="E64" i="4" s="1"/>
  <c r="S49" i="1"/>
  <c r="E61" i="1"/>
  <c r="Q49" i="1"/>
  <c r="I135" i="5"/>
  <c r="I131" i="5"/>
  <c r="I120" i="5"/>
  <c r="E120" i="5"/>
  <c r="W118" i="1"/>
  <c r="S118" i="1"/>
  <c r="O118" i="1"/>
  <c r="K118" i="1"/>
  <c r="G118" i="1"/>
  <c r="U118" i="1"/>
  <c r="Q118" i="1"/>
  <c r="M118" i="1"/>
  <c r="I118" i="1"/>
  <c r="E118" i="1"/>
  <c r="R118" i="1"/>
  <c r="J118" i="1"/>
  <c r="X118" i="1"/>
  <c r="P118" i="1"/>
  <c r="H118" i="1"/>
  <c r="V118" i="1"/>
  <c r="N118" i="1"/>
  <c r="F118" i="1"/>
  <c r="L118" i="1"/>
  <c r="T118" i="1"/>
  <c r="F56" i="5"/>
  <c r="G56" i="5" s="1"/>
  <c r="G58" i="5" s="1"/>
  <c r="G61" i="5" s="1"/>
  <c r="G77" i="5" l="1"/>
  <c r="G75" i="5"/>
  <c r="G73" i="5"/>
  <c r="G72" i="5"/>
  <c r="G66" i="5"/>
  <c r="G67" i="5"/>
  <c r="G131" i="5" s="1"/>
  <c r="G122" i="5"/>
  <c r="G117" i="5"/>
  <c r="G76" i="5"/>
  <c r="G121" i="5"/>
  <c r="G82" i="5"/>
  <c r="G74" i="5"/>
  <c r="G118" i="5"/>
  <c r="G128" i="5"/>
  <c r="G119" i="5"/>
  <c r="G68" i="5"/>
  <c r="G130" i="5"/>
  <c r="G120" i="5"/>
  <c r="F77" i="5"/>
  <c r="F75" i="5"/>
  <c r="F73" i="5"/>
  <c r="F72" i="5"/>
  <c r="F67" i="5"/>
  <c r="F133" i="5" s="1"/>
  <c r="F66" i="5"/>
  <c r="F122" i="5"/>
  <c r="F118" i="5"/>
  <c r="F128" i="5"/>
  <c r="F119" i="5"/>
  <c r="F76" i="5"/>
  <c r="F68" i="5"/>
  <c r="F120" i="5"/>
  <c r="F117" i="5"/>
  <c r="F74" i="5"/>
  <c r="F121" i="5"/>
  <c r="F82" i="5"/>
  <c r="E67" i="1"/>
  <c r="E75" i="1"/>
  <c r="E72" i="1"/>
  <c r="E77" i="1"/>
  <c r="E73" i="1"/>
  <c r="E122" i="1"/>
  <c r="E66" i="1"/>
  <c r="E131" i="1" s="1"/>
  <c r="I123" i="1"/>
  <c r="E117" i="1"/>
  <c r="O123" i="1"/>
  <c r="N123" i="1"/>
  <c r="L123" i="1"/>
  <c r="L38" i="8"/>
  <c r="L78" i="8"/>
  <c r="E77" i="5"/>
  <c r="E75" i="5"/>
  <c r="E73" i="5"/>
  <c r="E67" i="5"/>
  <c r="E72" i="5"/>
  <c r="E122" i="5"/>
  <c r="E66" i="5"/>
  <c r="E129" i="5"/>
  <c r="E74" i="5"/>
  <c r="E68" i="1"/>
  <c r="E82" i="5"/>
  <c r="E132" i="1"/>
  <c r="K105" i="8"/>
  <c r="J105" i="8"/>
  <c r="J106" i="8" s="1"/>
  <c r="I106" i="8"/>
  <c r="E119" i="1"/>
  <c r="Q123" i="1"/>
  <c r="M123" i="1"/>
  <c r="W123" i="1"/>
  <c r="R123" i="1"/>
  <c r="P123" i="1"/>
  <c r="N48" i="8"/>
  <c r="M47" i="8"/>
  <c r="M51" i="8" s="1"/>
  <c r="E120" i="1"/>
  <c r="E76" i="5"/>
  <c r="O77" i="8"/>
  <c r="E65" i="4"/>
  <c r="E66" i="4" s="1"/>
  <c r="E74" i="1"/>
  <c r="E76" i="1"/>
  <c r="E128" i="5"/>
  <c r="E118" i="5"/>
  <c r="E82" i="1"/>
  <c r="E117" i="5"/>
  <c r="E128" i="1"/>
  <c r="H56" i="5"/>
  <c r="K123" i="1"/>
  <c r="U123" i="1"/>
  <c r="F123" i="1"/>
  <c r="V123" i="1"/>
  <c r="T123" i="1"/>
  <c r="H55" i="5"/>
  <c r="E121" i="1"/>
  <c r="E132" i="5"/>
  <c r="E119" i="5"/>
  <c r="I123" i="5"/>
  <c r="S123" i="1"/>
  <c r="G123" i="1"/>
  <c r="J123" i="1"/>
  <c r="H123" i="1"/>
  <c r="X123" i="1"/>
  <c r="D133" i="5"/>
  <c r="E133" i="5" s="1"/>
  <c r="D133" i="1"/>
  <c r="E133" i="1" s="1"/>
  <c r="E130" i="1" l="1"/>
  <c r="E129" i="1"/>
  <c r="F132" i="5"/>
  <c r="G132" i="5"/>
  <c r="M38" i="8"/>
  <c r="M78" i="8"/>
  <c r="I136" i="5"/>
  <c r="R136" i="1"/>
  <c r="E123" i="1"/>
  <c r="E136" i="1" s="1"/>
  <c r="G136" i="1"/>
  <c r="F136" i="1"/>
  <c r="X136" i="1"/>
  <c r="S136" i="1"/>
  <c r="H58" i="5"/>
  <c r="H61" i="5" s="1"/>
  <c r="U136" i="1"/>
  <c r="O48" i="8"/>
  <c r="N47" i="8"/>
  <c r="N51" i="8" s="1"/>
  <c r="W136" i="1"/>
  <c r="L136" i="1"/>
  <c r="I136" i="1"/>
  <c r="F123" i="5"/>
  <c r="F136" i="5" s="1"/>
  <c r="G129" i="5"/>
  <c r="G133" i="5"/>
  <c r="M133" i="1"/>
  <c r="S133" i="1"/>
  <c r="S137" i="1" s="1"/>
  <c r="S145" i="1" s="1"/>
  <c r="S179" i="1" s="1"/>
  <c r="X133" i="1"/>
  <c r="X137" i="1" s="1"/>
  <c r="X145" i="1" s="1"/>
  <c r="X179" i="1" s="1"/>
  <c r="W133" i="1"/>
  <c r="T133" i="1"/>
  <c r="P133" i="1"/>
  <c r="L133" i="1"/>
  <c r="G133" i="1"/>
  <c r="G137" i="1" s="1"/>
  <c r="G145" i="1" s="1"/>
  <c r="G179" i="1" s="1"/>
  <c r="O133" i="1"/>
  <c r="I133" i="1"/>
  <c r="I137" i="1" s="1"/>
  <c r="I145" i="1" s="1"/>
  <c r="I179" i="1" s="1"/>
  <c r="Q133" i="1"/>
  <c r="K133" i="1"/>
  <c r="V133" i="1"/>
  <c r="N133" i="1"/>
  <c r="F133" i="1"/>
  <c r="F137" i="1" s="1"/>
  <c r="F145" i="1" s="1"/>
  <c r="F179" i="1" s="1"/>
  <c r="H133" i="1"/>
  <c r="U133" i="1"/>
  <c r="J133" i="1"/>
  <c r="R133" i="1"/>
  <c r="R137" i="1" s="1"/>
  <c r="R145" i="1" s="1"/>
  <c r="R179" i="1" s="1"/>
  <c r="H136" i="1"/>
  <c r="E70" i="4"/>
  <c r="E69" i="4"/>
  <c r="E74" i="4"/>
  <c r="E73" i="4"/>
  <c r="T136" i="1"/>
  <c r="K136" i="1"/>
  <c r="M136" i="1"/>
  <c r="N136" i="1"/>
  <c r="E69" i="1"/>
  <c r="F69" i="5"/>
  <c r="I133" i="5"/>
  <c r="J136" i="1"/>
  <c r="V136" i="1"/>
  <c r="E123" i="5"/>
  <c r="E136" i="5" s="1"/>
  <c r="P77" i="8"/>
  <c r="P136" i="1"/>
  <c r="Q136" i="1"/>
  <c r="L105" i="8"/>
  <c r="K106" i="8"/>
  <c r="E69" i="5"/>
  <c r="E131" i="5"/>
  <c r="E130" i="5"/>
  <c r="O136" i="1"/>
  <c r="F131" i="5"/>
  <c r="F129" i="5"/>
  <c r="F130" i="5"/>
  <c r="G123" i="5"/>
  <c r="G136" i="5" s="1"/>
  <c r="G69" i="5"/>
  <c r="E75" i="4" l="1"/>
  <c r="E77" i="4" s="1"/>
  <c r="E89" i="4" s="1"/>
  <c r="H137" i="1"/>
  <c r="H145" i="1" s="1"/>
  <c r="H179" i="1" s="1"/>
  <c r="H185" i="1" s="1"/>
  <c r="K137" i="1"/>
  <c r="K145" i="1" s="1"/>
  <c r="K179" i="1" s="1"/>
  <c r="W137" i="1"/>
  <c r="W145" i="1" s="1"/>
  <c r="W179" i="1" s="1"/>
  <c r="W185" i="1" s="1"/>
  <c r="F185" i="1"/>
  <c r="F182" i="1"/>
  <c r="S182" i="1"/>
  <c r="S188" i="1" s="1"/>
  <c r="S185" i="1"/>
  <c r="N38" i="8"/>
  <c r="N78" i="8"/>
  <c r="R185" i="1"/>
  <c r="R182" i="1"/>
  <c r="R188" i="1" s="1"/>
  <c r="H182" i="1"/>
  <c r="K182" i="1"/>
  <c r="K185" i="1"/>
  <c r="G185" i="1"/>
  <c r="G182" i="1"/>
  <c r="W182" i="1"/>
  <c r="W188" i="1" s="1"/>
  <c r="X185" i="1"/>
  <c r="X182" i="1"/>
  <c r="X188" i="1" s="1"/>
  <c r="Q137" i="1"/>
  <c r="Q145" i="1" s="1"/>
  <c r="Q179" i="1" s="1"/>
  <c r="L137" i="1"/>
  <c r="L145" i="1" s="1"/>
  <c r="L179" i="1" s="1"/>
  <c r="I185" i="1"/>
  <c r="I182" i="1"/>
  <c r="H66" i="5"/>
  <c r="H131" i="5" s="1"/>
  <c r="H122" i="5"/>
  <c r="H73" i="5"/>
  <c r="H67" i="5"/>
  <c r="H133" i="5" s="1"/>
  <c r="H77" i="5"/>
  <c r="H72" i="5"/>
  <c r="H75" i="5"/>
  <c r="H82" i="5"/>
  <c r="H74" i="5"/>
  <c r="H129" i="5"/>
  <c r="H128" i="5"/>
  <c r="H119" i="5"/>
  <c r="H68" i="5"/>
  <c r="H117" i="5"/>
  <c r="H118" i="5"/>
  <c r="H76" i="5"/>
  <c r="H121" i="5"/>
  <c r="H120" i="5"/>
  <c r="M105" i="8"/>
  <c r="L106" i="8"/>
  <c r="J137" i="1"/>
  <c r="J145" i="1" s="1"/>
  <c r="J179" i="1" s="1"/>
  <c r="N137" i="1"/>
  <c r="N145" i="1" s="1"/>
  <c r="N179" i="1" s="1"/>
  <c r="P137" i="1"/>
  <c r="P145" i="1" s="1"/>
  <c r="P179" i="1" s="1"/>
  <c r="O51" i="8"/>
  <c r="O47" i="8"/>
  <c r="P48" i="8"/>
  <c r="E94" i="4"/>
  <c r="E85" i="4"/>
  <c r="G36" i="6" s="1"/>
  <c r="E82" i="4"/>
  <c r="H36" i="6" s="1"/>
  <c r="E90" i="4"/>
  <c r="I137" i="5"/>
  <c r="I145" i="5" s="1"/>
  <c r="I179" i="5" s="1"/>
  <c r="U137" i="1"/>
  <c r="U145" i="1" s="1"/>
  <c r="U179" i="1" s="1"/>
  <c r="V137" i="1"/>
  <c r="V145" i="1" s="1"/>
  <c r="V179" i="1" s="1"/>
  <c r="O137" i="1"/>
  <c r="O145" i="1" s="1"/>
  <c r="O179" i="1" s="1"/>
  <c r="T137" i="1"/>
  <c r="T145" i="1" s="1"/>
  <c r="T179" i="1" s="1"/>
  <c r="M137" i="1"/>
  <c r="M145" i="1" s="1"/>
  <c r="M179" i="1" s="1"/>
  <c r="P185" i="1" l="1"/>
  <c r="P182" i="1"/>
  <c r="P188" i="1" s="1"/>
  <c r="J21" i="6"/>
  <c r="I188" i="1"/>
  <c r="K21" i="6" s="1"/>
  <c r="J20" i="6"/>
  <c r="H188" i="1"/>
  <c r="K20" i="6" s="1"/>
  <c r="M185" i="1"/>
  <c r="M182" i="1"/>
  <c r="U185" i="1"/>
  <c r="U182" i="1"/>
  <c r="U188" i="1" s="1"/>
  <c r="N185" i="1"/>
  <c r="N182" i="1"/>
  <c r="H123" i="5"/>
  <c r="H136" i="5" s="1"/>
  <c r="V185" i="1"/>
  <c r="V182" i="1"/>
  <c r="V188" i="1" s="1"/>
  <c r="P47" i="8"/>
  <c r="P51" i="8" s="1"/>
  <c r="D79" i="5"/>
  <c r="D79" i="1"/>
  <c r="H69" i="5"/>
  <c r="J19" i="6"/>
  <c r="G188" i="1"/>
  <c r="K19" i="6" s="1"/>
  <c r="I182" i="5"/>
  <c r="I185" i="5"/>
  <c r="J185" i="1"/>
  <c r="J182" i="1"/>
  <c r="H132" i="5"/>
  <c r="J18" i="6"/>
  <c r="F188" i="1"/>
  <c r="K18" i="6" s="1"/>
  <c r="I36" i="6"/>
  <c r="E95" i="4"/>
  <c r="N105" i="8"/>
  <c r="M106" i="8"/>
  <c r="T182" i="1"/>
  <c r="T188" i="1" s="1"/>
  <c r="T185" i="1"/>
  <c r="O38" i="8"/>
  <c r="O78" i="8"/>
  <c r="H130" i="5"/>
  <c r="L185" i="1"/>
  <c r="L182" i="1"/>
  <c r="O182" i="1"/>
  <c r="O188" i="1" s="1"/>
  <c r="O185" i="1"/>
  <c r="Q185" i="1"/>
  <c r="Q182" i="1"/>
  <c r="Q188" i="1" s="1"/>
  <c r="J23" i="6"/>
  <c r="K188" i="1"/>
  <c r="K23" i="6" s="1"/>
  <c r="P38" i="8" l="1"/>
  <c r="P78" i="8"/>
  <c r="O105" i="8"/>
  <c r="N106" i="8"/>
  <c r="J26" i="6"/>
  <c r="N188" i="1"/>
  <c r="K26" i="6" s="1"/>
  <c r="J36" i="6"/>
  <c r="J41" i="6" s="1"/>
  <c r="E96" i="4"/>
  <c r="K36" i="6" s="1"/>
  <c r="K41" i="6" s="1"/>
  <c r="J25" i="6"/>
  <c r="M188" i="1"/>
  <c r="K25" i="6" s="1"/>
  <c r="C78" i="1"/>
  <c r="D81" i="1"/>
  <c r="J24" i="6"/>
  <c r="L188" i="1"/>
  <c r="K24" i="6" s="1"/>
  <c r="J22" i="6"/>
  <c r="J188" i="1"/>
  <c r="K22" i="6" s="1"/>
  <c r="C78" i="5"/>
  <c r="D81" i="5"/>
  <c r="G81" i="5" l="1"/>
  <c r="G83" i="5" s="1"/>
  <c r="G114" i="5" s="1"/>
  <c r="F81" i="5"/>
  <c r="F83" i="5" s="1"/>
  <c r="F114" i="5" s="1"/>
  <c r="I81" i="5"/>
  <c r="I83" i="5" s="1"/>
  <c r="E81" i="5"/>
  <c r="E83" i="5" s="1"/>
  <c r="E114" i="5" s="1"/>
  <c r="H81" i="5"/>
  <c r="H83" i="5" s="1"/>
  <c r="H114" i="5" s="1"/>
  <c r="D134" i="5"/>
  <c r="E134" i="5"/>
  <c r="E137" i="5" s="1"/>
  <c r="E145" i="5" s="1"/>
  <c r="G134" i="5"/>
  <c r="G137" i="5" s="1"/>
  <c r="G145" i="5" s="1"/>
  <c r="F134" i="5"/>
  <c r="F137" i="5" s="1"/>
  <c r="F145" i="5" s="1"/>
  <c r="G28" i="10"/>
  <c r="D28" i="10" s="1"/>
  <c r="G20" i="10"/>
  <c r="D20" i="10" s="1"/>
  <c r="G12" i="10"/>
  <c r="D12" i="10" s="1"/>
  <c r="G4" i="10"/>
  <c r="D4" i="10" s="1"/>
  <c r="G24" i="10"/>
  <c r="D24" i="10" s="1"/>
  <c r="G16" i="10"/>
  <c r="D16" i="10" s="1"/>
  <c r="G8" i="10"/>
  <c r="D8" i="10" s="1"/>
  <c r="G5" i="10"/>
  <c r="D5" i="10" s="1"/>
  <c r="G22" i="10"/>
  <c r="D22" i="10" s="1"/>
  <c r="G17" i="10"/>
  <c r="D17" i="10" s="1"/>
  <c r="G10" i="10"/>
  <c r="D10" i="10" s="1"/>
  <c r="G25" i="10"/>
  <c r="D25" i="10" s="1"/>
  <c r="G18" i="10"/>
  <c r="D18" i="10" s="1"/>
  <c r="G29" i="10"/>
  <c r="D29" i="10" s="1"/>
  <c r="G21" i="10"/>
  <c r="D21" i="10" s="1"/>
  <c r="G11" i="10"/>
  <c r="D11" i="10" s="1"/>
  <c r="G27" i="10"/>
  <c r="D27" i="10" s="1"/>
  <c r="G15" i="10"/>
  <c r="D15" i="10" s="1"/>
  <c r="G26" i="10"/>
  <c r="D26" i="10" s="1"/>
  <c r="G9" i="10"/>
  <c r="D9" i="10" s="1"/>
  <c r="G6" i="10"/>
  <c r="D6" i="10" s="1"/>
  <c r="G3" i="10"/>
  <c r="D3" i="10" s="1"/>
  <c r="G14" i="10"/>
  <c r="D14" i="10" s="1"/>
  <c r="G2" i="10"/>
  <c r="D2" i="10" s="1"/>
  <c r="G23" i="10"/>
  <c r="D23" i="10" s="1"/>
  <c r="G13" i="10"/>
  <c r="D13" i="10" s="1"/>
  <c r="G19" i="10"/>
  <c r="D19" i="10" s="1"/>
  <c r="G7" i="10"/>
  <c r="D7" i="10" s="1"/>
  <c r="H134" i="5"/>
  <c r="H137" i="5" s="1"/>
  <c r="H145" i="5" s="1"/>
  <c r="V81" i="1"/>
  <c r="V83" i="1" s="1"/>
  <c r="R81" i="1"/>
  <c r="R83" i="1" s="1"/>
  <c r="N81" i="1"/>
  <c r="N83" i="1" s="1"/>
  <c r="J81" i="1"/>
  <c r="J83" i="1" s="1"/>
  <c r="F81" i="1"/>
  <c r="F83" i="1" s="1"/>
  <c r="U81" i="1"/>
  <c r="U83" i="1" s="1"/>
  <c r="Q81" i="1"/>
  <c r="Q83" i="1" s="1"/>
  <c r="M81" i="1"/>
  <c r="M83" i="1" s="1"/>
  <c r="I81" i="1"/>
  <c r="I83" i="1" s="1"/>
  <c r="E81" i="1"/>
  <c r="E83" i="1" s="1"/>
  <c r="E114" i="1" s="1"/>
  <c r="X81" i="1"/>
  <c r="X83" i="1" s="1"/>
  <c r="P81" i="1"/>
  <c r="P83" i="1" s="1"/>
  <c r="H81" i="1"/>
  <c r="H83" i="1" s="1"/>
  <c r="K81" i="1"/>
  <c r="K83" i="1" s="1"/>
  <c r="W81" i="1"/>
  <c r="W83" i="1" s="1"/>
  <c r="O81" i="1"/>
  <c r="O83" i="1" s="1"/>
  <c r="G81" i="1"/>
  <c r="G83" i="1" s="1"/>
  <c r="S81" i="1"/>
  <c r="S83" i="1" s="1"/>
  <c r="T81" i="1"/>
  <c r="T83" i="1" s="1"/>
  <c r="L81" i="1"/>
  <c r="L83" i="1" s="1"/>
  <c r="D134" i="1"/>
  <c r="E134" i="1"/>
  <c r="E137" i="1" s="1"/>
  <c r="E145" i="1" s="1"/>
  <c r="P105" i="8"/>
  <c r="P106" i="8" s="1"/>
  <c r="O106" i="8"/>
  <c r="E179" i="1" l="1"/>
  <c r="E155" i="1"/>
  <c r="E149" i="5"/>
  <c r="E179" i="5"/>
  <c r="F179" i="5"/>
  <c r="F149" i="5"/>
  <c r="F150" i="5" s="1"/>
  <c r="F180" i="5" s="1"/>
  <c r="F186" i="5" s="1"/>
  <c r="I26" i="10"/>
  <c r="J26" i="10" s="1"/>
  <c r="I22" i="10"/>
  <c r="J22" i="10" s="1"/>
  <c r="I18" i="10"/>
  <c r="J18" i="10" s="1"/>
  <c r="I14" i="10"/>
  <c r="J14" i="10" s="1"/>
  <c r="I10" i="10"/>
  <c r="J10" i="10" s="1"/>
  <c r="B53" i="6" s="1"/>
  <c r="I6" i="10"/>
  <c r="J6" i="10" s="1"/>
  <c r="B49" i="6" s="1"/>
  <c r="I2" i="10"/>
  <c r="J2" i="10" s="1"/>
  <c r="B45" i="6" s="1"/>
  <c r="I29" i="10"/>
  <c r="J29" i="10" s="1"/>
  <c r="I25" i="10"/>
  <c r="J25" i="10" s="1"/>
  <c r="I21" i="10"/>
  <c r="J21" i="10" s="1"/>
  <c r="I17" i="10"/>
  <c r="J17" i="10" s="1"/>
  <c r="I13" i="10"/>
  <c r="J13" i="10" s="1"/>
  <c r="I9" i="10"/>
  <c r="J9" i="10" s="1"/>
  <c r="B52" i="6" s="1"/>
  <c r="I5" i="10"/>
  <c r="J5" i="10" s="1"/>
  <c r="B48" i="6" s="1"/>
  <c r="I28" i="10"/>
  <c r="J28" i="10" s="1"/>
  <c r="I24" i="10"/>
  <c r="J24" i="10" s="1"/>
  <c r="I20" i="10"/>
  <c r="J20" i="10" s="1"/>
  <c r="I16" i="10"/>
  <c r="J16" i="10" s="1"/>
  <c r="I12" i="10"/>
  <c r="J12" i="10" s="1"/>
  <c r="I8" i="10"/>
  <c r="J8" i="10" s="1"/>
  <c r="B51" i="6" s="1"/>
  <c r="I4" i="10"/>
  <c r="J4" i="10" s="1"/>
  <c r="B47" i="6" s="1"/>
  <c r="I27" i="10"/>
  <c r="J27" i="10" s="1"/>
  <c r="I23" i="10"/>
  <c r="J23" i="10" s="1"/>
  <c r="I19" i="10"/>
  <c r="J19" i="10" s="1"/>
  <c r="I15" i="10"/>
  <c r="J15" i="10" s="1"/>
  <c r="I11" i="10"/>
  <c r="J11" i="10" s="1"/>
  <c r="I7" i="10"/>
  <c r="J7" i="10" s="1"/>
  <c r="B50" i="6" s="1"/>
  <c r="I3" i="10"/>
  <c r="J3" i="10" s="1"/>
  <c r="B46" i="6" s="1"/>
  <c r="H149" i="5"/>
  <c r="H150" i="5" s="1"/>
  <c r="H180" i="5" s="1"/>
  <c r="H186" i="5" s="1"/>
  <c r="H179" i="5"/>
  <c r="G149" i="5"/>
  <c r="G150" i="5" s="1"/>
  <c r="G180" i="5" s="1"/>
  <c r="G186" i="5" s="1"/>
  <c r="G179" i="5"/>
  <c r="F155" i="5" l="1"/>
  <c r="G155" i="5"/>
  <c r="H155" i="5"/>
  <c r="K48" i="6"/>
  <c r="G48" i="6"/>
  <c r="F48" i="6"/>
  <c r="I48" i="6"/>
  <c r="H48" i="6"/>
  <c r="J48" i="6"/>
  <c r="H49" i="6"/>
  <c r="J49" i="6"/>
  <c r="G49" i="6"/>
  <c r="K49" i="6"/>
  <c r="I49" i="6"/>
  <c r="F49" i="6"/>
  <c r="J58" i="6"/>
  <c r="E185" i="5"/>
  <c r="H185" i="5"/>
  <c r="J47" i="6"/>
  <c r="F47" i="6"/>
  <c r="H47" i="6"/>
  <c r="K47" i="6"/>
  <c r="I47" i="6"/>
  <c r="G47" i="6"/>
  <c r="K52" i="6"/>
  <c r="G52" i="6"/>
  <c r="J52" i="6"/>
  <c r="H52" i="6"/>
  <c r="I52" i="6"/>
  <c r="F52" i="6"/>
  <c r="H53" i="6"/>
  <c r="J53" i="6"/>
  <c r="K53" i="6"/>
  <c r="G53" i="6"/>
  <c r="F53" i="6"/>
  <c r="I53" i="6"/>
  <c r="G185" i="5"/>
  <c r="I46" i="6"/>
  <c r="J46" i="6"/>
  <c r="G46" i="6"/>
  <c r="K46" i="6"/>
  <c r="H46" i="6"/>
  <c r="F46" i="6"/>
  <c r="J51" i="6"/>
  <c r="F51" i="6"/>
  <c r="G51" i="6"/>
  <c r="I51" i="6"/>
  <c r="H51" i="6"/>
  <c r="K51" i="6"/>
  <c r="F156" i="5"/>
  <c r="F157" i="5" s="1"/>
  <c r="F185" i="5"/>
  <c r="J60" i="6"/>
  <c r="K60" i="6" s="1"/>
  <c r="E150" i="5"/>
  <c r="E156" i="1"/>
  <c r="I50" i="6"/>
  <c r="H50" i="6"/>
  <c r="K50" i="6"/>
  <c r="F50" i="6"/>
  <c r="J50" i="6"/>
  <c r="G50" i="6"/>
  <c r="H45" i="6"/>
  <c r="K45" i="6"/>
  <c r="F45" i="6"/>
  <c r="I45" i="6"/>
  <c r="G45" i="6"/>
  <c r="J45" i="6"/>
  <c r="E185" i="1"/>
  <c r="F160" i="5" l="1"/>
  <c r="F164" i="5"/>
  <c r="F165" i="5"/>
  <c r="F161" i="5"/>
  <c r="J54" i="6"/>
  <c r="K54" i="6"/>
  <c r="H54" i="6"/>
  <c r="E180" i="5"/>
  <c r="E155" i="5"/>
  <c r="K58" i="6"/>
  <c r="K62" i="6" s="1"/>
  <c r="J62" i="6"/>
  <c r="H156" i="5"/>
  <c r="H157" i="5" s="1"/>
  <c r="E157" i="1"/>
  <c r="G156" i="5"/>
  <c r="G157" i="5" s="1"/>
  <c r="H160" i="5" l="1"/>
  <c r="H161" i="5"/>
  <c r="H164" i="5"/>
  <c r="H165" i="5"/>
  <c r="G160" i="5"/>
  <c r="G164" i="5"/>
  <c r="G165" i="5"/>
  <c r="G161" i="5"/>
  <c r="E156" i="5"/>
  <c r="J65" i="6" s="1"/>
  <c r="K65" i="6" s="1"/>
  <c r="J64" i="6"/>
  <c r="E160" i="1"/>
  <c r="E161" i="1"/>
  <c r="E165" i="1"/>
  <c r="E164" i="1"/>
  <c r="E186" i="5"/>
  <c r="F166" i="5"/>
  <c r="F168" i="5" s="1"/>
  <c r="E157" i="5" l="1"/>
  <c r="K64" i="6"/>
  <c r="E160" i="5"/>
  <c r="E165" i="5"/>
  <c r="E164" i="5"/>
  <c r="E161" i="5"/>
  <c r="F181" i="5"/>
  <c r="F174" i="5"/>
  <c r="F175" i="5"/>
  <c r="E166" i="1"/>
  <c r="G166" i="5"/>
  <c r="G168" i="5" s="1"/>
  <c r="H166" i="5"/>
  <c r="H168" i="5" s="1"/>
  <c r="H181" i="5" l="1"/>
  <c r="H175" i="5"/>
  <c r="H174" i="5"/>
  <c r="E166" i="5"/>
  <c r="E168" i="5" s="1"/>
  <c r="G181" i="5"/>
  <c r="G175" i="5"/>
  <c r="G174" i="5"/>
  <c r="F187" i="5"/>
  <c r="F182" i="5"/>
  <c r="F188" i="5" s="1"/>
  <c r="E168" i="1"/>
  <c r="F173" i="5"/>
  <c r="F176" i="5"/>
  <c r="J66" i="6" l="1"/>
  <c r="K66" i="6" s="1"/>
  <c r="K67" i="6" s="1"/>
  <c r="K68" i="6" s="1"/>
  <c r="E181" i="5"/>
  <c r="E175" i="5"/>
  <c r="E174" i="5"/>
  <c r="G176" i="5"/>
  <c r="G173" i="5"/>
  <c r="H176" i="5"/>
  <c r="H173" i="5"/>
  <c r="E181" i="1"/>
  <c r="E175" i="1"/>
  <c r="E174" i="1"/>
  <c r="H17" i="6" s="1"/>
  <c r="F212" i="5"/>
  <c r="F218" i="5"/>
  <c r="F211" i="5"/>
  <c r="F204" i="5"/>
  <c r="F203" i="5"/>
  <c r="F202" i="5"/>
  <c r="F205" i="5"/>
  <c r="F199" i="5"/>
  <c r="F198" i="5"/>
  <c r="F197" i="5"/>
  <c r="F196" i="5"/>
  <c r="F195" i="5"/>
  <c r="F194" i="5"/>
  <c r="F193" i="5"/>
  <c r="F207" i="5"/>
  <c r="F206" i="5"/>
  <c r="G187" i="5"/>
  <c r="G182" i="5"/>
  <c r="G188" i="5" s="1"/>
  <c r="H187" i="5"/>
  <c r="H182" i="5"/>
  <c r="H188" i="5" s="1"/>
  <c r="J67" i="6" l="1"/>
  <c r="E176" i="5"/>
  <c r="E200" i="5" s="1"/>
  <c r="E173" i="5"/>
  <c r="E176" i="1"/>
  <c r="I17" i="6" s="1"/>
  <c r="E173" i="1"/>
  <c r="G17" i="6" s="1"/>
  <c r="G215" i="5"/>
  <c r="G210" i="5"/>
  <c r="E187" i="5"/>
  <c r="E182" i="5"/>
  <c r="E188" i="5" s="1"/>
  <c r="E187" i="1"/>
  <c r="E182" i="1"/>
  <c r="K31" i="6"/>
  <c r="K32" i="6" s="1"/>
  <c r="J31" i="6"/>
  <c r="J32" i="6" s="1"/>
  <c r="J68" i="6"/>
  <c r="H210" i="5"/>
  <c r="H215" i="5"/>
  <c r="E207" i="5" l="1"/>
  <c r="M207" i="5" s="1"/>
  <c r="N207" i="5" s="1"/>
  <c r="O207" i="5" s="1"/>
  <c r="E205" i="5"/>
  <c r="M205" i="5" s="1"/>
  <c r="N205" i="5" s="1"/>
  <c r="O205" i="5" s="1"/>
  <c r="E203" i="5"/>
  <c r="M203" i="5" s="1"/>
  <c r="N203" i="5" s="1"/>
  <c r="O203" i="5" s="1"/>
  <c r="E198" i="5"/>
  <c r="M198" i="5" s="1"/>
  <c r="N198" i="5" s="1"/>
  <c r="O198" i="5" s="1"/>
  <c r="E196" i="5"/>
  <c r="M196" i="5" s="1"/>
  <c r="N196" i="5" s="1"/>
  <c r="O196" i="5" s="1"/>
  <c r="E194" i="5"/>
  <c r="M194" i="5" s="1"/>
  <c r="N194" i="5" s="1"/>
  <c r="O194" i="5" s="1"/>
  <c r="E206" i="5"/>
  <c r="M206" i="5" s="1"/>
  <c r="N206" i="5" s="1"/>
  <c r="O206" i="5" s="1"/>
  <c r="E204" i="5"/>
  <c r="M204" i="5" s="1"/>
  <c r="N204" i="5" s="1"/>
  <c r="O204" i="5" s="1"/>
  <c r="E202" i="5"/>
  <c r="M202" i="5" s="1"/>
  <c r="N202" i="5" s="1"/>
  <c r="O202" i="5" s="1"/>
  <c r="E199" i="5"/>
  <c r="M199" i="5" s="1"/>
  <c r="N199" i="5" s="1"/>
  <c r="O199" i="5" s="1"/>
  <c r="E197" i="5"/>
  <c r="M197" i="5" s="1"/>
  <c r="N197" i="5" s="1"/>
  <c r="O197" i="5" s="1"/>
  <c r="E195" i="5"/>
  <c r="M195" i="5" s="1"/>
  <c r="N195" i="5" s="1"/>
  <c r="O195" i="5" s="1"/>
  <c r="E193" i="5"/>
  <c r="M193" i="5" s="1"/>
  <c r="N193" i="5" s="1"/>
  <c r="O193" i="5" s="1"/>
  <c r="E218" i="5"/>
  <c r="M218" i="5" s="1"/>
  <c r="N218" i="5" s="1"/>
  <c r="O218" i="5" s="1"/>
  <c r="E211" i="5"/>
  <c r="M211" i="5" s="1"/>
  <c r="N211" i="5" s="1"/>
  <c r="O211" i="5" s="1"/>
  <c r="E212" i="5"/>
  <c r="M212" i="5" s="1"/>
  <c r="N212" i="5" s="1"/>
  <c r="O212" i="5" s="1"/>
  <c r="J17" i="6"/>
  <c r="J27" i="6" s="1"/>
  <c r="E188" i="1"/>
  <c r="K17" i="6" s="1"/>
  <c r="K27" i="6" s="1"/>
  <c r="M210" i="5"/>
  <c r="N210" i="5" s="1"/>
  <c r="O210" i="5" s="1"/>
  <c r="M215" i="5"/>
  <c r="N215" i="5" s="1"/>
  <c r="O215"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000-000001000000}">
      <text>
        <r>
          <rPr>
            <sz val="9"/>
            <color rgb="FF000000"/>
            <rFont val="Segoe UI"/>
            <family val="2"/>
            <charset val="1"/>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56" authorId="0" shapeId="0" xr:uid="{00000000-0006-0000-0300-000001000000}">
      <text>
        <r>
          <rPr>
            <sz val="9"/>
            <color rgb="FF000000"/>
            <rFont val="Segoe UI"/>
            <family val="2"/>
            <charset val="1"/>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400-000001000000}">
      <text>
        <r>
          <rPr>
            <sz val="9"/>
            <color rgb="FF000000"/>
            <rFont val="Segoe UI"/>
            <family val="2"/>
            <charset val="1"/>
          </rPr>
          <t>Campo livre para observações do posto</t>
        </r>
      </text>
    </comment>
  </commentList>
</comments>
</file>

<file path=xl/sharedStrings.xml><?xml version="1.0" encoding="utf-8"?>
<sst xmlns="http://schemas.openxmlformats.org/spreadsheetml/2006/main" count="1421" uniqueCount="681">
  <si>
    <t>DADOS REFERENTES À CONTRATAÇÃO</t>
  </si>
  <si>
    <t>A</t>
  </si>
  <si>
    <t>Órgão Demandante</t>
  </si>
  <si>
    <t>SECRETARIA MUNICIPAL DE EDUCAÇÃO (SMED)</t>
  </si>
  <si>
    <t>B</t>
  </si>
  <si>
    <t xml:space="preserve">Pregão Eletrônico nº: </t>
  </si>
  <si>
    <t>C</t>
  </si>
  <si>
    <t>Processo SEI nº:</t>
  </si>
  <si>
    <t>25.0.000013034-9</t>
  </si>
  <si>
    <t>D</t>
  </si>
  <si>
    <t>Objeto:</t>
  </si>
  <si>
    <t>Locação de veículo com motorista</t>
  </si>
  <si>
    <t>E</t>
  </si>
  <si>
    <t>Responsável</t>
  </si>
  <si>
    <t>Fabio Goulart</t>
  </si>
  <si>
    <t>F</t>
  </si>
  <si>
    <t>Data de conclusão</t>
  </si>
  <si>
    <t>G</t>
  </si>
  <si>
    <t>Pagamento do Contrato:</t>
  </si>
  <si>
    <t>Mês</t>
  </si>
  <si>
    <t>H</t>
  </si>
  <si>
    <t>Duração do Contrato em meses:</t>
  </si>
  <si>
    <t>I</t>
  </si>
  <si>
    <t>Regime Tributário</t>
  </si>
  <si>
    <t>Lucro Presumido</t>
  </si>
  <si>
    <t>J</t>
  </si>
  <si>
    <t>Receita Bruta</t>
  </si>
  <si>
    <t>K</t>
  </si>
  <si>
    <t>Salário Mínimo</t>
  </si>
  <si>
    <t>DADOS REFERENTES AOS POSTOS</t>
  </si>
  <si>
    <t>Posto A</t>
  </si>
  <si>
    <t>Posto B</t>
  </si>
  <si>
    <t>Posto C</t>
  </si>
  <si>
    <t>Posto D</t>
  </si>
  <si>
    <t>Posto E</t>
  </si>
  <si>
    <t>Posto F</t>
  </si>
  <si>
    <t>Posto G</t>
  </si>
  <si>
    <t>Posto H</t>
  </si>
  <si>
    <t>Posto I</t>
  </si>
  <si>
    <t>Posto J</t>
  </si>
  <si>
    <t>Posto K</t>
  </si>
  <si>
    <t>Posto L</t>
  </si>
  <si>
    <t>Posto M</t>
  </si>
  <si>
    <t>Posto N</t>
  </si>
  <si>
    <t>Posto O</t>
  </si>
  <si>
    <t>Posto P</t>
  </si>
  <si>
    <t>Posto Q</t>
  </si>
  <si>
    <t>Posto R</t>
  </si>
  <si>
    <t>Posto S</t>
  </si>
  <si>
    <t>Posto T</t>
  </si>
  <si>
    <t>Função do Posto</t>
  </si>
  <si>
    <t>Motorista Van</t>
  </si>
  <si>
    <t>Observação</t>
  </si>
  <si>
    <t>Classificação Brasileira de Ocupações (CBO)</t>
  </si>
  <si>
    <t xml:space="preserve">Valor do Piso normativo da Categoria </t>
  </si>
  <si>
    <t>Regime de trabalho da convenção coletiva (mensal)</t>
  </si>
  <si>
    <t xml:space="preserve">Sindicato representativo da categoria profissional </t>
  </si>
  <si>
    <t>SINDASSEIO</t>
  </si>
  <si>
    <t>Data base da categoria</t>
  </si>
  <si>
    <t xml:space="preserve">Registro no MTE </t>
  </si>
  <si>
    <t>Regime de trabalho do Contrato (semanal)</t>
  </si>
  <si>
    <t>44h (5 dia/sem)</t>
  </si>
  <si>
    <t>Quantidade de postos</t>
  </si>
  <si>
    <t>Quantidade de profissional por posto</t>
  </si>
  <si>
    <t>L</t>
  </si>
  <si>
    <t>Quantidade total de profissionais</t>
  </si>
  <si>
    <t>MÓDULO 1: COMPOSIÇÃO DA REMUNERAÇÃO</t>
  </si>
  <si>
    <t>Salário-Base</t>
  </si>
  <si>
    <t>Adicional de Periculosidade</t>
  </si>
  <si>
    <t>Incidência</t>
  </si>
  <si>
    <t>Valor (R$)</t>
  </si>
  <si>
    <t>Adicional de Insalubridade</t>
  </si>
  <si>
    <t>Base de incindência</t>
  </si>
  <si>
    <t>Percentual de incidência</t>
  </si>
  <si>
    <t>Gratificação de Função</t>
  </si>
  <si>
    <t>Adicional Noturno</t>
  </si>
  <si>
    <t>Número de horas noturnas por dia</t>
  </si>
  <si>
    <t>Número de dias laborados a noite</t>
  </si>
  <si>
    <t>Adicional de Hora Noturna Reduzida</t>
  </si>
  <si>
    <t xml:space="preserve">Quantidade de horas noturnas reduzidas por mês  </t>
  </si>
  <si>
    <t>Horas Extras (com adicionais)</t>
  </si>
  <si>
    <t xml:space="preserve">Quantidade de Horas Extras mensal  </t>
  </si>
  <si>
    <t>Descanso Semanal Remunerado</t>
  </si>
  <si>
    <t xml:space="preserve">Sobre Adicional Noturno e Hora Noturna Reduzida </t>
  </si>
  <si>
    <t xml:space="preserve">Sobre Horas Extras  </t>
  </si>
  <si>
    <t>Sim</t>
  </si>
  <si>
    <t>Sobre Adicional de Troca de Uniforme</t>
  </si>
  <si>
    <t>Adicional de Troca de Uniforme</t>
  </si>
  <si>
    <t>Outras remunerações  (especificar)</t>
  </si>
  <si>
    <t>TOTAL MÓDULO 1</t>
  </si>
  <si>
    <t>MÓDULO 2 - ENCARGOS E BENEFÍCIOS ANUAIS, MENSAIS E DIÁRIOS</t>
  </si>
  <si>
    <t>SUBMÓDULO 2.1 - 13º Salário, Férias e Adicional de Férias</t>
  </si>
  <si>
    <t>13º salário</t>
  </si>
  <si>
    <t xml:space="preserve">Férias e Adicional de Férias </t>
  </si>
  <si>
    <t>Incidência no Submódulo 2.2 sobre 13º salário e Férias</t>
  </si>
  <si>
    <t>TOTAL SUBMÓDULO 2.1</t>
  </si>
  <si>
    <t>SUBMÓDULO  2.2 - Encargos Previdenciários e FGTS e Outras Contribuições</t>
  </si>
  <si>
    <t>INSS</t>
  </si>
  <si>
    <t>SESI OU SESC</t>
  </si>
  <si>
    <t>SENAI OU SENAC</t>
  </si>
  <si>
    <t>INCRA</t>
  </si>
  <si>
    <t>Salário educação</t>
  </si>
  <si>
    <t>FGTS</t>
  </si>
  <si>
    <t>RAT</t>
  </si>
  <si>
    <t>FAP</t>
  </si>
  <si>
    <t>SEBRAE</t>
  </si>
  <si>
    <t>TOTAL SUBMÓDULO 2.2</t>
  </si>
  <si>
    <t>SUBMÓDULO 2.3 - Encargos e Benefícios Anuais, Mensais e Diários</t>
  </si>
  <si>
    <t xml:space="preserve">Auxílio Transporte                                                   </t>
  </si>
  <si>
    <t>Valor da passagem do transporte coletivo</t>
  </si>
  <si>
    <t>Quantidade de passagens por dia</t>
  </si>
  <si>
    <t>Quantidade de dias do mês de recebimento</t>
  </si>
  <si>
    <t xml:space="preserve">Participação do empregado no custo  </t>
  </si>
  <si>
    <t xml:space="preserve">Auxílio-Refeição/Alimentação   </t>
  </si>
  <si>
    <t xml:space="preserve">Valor do Auxílio-Alimentação   </t>
  </si>
  <si>
    <t>Quantidade de vales recebidos por funcionário</t>
  </si>
  <si>
    <t>Participação do empregado no custo (%)</t>
  </si>
  <si>
    <t xml:space="preserve">Assistência Médica e Familiar </t>
  </si>
  <si>
    <t xml:space="preserve">Valor previsto em CCT/ACT  </t>
  </si>
  <si>
    <t xml:space="preserve">Seguro de vida em grupo  </t>
  </si>
  <si>
    <t xml:space="preserve">Auxílio-Funeral    </t>
  </si>
  <si>
    <t xml:space="preserve">Cesta Básica  </t>
  </si>
  <si>
    <t>Participação do empregado no custo</t>
  </si>
  <si>
    <t xml:space="preserve">Plano de Benefício Social Familiar </t>
  </si>
  <si>
    <t>Outros (especificar)</t>
  </si>
  <si>
    <t>Valor do benefício</t>
  </si>
  <si>
    <t>TOTAL SUBMÓDULO 2.3</t>
  </si>
  <si>
    <t>TOTAL MÓDULO 2</t>
  </si>
  <si>
    <t>MÓDULO 3 - PROVISÃO PARA RESCISÃO</t>
  </si>
  <si>
    <t>Aviso prévio indenizado</t>
  </si>
  <si>
    <t xml:space="preserve">Incidência do FGTS sobre Aviso Prévio indenizado </t>
  </si>
  <si>
    <t xml:space="preserve">Incidência da Multa s/ FGTS incidente no API </t>
  </si>
  <si>
    <t xml:space="preserve">Aviso prévio trabalhado  </t>
  </si>
  <si>
    <t xml:space="preserve">Incidência dos encargos do submódulo 2.2 sobre item D  </t>
  </si>
  <si>
    <t xml:space="preserve">Multa sobre FGTS e contribuições sociais incidentes </t>
  </si>
  <si>
    <t>TOTAL MÓDULO 3</t>
  </si>
  <si>
    <t>MÓDULO 4 - CUSTO DE REPOSIÇÃO DO PROFISSIONAL AUSENTE</t>
  </si>
  <si>
    <t>SUBMÓDULO 4.1 - Substituto nas Ausências Legais
 BCCPA: Base de cálculo para o custo do profissional ausente</t>
  </si>
  <si>
    <t xml:space="preserve">Substituto na cobertura de férias  </t>
  </si>
  <si>
    <t xml:space="preserve">Substituto na cobertura das ausências por doença </t>
  </si>
  <si>
    <t xml:space="preserve">Substituto na cobertura de licença paternidade </t>
  </si>
  <si>
    <t xml:space="preserve">Substituto na cobertura das ausências legais </t>
  </si>
  <si>
    <t xml:space="preserve">Substituto na cobertura nas ausências por acidente de trabalho </t>
  </si>
  <si>
    <t xml:space="preserve">Substituto na cobertura de afastamento maternidade </t>
  </si>
  <si>
    <t>Incidência dos encargos do submódulo 2.2</t>
  </si>
  <si>
    <t>Inclusão benefícios Mensais e Diários</t>
  </si>
  <si>
    <t xml:space="preserve">Inclusão custo M3 (Provisão para Rescisão) para substitutos  </t>
  </si>
  <si>
    <t>TOTAL SUBMÓDULO 4.1</t>
  </si>
  <si>
    <t>SUBMÓDULO 4.2 - Intervalo intrajornada</t>
  </si>
  <si>
    <t>Intervalo Intrajornada</t>
  </si>
  <si>
    <t>Forma de substituição intrajornada</t>
  </si>
  <si>
    <t>TOTAL SUBMÓDULO 4.2</t>
  </si>
  <si>
    <t>TOTAL MÓDULO 4</t>
  </si>
  <si>
    <t>MÓDULO 5 - UNIFORMES, MATERIAIS E EQUIPAMENTOS</t>
  </si>
  <si>
    <t>Material Individual e Uniformes</t>
  </si>
  <si>
    <t>Material Coletivo e Equipamentos</t>
  </si>
  <si>
    <t>TOTAL MÓDULO 5</t>
  </si>
  <si>
    <t>MÓDULO 6 - CUSTOS INDIRETOS</t>
  </si>
  <si>
    <t>SUBMÓDULO 6.1 - Custos administrativos e lucros</t>
  </si>
  <si>
    <t>Custos administrativos</t>
  </si>
  <si>
    <t>Lucros</t>
  </si>
  <si>
    <t>TOTAL SUBMÓDULO 6.1</t>
  </si>
  <si>
    <t>SUBMÓDULO 6.2 - Tributos</t>
  </si>
  <si>
    <t>COFINS</t>
  </si>
  <si>
    <t>PIS/PASEP</t>
  </si>
  <si>
    <t>ISSQN</t>
  </si>
  <si>
    <t>Alíquota</t>
  </si>
  <si>
    <t>Outros</t>
  </si>
  <si>
    <t>TOTAL SUBMÓDULO 6.2</t>
  </si>
  <si>
    <t>TOTAL MÓDULO 6</t>
  </si>
  <si>
    <t>QUADRO 1 - RESUMO DO CUSTO</t>
  </si>
  <si>
    <t>1.A - Custos unitários</t>
  </si>
  <si>
    <t>Custo por hora</t>
  </si>
  <si>
    <t>Custo por dia</t>
  </si>
  <si>
    <t>Custo mensal do profissional</t>
  </si>
  <si>
    <t>Custo mensal do posto</t>
  </si>
  <si>
    <t>1.B - Total do tipo de posto (posto X quantidade)</t>
  </si>
  <si>
    <t>Custos com remuneração, encargos e benefícios</t>
  </si>
  <si>
    <t>Custos com uniformes, materiais e equipamentos</t>
  </si>
  <si>
    <t>Custos Indiretos</t>
  </si>
  <si>
    <t>Custos por tipo de posto</t>
  </si>
  <si>
    <t>1.C - Total Contratual</t>
  </si>
  <si>
    <t>Custos por posto</t>
  </si>
  <si>
    <t>UNIFORMES, MATERIAIS DE USO INDIVIDUAL, CURSOS E TREINAMENTOS</t>
  </si>
  <si>
    <t>QUANTIDADE CONTRATUAL POR PROFISSIONAL</t>
  </si>
  <si>
    <t>Nº</t>
  </si>
  <si>
    <t>Código</t>
  </si>
  <si>
    <t>Descrição</t>
  </si>
  <si>
    <t>Unidade</t>
  </si>
  <si>
    <t>Taxa de depreciação anual</t>
  </si>
  <si>
    <t>Valor pago durante a vigência do contrato</t>
  </si>
  <si>
    <t>TOTAL CONTRATUAL:</t>
  </si>
  <si>
    <t>crachá de identificação</t>
  </si>
  <si>
    <t>unidade</t>
  </si>
  <si>
    <t>calça preta</t>
  </si>
  <si>
    <t>camisa social manga curta, branca</t>
  </si>
  <si>
    <t>camisa social manga longa, branca</t>
  </si>
  <si>
    <t>cinto de couro</t>
  </si>
  <si>
    <t>sapato/tênis</t>
  </si>
  <si>
    <t>par</t>
  </si>
  <si>
    <t>meia</t>
  </si>
  <si>
    <t>jaqueta/japona/paletó</t>
  </si>
  <si>
    <t>controle de ponto digital</t>
  </si>
  <si>
    <t>licença</t>
  </si>
  <si>
    <t>CUSTOS DIRETOS COM MATERIAIS E EQUIPAMENTOS DE USO COLETIVO</t>
  </si>
  <si>
    <t>Quantidade contratual</t>
  </si>
  <si>
    <t>Custo direto mensal</t>
  </si>
  <si>
    <t>Custo direto contratual</t>
  </si>
  <si>
    <t>smartphone</t>
  </si>
  <si>
    <t>dados para internet e operadora com sinal disponível mínimo 8GB/mês</t>
  </si>
  <si>
    <t>mês</t>
  </si>
  <si>
    <t>Veículo A</t>
  </si>
  <si>
    <t>Veículo B</t>
  </si>
  <si>
    <t>Veículo C</t>
  </si>
  <si>
    <t>Veículo D</t>
  </si>
  <si>
    <t>Veículo E</t>
  </si>
  <si>
    <t>Tipo de Veículo</t>
  </si>
  <si>
    <t>Van mín. 14 passageiros</t>
  </si>
  <si>
    <t>Quantidade de veículos</t>
  </si>
  <si>
    <t>Quilômetros por mês</t>
  </si>
  <si>
    <t>DETALHAMENTO MÓDULO 1 - MANUTENÇÃO MENSAL DO VEÍCULO</t>
  </si>
  <si>
    <t>Custos com Combustível</t>
  </si>
  <si>
    <t>Quilometragem/litro</t>
  </si>
  <si>
    <t>Tipo de Combustível</t>
  </si>
  <si>
    <t>Diesel</t>
  </si>
  <si>
    <t>Preço por litro</t>
  </si>
  <si>
    <t>Custos com Óleo</t>
  </si>
  <si>
    <t>Litros por troca</t>
  </si>
  <si>
    <t>Frequência da troca (em km)</t>
  </si>
  <si>
    <t>Preço por Litro - Óleo Motor</t>
  </si>
  <si>
    <t>Custos com Filtro Óleo</t>
  </si>
  <si>
    <t>Preço Filtro de óleo</t>
  </si>
  <si>
    <t>Custo com Pneu</t>
  </si>
  <si>
    <t>Custo do jogo de pneus</t>
  </si>
  <si>
    <t>Quantidade</t>
  </si>
  <si>
    <t>Durabilidade (em Km)</t>
  </si>
  <si>
    <t>Custo estimado com manutenção</t>
  </si>
  <si>
    <t>Taxa de manutenção anual</t>
  </si>
  <si>
    <t>Custo de aquisição do veículo</t>
  </si>
  <si>
    <t>Outros custos (especificar)</t>
  </si>
  <si>
    <t>Custo de aquisição do veículo (total)</t>
  </si>
  <si>
    <t>SUBTOTAL MÓDULO</t>
  </si>
  <si>
    <t>DETALHAMENTO MÓDULO 2 - CUSTOS OBRIGATÓRIOS MENSAIS DO VEÍCULO</t>
  </si>
  <si>
    <t>IPVA</t>
  </si>
  <si>
    <t>Licenciamento</t>
  </si>
  <si>
    <t>Vistoria EPTC</t>
  </si>
  <si>
    <t>Quantidade de vistorias no período contratual</t>
  </si>
  <si>
    <t>Valor da vistoria</t>
  </si>
  <si>
    <t>Seguro contra terceiros</t>
  </si>
  <si>
    <t>Rastreador GPS</t>
  </si>
  <si>
    <t>Custos de instalação (informar custo total)</t>
  </si>
  <si>
    <t>Custos de mensalidade</t>
  </si>
  <si>
    <t>SUBTOTAL MÓDULO 2</t>
  </si>
  <si>
    <t>DETALHAMENTO MÓDULO 3 - REMUNERAÇÃO DO CAPITAL E DEPRECIAÇÃO MENSAL DO VEÍCULO</t>
  </si>
  <si>
    <t>Depreciação mensal</t>
  </si>
  <si>
    <t>Tempo de depreciação</t>
  </si>
  <si>
    <t>Valor a depreciar</t>
  </si>
  <si>
    <t>Remuneração mensal de capital</t>
  </si>
  <si>
    <t>Taxa anual</t>
  </si>
  <si>
    <t>Taxa mensal</t>
  </si>
  <si>
    <t>SUBTOTAL MÓDULO 3</t>
  </si>
  <si>
    <t>MÓDULO 4 - CUSTOS INDIRETOS</t>
  </si>
  <si>
    <t>SUBMÓDULO 4.1 - Custos administrativos e lucros</t>
  </si>
  <si>
    <t>SUBMÓDULO 4.2 - Tributos</t>
  </si>
  <si>
    <t>QUADRO 1 - RESUMO DOS CUSTOS</t>
  </si>
  <si>
    <t>1.A - Custos por hora e quilômetro</t>
  </si>
  <si>
    <t>Custo variável por quilômetro</t>
  </si>
  <si>
    <t>Horas consideradas</t>
  </si>
  <si>
    <t>1.B - Custos por veículo</t>
  </si>
  <si>
    <t>Custos diretos por mês</t>
  </si>
  <si>
    <t>Custos Indiretos por mês</t>
  </si>
  <si>
    <t>Custos por mês</t>
  </si>
  <si>
    <t>1.C - Total por veículo</t>
  </si>
  <si>
    <t>Custos contratual</t>
  </si>
  <si>
    <t>Aux. Limpeza</t>
  </si>
  <si>
    <t>Sup. Limpeza</t>
  </si>
  <si>
    <t>Alpinista</t>
  </si>
  <si>
    <t>Sup. Alpinista</t>
  </si>
  <si>
    <t>Aux. Limpeza, Serv. Gerais</t>
  </si>
  <si>
    <t>Limpador Alpinista</t>
  </si>
  <si>
    <t>QUADRO 2 - PRODUTIVIDADE</t>
  </si>
  <si>
    <t>2.1 - Áreas internas</t>
  </si>
  <si>
    <t>Produtividade</t>
  </si>
  <si>
    <t>Custo m²/mês</t>
  </si>
  <si>
    <t>Área contratada</t>
  </si>
  <si>
    <t>Custo mensal</t>
  </si>
  <si>
    <t>Total contratual</t>
  </si>
  <si>
    <t>1.A</t>
  </si>
  <si>
    <t>Pisos acarpetados</t>
  </si>
  <si>
    <t>1.B</t>
  </si>
  <si>
    <t>Pisos Frios</t>
  </si>
  <si>
    <t>1.C</t>
  </si>
  <si>
    <t>Laboratoriais</t>
  </si>
  <si>
    <t>1.D</t>
  </si>
  <si>
    <t>Almoxarifados/galpões</t>
  </si>
  <si>
    <t>1.E</t>
  </si>
  <si>
    <t>Oficinas</t>
  </si>
  <si>
    <t>1.F</t>
  </si>
  <si>
    <t>Áreas com espaços livres - saguão, hall e salão</t>
  </si>
  <si>
    <t>1.G</t>
  </si>
  <si>
    <t>Banheiros</t>
  </si>
  <si>
    <t>2.2 - Áreas externas</t>
  </si>
  <si>
    <t>2.A</t>
  </si>
  <si>
    <t>Pisos pavimentados adjacentes/contíguos às edificações</t>
  </si>
  <si>
    <t>2.B</t>
  </si>
  <si>
    <t>Varrição de passeios e arruamentos</t>
  </si>
  <si>
    <t>2.C</t>
  </si>
  <si>
    <t>Pátios e áreas verdes com alta frequência (semanal)</t>
  </si>
  <si>
    <t>2.D</t>
  </si>
  <si>
    <t>Pátios e áreas verdes com média frequência (quinzenal)</t>
  </si>
  <si>
    <t>2.E</t>
  </si>
  <si>
    <t>Pátios e áreas verdes com baixa frequência (mensal)</t>
  </si>
  <si>
    <t>2.F</t>
  </si>
  <si>
    <t>Coleta de detritos em pátios e áreas verdes com frequência diária</t>
  </si>
  <si>
    <t>2.3 - Esquadrias externas</t>
  </si>
  <si>
    <t>3.A</t>
  </si>
  <si>
    <t>Face externa com exposição a situação de risco (trimestral)</t>
  </si>
  <si>
    <t>3.B</t>
  </si>
  <si>
    <t>Face externa - sem exposição a situação de risco (trimestral)</t>
  </si>
  <si>
    <t>3.C</t>
  </si>
  <si>
    <t>Face interna - sem exposição a situação de risco (quinzenal)</t>
  </si>
  <si>
    <t>2.4 - Fachadas</t>
  </si>
  <si>
    <t>4.A</t>
  </si>
  <si>
    <t>Fachadas Envidraçadas (trimestral)</t>
  </si>
  <si>
    <t>2.5 - Áreas Hospitalares</t>
  </si>
  <si>
    <t>5.A</t>
  </si>
  <si>
    <t>Áreas Hospitalares e assemelhadas</t>
  </si>
  <si>
    <t>PREFEITURA MUNICIPAL DE PORTO ALEGRE</t>
  </si>
  <si>
    <t>PLANILHA DE CUSTOS E FORMAÇÃO DE PREÇOS</t>
  </si>
  <si>
    <t xml:space="preserve">Pregão Eletrônico Nº: </t>
  </si>
  <si>
    <t>Tempo de Duração do Contrato:</t>
  </si>
  <si>
    <t>Processo SEI Nº:</t>
  </si>
  <si>
    <t>Forma de Pagamento do Contrato:</t>
  </si>
  <si>
    <t xml:space="preserve">Nome da Empresa: </t>
  </si>
  <si>
    <t>Regime Tributário:</t>
  </si>
  <si>
    <t xml:space="preserve">CNPJ Matriz: </t>
  </si>
  <si>
    <t>Receita Bruta Anual:</t>
  </si>
  <si>
    <t>Endereço da Empresa:</t>
  </si>
  <si>
    <t>Telefone:</t>
  </si>
  <si>
    <t xml:space="preserve">     </t>
  </si>
  <si>
    <t>Nome do Responsável:</t>
  </si>
  <si>
    <t>CPF Responsável:</t>
  </si>
  <si>
    <t>Endereço eletrônico:</t>
  </si>
  <si>
    <t>Dados Bancários:</t>
  </si>
  <si>
    <t>DEMONSTRATIVO DE CUSTOS COM MÃO DE OBRA POR POSTO</t>
  </si>
  <si>
    <t>Função</t>
  </si>
  <si>
    <t>Posto</t>
  </si>
  <si>
    <t>Regime</t>
  </si>
  <si>
    <t>Qnt. de Postos</t>
  </si>
  <si>
    <t>Qnt. de Profissionais</t>
  </si>
  <si>
    <t>Custo hora</t>
  </si>
  <si>
    <t>Custo dia</t>
  </si>
  <si>
    <t>Custo mês</t>
  </si>
  <si>
    <t>Total mensal</t>
  </si>
  <si>
    <t>DEMONSTRATIVO DOS CUSTOS TOTAIS COM MATERIAIS E EQUIPAMENTOS DE USO COLETIVO</t>
  </si>
  <si>
    <t>Materiais e equipamentos coletivos</t>
  </si>
  <si>
    <t>DEMONSTRATIVO DE CUSTOS COM LOCAÇÃO DE VEÍCULOS</t>
  </si>
  <si>
    <t>Veículo</t>
  </si>
  <si>
    <t>Qnt.</t>
  </si>
  <si>
    <t>Qnt Horas</t>
  </si>
  <si>
    <t>Km/mês</t>
  </si>
  <si>
    <t>Custo km rodado</t>
  </si>
  <si>
    <t>DEMONSTRATIVO DE CUSTOS COM MÃO DE OBRA POR PRODUTIVIDADE</t>
  </si>
  <si>
    <t>Tipo de Piso</t>
  </si>
  <si>
    <t>Tipo de Área</t>
  </si>
  <si>
    <t>Área (m²)</t>
  </si>
  <si>
    <t>Custo por m²</t>
  </si>
  <si>
    <t>Custo total</t>
  </si>
  <si>
    <t>DEMONSTRATIVO DOS CUSTOS DIRETOS E INDIRETOS</t>
  </si>
  <si>
    <t>Custos Diretos</t>
  </si>
  <si>
    <t>Custos com mão de obra</t>
  </si>
  <si>
    <t>Custos com uniformes e material individuais</t>
  </si>
  <si>
    <t>Custos material e equipamentos de uso coletivo</t>
  </si>
  <si>
    <t>Custos com veículos</t>
  </si>
  <si>
    <t>Subtotal</t>
  </si>
  <si>
    <t>Custos Administrativos</t>
  </si>
  <si>
    <t>Tributos</t>
  </si>
  <si>
    <t>VALOR TOTAL ESTIMADO DO CONTRATO</t>
  </si>
  <si>
    <t>Funcionários por posto</t>
  </si>
  <si>
    <t>Contratação</t>
  </si>
  <si>
    <t>Dias Semana</t>
  </si>
  <si>
    <t>Horas Semana</t>
  </si>
  <si>
    <t>Dias Mês</t>
  </si>
  <si>
    <t>Horas mês remuneradas</t>
  </si>
  <si>
    <t>Horas mês trabalhadas</t>
  </si>
  <si>
    <t>Horas mês dia</t>
  </si>
  <si>
    <t>12x36 Diurno</t>
  </si>
  <si>
    <t>Mensal</t>
  </si>
  <si>
    <t>-</t>
  </si>
  <si>
    <t>12x36 Noturno</t>
  </si>
  <si>
    <t>4h (1 dia/sem)</t>
  </si>
  <si>
    <t>6h (1 dia/sem)</t>
  </si>
  <si>
    <t>8h (1 dia/sem)</t>
  </si>
  <si>
    <t>12h (2 dia/sem)</t>
  </si>
  <si>
    <t>16h (2 dia/sem)</t>
  </si>
  <si>
    <t>20h (5 dia/sem)</t>
  </si>
  <si>
    <t>30h (5 dia/sem)</t>
  </si>
  <si>
    <t>35h (5 dia/sem)</t>
  </si>
  <si>
    <t>36h (6 dia/sem)</t>
  </si>
  <si>
    <t>40h (5 dia/sem)</t>
  </si>
  <si>
    <t>44h (6 dia/sem)</t>
  </si>
  <si>
    <t>Equivalência temporal</t>
  </si>
  <si>
    <t>Dias na Semana</t>
  </si>
  <si>
    <t>Dias no Ano</t>
  </si>
  <si>
    <t>Dias no Mês</t>
  </si>
  <si>
    <t>Dias úteis no Mês</t>
  </si>
  <si>
    <t>Semanas no Mês</t>
  </si>
  <si>
    <t>Quinzenas no Mês</t>
  </si>
  <si>
    <t>Semanas no Ano</t>
  </si>
  <si>
    <t xml:space="preserve">Meses no Ano </t>
  </si>
  <si>
    <t>Hora Normal (em minutos)</t>
  </si>
  <si>
    <t>Hora Noturna (em minutos)</t>
  </si>
  <si>
    <t>MEMÓRIA DE CÁLCULO</t>
  </si>
  <si>
    <t>FUNDAMENTO</t>
  </si>
  <si>
    <t>OBSERVAÇÕES</t>
  </si>
  <si>
    <t>Regime tributário</t>
  </si>
  <si>
    <t>Lucro Real</t>
  </si>
  <si>
    <t>Cooperativa</t>
  </si>
  <si>
    <t>Simples</t>
  </si>
  <si>
    <t>Considerado</t>
  </si>
  <si>
    <t>Faixa 1</t>
  </si>
  <si>
    <t>Faixa 2</t>
  </si>
  <si>
    <t>Faixa 3</t>
  </si>
  <si>
    <t>Faixa 4</t>
  </si>
  <si>
    <t>Faixa 5</t>
  </si>
  <si>
    <t>Faixa 6</t>
  </si>
  <si>
    <t>Faturamento máximo</t>
  </si>
  <si>
    <t>Valor a Deduzir</t>
  </si>
  <si>
    <t xml:space="preserve">Percentual da faixa </t>
  </si>
  <si>
    <t xml:space="preserve">Salário Base Mensal </t>
  </si>
  <si>
    <t>Artigo 457 e 458 da CLT.</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</si>
  <si>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</si>
  <si>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Adicional Periculosidade </t>
  </si>
  <si>
    <t>Salário Base x 30%</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</si>
  <si>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</si>
  <si>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</si>
  <si>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 xml:space="preserve">Adicional Insalubridade </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</si>
  <si>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</si>
  <si>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</si>
  <si>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</si>
  <si>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Salário Base x % de incidência</t>
  </si>
  <si>
    <t>Informada na Convenção Coletiva de Trabalho da categoria profissional a ser contratada ou Termo de Referência.</t>
  </si>
  <si>
    <t>Convenções Coletivas também podem determinar regras, inclusive para empregados que acumulam funções, conforme Instrução Normativa SEGES/MGI nº 176, de 25/11/2024.</t>
  </si>
  <si>
    <t xml:space="preserve">Adicional Noturno </t>
  </si>
  <si>
    <t>(Salário base + adicionais periculosidade/insalubridade) ÷ total de horas mensais (conforme jornada de trabalho da categoria) x 20% x qtde. de horas noturnas x qtde de dias laborados a noite).</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</si>
  <si>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</si>
  <si>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</si>
  <si>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Qtde. de horas noturnas x qtde de dias laborados a noite x 0,142857 x (Salário base + adicionais periculosidade/insalubridade) ÷ total de horas mensais x 120%</t>
  </si>
  <si>
    <t xml:space="preserve">A hora do trabalho noturno será computada como de 52 minutos e 30 segundos. </t>
  </si>
  <si>
    <t>(Salário base + adicionais periculosidade/insalubridade/noturno ) ÷ total de horas mensais (conforme jornada de trabalho da categoria) x %de incidência x qtde. de horas extras mensal).</t>
  </si>
  <si>
    <t>Artigo 7º, inciso XVI, da CF/88. Artigo 59 da CLT. Súmulas 60 e 132 TST.</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</si>
  <si>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</si>
  <si>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(Adicional noturmo + Adicional de hora reduzida+Horas extras+ Adicional de troca de uniforme) x 20%</t>
  </si>
  <si>
    <t>Artigos 67 a 70 da CLT. Art. 7º, inciso XV CF/88.</t>
  </si>
  <si>
    <t>Para fins de cálculo: Dias úteis ÷ feriados e domingos ou 25÷5 =20%</t>
  </si>
  <si>
    <t xml:space="preserve">Adicional de Troca de Uniforme </t>
  </si>
  <si>
    <t>(Salário base + adicionais periculosidade) ÷ (total de horas mensais (conforme jornada de trabalho da categoria) ÷ 6) x  qtde de dias</t>
  </si>
  <si>
    <t>Súmula nº 366 do TST</t>
  </si>
  <si>
    <t>O tempo despreendido para a troca de uniforme será remunerado (5 minutos para colocar e 5 minutos para retirar) na proporção de 1/6 do valor da hora normal de trabalho. CCT Sindivigilante.</t>
  </si>
  <si>
    <t>((1÷12) x 100) ≅ 8,33%</t>
  </si>
  <si>
    <t>Art. 7º, VIII, CF/88. Decreto nº. 57.155/1965. Acórdão TCU nº 6.771/2009</t>
  </si>
  <si>
    <t>Gratificação de Natal, instituída pela Lei nº 4.090/1962. O percentual dessa rubrica pode ser obtido pelo cálculo: ((1/12) x 100) = 8,33%.</t>
  </si>
  <si>
    <t>((1÷12) x 100) + ((1÷3) x (1÷12) x 100) ≅ 11,11%</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</si>
  <si>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</si>
  <si>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</si>
  <si>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((1÷12) x 100)  + ((1÷12) x 100) + ((1÷3) x (1÷12) x 100) x Submódulo 2.2</t>
  </si>
  <si>
    <t>Sobre o somatório dos itens de custo 13º salário e férias com adicional de férias, há incidência de Encargos Previdenciários e FGTS do submódulo 2.2</t>
  </si>
  <si>
    <t xml:space="preserve">SUBMÓDULO 2.2- Encargos Previdenciários (GPS) e FGTS </t>
  </si>
  <si>
    <t>Art. 22, Inciso I, da Lei nº 8.212/91.  Lei nº 13.161/2015 - Contribuição Previdenciária sobre a Receita Bruta (CPRB).</t>
  </si>
  <si>
    <t xml:space="preserve">Os encargos previdenciários das empresas dependem: do regime de tributação adotado e segmento econômico ao qual pertencem.
</t>
  </si>
  <si>
    <t>IN RFB nº 2110/2022 ; art. 30 da Lei n° 8.036/90; art. 1°da Lei n° 8.154/90; art. 240 da CF/88.</t>
  </si>
  <si>
    <t>Os encargos previdenciários das empresas dependem: do regime de tributação adotado e segmento econômico ao qual pertencem.
Simples Nacional: dispensa custos de terceiros - LC nº123/06, Art. 13, VI e §3º e Art. 18, §5º C)</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</si>
  <si>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</si>
  <si>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</si>
  <si>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</si>
  <si>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Art. 15, Lei nº 8.036/90 e Art. 7º, III.</t>
  </si>
  <si>
    <t>GILL/RAT (RAT 0,03 x FAP 1)</t>
  </si>
  <si>
    <t>RAT 3% x FAP 1</t>
  </si>
  <si>
    <t>Anexo V do Regulamento da Previdência Social – RPS (Decreto nº  3.048/1999) e regras de enquadramento dispostas na Instrução Normativa RFB nº 971/2009 e/ou legislação superveniente. Súmula 351 do STJ.</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</si>
  <si>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</si>
  <si>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</si>
  <si>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</si>
  <si>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</si>
  <si>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Anexo II da IN RFB n. 971/09. Art. 8º, Lei n.º 8.029/90 e Lei n.º 8154/90</t>
  </si>
  <si>
    <t xml:space="preserve">(Valor da passagem  x Quantidade de passagens por dia por empregado x Quantidade de dias trabalhados) - (Participação do empregado no custo x Salário base ) </t>
  </si>
  <si>
    <t>Art. 4º, § único, da Lei nº 7.418/85 e Art. 114, inciso I,  Decreto nº 10.854, de 2021.</t>
  </si>
  <si>
    <t xml:space="preserve"> Deve ser observado o instrumento coletivo para a fixação do percentual de desconto do empregado, conforme Instrução Normativa SEGES/MGI nº 176, de 25/11/2024.</t>
  </si>
  <si>
    <t xml:space="preserve">(Valor do Auxílio-Alimentação  x Quantidade de dias do mês de recebimento de auxílio-alimentação) - (Valor do Auxílio-Alimentação  x Quantidade de dias do mês de recebimento de auxílio-alimentação x Participação do empregado no custo ) </t>
  </si>
  <si>
    <t>Art. 458, §§ 2º e 3º, da CLT, Lei nº 6.321/76, Decreto nº 5/91 e CCT.</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</si>
  <si>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</si>
  <si>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(Valor previsto em CCT/ACT x Participação do empregado no custo)</t>
  </si>
  <si>
    <t>Art. 458, inciso IV da CLT e CCT</t>
  </si>
  <si>
    <t>Valor previsto em CCT/ACT/TR</t>
  </si>
  <si>
    <t xml:space="preserve"> Deve ser observado o instrumento coletivo, conforme Instrução Normativa SEGES/MGI nº 176, de 25/11/2024.</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</si>
  <si>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</si>
  <si>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</si>
  <si>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</si>
  <si>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</si>
  <si>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</si>
  <si>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</si>
  <si>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PROVISÃO PARA RESCISÃO</t>
  </si>
  <si>
    <t>((30÷30)÷12)X0,05 ≅ 0,42%</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</si>
  <si>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</si>
  <si>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</si>
  <si>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(0,08 x 0,0042)  ≅ 0,03%</t>
  </si>
  <si>
    <t>Súmula 305 TST.</t>
  </si>
  <si>
    <t>(0,08 x 0,0042) x 0,40 ≅ 0,0134</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</si>
  <si>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</si>
  <si>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</si>
  <si>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((7÷30)÷12) ≅ 1,94%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</si>
  <si>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</si>
  <si>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</si>
  <si>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((0,3680 x 0,0194) x 100) ≅  0,72%
((0,3100 x 0,0194) x 100) ≅  0,60%</t>
  </si>
  <si>
    <t>Acórdãos nº 1904/2007-TCU-Plenário e nº 3006/2010-TCU-Plenário.</t>
  </si>
  <si>
    <t>Incidência dos encargos previdenciários (GPS) e FGTS sobre as provisões.Tendo em vista que os encargos do submódulo 2.2 é variável, o percentual altera conforme Regime Tributário.</t>
  </si>
  <si>
    <t>Total Remuneração (módulo 1) X 0,04</t>
  </si>
  <si>
    <t>Art. 12 Lei 13.932/2019. Acórdãos nº 1904/2007-TCU-Plenário e nº 3006/2010-TCU-Plenário.</t>
  </si>
  <si>
    <t>Considerando demissão sem justa causa para 100% dos empregado. Orientação SEGES/MP.</t>
  </si>
  <si>
    <t>Dias de Ausências por Doença</t>
  </si>
  <si>
    <t>ACÓRDÃO 6771/2009 - PRIMEIRA CÂMARA -  Estimativa de 5 (cinco) dias de licença por ano.</t>
  </si>
  <si>
    <t>Dias de Licença-Paternidade</t>
  </si>
  <si>
    <t>Trabalhadores com direito a  Licença-Paternidade (%)</t>
  </si>
  <si>
    <t>ACÓRDÃO 6771/2009 - PRIMEIRA CÂMARA -  Estimativa de 1,5% (um inteiro e cinco décimos por cento) dos empregados usufruindo 5 (cinco) dias da licença por ano.</t>
  </si>
  <si>
    <t>Dias de Ausências Legais</t>
  </si>
  <si>
    <t xml:space="preserve">ACÓRDÃO 1753/2008 - PLENÁRIO - Estimativa de 2,96 ausências por ano. </t>
  </si>
  <si>
    <t>Empregados afastados por acidente de trabalho (em %)</t>
  </si>
  <si>
    <t>ACÓRDÃO 6771/2009 - PRIMEIRA CÂMARA - Estimativa de 1 (uma) licença de 30 (trinta) dias por ano para 0,78% (setenta e oito décimos por cento) dos empregados.</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</si>
  <si>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</si>
  <si>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</si>
  <si>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</si>
  <si>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</si>
  <si>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</si>
  <si>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</si>
  <si>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</si>
  <si>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</si>
  <si>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 xml:space="preserve">Custo estimado do afastamento maternidade </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</si>
  <si>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</si>
  <si>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</si>
  <si>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((1÷12)÷12)+((1÷12)÷12)+(1÷3x((1÷12)÷12)) ≅ 1,62%</t>
  </si>
  <si>
    <t>Art. 129 e 130 CLT.</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</si>
  <si>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</si>
  <si>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((5÷30) ÷12) x 100) ≅ 1,39%</t>
  </si>
  <si>
    <t>Art. 131 , inciso III, da CLT. Art. 476 da CLT, art. 6º, §1º, alínea "f", da Lei n. 605, de 1949, e  art. 12, alínea "f", do Decreto nº. 27.048, de 1949.</t>
  </si>
  <si>
    <t>(((5÷30) ÷12) x 0,015 x 100) ≅ 0,02%</t>
  </si>
  <si>
    <t>Art. 7º, inciso XIX da CF. §1º do artigo 10 do ADCT. Lei n. 13.527/2016</t>
  </si>
  <si>
    <t>(((2,96÷30) ÷12) x 100) ≅ 0,82%</t>
  </si>
  <si>
    <t>Art. 82 e 473 da CLT</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</si>
  <si>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</si>
  <si>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(((15÷30) ÷12) x 0,0078 x 100) ≅ 0,03%</t>
  </si>
  <si>
    <t>Art. 27 do Decreto nº 89.312/84, Art. 131 da CLT e MP. 664/2014</t>
  </si>
  <si>
    <t>((1÷12)+((1÷3)x(1÷12)))x(4÷12)x0,01854033 ≅ 0,07%</t>
  </si>
  <si>
    <t>Art. 7º inc. XVIII, CF, Lei nº 8.213/91, art. 72 e Lei 11770/2008. Lei nº. 13.527/2016.</t>
  </si>
  <si>
    <t>(A+B+C+D+E+F) x submódulo 2.2</t>
  </si>
  <si>
    <t>Incidência dos encargos previdenciários (GPS) e FGTS sobre as provisões de substituição.</t>
  </si>
  <si>
    <t>((Total submódulo 2.3 - VA - VT) x média de dias de substituição ÷ 30 ÷ 12)</t>
  </si>
  <si>
    <t>Considera-se como média de dias de substituição o somatório dos 30 dias de férias, 2,96 dias de ausências legais e 5 dias de auxílio doença.</t>
  </si>
  <si>
    <t>(Módulo 3)÷12 x média de dias de substituição ÷ 30)</t>
  </si>
  <si>
    <t>SUBMÓDULO 4.2- Intervalo intrajornada</t>
  </si>
  <si>
    <t>Intervalo para repouso ou alimentação</t>
  </si>
  <si>
    <t>(Salário base+adicionais previstos em lei ou CCT, se houver) ÷ total nº horas trabalhadas) x 1,5 x quantidade de dias trabalhados</t>
  </si>
  <si>
    <t>Regras do instrumento coletivo da categoria, se houver (conforme incs. III e VIII do art. 611-A da CLT, o instrumento coletivo de trabalho tem prevalência sobre a lei). Artigo 71 da CLT. Lei 8.121/1991.</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</si>
  <si>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</si>
  <si>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Rendição no Intervalo Intrajornada</t>
  </si>
  <si>
    <t xml:space="preserve">((Salário base+adicionais previstos em lei ou CCT, se houver)+ Submódulo 2.2 + submódulo 2.3 + Uniformes e EPI) x quantidade de dias trabalhados </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</si>
  <si>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</si>
  <si>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MÓDULO 5 - UNIFORMES, MATERIAIS, EQUIPAMENTOS E VEÍCULOS</t>
  </si>
  <si>
    <t>SUBMÓDULO 5.1 - Uniformes, materiais e equipamentos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</si>
  <si>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</si>
  <si>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</si>
  <si>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</si>
  <si>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DETALHAMENTO ITEM A SUBMOD 5.2 - MANUTENÇÃO MENSAL DO VEÍCULO</t>
  </si>
  <si>
    <t>A.1</t>
  </si>
  <si>
    <t>A.2</t>
  </si>
  <si>
    <t>A.3</t>
  </si>
  <si>
    <t>A.4</t>
  </si>
  <si>
    <t>Custo com Pneu jogo de pneus</t>
  </si>
  <si>
    <t>A.5</t>
  </si>
  <si>
    <t>DETALHAMENTO ITEM B SUBMOD 5.2 - CUSTOS OBRIGATÓRIOS MENSAIS DO VEÍCULO</t>
  </si>
  <si>
    <t>B.1</t>
  </si>
  <si>
    <t>Decreto Estadual nº 32.144/1985 Art. 11, Inciso IV.</t>
  </si>
  <si>
    <t>B.2</t>
  </si>
  <si>
    <t>Portaria DETRAN/RS nº 54 DE 31/01/2024.</t>
  </si>
  <si>
    <t>B.3</t>
  </si>
  <si>
    <t>B.4</t>
  </si>
  <si>
    <t>B.5</t>
  </si>
  <si>
    <t>Lei Municipal nº 13.737/2023.</t>
  </si>
  <si>
    <t>DETALHAMENTO ITEM C SUBMOD 5.2 - REMUNERAÇÃO DO CAPITAL E DEPRECIAÇÃO MENSAL DO VEÍCULO</t>
  </si>
  <si>
    <t>C.1</t>
  </si>
  <si>
    <t>C.2</t>
  </si>
  <si>
    <t>Meta da Taxa Selic.</t>
  </si>
  <si>
    <t>MÓDULO 6 - CUSTOS INDIRETOS, LUCRO E TRIBUTOS</t>
  </si>
  <si>
    <t xml:space="preserve">Considerando os estudos realizados, o presente modelo utiliza o percentual máximo de 5,00% para custos indiretos. NOTA TÉCNICA Nº 1/2007 – SCI, da Secretaria de Controle Interno do Supremo Tribunal Federal </t>
  </si>
  <si>
    <t>Considerando os estudos realizados, o presente modelo utiliza o percentual máximo de 10,00% para margem de lucro. NOTA TÉCNICA Nº 1/2007 – SCI, da Secretaria de Controle Interno do Supremo Tribunal Federal.</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</si>
  <si>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</si>
  <si>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2.A - Áreas internas</t>
  </si>
  <si>
    <t>Instrução Normativa nº 5/2017, Anexo VI-B.</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</si>
  <si>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</si>
  <si>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2.B - Áreas externas</t>
  </si>
  <si>
    <t>Pátios e áreas verdes com alta frequência</t>
  </si>
  <si>
    <t>Pátios e áreas verdes com média frequência</t>
  </si>
  <si>
    <t>Pátios e áreas verdes com baixa frequência</t>
  </si>
  <si>
    <t>2.C - Esquadrias externas</t>
  </si>
  <si>
    <t>Face externa com exposição a situação de risco</t>
  </si>
  <si>
    <t>Face externa sem exposição a situação de risco</t>
  </si>
  <si>
    <t>Face interna</t>
  </si>
  <si>
    <t>2.D - Fachadas</t>
  </si>
  <si>
    <t>Fachadas Envidraçadas</t>
  </si>
  <si>
    <t>2.E - Áreas Hospitalares</t>
  </si>
  <si>
    <t>POSTO</t>
  </si>
  <si>
    <t>CBO</t>
  </si>
  <si>
    <t>SINDICATO</t>
  </si>
  <si>
    <t>REGISTRO M.T.E.</t>
  </si>
  <si>
    <t>DATA BASE</t>
  </si>
  <si>
    <t>VIGÊNCA CCT</t>
  </si>
  <si>
    <t>PISO NORMATIVO</t>
  </si>
  <si>
    <t>REGIME MENSAL CONVENÇÃO</t>
  </si>
  <si>
    <t>AUXÍLIO ALIMENTAÇÃO (DIA)</t>
  </si>
  <si>
    <t>AUXÍLIO LANCHE</t>
  </si>
  <si>
    <t>% Incidência = 50%</t>
  </si>
  <si>
    <t>Adicional Troca Uniformes</t>
  </si>
  <si>
    <t>Insalubridade sobre Piso</t>
  </si>
  <si>
    <t>Incidência salário</t>
  </si>
  <si>
    <t>Periculosidade Adic. 30%</t>
  </si>
  <si>
    <t>Participação do empregado no custo Vale transporte</t>
  </si>
  <si>
    <t>Participação do empregado no custo Vale refeição</t>
  </si>
  <si>
    <t>Plano Benefício Familiar</t>
  </si>
  <si>
    <t>Seguro de Vida</t>
  </si>
  <si>
    <t>Auxiliar de Almoxarifado</t>
  </si>
  <si>
    <t>RS000040/2025</t>
  </si>
  <si>
    <t>Salário Base</t>
  </si>
  <si>
    <t>Auxiliar de Escritório</t>
  </si>
  <si>
    <t>Auxiliar de Manutenção Predial</t>
  </si>
  <si>
    <t>Auxiliar de Cozinha</t>
  </si>
  <si>
    <t>Coletor, lixeiro</t>
  </si>
  <si>
    <t>Copeiro</t>
  </si>
  <si>
    <t>Cozinheiro</t>
  </si>
  <si>
    <t>Porteiro</t>
  </si>
  <si>
    <t>Recepcionista</t>
  </si>
  <si>
    <t>Varredor - Limpeza Urbana</t>
  </si>
  <si>
    <t>Operador de Rádio Chamada</t>
  </si>
  <si>
    <t>Telefonista terceirizada 180hs </t>
  </si>
  <si>
    <t>Vigilante</t>
  </si>
  <si>
    <t>SINDIVIGILANTES</t>
  </si>
  <si>
    <t>RS000303/2024</t>
  </si>
  <si>
    <t>Motorista Veículos Leves</t>
  </si>
  <si>
    <t>SINDIELV</t>
  </si>
  <si>
    <t xml:space="preserve"> RS000482/2025</t>
  </si>
  <si>
    <t>Motorista Caminhão</t>
  </si>
  <si>
    <t>Motorista Operador Caminhão</t>
  </si>
  <si>
    <t>GABINETE DO PREFEITO (GP)</t>
  </si>
  <si>
    <t>GABINETE DO VICE-PREFEITO (GVP)</t>
  </si>
  <si>
    <t>Interna</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</si>
  <si>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</si>
  <si>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</si>
  <si>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</si>
  <si>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</si>
  <si>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</si>
  <si>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</si>
  <si>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</si>
  <si>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</si>
  <si>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</si>
  <si>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Externa</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</si>
  <si>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</si>
  <si>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</si>
  <si>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</si>
  <si>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</si>
  <si>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</si>
  <si>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</si>
  <si>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</si>
  <si>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</si>
  <si>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Esquadrias</t>
  </si>
  <si>
    <t>SECRETARIA MUNICIPAL DA SAÚDE (SMS)</t>
  </si>
  <si>
    <t>SECRETARIA MUNICIPAL DE SEGURANÇA (SMSEG)</t>
  </si>
  <si>
    <t>DEPARTAMENTO MUNICIPAL DE ÁGUA E ESGOTOS (DMAE)</t>
  </si>
  <si>
    <t>DEPARTAMENTO MUNICIPAL DE HABITAÇÃO (DEMHAB)</t>
  </si>
  <si>
    <t>Fachada</t>
  </si>
  <si>
    <t>DEPARTAMENTO MUNICIPAL DE LIMPEZA URBANA (DMLU)</t>
  </si>
  <si>
    <t>DEPARTAMENTO MUNICIPAL DE PREVIDÊNCIA DOS SERVIDORES PÚBLICOS DO MUNICÍPIO DE PORTO ALEGRE (PREVIMPA)</t>
  </si>
  <si>
    <t>COMPANHIA DE PROCESSAMENTO DE DADOS DE PORTO ALEGRE (PROCEMPA)</t>
  </si>
  <si>
    <t>Hospitalar</t>
  </si>
  <si>
    <t>EMPRESA PÚBLICA DE TRANSPORTE E CIRCULAÇÃO (EPTC)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</si>
</sst>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164" formatCode="#,##0.00&quot; m²&quot;"/>
    <numFmt numFmtId="165" formatCode="_([$€-2]* #,##0.00_);_([$€-2]* \(#,##0.00\);_([$€-2]* \-??_)"/>
    <numFmt numFmtId="166" formatCode="_-&quot;R$ &quot;* #,##0.00_-;&quot;-R$ &quot;* #,##0.00_-;_-&quot;R$ &quot;* \-??_-;_-@_-"/>
    <numFmt numFmtId="167" formatCode="_(&quot;R$&quot;* #,##0.00_);_(&quot;R$&quot;* \(#,##0.00\);_(&quot;R$&quot;* \-??_);_(@_)"/>
    <numFmt numFmtId="168" formatCode="_(&quot;R$ &quot;* #,##0.00_);_(&quot;R$ &quot;* \(#,##0.00\);_(&quot;R$ &quot;* \-??_);_(@_)"/>
    <numFmt numFmtId="169" formatCode="_-&quot;R$&quot;* #,##0.00_-;&quot;-R$&quot;* #,##0.00_-;_-&quot;R$&quot;* \-??_-;_-@_-"/>
    <numFmt numFmtId="170" formatCode="[$-416]d/m/yyyy\ hh:mm"/>
    <numFmt numFmtId="171" formatCode="[$-416]General"/>
    <numFmt numFmtId="172" formatCode="[$R$-416]\ #,##0.00;[Red]\-[$R$-416]\ #,##0.00"/>
    <numFmt numFmtId="173" formatCode="_(* #,##0.00_);_(* \(#,##0.00\);_(* \-??_);_(@_)"/>
    <numFmt numFmtId="174" formatCode="_-* #,##0.00_-;\-* #,##0.00_-;_-* \-??_-;_-@_-"/>
    <numFmt numFmtId="175" formatCode="[$-416]d/m/yyyy"/>
    <numFmt numFmtId="176" formatCode="0&quot; meses &quot;"/>
    <numFmt numFmtId="177" formatCode="0\h"/>
    <numFmt numFmtId="178" formatCode="0&quot; horas&quot;"/>
    <numFmt numFmtId="179" formatCode="0&quot; dias&quot;"/>
    <numFmt numFmtId="180" formatCode="0.00&quot; horas&quot;"/>
    <numFmt numFmtId="181" formatCode="0.0%"/>
    <numFmt numFmtId="182" formatCode="#,##0&quot; Km&quot;"/>
    <numFmt numFmtId="183" formatCode="#,##0.0&quot; Km/L&quot;"/>
    <numFmt numFmtId="184" formatCode="0.00&quot; L&quot;"/>
    <numFmt numFmtId="185" formatCode="0%&quot; anual&quot;"/>
    <numFmt numFmtId="186" formatCode="#,##0&quot; meses&quot;"/>
    <numFmt numFmtId="187" formatCode="#&quot; h&quot;"/>
    <numFmt numFmtId="188" formatCode="_-&quot;R$ &quot;* #,##0.00000000_-;&quot;-R$ &quot;* #,##0.00000000_-;_-&quot;R$ &quot;* \-??_-;_-@_-"/>
    <numFmt numFmtId="189" formatCode="_-&quot;R$ &quot;* #,##0.0000000_-;&quot;-R$ &quot;* #,##0.0000000_-;_-&quot;R$ &quot;* \-??_-;_-@_-"/>
    <numFmt numFmtId="190" formatCode="#,##0.0&quot; m²&quot;"/>
    <numFmt numFmtId="191" formatCode="00&quot; meses&quot;"/>
    <numFmt numFmtId="192" formatCode="0.000"/>
    <numFmt numFmtId="193" formatCode="_-&quot;R$ &quot;* #,##0.000_-;&quot;-R$ &quot;* #,##0.000_-;_-&quot;R$ &quot;* \-??_-;_-@_-"/>
    <numFmt numFmtId="194" formatCode="_-&quot;R$ &quot;* #,##0.0000_-;&quot;-R$ &quot;* #,##0.0000_-;_-&quot;R$ &quot;* \-??_-;_-@_-"/>
    <numFmt numFmtId="195" formatCode="0&quot; h&quot;"/>
    <numFmt numFmtId="196" formatCode="#,##0.00&quot; km&quot;"/>
    <numFmt numFmtId="197" formatCode="0.000%"/>
    <numFmt numFmtId="198" formatCode="#,##0\h"/>
    <numFmt numFmtId="199" formatCode="0&quot; dias &quot;"/>
    <numFmt numFmtId="200" formatCode="0.00000"/>
    <numFmt numFmtId="201" formatCode="0.0000"/>
    <numFmt numFmtId="202" formatCode="0.00&quot; dias &quot;"/>
    <numFmt numFmtId="203" formatCode="0.00000000000000&quot; meses &quot;"/>
    <numFmt numFmtId="204" formatCode="_-* #,##0_-;\-* #,##0_-;_-* \-??_-;_-@_-"/>
  </numFmts>
  <fonts count="38">
    <font>
      <sz val="11"/>
      <color rgb="FF000000"/>
      <name val="Calibri"/>
      <family val="2"/>
      <charset val="1"/>
    </font>
    <font>
      <sz val="11"/>
      <color rgb="FFFFFFFF"/>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b/>
      <i/>
      <sz val="16"/>
      <color rgb="FF000000"/>
      <name val="Arial1"/>
      <charset val="1"/>
    </font>
    <font>
      <sz val="11"/>
      <color rgb="FF800080"/>
      <name val="Calibri"/>
      <family val="2"/>
      <charset val="1"/>
    </font>
    <font>
      <sz val="10"/>
      <name val="Arial"/>
      <family val="2"/>
      <charset val="1"/>
    </font>
    <font>
      <sz val="11"/>
      <color rgb="FF993300"/>
      <name val="Calibri"/>
      <family val="2"/>
      <charset val="1"/>
    </font>
    <font>
      <sz val="11"/>
      <color rgb="FF000000"/>
      <name val="Arial1"/>
      <charset val="1"/>
    </font>
    <font>
      <sz val="10"/>
      <color rgb="FF000000"/>
      <name val="Calibri"/>
      <family val="2"/>
      <charset val="1"/>
    </font>
    <font>
      <sz val="10"/>
      <color rgb="FF000000"/>
      <name val="Arial"/>
      <family val="2"/>
      <charset val="1"/>
    </font>
    <font>
      <sz val="11"/>
      <color rgb="FF000000"/>
      <name val="Arial"/>
      <family val="2"/>
      <charset val="1"/>
    </font>
    <font>
      <b/>
      <i/>
      <u/>
      <sz val="11"/>
      <color rgb="FF000000"/>
      <name val="Arial1"/>
      <charset val="1"/>
    </font>
    <font>
      <b/>
      <sz val="11"/>
      <color rgb="FF333333"/>
      <name val="Calibri"/>
      <family val="2"/>
      <charset val="1"/>
    </font>
    <font>
      <sz val="11"/>
      <color rgb="FFFF0000"/>
      <name val="Calibri"/>
      <family val="2"/>
      <charset val="1"/>
    </font>
    <font>
      <i/>
      <sz val="11"/>
      <color rgb="FF808080"/>
      <name val="Calibri"/>
      <family val="2"/>
      <charset val="1"/>
    </font>
    <font>
      <b/>
      <sz val="11"/>
      <color rgb="FF000000"/>
      <name val="Calibri"/>
      <family val="2"/>
      <charset val="1"/>
    </font>
    <font>
      <b/>
      <sz val="18"/>
      <color rgb="FF003366"/>
      <name val="Cambria"/>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1"/>
      <name val="Calibri"/>
      <family val="2"/>
      <charset val="1"/>
    </font>
    <font>
      <b/>
      <sz val="14"/>
      <color rgb="FFFFFFFF"/>
      <name val="Calibri"/>
      <family val="2"/>
      <charset val="1"/>
    </font>
    <font>
      <b/>
      <sz val="14"/>
      <color rgb="FF548235"/>
      <name val="Calibri"/>
      <family val="2"/>
      <charset val="1"/>
    </font>
    <font>
      <b/>
      <sz val="11"/>
      <name val="Calibri"/>
      <family val="2"/>
      <charset val="1"/>
    </font>
    <font>
      <u/>
      <sz val="11"/>
      <color rgb="FF0563C1"/>
      <name val="Calibri"/>
      <family val="2"/>
      <charset val="1"/>
    </font>
    <font>
      <b/>
      <sz val="11"/>
      <color rgb="FF2E75B6"/>
      <name val="Calibri"/>
      <family val="2"/>
      <charset val="1"/>
    </font>
    <font>
      <i/>
      <sz val="11"/>
      <color rgb="FF000000"/>
      <name val="Calibri"/>
      <family val="2"/>
      <charset val="1"/>
    </font>
    <font>
      <b/>
      <sz val="11"/>
      <color rgb="FF0000FF"/>
      <name val="Calibri"/>
      <family val="2"/>
      <charset val="1"/>
    </font>
    <font>
      <sz val="9"/>
      <color rgb="FF000000"/>
      <name val="Segoe UI"/>
      <family val="2"/>
      <charset val="1"/>
    </font>
    <font>
      <i/>
      <sz val="11"/>
      <name val="Calibri"/>
      <family val="2"/>
      <charset val="1"/>
    </font>
    <font>
      <b/>
      <sz val="20"/>
      <color rgb="FF000000"/>
      <name val="Calibri"/>
      <family val="2"/>
      <charset val="1"/>
    </font>
    <font>
      <b/>
      <sz val="16"/>
      <color rgb="FF000000"/>
      <name val="Calibri"/>
      <family val="2"/>
      <charset val="1"/>
    </font>
    <font>
      <sz val="11"/>
      <color rgb="FF0000FF"/>
      <name val="Calibri"/>
      <family val="2"/>
      <charset val="1"/>
    </font>
    <font>
      <sz val="11"/>
      <color rgb="FF000000"/>
      <name val="Calibri"/>
      <family val="2"/>
      <charset val="1"/>
    </font>
  </fonts>
  <fills count="39">
    <fill>
      <patternFill patternType="none"/>
    </fill>
    <fill>
      <patternFill patternType="gray125"/>
    </fill>
    <fill>
      <patternFill patternType="solid">
        <fgColor rgb="FFCCCCFF"/>
        <bgColor rgb="FFBDD7EE"/>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D966"/>
      </patternFill>
    </fill>
    <fill>
      <patternFill patternType="solid">
        <fgColor rgb="FF99CCFF"/>
        <bgColor rgb="FF9DC3E6"/>
      </patternFill>
    </fill>
    <fill>
      <patternFill patternType="solid">
        <fgColor rgb="FFFF8080"/>
        <bgColor rgb="FFFF99CC"/>
      </patternFill>
    </fill>
    <fill>
      <patternFill patternType="solid">
        <fgColor rgb="FF00FF00"/>
        <bgColor rgb="FF33CCCC"/>
      </patternFill>
    </fill>
    <fill>
      <patternFill patternType="solid">
        <fgColor rgb="FFFFCC00"/>
        <bgColor rgb="FFFFC000"/>
      </patternFill>
    </fill>
    <fill>
      <patternFill patternType="solid">
        <fgColor rgb="FF0066CC"/>
        <bgColor rgb="FF0563C1"/>
      </patternFill>
    </fill>
    <fill>
      <patternFill patternType="solid">
        <fgColor rgb="FFC9C9C9"/>
        <bgColor rgb="FFC0C0C0"/>
      </patternFill>
    </fill>
    <fill>
      <patternFill patternType="solid">
        <fgColor rgb="FF800080"/>
        <bgColor rgb="FF800080"/>
      </patternFill>
    </fill>
    <fill>
      <patternFill patternType="solid">
        <fgColor rgb="FF33CCCC"/>
        <bgColor rgb="FF5B9BD5"/>
      </patternFill>
    </fill>
    <fill>
      <patternFill patternType="solid">
        <fgColor rgb="FFFF9900"/>
        <bgColor rgb="FFFFC000"/>
      </patternFill>
    </fill>
    <fill>
      <patternFill patternType="solid">
        <fgColor rgb="FFC0C0C0"/>
        <bgColor rgb="FFC9C9C9"/>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FF0000"/>
        <bgColor rgb="FF993300"/>
      </patternFill>
    </fill>
    <fill>
      <patternFill patternType="solid">
        <fgColor rgb="FF339966"/>
        <bgColor rgb="FF548235"/>
      </patternFill>
    </fill>
    <fill>
      <patternFill patternType="solid">
        <fgColor rgb="FFFF6600"/>
        <bgColor rgb="FFFF9900"/>
      </patternFill>
    </fill>
    <fill>
      <patternFill patternType="solid">
        <fgColor rgb="FF4472C4"/>
        <bgColor rgb="FF2E75B6"/>
      </patternFill>
    </fill>
    <fill>
      <patternFill patternType="solid">
        <fgColor rgb="FFC5E0B4"/>
        <bgColor rgb="FFC9C9C9"/>
      </patternFill>
    </fill>
    <fill>
      <patternFill patternType="solid">
        <fgColor rgb="FFE2F0D9"/>
        <bgColor rgb="FFDEEBF7"/>
      </patternFill>
    </fill>
    <fill>
      <patternFill patternType="solid">
        <fgColor rgb="FF70AD47"/>
        <bgColor rgb="FF548235"/>
      </patternFill>
    </fill>
    <fill>
      <patternFill patternType="solid">
        <fgColor rgb="FFDEEBF7"/>
        <bgColor rgb="FFDAE3F3"/>
      </patternFill>
    </fill>
    <fill>
      <patternFill patternType="solid">
        <fgColor rgb="FFB4C7E7"/>
        <bgColor rgb="FF9DC3E6"/>
      </patternFill>
    </fill>
    <fill>
      <patternFill patternType="solid">
        <fgColor rgb="FFBDD7EE"/>
        <bgColor rgb="FFCCCCFF"/>
      </patternFill>
    </fill>
    <fill>
      <patternFill patternType="solid">
        <fgColor rgb="FFDAE3F3"/>
        <bgColor rgb="FFDEEBF7"/>
      </patternFill>
    </fill>
    <fill>
      <patternFill patternType="solid">
        <fgColor rgb="FF8FAADC"/>
        <bgColor rgb="FF9DC3E6"/>
      </patternFill>
    </fill>
    <fill>
      <patternFill patternType="solid">
        <fgColor rgb="FF9DC3E6"/>
        <bgColor rgb="FF99CCFF"/>
      </patternFill>
    </fill>
    <fill>
      <patternFill patternType="solid">
        <fgColor rgb="FF5B9BD5"/>
        <bgColor rgb="FF8FAADC"/>
      </patternFill>
    </fill>
    <fill>
      <patternFill patternType="solid">
        <fgColor rgb="FFFFD966"/>
        <bgColor rgb="FFFFCC99"/>
      </patternFill>
    </fill>
    <fill>
      <patternFill patternType="solid">
        <fgColor rgb="FFA9D18E"/>
        <bgColor rgb="FFC5E0B4"/>
      </patternFill>
    </fill>
    <fill>
      <patternFill patternType="solid">
        <fgColor rgb="FFFFFFFF"/>
        <bgColor rgb="FFFFFFCC"/>
      </patternFill>
    </fill>
  </fills>
  <borders count="77">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FFFFFF"/>
      </left>
      <right/>
      <top style="thin">
        <color rgb="FFFFFFFF"/>
      </top>
      <bottom/>
      <diagonal/>
    </border>
    <border>
      <left/>
      <right/>
      <top style="thin">
        <color rgb="FFFFFFFF"/>
      </top>
      <bottom/>
      <diagonal/>
    </border>
    <border>
      <left style="thin">
        <color auto="1"/>
      </left>
      <right style="thin">
        <color auto="1"/>
      </right>
      <top style="thin">
        <color auto="1"/>
      </top>
      <bottom style="thin">
        <color auto="1"/>
      </bottom>
      <diagonal/>
    </border>
    <border>
      <left/>
      <right style="thin">
        <color rgb="FFFFFFFF"/>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FFFFFF"/>
      </right>
      <top style="thin">
        <color rgb="FFFFFFFF"/>
      </top>
      <bottom/>
      <diagonal/>
    </border>
    <border>
      <left/>
      <right/>
      <top style="thin">
        <color rgb="FFFFFFFF"/>
      </top>
      <bottom style="thin">
        <color rgb="FFFFFFFF"/>
      </bottom>
      <diagonal/>
    </border>
    <border>
      <left/>
      <right style="thin">
        <color rgb="FFFFFFFF"/>
      </right>
      <top/>
      <bottom style="thin">
        <color rgb="FFFFFFFF"/>
      </bottom>
      <diagonal/>
    </border>
    <border>
      <left/>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diagonal/>
    </border>
    <border>
      <left style="thin">
        <color rgb="FFFFFFFF"/>
      </left>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rgb="FFFFFFFF"/>
      </right>
      <top/>
      <bottom style="thin">
        <color auto="1"/>
      </bottom>
      <diagonal/>
    </border>
    <border>
      <left/>
      <right style="thin">
        <color auto="1"/>
      </right>
      <top/>
      <bottom/>
      <diagonal/>
    </border>
    <border>
      <left style="thin">
        <color rgb="FFFFFFFF"/>
      </left>
      <right/>
      <top/>
      <bottom style="hair">
        <color auto="1"/>
      </bottom>
      <diagonal/>
    </border>
    <border>
      <left style="thin">
        <color rgb="FFFFFFFF"/>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diagonal/>
    </border>
    <border>
      <left style="thin">
        <color rgb="FFFFFFFF"/>
      </left>
      <right/>
      <top/>
      <bottom style="thin">
        <color auto="1"/>
      </bottom>
      <diagonal/>
    </border>
    <border>
      <left style="thin">
        <color auto="1"/>
      </left>
      <right style="thin">
        <color rgb="FFFFFFFF"/>
      </right>
      <top style="thin">
        <color auto="1"/>
      </top>
      <bottom style="thin">
        <color auto="1"/>
      </bottom>
      <diagonal/>
    </border>
    <border>
      <left style="thin">
        <color rgb="FFFFFFFF"/>
      </left>
      <right/>
      <top style="thin">
        <color auto="1"/>
      </top>
      <bottom/>
      <diagonal/>
    </border>
    <border>
      <left style="thin">
        <color rgb="FFFFFFFF"/>
      </left>
      <right/>
      <top style="thin">
        <color auto="1"/>
      </top>
      <bottom style="thin">
        <color auto="1"/>
      </bottom>
      <diagonal/>
    </border>
    <border>
      <left style="thin">
        <color auto="1"/>
      </left>
      <right/>
      <top/>
      <bottom style="thin">
        <color auto="1"/>
      </bottom>
      <diagonal/>
    </border>
    <border>
      <left style="thin">
        <color rgb="FFFFFFFF"/>
      </left>
      <right/>
      <top style="thin">
        <color auto="1"/>
      </top>
      <bottom style="thin">
        <color rgb="FFFFFFFF"/>
      </bottom>
      <diagonal/>
    </border>
    <border>
      <left style="thin">
        <color rgb="FFFFFFFF"/>
      </left>
      <right/>
      <top style="thin">
        <color rgb="FFFFFFFF"/>
      </top>
      <bottom style="hair">
        <color auto="1"/>
      </bottom>
      <diagonal/>
    </border>
    <border>
      <left/>
      <right/>
      <top style="hair">
        <color auto="1"/>
      </top>
      <bottom style="hair">
        <color auto="1"/>
      </bottom>
      <diagonal/>
    </border>
    <border>
      <left style="thin">
        <color auto="1"/>
      </left>
      <right/>
      <top style="thin">
        <color auto="1"/>
      </top>
      <bottom/>
      <diagonal/>
    </border>
    <border>
      <left/>
      <right style="thin">
        <color auto="1"/>
      </right>
      <top style="thin">
        <color rgb="FFFFFFFF"/>
      </top>
      <bottom style="hair">
        <color auto="1"/>
      </bottom>
      <diagonal/>
    </border>
    <border>
      <left style="thin">
        <color auto="1"/>
      </left>
      <right style="thin">
        <color auto="1"/>
      </right>
      <top style="thin">
        <color rgb="FFFFFFFF"/>
      </top>
      <bottom style="hair">
        <color auto="1"/>
      </bottom>
      <diagonal/>
    </border>
    <border>
      <left/>
      <right style="thin">
        <color auto="1"/>
      </right>
      <top style="thin">
        <color auto="1"/>
      </top>
      <bottom style="thin">
        <color rgb="FFFFFFFF"/>
      </bottom>
      <diagonal/>
    </border>
    <border>
      <left style="thin">
        <color auto="1"/>
      </left>
      <right style="thin">
        <color auto="1"/>
      </right>
      <top style="thin">
        <color auto="1"/>
      </top>
      <bottom style="thin">
        <color rgb="FFFFFFFF"/>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style="thin">
        <color auto="1"/>
      </left>
      <right style="thin">
        <color rgb="FFFFFFFF"/>
      </right>
      <top style="thin">
        <color auto="1"/>
      </top>
      <bottom/>
      <diagonal/>
    </border>
    <border>
      <left/>
      <right style="thin">
        <color rgb="FFFFFFFF"/>
      </right>
      <top style="thin">
        <color auto="1"/>
      </top>
      <bottom style="thin">
        <color rgb="FFFFFFFF"/>
      </bottom>
      <diagonal/>
    </border>
    <border>
      <left/>
      <right/>
      <top style="thin">
        <color rgb="FFFFFFFF"/>
      </top>
      <bottom style="hair">
        <color auto="1"/>
      </bottom>
      <diagonal/>
    </border>
    <border>
      <left/>
      <right/>
      <top style="thin">
        <color auto="1"/>
      </top>
      <bottom style="thin">
        <color rgb="FFFFFFFF"/>
      </bottom>
      <diagonal/>
    </border>
    <border>
      <left style="thin">
        <color rgb="FFFFFFFF"/>
      </left>
      <right style="thin">
        <color rgb="FFFFFFFF"/>
      </right>
      <top style="thin">
        <color rgb="FFFFFFFF"/>
      </top>
      <bottom style="hair">
        <color auto="1"/>
      </bottom>
      <diagonal/>
    </border>
    <border>
      <left style="thin">
        <color rgb="FFFFFFFF"/>
      </left>
      <right style="thin">
        <color rgb="FFFFFFFF"/>
      </right>
      <top style="hair">
        <color auto="1"/>
      </top>
      <bottom style="hair">
        <color auto="1"/>
      </bottom>
      <diagonal/>
    </border>
    <border>
      <left style="thin">
        <color auto="1"/>
      </left>
      <right style="thin">
        <color auto="1"/>
      </right>
      <top/>
      <bottom style="thin">
        <color rgb="FFFFFFFF"/>
      </bottom>
      <diagonal/>
    </border>
    <border>
      <left style="thin">
        <color rgb="FFFFFFFF"/>
      </left>
      <right style="thin">
        <color rgb="FFFFFFFF"/>
      </right>
      <top style="thin">
        <color auto="1"/>
      </top>
      <bottom style="thin">
        <color auto="1"/>
      </bottom>
      <diagonal/>
    </border>
    <border>
      <left/>
      <right style="thin">
        <color rgb="FFFFFFFF"/>
      </right>
      <top style="thin">
        <color rgb="FFFFFFFF"/>
      </top>
      <bottom style="thin">
        <color rgb="FFFFFFFF"/>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style="thin">
        <color auto="1"/>
      </left>
      <right/>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thin">
        <color rgb="FFFFFFFF"/>
      </left>
      <right style="thin">
        <color rgb="FFFFFFFF"/>
      </right>
      <top/>
      <bottom style="thin">
        <color rgb="FFFFFFFF"/>
      </bottom>
      <diagonal/>
    </border>
    <border>
      <left style="thin">
        <color auto="1"/>
      </left>
      <right style="thin">
        <color rgb="FFFFFFFF"/>
      </right>
      <top style="thin">
        <color auto="1"/>
      </top>
      <bottom style="thin">
        <color rgb="FFFFFFFF"/>
      </bottom>
      <diagonal/>
    </border>
    <border>
      <left style="thin">
        <color auto="1"/>
      </left>
      <right style="thin">
        <color auto="1"/>
      </right>
      <top style="thin">
        <color auto="1"/>
      </top>
      <bottom style="hair">
        <color auto="1"/>
      </bottom>
      <diagonal/>
    </border>
  </borders>
  <cellStyleXfs count="169">
    <xf numFmtId="0" fontId="0" fillId="0" borderId="0"/>
    <xf numFmtId="174" fontId="37" fillId="0" borderId="0" applyBorder="0" applyProtection="0"/>
    <xf numFmtId="166" fontId="37" fillId="0" borderId="0" applyBorder="0" applyProtection="0"/>
    <xf numFmtId="9" fontId="37" fillId="0" borderId="0" applyBorder="0" applyProtection="0"/>
    <xf numFmtId="0" fontId="28" fillId="0" borderId="0" applyBorder="0" applyProtection="0"/>
    <xf numFmtId="0" fontId="37" fillId="2" borderId="0" applyBorder="0" applyProtection="0"/>
    <xf numFmtId="0" fontId="37" fillId="3" borderId="0" applyBorder="0" applyProtection="0"/>
    <xf numFmtId="0" fontId="37" fillId="4" borderId="0" applyBorder="0" applyProtection="0"/>
    <xf numFmtId="0" fontId="37" fillId="5" borderId="0" applyBorder="0" applyProtection="0"/>
    <xf numFmtId="0" fontId="37" fillId="6" borderId="0" applyBorder="0" applyProtection="0"/>
    <xf numFmtId="0" fontId="37" fillId="7" borderId="0" applyBorder="0" applyProtection="0"/>
    <xf numFmtId="0" fontId="37" fillId="8" borderId="0" applyBorder="0" applyProtection="0"/>
    <xf numFmtId="0" fontId="37" fillId="9" borderId="0" applyBorder="0" applyProtection="0"/>
    <xf numFmtId="0" fontId="37" fillId="10" borderId="0" applyBorder="0" applyProtection="0"/>
    <xf numFmtId="0" fontId="37" fillId="5" borderId="0" applyBorder="0" applyProtection="0"/>
    <xf numFmtId="0" fontId="37" fillId="8" borderId="0" applyBorder="0" applyProtection="0"/>
    <xf numFmtId="0" fontId="37" fillId="11" borderId="0" applyBorder="0" applyProtection="0"/>
    <xf numFmtId="0" fontId="1" fillId="12" borderId="0" applyBorder="0" applyProtection="0"/>
    <xf numFmtId="0" fontId="1" fillId="9" borderId="0" applyBorder="0" applyProtection="0"/>
    <xf numFmtId="0" fontId="1" fillId="10" borderId="0" applyBorder="0" applyProtection="0"/>
    <xf numFmtId="0" fontId="37" fillId="13" borderId="0" applyBorder="0" applyProtection="0"/>
    <xf numFmtId="0" fontId="1" fillId="14" borderId="0" applyBorder="0" applyProtection="0"/>
    <xf numFmtId="0" fontId="1" fillId="15" borderId="0" applyBorder="0" applyProtection="0"/>
    <xf numFmtId="0" fontId="1" fillId="16" borderId="0" applyBorder="0" applyProtection="0"/>
    <xf numFmtId="0" fontId="2" fillId="4" borderId="0" applyBorder="0" applyProtection="0"/>
    <xf numFmtId="0" fontId="3" fillId="17" borderId="1" applyProtection="0"/>
    <xf numFmtId="0" fontId="4" fillId="18" borderId="2" applyProtection="0"/>
    <xf numFmtId="0" fontId="5" fillId="0" borderId="3" applyProtection="0"/>
    <xf numFmtId="0" fontId="6" fillId="7" borderId="1" applyProtection="0"/>
    <xf numFmtId="165" fontId="37" fillId="0" borderId="0" applyBorder="0" applyProtection="0"/>
    <xf numFmtId="0" fontId="7" fillId="0" borderId="0" applyBorder="0" applyProtection="0">
      <alignment horizontal="center" textRotation="90"/>
    </xf>
    <xf numFmtId="0" fontId="8" fillId="3" borderId="0" applyBorder="0" applyProtection="0"/>
    <xf numFmtId="166" fontId="37" fillId="0" borderId="0" applyBorder="0" applyProtection="0"/>
    <xf numFmtId="167" fontId="37" fillId="0" borderId="0" applyBorder="0" applyProtection="0"/>
    <xf numFmtId="168" fontId="9" fillId="0" borderId="0" applyBorder="0" applyProtection="0"/>
    <xf numFmtId="167" fontId="37" fillId="0" borderId="0" applyBorder="0" applyProtection="0"/>
    <xf numFmtId="168" fontId="37" fillId="0" borderId="0" applyBorder="0" applyProtection="0"/>
    <xf numFmtId="169" fontId="37" fillId="0" borderId="0" applyBorder="0" applyProtection="0"/>
    <xf numFmtId="168" fontId="37" fillId="0" borderId="0" applyBorder="0" applyProtection="0"/>
    <xf numFmtId="169"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170"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0"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0" fontId="10" fillId="19" borderId="0" applyBorder="0" applyProtection="0"/>
    <xf numFmtId="0" fontId="9" fillId="0" borderId="0"/>
    <xf numFmtId="0" fontId="9" fillId="0" borderId="0"/>
    <xf numFmtId="0" fontId="9" fillId="0" borderId="0"/>
    <xf numFmtId="0" fontId="9" fillId="0" borderId="0"/>
    <xf numFmtId="0" fontId="37" fillId="0" borderId="0"/>
    <xf numFmtId="0" fontId="11" fillId="0" borderId="0"/>
    <xf numFmtId="0" fontId="12" fillId="0" borderId="0"/>
    <xf numFmtId="0" fontId="37" fillId="0" borderId="0"/>
    <xf numFmtId="0" fontId="13" fillId="0" borderId="0"/>
    <xf numFmtId="0" fontId="37" fillId="0" borderId="0"/>
    <xf numFmtId="0" fontId="37" fillId="0" borderId="0"/>
    <xf numFmtId="0" fontId="37" fillId="0" borderId="0"/>
    <xf numFmtId="0" fontId="37" fillId="0" borderId="0"/>
    <xf numFmtId="0" fontId="9" fillId="0" borderId="0"/>
    <xf numFmtId="0" fontId="14" fillId="0" borderId="0"/>
    <xf numFmtId="171" fontId="37" fillId="0" borderId="0" applyBorder="0" applyProtection="0"/>
    <xf numFmtId="0" fontId="3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20" borderId="4" applyProtection="0"/>
    <xf numFmtId="9" fontId="37" fillId="0" borderId="0" applyBorder="0" applyProtection="0"/>
    <xf numFmtId="9" fontId="37" fillId="0" borderId="0" applyBorder="0" applyProtection="0"/>
    <xf numFmtId="9" fontId="9" fillId="0" borderId="0"/>
    <xf numFmtId="9" fontId="9" fillId="0" borderId="0"/>
    <xf numFmtId="9" fontId="9"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0" fontId="15" fillId="0" borderId="0" applyBorder="0" applyProtection="0"/>
    <xf numFmtId="172" fontId="15" fillId="0" borderId="0" applyBorder="0" applyProtection="0"/>
    <xf numFmtId="0" fontId="16" fillId="17" borderId="5"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7" fillId="0" borderId="0" applyBorder="0" applyProtection="0"/>
    <xf numFmtId="0" fontId="18" fillId="0" borderId="0" applyBorder="0" applyProtection="0"/>
    <xf numFmtId="0" fontId="19" fillId="0" borderId="6" applyProtection="0"/>
    <xf numFmtId="0" fontId="20" fillId="0" borderId="0" applyBorder="0" applyProtection="0"/>
    <xf numFmtId="0" fontId="21" fillId="0" borderId="7" applyProtection="0"/>
    <xf numFmtId="0" fontId="22" fillId="0" borderId="8" applyProtection="0"/>
    <xf numFmtId="0" fontId="23" fillId="0" borderId="9" applyProtection="0"/>
    <xf numFmtId="0" fontId="23" fillId="0" borderId="0" applyBorder="0" applyProtection="0"/>
    <xf numFmtId="0" fontId="20" fillId="0" borderId="0" applyBorder="0" applyProtection="0"/>
    <xf numFmtId="173" fontId="9"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 fillId="21" borderId="0" applyBorder="0" applyProtection="0"/>
    <xf numFmtId="0" fontId="1" fillId="22" borderId="0" applyBorder="0" applyProtection="0"/>
    <xf numFmtId="0" fontId="1" fillId="23" borderId="0" applyBorder="0" applyProtection="0"/>
    <xf numFmtId="0" fontId="1" fillId="14" borderId="0" applyBorder="0" applyProtection="0"/>
    <xf numFmtId="0" fontId="1" fillId="15" borderId="0" applyBorder="0" applyProtection="0"/>
    <xf numFmtId="0" fontId="1" fillId="24" borderId="0" applyBorder="0" applyProtection="0"/>
    <xf numFmtId="0" fontId="1" fillId="25" borderId="0" applyBorder="0" applyProtection="0"/>
    <xf numFmtId="0" fontId="37" fillId="26" borderId="0" applyBorder="0" applyProtection="0"/>
    <xf numFmtId="0" fontId="37" fillId="27" borderId="0" applyBorder="0" applyProtection="0"/>
    <xf numFmtId="0" fontId="1" fillId="28" borderId="0" applyBorder="0" applyProtection="0"/>
    <xf numFmtId="0" fontId="37" fillId="29" borderId="0" applyBorder="0" applyProtection="0"/>
    <xf numFmtId="0" fontId="37" fillId="30" borderId="0" applyBorder="0" applyProtection="0"/>
    <xf numFmtId="0" fontId="37" fillId="31" borderId="0" applyBorder="0" applyProtection="0"/>
    <xf numFmtId="0" fontId="37" fillId="32" borderId="0" applyBorder="0" applyProtection="0"/>
    <xf numFmtId="0" fontId="1" fillId="33" borderId="0" applyBorder="0" applyProtection="0"/>
    <xf numFmtId="0" fontId="37" fillId="34" borderId="0" applyBorder="0" applyProtection="0"/>
    <xf numFmtId="0" fontId="1" fillId="35" borderId="0" applyBorder="0" applyProtection="0"/>
    <xf numFmtId="0" fontId="1" fillId="36" borderId="0" applyBorder="0" applyProtection="0"/>
    <xf numFmtId="0" fontId="1" fillId="37" borderId="0" applyBorder="0" applyProtection="0"/>
  </cellStyleXfs>
  <cellXfs count="721">
    <xf numFmtId="0" fontId="0" fillId="0" borderId="0" xfId="0"/>
    <xf numFmtId="0" fontId="19" fillId="0" borderId="14" xfId="162" applyFont="1" applyFill="1" applyBorder="1" applyAlignment="1" applyProtection="1">
      <alignment horizontal="center" vertical="center"/>
    </xf>
    <xf numFmtId="166" fontId="24" fillId="0" borderId="12" xfId="2" applyFont="1" applyBorder="1" applyAlignment="1" applyProtection="1">
      <alignment horizontal="center" vertical="center"/>
      <protection locked="0"/>
    </xf>
    <xf numFmtId="0" fontId="0" fillId="0" borderId="0" xfId="0" applyAlignment="1">
      <alignment vertical="center"/>
    </xf>
    <xf numFmtId="0" fontId="24" fillId="0" borderId="0" xfId="0" applyFont="1" applyAlignment="1">
      <alignment horizontal="center" vertical="center"/>
    </xf>
    <xf numFmtId="0" fontId="24" fillId="0" borderId="0" xfId="0" applyFont="1" applyAlignment="1">
      <alignment vertical="center"/>
    </xf>
    <xf numFmtId="10" fontId="24" fillId="0" borderId="0" xfId="0" applyNumberFormat="1" applyFont="1" applyAlignment="1">
      <alignment horizontal="right" vertical="center"/>
    </xf>
    <xf numFmtId="0" fontId="0" fillId="0" borderId="10" xfId="0" applyBorder="1" applyAlignment="1">
      <alignment horizontal="left" vertical="center"/>
    </xf>
    <xf numFmtId="0" fontId="0" fillId="0" borderId="11" xfId="0" applyBorder="1" applyAlignment="1">
      <alignment horizontal="center" vertical="center"/>
    </xf>
    <xf numFmtId="0" fontId="0" fillId="0" borderId="11" xfId="0" applyBorder="1" applyAlignment="1">
      <alignment vertical="center"/>
    </xf>
    <xf numFmtId="0" fontId="0" fillId="0" borderId="0" xfId="0" applyProtection="1">
      <protection locked="0"/>
    </xf>
    <xf numFmtId="0" fontId="0" fillId="0" borderId="13" xfId="0" applyBorder="1" applyAlignment="1">
      <alignment vertical="center"/>
    </xf>
    <xf numFmtId="0" fontId="0" fillId="0" borderId="0" xfId="0" applyAlignment="1">
      <alignment horizontal="center" vertical="center"/>
    </xf>
    <xf numFmtId="0" fontId="25" fillId="0" borderId="0" xfId="61" applyFont="1" applyAlignment="1">
      <alignment horizontal="center" vertical="center" wrapText="1"/>
    </xf>
    <xf numFmtId="0" fontId="4" fillId="25" borderId="14" xfId="156" applyFont="1" applyBorder="1" applyAlignment="1" applyProtection="1">
      <alignment horizontal="center" vertical="center"/>
    </xf>
    <xf numFmtId="0" fontId="4" fillId="25" borderId="15" xfId="156" applyFont="1" applyBorder="1" applyAlignment="1" applyProtection="1">
      <alignment horizontal="left" vertical="center"/>
    </xf>
    <xf numFmtId="0" fontId="4" fillId="25" borderId="15" xfId="156" applyFont="1" applyBorder="1" applyAlignment="1" applyProtection="1">
      <alignment vertical="center" wrapText="1"/>
    </xf>
    <xf numFmtId="0" fontId="4" fillId="25" borderId="16" xfId="156" applyFont="1" applyBorder="1" applyAlignment="1" applyProtection="1">
      <alignment horizontal="center" vertical="center"/>
    </xf>
    <xf numFmtId="0" fontId="26" fillId="38" borderId="0" xfId="60" applyFont="1" applyFill="1" applyAlignment="1">
      <alignment horizontal="left" vertical="center"/>
    </xf>
    <xf numFmtId="0" fontId="24" fillId="0" borderId="14" xfId="157" applyFont="1" applyFill="1" applyBorder="1" applyAlignment="1" applyProtection="1">
      <alignment horizontal="center" vertical="center"/>
    </xf>
    <xf numFmtId="0" fontId="24" fillId="0" borderId="15" xfId="0" applyFont="1" applyBorder="1" applyAlignment="1">
      <alignment horizontal="left" vertical="center"/>
    </xf>
    <xf numFmtId="0" fontId="0" fillId="0" borderId="17" xfId="0" applyBorder="1" applyAlignment="1">
      <alignment vertical="center"/>
    </xf>
    <xf numFmtId="0" fontId="25" fillId="38" borderId="0" xfId="60" applyFont="1" applyFill="1" applyAlignment="1" applyProtection="1">
      <alignment horizontal="left" vertical="center"/>
      <protection locked="0" hidden="1"/>
    </xf>
    <xf numFmtId="0" fontId="24" fillId="0" borderId="14" xfId="158" applyFont="1" applyFill="1" applyBorder="1" applyAlignment="1" applyProtection="1">
      <alignment horizontal="center" vertical="center"/>
    </xf>
    <xf numFmtId="0" fontId="19" fillId="0" borderId="18" xfId="0" applyFont="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24" fillId="0" borderId="21" xfId="0" applyFont="1" applyBorder="1" applyAlignment="1">
      <alignment horizontal="center" vertical="center"/>
    </xf>
    <xf numFmtId="0" fontId="24" fillId="0" borderId="21" xfId="0" applyFont="1" applyBorder="1" applyAlignment="1">
      <alignment vertical="center"/>
    </xf>
    <xf numFmtId="10" fontId="24" fillId="0" borderId="21" xfId="0" applyNumberFormat="1" applyFont="1" applyBorder="1" applyAlignment="1">
      <alignment horizontal="right" vertical="center"/>
    </xf>
    <xf numFmtId="0" fontId="24" fillId="0" borderId="22" xfId="0" applyFont="1" applyBorder="1" applyAlignment="1">
      <alignment vertical="center"/>
    </xf>
    <xf numFmtId="0" fontId="4" fillId="38" borderId="0" xfId="159" applyFont="1" applyFill="1" applyBorder="1" applyAlignment="1" applyProtection="1">
      <alignment horizontal="left" vertical="center"/>
    </xf>
    <xf numFmtId="0" fontId="4" fillId="25" borderId="12" xfId="156" applyFont="1" applyBorder="1" applyAlignment="1" applyProtection="1">
      <alignment horizontal="center" vertical="center"/>
      <protection locked="0"/>
    </xf>
    <xf numFmtId="0" fontId="4" fillId="38" borderId="23" xfId="157" applyFont="1" applyFill="1" applyBorder="1" applyAlignment="1" applyProtection="1">
      <alignment horizontal="left" vertical="center" wrapText="1"/>
    </xf>
    <xf numFmtId="0" fontId="27" fillId="0" borderId="14" xfId="157" applyFont="1" applyFill="1" applyBorder="1" applyAlignment="1" applyProtection="1">
      <alignment horizontal="center" vertical="center"/>
    </xf>
    <xf numFmtId="0" fontId="27" fillId="0" borderId="15" xfId="157" applyFont="1" applyFill="1" applyBorder="1" applyAlignment="1" applyProtection="1">
      <alignment vertical="center" wrapText="1"/>
    </xf>
    <xf numFmtId="0" fontId="27" fillId="0" borderId="16" xfId="157" applyFont="1" applyFill="1" applyBorder="1" applyAlignment="1" applyProtection="1">
      <alignment vertical="center" wrapText="1"/>
    </xf>
    <xf numFmtId="0" fontId="27" fillId="0" borderId="12" xfId="157" applyFont="1" applyFill="1" applyBorder="1" applyAlignment="1" applyProtection="1">
      <alignment horizontal="center" vertical="center" wrapText="1"/>
      <protection locked="0"/>
    </xf>
    <xf numFmtId="0" fontId="19" fillId="0" borderId="0" xfId="0" applyFont="1" applyAlignment="1">
      <alignment vertical="center" wrapText="1"/>
    </xf>
    <xf numFmtId="0" fontId="4" fillId="38" borderId="23" xfId="157" applyFont="1" applyFill="1" applyBorder="1" applyAlignment="1" applyProtection="1">
      <alignment horizontal="left" vertical="center" wrapText="1"/>
      <protection locked="0"/>
    </xf>
    <xf numFmtId="0" fontId="24" fillId="0" borderId="14" xfId="158" applyFont="1" applyFill="1" applyBorder="1" applyAlignment="1" applyProtection="1">
      <alignment horizontal="center" vertical="center"/>
      <protection locked="0"/>
    </xf>
    <xf numFmtId="0" fontId="24" fillId="0" borderId="15" xfId="157" applyFont="1" applyFill="1" applyBorder="1" applyAlignment="1" applyProtection="1">
      <alignment vertical="center" wrapText="1"/>
      <protection locked="0"/>
    </xf>
    <xf numFmtId="0" fontId="27" fillId="0" borderId="16" xfId="157" applyFont="1" applyFill="1" applyBorder="1" applyAlignment="1" applyProtection="1">
      <alignment vertical="center" wrapText="1"/>
      <protection locked="0"/>
    </xf>
    <xf numFmtId="0" fontId="19" fillId="0" borderId="0" xfId="0" applyFont="1" applyAlignment="1" applyProtection="1">
      <alignment vertical="center" wrapText="1"/>
      <protection locked="0"/>
    </xf>
    <xf numFmtId="0" fontId="4" fillId="38" borderId="23" xfId="157" applyFont="1" applyFill="1" applyBorder="1" applyAlignment="1" applyProtection="1">
      <alignment horizontal="left" vertical="center"/>
    </xf>
    <xf numFmtId="0" fontId="24" fillId="0" borderId="15" xfId="157" applyFont="1" applyFill="1" applyBorder="1" applyAlignment="1" applyProtection="1">
      <alignment vertical="center"/>
    </xf>
    <xf numFmtId="0" fontId="24" fillId="0" borderId="16" xfId="157" applyFont="1" applyFill="1" applyBorder="1" applyAlignment="1" applyProtection="1">
      <alignment vertical="center"/>
    </xf>
    <xf numFmtId="0" fontId="24" fillId="0" borderId="12" xfId="157" applyFont="1" applyFill="1" applyBorder="1" applyAlignment="1" applyProtection="1">
      <alignment horizontal="center" vertical="center"/>
      <protection locked="0"/>
    </xf>
    <xf numFmtId="0" fontId="4" fillId="38" borderId="23" xfId="158" applyFont="1" applyFill="1" applyBorder="1" applyAlignment="1" applyProtection="1">
      <alignment horizontal="left" vertical="center"/>
    </xf>
    <xf numFmtId="0" fontId="24" fillId="0" borderId="15" xfId="158" applyFont="1" applyFill="1" applyBorder="1" applyAlignment="1" applyProtection="1">
      <alignment vertical="center"/>
    </xf>
    <xf numFmtId="0" fontId="24" fillId="0" borderId="16" xfId="158" applyFont="1" applyFill="1" applyBorder="1" applyAlignment="1" applyProtection="1">
      <alignment vertical="center"/>
    </xf>
    <xf numFmtId="177" fontId="24" fillId="0" borderId="12" xfId="157" applyNumberFormat="1"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175" fontId="24" fillId="0" borderId="12" xfId="157" applyNumberFormat="1" applyFont="1" applyFill="1" applyBorder="1" applyAlignment="1" applyProtection="1">
      <alignment horizontal="center" vertical="center"/>
      <protection locked="0"/>
    </xf>
    <xf numFmtId="166" fontId="28" fillId="0" borderId="12" xfId="4" applyNumberFormat="1" applyBorder="1" applyAlignment="1" applyProtection="1">
      <alignment horizontal="center" vertical="center"/>
      <protection locked="0"/>
    </xf>
    <xf numFmtId="166" fontId="24" fillId="0" borderId="12" xfId="158" applyNumberFormat="1" applyFont="1" applyFill="1" applyBorder="1" applyAlignment="1" applyProtection="1">
      <alignment horizontal="center" vertical="center"/>
      <protection locked="0"/>
    </xf>
    <xf numFmtId="0" fontId="29" fillId="38" borderId="0" xfId="60" applyFont="1" applyFill="1" applyAlignment="1">
      <alignment horizontal="center" vertical="center"/>
    </xf>
    <xf numFmtId="0" fontId="37" fillId="0" borderId="0" xfId="160" applyFill="1" applyBorder="1" applyAlignment="1" applyProtection="1">
      <alignment vertical="center"/>
    </xf>
    <xf numFmtId="10" fontId="37" fillId="0" borderId="13" xfId="160" applyNumberFormat="1" applyFill="1" applyBorder="1" applyAlignment="1" applyProtection="1">
      <alignment horizontal="right" vertical="center"/>
    </xf>
    <xf numFmtId="166" fontId="37" fillId="0" borderId="23" xfId="160" applyNumberFormat="1" applyFill="1" applyBorder="1" applyAlignment="1" applyProtection="1">
      <alignment horizontal="center" vertical="center"/>
    </xf>
    <xf numFmtId="0" fontId="4" fillId="38" borderId="10" xfId="161" applyFont="1" applyFill="1" applyBorder="1" applyAlignment="1" applyProtection="1">
      <alignment vertical="center"/>
    </xf>
    <xf numFmtId="0" fontId="4" fillId="25" borderId="15" xfId="156" applyFont="1" applyBorder="1" applyAlignment="1" applyProtection="1">
      <alignment vertical="center"/>
    </xf>
    <xf numFmtId="166" fontId="4" fillId="25" borderId="12" xfId="156" applyNumberFormat="1" applyFont="1" applyBorder="1" applyAlignment="1" applyProtection="1">
      <alignment vertical="center"/>
    </xf>
    <xf numFmtId="0" fontId="4" fillId="38" borderId="0" xfId="161" applyFont="1" applyFill="1" applyBorder="1" applyAlignment="1" applyProtection="1">
      <alignment vertical="center"/>
    </xf>
    <xf numFmtId="0" fontId="19" fillId="0" borderId="24" xfId="160" applyFont="1" applyFill="1" applyBorder="1" applyAlignment="1" applyProtection="1">
      <alignment horizontal="center" vertical="center"/>
    </xf>
    <xf numFmtId="0" fontId="19" fillId="0" borderId="23" xfId="160" applyFont="1" applyFill="1" applyBorder="1" applyAlignment="1" applyProtection="1">
      <alignment vertical="center"/>
    </xf>
    <xf numFmtId="0" fontId="19" fillId="0" borderId="25" xfId="160" applyFont="1" applyFill="1" applyBorder="1" applyAlignment="1" applyProtection="1">
      <alignment horizontal="center" vertical="center"/>
    </xf>
    <xf numFmtId="166" fontId="37" fillId="0" borderId="12" xfId="160" applyNumberFormat="1" applyFill="1" applyBorder="1" applyAlignment="1" applyProtection="1">
      <alignment horizontal="center" vertical="center"/>
    </xf>
    <xf numFmtId="0" fontId="19" fillId="0" borderId="25" xfId="162" applyFont="1" applyFill="1" applyBorder="1" applyAlignment="1" applyProtection="1">
      <alignment vertical="center"/>
    </xf>
    <xf numFmtId="0" fontId="19" fillId="0" borderId="26" xfId="160" applyFont="1" applyFill="1" applyBorder="1" applyAlignment="1" applyProtection="1">
      <alignment horizontal="center" vertical="center"/>
    </xf>
    <xf numFmtId="0" fontId="0" fillId="0" borderId="27" xfId="0" applyBorder="1" applyAlignment="1">
      <alignment vertical="center"/>
    </xf>
    <xf numFmtId="0" fontId="30" fillId="0" borderId="28" xfId="0" applyFont="1" applyBorder="1" applyAlignment="1">
      <alignment horizontal="left" vertical="center" indent="3"/>
    </xf>
    <xf numFmtId="0" fontId="37" fillId="0" borderId="29" xfId="162" applyFill="1" applyBorder="1" applyAlignment="1" applyProtection="1">
      <alignment horizontal="center" vertical="center"/>
    </xf>
    <xf numFmtId="9" fontId="30" fillId="0" borderId="30" xfId="162" applyNumberFormat="1" applyFont="1" applyFill="1" applyBorder="1" applyAlignment="1" applyProtection="1">
      <alignment horizontal="center" vertical="center"/>
      <protection locked="0"/>
    </xf>
    <xf numFmtId="0" fontId="30" fillId="0" borderId="31" xfId="162" applyFont="1" applyFill="1" applyBorder="1" applyAlignment="1" applyProtection="1">
      <alignment horizontal="left" vertical="center" indent="3"/>
    </xf>
    <xf numFmtId="0" fontId="19" fillId="0" borderId="32" xfId="162" applyFont="1" applyFill="1" applyBorder="1" applyAlignment="1" applyProtection="1">
      <alignment horizontal="center" vertical="center"/>
    </xf>
    <xf numFmtId="166" fontId="37" fillId="0" borderId="33" xfId="162" applyNumberFormat="1" applyFill="1" applyBorder="1" applyAlignment="1" applyProtection="1">
      <alignment horizontal="center" vertical="center"/>
    </xf>
    <xf numFmtId="0" fontId="19" fillId="0" borderId="23" xfId="163" applyFont="1" applyFill="1" applyBorder="1" applyAlignment="1" applyProtection="1">
      <alignment vertical="center"/>
    </xf>
    <xf numFmtId="0" fontId="19" fillId="0" borderId="35" xfId="163" applyFont="1" applyFill="1" applyBorder="1" applyAlignment="1" applyProtection="1">
      <alignment horizontal="center" vertical="center"/>
    </xf>
    <xf numFmtId="9" fontId="19" fillId="0" borderId="27" xfId="163" applyNumberFormat="1" applyFont="1" applyFill="1" applyBorder="1" applyAlignment="1" applyProtection="1">
      <alignment horizontal="center" vertical="center"/>
    </xf>
    <xf numFmtId="0" fontId="30" fillId="0" borderId="36" xfId="160" applyFont="1" applyFill="1" applyBorder="1" applyAlignment="1" applyProtection="1">
      <alignment horizontal="left" vertical="center" indent="3"/>
    </xf>
    <xf numFmtId="0" fontId="30" fillId="0" borderId="29" xfId="160" applyFont="1" applyFill="1" applyBorder="1" applyAlignment="1" applyProtection="1">
      <alignment horizontal="center" vertical="center"/>
    </xf>
    <xf numFmtId="166" fontId="30" fillId="0" borderId="30" xfId="160" applyNumberFormat="1" applyFon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indent="3"/>
    </xf>
    <xf numFmtId="0" fontId="30" fillId="0" borderId="38" xfId="162" applyFont="1" applyFill="1" applyBorder="1" applyAlignment="1" applyProtection="1">
      <alignment horizontal="center" vertical="center"/>
    </xf>
    <xf numFmtId="9" fontId="30" fillId="0" borderId="39" xfId="162" applyNumberFormat="1" applyFont="1" applyFill="1" applyBorder="1" applyAlignment="1" applyProtection="1">
      <alignment horizontal="center" vertical="center"/>
      <protection locked="0"/>
    </xf>
    <xf numFmtId="0" fontId="0" fillId="0" borderId="31" xfId="0" applyBorder="1" applyAlignment="1">
      <alignment vertical="center"/>
    </xf>
    <xf numFmtId="0" fontId="4" fillId="38" borderId="35" xfId="161" applyFont="1" applyFill="1" applyBorder="1" applyAlignment="1" applyProtection="1">
      <alignment vertical="center"/>
    </xf>
    <xf numFmtId="0" fontId="19" fillId="0" borderId="26" xfId="162" applyFont="1" applyFill="1" applyBorder="1" applyAlignment="1" applyProtection="1">
      <alignment horizontal="center" vertical="center"/>
    </xf>
    <xf numFmtId="166" fontId="37" fillId="0" borderId="40" xfId="162" applyNumberFormat="1" applyFill="1" applyBorder="1" applyAlignment="1" applyProtection="1">
      <alignment horizontal="center" vertical="center"/>
    </xf>
    <xf numFmtId="0" fontId="30" fillId="0" borderId="28" xfId="162" applyFont="1" applyFill="1" applyBorder="1" applyAlignment="1" applyProtection="1">
      <alignment horizontal="left" vertical="center" indent="3"/>
    </xf>
    <xf numFmtId="0" fontId="19" fillId="0" borderId="23" xfId="162" applyFont="1" applyFill="1" applyBorder="1" applyAlignment="1" applyProtection="1">
      <alignment vertical="center"/>
    </xf>
    <xf numFmtId="0" fontId="37" fillId="0" borderId="35" xfId="162" applyFill="1" applyBorder="1" applyAlignment="1" applyProtection="1">
      <alignment horizontal="center" vertical="center"/>
    </xf>
    <xf numFmtId="166" fontId="37" fillId="0" borderId="27" xfId="162" applyNumberFormat="1" applyFill="1" applyBorder="1" applyAlignment="1" applyProtection="1">
      <alignment horizontal="center" vertical="center"/>
    </xf>
    <xf numFmtId="0" fontId="30" fillId="0" borderId="29" xfId="162" applyFont="1" applyFill="1" applyBorder="1" applyAlignment="1" applyProtection="1">
      <alignment horizontal="center" vertical="center"/>
    </xf>
    <xf numFmtId="178" fontId="37" fillId="0" borderId="30" xfId="162" applyNumberFormat="1" applyFill="1" applyBorder="1" applyAlignment="1" applyProtection="1">
      <alignment horizontal="center" vertical="center"/>
      <protection locked="0"/>
    </xf>
    <xf numFmtId="0" fontId="30" fillId="0" borderId="38" xfId="160" applyFont="1" applyFill="1" applyBorder="1" applyAlignment="1" applyProtection="1">
      <alignment horizontal="center" vertical="center"/>
    </xf>
    <xf numFmtId="179" fontId="37" fillId="0" borderId="39" xfId="160" applyNumberFormat="1" applyFill="1" applyBorder="1" applyAlignment="1" applyProtection="1">
      <alignment horizontal="center" vertical="center"/>
      <protection locked="0"/>
    </xf>
    <xf numFmtId="0" fontId="19" fillId="0" borderId="41" xfId="160" applyFont="1" applyFill="1" applyBorder="1" applyAlignment="1" applyProtection="1">
      <alignment vertical="center"/>
    </xf>
    <xf numFmtId="166" fontId="37" fillId="0" borderId="33" xfId="160" applyNumberFormat="1" applyFill="1" applyBorder="1" applyAlignment="1" applyProtection="1">
      <alignment horizontal="center" vertical="center"/>
    </xf>
    <xf numFmtId="0" fontId="19" fillId="0" borderId="43" xfId="162" applyFont="1" applyFill="1" applyBorder="1" applyAlignment="1" applyProtection="1">
      <alignment vertical="center"/>
    </xf>
    <xf numFmtId="166" fontId="37" fillId="0" borderId="40" xfId="160" applyNumberFormat="1" applyFill="1" applyBorder="1" applyAlignment="1" applyProtection="1">
      <alignment horizontal="center" vertical="center"/>
    </xf>
    <xf numFmtId="0" fontId="4" fillId="38" borderId="0" xfId="161" applyFont="1" applyFill="1" applyBorder="1" applyAlignment="1" applyProtection="1">
      <alignment horizontal="center" vertical="center"/>
    </xf>
    <xf numFmtId="0" fontId="30" fillId="0" borderId="36" xfId="162" applyFont="1" applyFill="1" applyBorder="1" applyAlignment="1" applyProtection="1">
      <alignment horizontal="left" vertical="center" indent="3"/>
    </xf>
    <xf numFmtId="180" fontId="37" fillId="0" borderId="30" xfId="162" applyNumberFormat="1" applyFill="1" applyBorder="1" applyAlignment="1" applyProtection="1">
      <alignment horizontal="center" vertical="center"/>
      <protection locked="0"/>
    </xf>
    <xf numFmtId="0" fontId="19" fillId="0" borderId="41" xfId="162" applyFont="1" applyFill="1" applyBorder="1" applyAlignment="1" applyProtection="1">
      <alignment vertical="center"/>
    </xf>
    <xf numFmtId="0" fontId="19" fillId="0" borderId="43" xfId="160" applyFont="1" applyFill="1" applyBorder="1" applyAlignment="1" applyProtection="1">
      <alignment vertical="center"/>
    </xf>
    <xf numFmtId="0" fontId="37" fillId="0" borderId="29" xfId="160" applyFill="1" applyBorder="1" applyAlignment="1" applyProtection="1">
      <alignment horizontal="center" vertical="center"/>
    </xf>
    <xf numFmtId="9" fontId="37" fillId="0" borderId="30" xfId="160" applyNumberFormat="1" applyFill="1" applyBorder="1" applyAlignment="1" applyProtection="1">
      <alignment horizontal="center" vertical="center"/>
      <protection locked="0"/>
    </xf>
    <xf numFmtId="0" fontId="37" fillId="0" borderId="38" xfId="162" applyFill="1" applyBorder="1" applyAlignment="1" applyProtection="1">
      <alignment horizontal="center" vertical="center"/>
    </xf>
    <xf numFmtId="178" fontId="37" fillId="0" borderId="39" xfId="162" applyNumberFormat="1" applyFill="1" applyBorder="1" applyAlignment="1" applyProtection="1">
      <alignment horizontal="center" vertical="center"/>
      <protection locked="0"/>
    </xf>
    <xf numFmtId="166" fontId="37" fillId="0" borderId="30" xfId="162" applyNumberFormat="1" applyFill="1" applyBorder="1" applyAlignment="1" applyProtection="1">
      <alignment horizontal="center" vertical="center"/>
    </xf>
    <xf numFmtId="0" fontId="30" fillId="0" borderId="37" xfId="162" applyFont="1" applyFill="1" applyBorder="1" applyAlignment="1" applyProtection="1">
      <alignment horizontal="left" vertical="center" indent="3"/>
    </xf>
    <xf numFmtId="0" fontId="37" fillId="0" borderId="38" xfId="162"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xf>
    <xf numFmtId="0" fontId="19" fillId="0" borderId="14" xfId="160" applyFont="1" applyFill="1" applyBorder="1" applyAlignment="1" applyProtection="1">
      <alignment horizontal="center" vertical="center"/>
    </xf>
    <xf numFmtId="0" fontId="19" fillId="0" borderId="44" xfId="160" applyFont="1" applyFill="1" applyBorder="1" applyAlignment="1" applyProtection="1">
      <alignment vertical="center"/>
    </xf>
    <xf numFmtId="0" fontId="19" fillId="0" borderId="16" xfId="160" applyFont="1" applyFill="1" applyBorder="1" applyAlignment="1" applyProtection="1">
      <alignment horizontal="center" vertical="center"/>
    </xf>
    <xf numFmtId="166" fontId="37" fillId="0" borderId="12" xfId="2" applyBorder="1" applyAlignment="1" applyProtection="1">
      <alignment horizontal="center" vertical="center"/>
      <protection locked="0"/>
    </xf>
    <xf numFmtId="0" fontId="4" fillId="38" borderId="23" xfId="161" applyFont="1" applyFill="1" applyBorder="1" applyAlignment="1" applyProtection="1">
      <alignment vertical="center"/>
    </xf>
    <xf numFmtId="0" fontId="19" fillId="0" borderId="44" xfId="162" applyFont="1" applyFill="1" applyBorder="1" applyAlignment="1" applyProtection="1">
      <alignment vertical="center"/>
      <protection locked="0"/>
    </xf>
    <xf numFmtId="0" fontId="37" fillId="0" borderId="16" xfId="162" applyFill="1" applyBorder="1" applyAlignment="1" applyProtection="1">
      <alignment horizontal="center" vertical="center"/>
      <protection locked="0"/>
    </xf>
    <xf numFmtId="166" fontId="37" fillId="0" borderId="12" xfId="162" applyNumberFormat="1" applyFill="1" applyBorder="1" applyAlignment="1" applyProtection="1">
      <alignment horizontal="center" vertical="center"/>
      <protection locked="0"/>
    </xf>
    <xf numFmtId="0" fontId="4" fillId="38" borderId="20" xfId="161" applyFont="1" applyFill="1" applyBorder="1" applyAlignment="1" applyProtection="1">
      <alignment vertical="center"/>
    </xf>
    <xf numFmtId="0" fontId="4" fillId="25" borderId="14" xfId="156" applyFont="1" applyBorder="1" applyAlignment="1" applyProtection="1">
      <alignment horizontal="left" vertical="center"/>
    </xf>
    <xf numFmtId="0" fontId="4" fillId="25" borderId="16" xfId="156" applyFont="1" applyBorder="1" applyAlignment="1" applyProtection="1">
      <alignment vertical="center"/>
    </xf>
    <xf numFmtId="166" fontId="4" fillId="25" borderId="12" xfId="156" applyNumberFormat="1" applyFont="1" applyBorder="1" applyAlignment="1" applyProtection="1">
      <alignment horizontal="center" vertical="center"/>
    </xf>
    <xf numFmtId="166" fontId="4" fillId="25" borderId="16" xfId="156" applyNumberFormat="1" applyFont="1" applyBorder="1" applyAlignment="1" applyProtection="1">
      <alignment horizontal="center" vertical="center"/>
    </xf>
    <xf numFmtId="166" fontId="4" fillId="25" borderId="15" xfId="156" applyNumberFormat="1" applyFont="1" applyBorder="1" applyAlignment="1" applyProtection="1">
      <alignment horizontal="center" vertical="center"/>
    </xf>
    <xf numFmtId="0" fontId="19" fillId="0" borderId="0" xfId="0" applyFont="1" applyAlignment="1">
      <alignment vertical="center"/>
    </xf>
    <xf numFmtId="0" fontId="29" fillId="0" borderId="18" xfId="0" applyFont="1" applyBorder="1" applyAlignment="1">
      <alignment horizontal="center" vertical="center"/>
    </xf>
    <xf numFmtId="0" fontId="29" fillId="0" borderId="0" xfId="0" applyFont="1" applyAlignment="1">
      <alignment horizontal="center" vertical="center"/>
    </xf>
    <xf numFmtId="0" fontId="29" fillId="38" borderId="0" xfId="60" applyFont="1" applyFill="1" applyAlignment="1">
      <alignment horizontal="left" vertical="center"/>
    </xf>
    <xf numFmtId="166" fontId="29" fillId="0" borderId="0" xfId="161" applyNumberFormat="1" applyFont="1" applyFill="1" applyBorder="1" applyAlignment="1" applyProtection="1">
      <alignment vertical="center"/>
    </xf>
    <xf numFmtId="0" fontId="4" fillId="0" borderId="0" xfId="161" applyFont="1" applyFill="1" applyBorder="1" applyAlignment="1" applyProtection="1">
      <alignment vertical="center"/>
    </xf>
    <xf numFmtId="0" fontId="19" fillId="0" borderId="0" xfId="0" applyFont="1" applyAlignment="1">
      <alignment horizontal="center" vertical="center"/>
    </xf>
    <xf numFmtId="0" fontId="4" fillId="0" borderId="21" xfId="161" applyFont="1" applyFill="1" applyBorder="1" applyAlignment="1" applyProtection="1">
      <alignment vertical="center"/>
    </xf>
    <xf numFmtId="0" fontId="4" fillId="33" borderId="14" xfId="164" applyFont="1" applyBorder="1" applyAlignment="1" applyProtection="1">
      <alignment horizontal="center" vertical="center"/>
    </xf>
    <xf numFmtId="0" fontId="4" fillId="33" borderId="15" xfId="164" applyFont="1" applyBorder="1" applyAlignment="1" applyProtection="1">
      <alignment horizontal="left" vertical="center"/>
    </xf>
    <xf numFmtId="0" fontId="4" fillId="33" borderId="15" xfId="164" applyFont="1" applyBorder="1" applyAlignment="1" applyProtection="1">
      <alignment vertical="center"/>
    </xf>
    <xf numFmtId="166" fontId="4" fillId="33" borderId="12" xfId="164" applyNumberFormat="1" applyFont="1" applyBorder="1" applyAlignment="1" applyProtection="1">
      <alignment vertical="center"/>
    </xf>
    <xf numFmtId="166" fontId="4" fillId="33" borderId="16" xfId="164" applyNumberFormat="1" applyFont="1" applyBorder="1" applyAlignment="1" applyProtection="1">
      <alignment vertical="center"/>
    </xf>
    <xf numFmtId="0" fontId="19" fillId="0" borderId="45" xfId="160" applyFont="1" applyFill="1" applyBorder="1" applyAlignment="1" applyProtection="1">
      <alignment horizontal="center" vertical="center"/>
    </xf>
    <xf numFmtId="0" fontId="19" fillId="0" borderId="41" xfId="160" applyFont="1" applyFill="1" applyBorder="1" applyAlignment="1" applyProtection="1">
      <alignment vertical="center"/>
      <protection locked="0"/>
    </xf>
    <xf numFmtId="10" fontId="19" fillId="0" borderId="16" xfId="3" applyNumberFormat="1" applyFont="1" applyBorder="1" applyAlignment="1" applyProtection="1">
      <alignment horizontal="center" vertical="center"/>
      <protection locked="0"/>
    </xf>
    <xf numFmtId="0" fontId="27" fillId="0" borderId="41" xfId="160" applyFont="1" applyFill="1" applyBorder="1" applyAlignment="1" applyProtection="1">
      <alignment vertical="center"/>
      <protection locked="0"/>
    </xf>
    <xf numFmtId="0" fontId="4" fillId="0" borderId="13" xfId="161" applyFont="1" applyFill="1" applyBorder="1" applyAlignment="1" applyProtection="1">
      <alignment vertical="center"/>
    </xf>
    <xf numFmtId="0" fontId="4" fillId="33" borderId="16" xfId="164" applyFont="1" applyBorder="1" applyAlignment="1" applyProtection="1">
      <alignment vertical="center"/>
    </xf>
    <xf numFmtId="166" fontId="37" fillId="0" borderId="16" xfId="160" applyNumberFormat="1" applyFill="1" applyBorder="1" applyAlignment="1" applyProtection="1">
      <alignment horizontal="center" vertical="center"/>
    </xf>
    <xf numFmtId="0" fontId="19" fillId="0" borderId="44" xfId="160" applyFont="1" applyFill="1" applyBorder="1" applyAlignment="1" applyProtection="1">
      <alignment vertical="center"/>
      <protection locked="0"/>
    </xf>
    <xf numFmtId="0" fontId="19" fillId="0" borderId="46" xfId="160" applyFont="1" applyFill="1" applyBorder="1" applyAlignment="1" applyProtection="1">
      <alignment vertical="center"/>
      <protection locked="0"/>
    </xf>
    <xf numFmtId="0" fontId="19" fillId="0" borderId="26" xfId="160" applyFont="1" applyFill="1" applyBorder="1" applyAlignment="1" applyProtection="1">
      <alignment horizontal="center" vertical="center"/>
      <protection locked="0"/>
    </xf>
    <xf numFmtId="166" fontId="37" fillId="0" borderId="26" xfId="160" applyNumberFormat="1" applyFill="1" applyBorder="1" applyAlignment="1" applyProtection="1">
      <alignment horizontal="center" vertical="center"/>
    </xf>
    <xf numFmtId="0" fontId="30" fillId="0" borderId="47" xfId="160" applyFont="1" applyFill="1" applyBorder="1" applyAlignment="1" applyProtection="1">
      <alignment horizontal="left" vertical="center" indent="3"/>
      <protection locked="0"/>
    </xf>
    <xf numFmtId="10" fontId="37" fillId="0" borderId="29" xfId="160" applyNumberFormat="1" applyFill="1" applyBorder="1" applyAlignment="1" applyProtection="1">
      <alignment horizontal="center" vertical="center"/>
      <protection locked="0"/>
    </xf>
    <xf numFmtId="10" fontId="37" fillId="0" borderId="29" xfId="160" applyNumberFormat="1" applyFill="1" applyBorder="1" applyAlignment="1" applyProtection="1">
      <alignment horizontal="center" vertical="center"/>
    </xf>
    <xf numFmtId="10" fontId="37" fillId="0" borderId="30" xfId="160" applyNumberFormat="1" applyFill="1" applyBorder="1" applyAlignment="1" applyProtection="1">
      <alignment horizontal="center" vertical="center"/>
    </xf>
    <xf numFmtId="0" fontId="30" fillId="0" borderId="48" xfId="160" applyFont="1" applyFill="1" applyBorder="1" applyAlignment="1" applyProtection="1">
      <alignment horizontal="left" vertical="center" indent="3"/>
      <protection locked="0"/>
    </xf>
    <xf numFmtId="2" fontId="37" fillId="0" borderId="38" xfId="160" applyNumberFormat="1" applyFill="1" applyBorder="1" applyAlignment="1" applyProtection="1">
      <alignment horizontal="center" vertical="center"/>
      <protection locked="0"/>
    </xf>
    <xf numFmtId="0" fontId="37" fillId="0" borderId="38" xfId="160" applyFill="1" applyBorder="1" applyAlignment="1" applyProtection="1">
      <alignment horizontal="center" vertical="center"/>
    </xf>
    <xf numFmtId="10" fontId="19" fillId="0" borderId="32" xfId="160" applyNumberFormat="1" applyFont="1" applyFill="1" applyBorder="1" applyAlignment="1" applyProtection="1">
      <alignment horizontal="center" vertical="center"/>
      <protection locked="0"/>
    </xf>
    <xf numFmtId="166" fontId="37" fillId="0" borderId="32" xfId="2" applyBorder="1" applyAlignment="1" applyProtection="1">
      <alignment vertical="center"/>
    </xf>
    <xf numFmtId="0" fontId="4" fillId="33" borderId="49" xfId="164" applyFont="1" applyBorder="1" applyAlignment="1" applyProtection="1">
      <alignment horizontal="center" vertical="center"/>
    </xf>
    <xf numFmtId="0" fontId="4" fillId="33" borderId="25" xfId="164" applyFont="1" applyBorder="1" applyAlignment="1" applyProtection="1">
      <alignment horizontal="left" vertical="center"/>
    </xf>
    <xf numFmtId="0" fontId="4" fillId="33" borderId="25" xfId="164" applyFont="1" applyBorder="1" applyAlignment="1" applyProtection="1">
      <alignment vertical="center"/>
    </xf>
    <xf numFmtId="0" fontId="19" fillId="0" borderId="46" xfId="160" applyFont="1" applyFill="1" applyBorder="1" applyAlignment="1" applyProtection="1">
      <alignment vertical="center"/>
    </xf>
    <xf numFmtId="0" fontId="1" fillId="0" borderId="26" xfId="164" applyFill="1" applyBorder="1" applyAlignment="1" applyProtection="1">
      <alignment vertical="center"/>
    </xf>
    <xf numFmtId="166" fontId="1" fillId="0" borderId="40" xfId="164" applyNumberFormat="1" applyFill="1" applyBorder="1" applyAlignment="1" applyProtection="1">
      <alignment vertical="center"/>
    </xf>
    <xf numFmtId="0" fontId="30" fillId="0" borderId="47" xfId="160" applyFont="1" applyFill="1" applyBorder="1" applyAlignment="1" applyProtection="1">
      <alignment horizontal="left" vertical="center" indent="3"/>
    </xf>
    <xf numFmtId="166" fontId="37" fillId="0" borderId="50" xfId="162" applyNumberFormat="1" applyFill="1" applyBorder="1" applyAlignment="1" applyProtection="1">
      <alignment horizontal="right" vertical="center"/>
    </xf>
    <xf numFmtId="166" fontId="37" fillId="0" borderId="51" xfId="162" applyNumberFormat="1" applyFill="1" applyBorder="1" applyAlignment="1" applyProtection="1">
      <alignment horizontal="center" vertical="center"/>
      <protection locked="0"/>
    </xf>
    <xf numFmtId="10" fontId="37" fillId="0" borderId="38" xfId="160" applyNumberFormat="1" applyFill="1" applyBorder="1" applyAlignment="1" applyProtection="1">
      <alignment horizontal="right" vertical="center"/>
    </xf>
    <xf numFmtId="0" fontId="37" fillId="0" borderId="39" xfId="160" applyFill="1" applyBorder="1" applyAlignment="1" applyProtection="1">
      <alignment horizontal="center" vertical="center"/>
      <protection locked="0"/>
    </xf>
    <xf numFmtId="10" fontId="37" fillId="0" borderId="38" xfId="162" applyNumberFormat="1" applyFill="1" applyBorder="1" applyAlignment="1" applyProtection="1">
      <alignment horizontal="right" vertical="center"/>
    </xf>
    <xf numFmtId="0" fontId="37" fillId="0" borderId="39" xfId="162" applyFill="1" applyBorder="1" applyAlignment="1" applyProtection="1">
      <alignment horizontal="center" vertical="center"/>
      <protection locked="0"/>
    </xf>
    <xf numFmtId="9" fontId="37" fillId="0" borderId="39" xfId="160" applyNumberFormat="1" applyFill="1" applyBorder="1" applyAlignment="1" applyProtection="1">
      <alignment horizontal="center" vertical="center"/>
      <protection locked="0"/>
    </xf>
    <xf numFmtId="0" fontId="0" fillId="0" borderId="41" xfId="0" applyBorder="1" applyAlignment="1">
      <alignment vertical="center"/>
    </xf>
    <xf numFmtId="166" fontId="19" fillId="0" borderId="32" xfId="160" applyNumberFormat="1" applyFont="1" applyFill="1" applyBorder="1" applyAlignment="1" applyProtection="1">
      <alignment horizontal="center" vertical="center"/>
    </xf>
    <xf numFmtId="0" fontId="19" fillId="0" borderId="46" xfId="162" applyFont="1" applyFill="1" applyBorder="1" applyAlignment="1" applyProtection="1">
      <alignment vertical="center"/>
    </xf>
    <xf numFmtId="166" fontId="19" fillId="0" borderId="52" xfId="160" applyNumberFormat="1" applyFont="1" applyFill="1" applyBorder="1" applyAlignment="1" applyProtection="1">
      <alignment horizontal="center" vertical="center"/>
    </xf>
    <xf numFmtId="166" fontId="37" fillId="0" borderId="53" xfId="160"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xf>
    <xf numFmtId="9" fontId="37" fillId="0" borderId="39" xfId="162" applyNumberFormat="1" applyFill="1" applyBorder="1" applyAlignment="1" applyProtection="1">
      <alignment horizontal="center" vertical="center"/>
      <protection locked="0"/>
    </xf>
    <xf numFmtId="166" fontId="37" fillId="0" borderId="53" xfId="162" applyNumberFormat="1" applyFill="1" applyBorder="1" applyAlignment="1" applyProtection="1">
      <alignment horizontal="center" vertical="center"/>
    </xf>
    <xf numFmtId="0" fontId="30" fillId="0" borderId="47" xfId="160" applyFont="1" applyFill="1" applyBorder="1" applyAlignment="1" applyProtection="1">
      <alignment horizontal="left" vertical="center"/>
    </xf>
    <xf numFmtId="166" fontId="37" fillId="0" borderId="50" xfId="160" applyNumberFormat="1" applyFill="1" applyBorder="1" applyAlignment="1" applyProtection="1">
      <alignment horizontal="right" vertical="center"/>
    </xf>
    <xf numFmtId="166" fontId="37" fillId="0" borderId="51" xfId="160" applyNumberForma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xf>
    <xf numFmtId="166" fontId="37" fillId="0" borderId="54" xfId="162" applyNumberFormat="1" applyFill="1" applyBorder="1" applyAlignment="1" applyProtection="1">
      <alignment horizontal="center" vertical="center"/>
    </xf>
    <xf numFmtId="10" fontId="19" fillId="0" borderId="32" xfId="3" applyNumberFormat="1" applyFont="1" applyBorder="1" applyAlignment="1" applyProtection="1">
      <alignment horizontal="center" vertical="center"/>
    </xf>
    <xf numFmtId="166" fontId="37" fillId="0" borderId="33" xfId="160" applyNumberFormat="1" applyFill="1" applyBorder="1" applyAlignment="1" applyProtection="1">
      <alignment horizontal="center" vertical="center"/>
      <protection locked="0"/>
    </xf>
    <xf numFmtId="10" fontId="19" fillId="0" borderId="26" xfId="3" applyNumberFormat="1" applyFont="1" applyBorder="1" applyAlignment="1" applyProtection="1">
      <alignment horizontal="center" vertical="center"/>
    </xf>
    <xf numFmtId="166" fontId="37" fillId="0" borderId="40" xfId="160" applyNumberFormat="1" applyFill="1" applyBorder="1" applyAlignment="1" applyProtection="1">
      <alignment horizontal="center" vertical="center"/>
      <protection locked="0"/>
    </xf>
    <xf numFmtId="0" fontId="30" fillId="0" borderId="47" xfId="162" applyFont="1" applyFill="1" applyBorder="1" applyAlignment="1" applyProtection="1">
      <alignment horizontal="left" vertical="center"/>
    </xf>
    <xf numFmtId="10" fontId="37" fillId="0" borderId="50" xfId="162" applyNumberFormat="1" applyFill="1" applyBorder="1" applyAlignment="1" applyProtection="1">
      <alignment horizontal="right" vertical="center"/>
    </xf>
    <xf numFmtId="0" fontId="30" fillId="0" borderId="37" xfId="162" applyFont="1" applyFill="1" applyBorder="1" applyAlignment="1" applyProtection="1">
      <alignment horizontal="left" vertical="center"/>
    </xf>
    <xf numFmtId="10" fontId="19" fillId="0" borderId="35" xfId="3" applyNumberFormat="1" applyFont="1" applyBorder="1" applyAlignment="1" applyProtection="1">
      <alignment horizontal="center" vertical="center"/>
    </xf>
    <xf numFmtId="166" fontId="37" fillId="0" borderId="27" xfId="160" applyNumberFormat="1" applyFill="1" applyBorder="1" applyAlignment="1" applyProtection="1">
      <alignment horizontal="center" vertical="center"/>
      <protection locked="0"/>
    </xf>
    <xf numFmtId="0" fontId="19" fillId="0" borderId="46" xfId="162" applyFont="1" applyFill="1" applyBorder="1" applyAlignment="1" applyProtection="1">
      <alignment vertical="center"/>
      <protection locked="0"/>
    </xf>
    <xf numFmtId="166" fontId="37" fillId="0" borderId="51" xfId="162" applyNumberFormat="1" applyFill="1" applyBorder="1" applyAlignment="1" applyProtection="1">
      <alignment horizontal="right" vertical="center"/>
      <protection locked="0"/>
    </xf>
    <xf numFmtId="10" fontId="37" fillId="0" borderId="39" xfId="162" applyNumberFormat="1" applyFill="1" applyBorder="1" applyAlignment="1" applyProtection="1">
      <alignment horizontal="right" vertical="center"/>
      <protection locked="0"/>
    </xf>
    <xf numFmtId="166" fontId="19" fillId="0" borderId="55" xfId="160" applyNumberFormat="1" applyFont="1" applyFill="1" applyBorder="1" applyAlignment="1" applyProtection="1">
      <alignment horizontal="center" vertical="center"/>
    </xf>
    <xf numFmtId="166" fontId="37" fillId="0" borderId="33" xfId="162" applyNumberFormat="1" applyFill="1" applyBorder="1" applyAlignment="1" applyProtection="1">
      <alignment horizontal="right" vertical="center"/>
    </xf>
    <xf numFmtId="0" fontId="4" fillId="33" borderId="45" xfId="164" applyFont="1" applyBorder="1" applyAlignment="1" applyProtection="1">
      <alignment horizontal="center" vertical="center"/>
    </xf>
    <xf numFmtId="0" fontId="4" fillId="33" borderId="31" xfId="164" applyFont="1" applyBorder="1" applyAlignment="1" applyProtection="1">
      <alignment horizontal="left" vertical="center"/>
    </xf>
    <xf numFmtId="0" fontId="4" fillId="33" borderId="32" xfId="164" applyFont="1" applyBorder="1" applyAlignment="1" applyProtection="1">
      <alignment vertical="center"/>
    </xf>
    <xf numFmtId="166" fontId="4" fillId="33" borderId="33" xfId="164" applyNumberFormat="1" applyFont="1" applyBorder="1" applyAlignment="1" applyProtection="1">
      <alignment vertical="center"/>
    </xf>
    <xf numFmtId="166" fontId="4" fillId="25" borderId="14" xfId="156" applyNumberFormat="1" applyFont="1" applyBorder="1" applyAlignment="1" applyProtection="1">
      <alignment horizontal="center" vertical="center"/>
    </xf>
    <xf numFmtId="0" fontId="4" fillId="0" borderId="0" xfId="0" applyFont="1" applyAlignment="1">
      <alignment horizontal="center" vertical="center"/>
    </xf>
    <xf numFmtId="166" fontId="4" fillId="0" borderId="0" xfId="166" applyNumberFormat="1" applyFont="1" applyFill="1" applyBorder="1" applyAlignment="1" applyProtection="1">
      <alignment horizontal="center" vertical="center"/>
    </xf>
    <xf numFmtId="166" fontId="4" fillId="25" borderId="16" xfId="156" applyNumberFormat="1" applyFont="1" applyBorder="1" applyAlignment="1" applyProtection="1">
      <alignment vertical="center"/>
    </xf>
    <xf numFmtId="0" fontId="4" fillId="0" borderId="21" xfId="167" applyFont="1" applyFill="1" applyBorder="1" applyAlignment="1" applyProtection="1">
      <alignment vertical="center"/>
    </xf>
    <xf numFmtId="0" fontId="0" fillId="0" borderId="56" xfId="0" applyBorder="1" applyAlignment="1">
      <alignment vertical="center"/>
    </xf>
    <xf numFmtId="0" fontId="29" fillId="0" borderId="56" xfId="0" applyFont="1" applyBorder="1" applyAlignment="1">
      <alignment horizontal="center" vertical="center"/>
    </xf>
    <xf numFmtId="166" fontId="29" fillId="0" borderId="57" xfId="168" applyNumberFormat="1" applyFont="1" applyFill="1" applyBorder="1" applyAlignment="1" applyProtection="1">
      <alignment vertical="center"/>
    </xf>
    <xf numFmtId="0" fontId="4" fillId="33" borderId="15" xfId="164" applyFont="1" applyBorder="1" applyAlignment="1" applyProtection="1">
      <alignment horizontal="left" vertical="center" wrapText="1"/>
    </xf>
    <xf numFmtId="0" fontId="4" fillId="0" borderId="13" xfId="167" applyFont="1" applyFill="1" applyBorder="1" applyAlignment="1" applyProtection="1">
      <alignment vertical="center"/>
    </xf>
    <xf numFmtId="0" fontId="19" fillId="0" borderId="16" xfId="3" applyNumberFormat="1" applyFont="1" applyBorder="1" applyAlignment="1" applyProtection="1">
      <alignment horizontal="center" vertical="center"/>
      <protection locked="0"/>
    </xf>
    <xf numFmtId="0" fontId="4" fillId="0" borderId="0" xfId="167" applyFont="1" applyFill="1" applyBorder="1" applyAlignment="1" applyProtection="1">
      <alignment vertical="center"/>
    </xf>
    <xf numFmtId="0" fontId="37" fillId="0" borderId="30" xfId="162" applyFill="1" applyBorder="1" applyAlignment="1" applyProtection="1">
      <alignment horizontal="center" vertical="center"/>
      <protection locked="0"/>
    </xf>
    <xf numFmtId="0" fontId="0" fillId="0" borderId="41" xfId="0" applyBorder="1" applyAlignment="1" applyProtection="1">
      <alignment vertical="center"/>
      <protection locked="0"/>
    </xf>
    <xf numFmtId="0" fontId="19" fillId="0" borderId="55" xfId="162" applyFont="1" applyFill="1" applyBorder="1" applyAlignment="1" applyProtection="1">
      <alignment horizontal="center" vertical="center"/>
    </xf>
    <xf numFmtId="0" fontId="27" fillId="0" borderId="0" xfId="0" applyFont="1" applyAlignment="1">
      <alignment horizontal="center" vertical="center"/>
    </xf>
    <xf numFmtId="0" fontId="27" fillId="0" borderId="0" xfId="0" applyFont="1" applyAlignment="1">
      <alignment vertical="center"/>
    </xf>
    <xf numFmtId="10" fontId="27" fillId="0" borderId="0" xfId="0" applyNumberFormat="1" applyFont="1" applyAlignment="1">
      <alignment horizontal="right" vertical="center"/>
    </xf>
    <xf numFmtId="0" fontId="31" fillId="0" borderId="41" xfId="4" applyFont="1" applyBorder="1" applyAlignment="1" applyProtection="1">
      <alignment vertical="center"/>
    </xf>
    <xf numFmtId="10" fontId="19" fillId="0" borderId="15" xfId="3" applyNumberFormat="1" applyFont="1" applyBorder="1" applyAlignment="1" applyProtection="1">
      <alignment horizontal="center" vertical="center"/>
      <protection locked="0"/>
    </xf>
    <xf numFmtId="10" fontId="19" fillId="0" borderId="25" xfId="3" applyNumberFormat="1" applyFont="1" applyBorder="1" applyAlignment="1" applyProtection="1">
      <alignment horizontal="center" vertical="center"/>
      <protection locked="0"/>
    </xf>
    <xf numFmtId="0" fontId="37" fillId="0" borderId="29" xfId="162" applyFill="1" applyBorder="1" applyAlignment="1" applyProtection="1">
      <alignment horizontal="center" vertical="center"/>
      <protection locked="0"/>
    </xf>
    <xf numFmtId="181" fontId="30" fillId="0" borderId="30" xfId="3" applyNumberFormat="1" applyFont="1" applyBorder="1" applyAlignment="1" applyProtection="1">
      <alignment horizontal="center" vertical="center"/>
      <protection locked="0"/>
    </xf>
    <xf numFmtId="0" fontId="19" fillId="0" borderId="55" xfId="162" applyFont="1" applyFill="1" applyBorder="1" applyAlignment="1" applyProtection="1">
      <alignment horizontal="center" vertical="center"/>
      <protection locked="0"/>
    </xf>
    <xf numFmtId="0" fontId="19" fillId="0" borderId="45" xfId="160" applyFont="1" applyFill="1" applyBorder="1" applyAlignment="1" applyProtection="1">
      <alignment horizontal="center" vertical="center"/>
      <protection locked="0"/>
    </xf>
    <xf numFmtId="0" fontId="24" fillId="0" borderId="56" xfId="61" applyFont="1" applyBorder="1"/>
    <xf numFmtId="0" fontId="19" fillId="0" borderId="0" xfId="0" applyFont="1"/>
    <xf numFmtId="0" fontId="4" fillId="33" borderId="15" xfId="164" applyFont="1" applyBorder="1" applyAlignment="1" applyProtection="1">
      <alignment horizontal="center" vertical="center"/>
    </xf>
    <xf numFmtId="0" fontId="4" fillId="33" borderId="12" xfId="164" applyFont="1" applyBorder="1" applyAlignment="1" applyProtection="1">
      <alignment horizontal="center" vertical="center"/>
    </xf>
    <xf numFmtId="0" fontId="4" fillId="0" borderId="13" xfId="166" applyFont="1" applyFill="1" applyBorder="1" applyAlignment="1" applyProtection="1">
      <alignment horizontal="left" vertical="center"/>
    </xf>
    <xf numFmtId="10" fontId="19" fillId="0" borderId="16" xfId="3" applyNumberFormat="1" applyFont="1" applyBorder="1" applyAlignment="1" applyProtection="1">
      <alignment horizontal="center" vertical="center"/>
    </xf>
    <xf numFmtId="0" fontId="4" fillId="0" borderId="13" xfId="0" applyFont="1" applyBorder="1" applyAlignment="1">
      <alignment horizontal="left" vertical="center"/>
    </xf>
    <xf numFmtId="0" fontId="0" fillId="0" borderId="0" xfId="0" applyAlignment="1">
      <alignment horizontal="center"/>
    </xf>
    <xf numFmtId="0" fontId="4" fillId="33" borderId="12" xfId="164" applyFont="1" applyBorder="1" applyAlignment="1" applyProtection="1">
      <alignment horizontal="center" vertical="center" wrapText="1"/>
    </xf>
    <xf numFmtId="0" fontId="4" fillId="33" borderId="12" xfId="164"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166" fontId="27" fillId="30" borderId="12" xfId="161" applyNumberFormat="1" applyFont="1" applyBorder="1" applyAlignment="1" applyProtection="1">
      <alignment horizontal="center"/>
    </xf>
    <xf numFmtId="0" fontId="24" fillId="0" borderId="12" xfId="61" applyFont="1" applyBorder="1" applyAlignment="1" applyProtection="1">
      <alignment horizontal="center"/>
      <protection locked="0"/>
    </xf>
    <xf numFmtId="0" fontId="24" fillId="0" borderId="12" xfId="61" applyFont="1" applyBorder="1" applyAlignment="1" applyProtection="1">
      <alignment horizontal="center" vertical="center"/>
      <protection locked="0"/>
    </xf>
    <xf numFmtId="0" fontId="24" fillId="0" borderId="12" xfId="61" applyFont="1" applyBorder="1" applyProtection="1">
      <protection locked="0"/>
    </xf>
    <xf numFmtId="166" fontId="24" fillId="0" borderId="12" xfId="2" applyFont="1" applyBorder="1" applyProtection="1">
      <protection locked="0"/>
    </xf>
    <xf numFmtId="9" fontId="24" fillId="0" borderId="12" xfId="3" applyFont="1" applyBorder="1" applyProtection="1">
      <protection locked="0"/>
    </xf>
    <xf numFmtId="0" fontId="24" fillId="0" borderId="12" xfId="61" applyFont="1" applyBorder="1" applyAlignment="1" applyProtection="1">
      <alignment horizontal="left" vertical="center"/>
      <protection locked="0"/>
    </xf>
    <xf numFmtId="166" fontId="37" fillId="0" borderId="0" xfId="2" applyBorder="1" applyProtection="1"/>
    <xf numFmtId="166" fontId="4" fillId="33" borderId="12" xfId="164" applyNumberFormat="1" applyFont="1" applyBorder="1" applyAlignment="1" applyProtection="1">
      <alignment horizontal="center" vertical="center" wrapText="1"/>
    </xf>
    <xf numFmtId="166" fontId="19" fillId="30" borderId="12" xfId="161" applyNumberFormat="1" applyFont="1" applyBorder="1" applyAlignment="1" applyProtection="1">
      <alignment horizontal="center"/>
    </xf>
    <xf numFmtId="3" fontId="24" fillId="0" borderId="12" xfId="61" applyNumberFormat="1" applyFont="1" applyBorder="1" applyAlignment="1" applyProtection="1">
      <alignment horizontal="center" vertical="center"/>
      <protection locked="0"/>
    </xf>
    <xf numFmtId="166" fontId="24" fillId="0" borderId="12" xfId="2" applyFont="1" applyBorder="1" applyAlignment="1" applyProtection="1">
      <alignment horizontal="center"/>
      <protection locked="0"/>
    </xf>
    <xf numFmtId="10" fontId="24" fillId="0" borderId="12" xfId="3" applyNumberFormat="1" applyFont="1" applyBorder="1" applyAlignment="1" applyProtection="1">
      <alignment horizontal="center"/>
      <protection locked="0"/>
    </xf>
    <xf numFmtId="166" fontId="24" fillId="0" borderId="12" xfId="2" applyFont="1" applyBorder="1" applyAlignment="1" applyProtection="1">
      <alignment horizontal="center"/>
    </xf>
    <xf numFmtId="0" fontId="19" fillId="0" borderId="0" xfId="0" applyFont="1" applyAlignment="1">
      <alignment horizontal="center"/>
    </xf>
    <xf numFmtId="0" fontId="24" fillId="0" borderId="0" xfId="61" applyFont="1"/>
    <xf numFmtId="166" fontId="24" fillId="0" borderId="0" xfId="2" applyFont="1" applyBorder="1" applyProtection="1"/>
    <xf numFmtId="0" fontId="19" fillId="0" borderId="20" xfId="0" applyFont="1" applyBorder="1" applyAlignment="1">
      <alignment horizontal="center"/>
    </xf>
    <xf numFmtId="0" fontId="24" fillId="0" borderId="20" xfId="61" applyFont="1" applyBorder="1"/>
    <xf numFmtId="166" fontId="24" fillId="0" borderId="20" xfId="2" applyFont="1" applyBorder="1" applyProtection="1"/>
    <xf numFmtId="0" fontId="27" fillId="0" borderId="58" xfId="157" applyFont="1" applyFill="1" applyBorder="1" applyAlignment="1" applyProtection="1">
      <alignment horizontal="center" vertical="center"/>
    </xf>
    <xf numFmtId="0" fontId="27" fillId="0" borderId="43" xfId="158" applyFont="1" applyFill="1" applyBorder="1" applyAlignment="1" applyProtection="1">
      <alignment vertical="center"/>
    </xf>
    <xf numFmtId="0" fontId="27" fillId="0" borderId="25" xfId="158" applyFont="1" applyFill="1" applyBorder="1" applyAlignment="1" applyProtection="1">
      <alignment vertical="center"/>
    </xf>
    <xf numFmtId="0" fontId="27" fillId="0" borderId="40" xfId="157" applyFont="1" applyFill="1" applyBorder="1" applyAlignment="1" applyProtection="1">
      <alignment horizontal="center" vertical="center"/>
      <protection locked="0"/>
    </xf>
    <xf numFmtId="0" fontId="27" fillId="0" borderId="26" xfId="157" applyFont="1" applyFill="1" applyBorder="1" applyAlignment="1" applyProtection="1">
      <alignment horizontal="center" vertical="center"/>
      <protection locked="0"/>
    </xf>
    <xf numFmtId="0" fontId="19" fillId="0" borderId="0" xfId="0" applyFont="1" applyProtection="1">
      <protection locked="0"/>
    </xf>
    <xf numFmtId="0" fontId="27" fillId="0" borderId="42" xfId="157" applyFont="1" applyFill="1" applyBorder="1" applyAlignment="1" applyProtection="1">
      <alignment horizontal="center" vertical="center"/>
    </xf>
    <xf numFmtId="0" fontId="24" fillId="0" borderId="44" xfId="158" applyFont="1" applyFill="1" applyBorder="1" applyAlignment="1" applyProtection="1">
      <alignment vertical="center"/>
    </xf>
    <xf numFmtId="0" fontId="27" fillId="0" borderId="34" xfId="158" applyFont="1" applyFill="1" applyBorder="1" applyAlignment="1" applyProtection="1">
      <alignment horizontal="center" vertical="center"/>
    </xf>
    <xf numFmtId="0" fontId="24" fillId="0" borderId="41" xfId="158" applyFont="1" applyFill="1" applyBorder="1" applyAlignment="1" applyProtection="1">
      <alignment vertical="center"/>
    </xf>
    <xf numFmtId="0" fontId="24" fillId="0" borderId="31" xfId="158" applyFont="1" applyFill="1" applyBorder="1" applyAlignment="1" applyProtection="1">
      <alignment vertical="center"/>
    </xf>
    <xf numFmtId="182" fontId="24" fillId="0" borderId="33" xfId="157" applyNumberFormat="1" applyFont="1" applyFill="1" applyBorder="1" applyAlignment="1" applyProtection="1">
      <alignment horizontal="center" vertical="center"/>
      <protection locked="0"/>
    </xf>
    <xf numFmtId="182" fontId="24" fillId="0" borderId="32" xfId="157" applyNumberFormat="1" applyFont="1" applyFill="1" applyBorder="1" applyAlignment="1" applyProtection="1">
      <alignment horizontal="center" vertical="center"/>
      <protection locked="0"/>
    </xf>
    <xf numFmtId="0" fontId="0" fillId="0" borderId="13" xfId="0" applyBorder="1"/>
    <xf numFmtId="0" fontId="27" fillId="0" borderId="59" xfId="160" applyFont="1" applyFill="1" applyBorder="1" applyAlignment="1" applyProtection="1">
      <alignment horizontal="left" vertical="center"/>
    </xf>
    <xf numFmtId="0" fontId="24" fillId="0" borderId="25" xfId="61" applyFont="1" applyBorder="1"/>
    <xf numFmtId="166" fontId="24" fillId="0" borderId="40" xfId="2" applyFont="1" applyBorder="1" applyProtection="1"/>
    <xf numFmtId="0" fontId="33" fillId="0" borderId="47" xfId="160" applyFont="1" applyFill="1" applyBorder="1" applyAlignment="1" applyProtection="1">
      <alignment horizontal="left" vertical="center" indent="3"/>
    </xf>
    <xf numFmtId="166" fontId="24" fillId="0" borderId="60" xfId="2" applyFont="1" applyBorder="1" applyAlignment="1" applyProtection="1">
      <alignment horizontal="left" vertical="center"/>
    </xf>
    <xf numFmtId="183" fontId="24" fillId="0" borderId="51" xfId="2" applyNumberFormat="1"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xf>
    <xf numFmtId="166" fontId="24" fillId="0" borderId="48" xfId="2" applyFont="1" applyBorder="1" applyAlignment="1" applyProtection="1">
      <alignment horizontal="left" vertical="center"/>
    </xf>
    <xf numFmtId="166" fontId="24" fillId="0" borderId="39" xfId="2" applyFont="1" applyBorder="1" applyAlignment="1" applyProtection="1">
      <alignment horizontal="center" vertical="center"/>
      <protection locked="0"/>
    </xf>
    <xf numFmtId="166" fontId="24" fillId="0" borderId="39" xfId="2" applyFont="1" applyBorder="1" applyAlignment="1" applyProtection="1">
      <alignment horizontal="left" vertical="center"/>
      <protection locked="0"/>
    </xf>
    <xf numFmtId="0" fontId="27" fillId="0" borderId="31" xfId="61" applyFont="1" applyBorder="1" applyAlignment="1">
      <alignment horizontal="right"/>
    </xf>
    <xf numFmtId="166" fontId="27" fillId="0" borderId="33" xfId="2" applyFont="1" applyBorder="1" applyAlignment="1" applyProtection="1">
      <alignment horizontal="left" vertical="center"/>
    </xf>
    <xf numFmtId="0" fontId="19" fillId="0" borderId="14" xfId="165" applyFont="1" applyFill="1" applyBorder="1" applyAlignment="1" applyProtection="1">
      <alignment horizontal="center" vertical="center"/>
    </xf>
    <xf numFmtId="0" fontId="19" fillId="0" borderId="61" xfId="160" applyFont="1" applyFill="1" applyBorder="1" applyAlignment="1" applyProtection="1">
      <alignment horizontal="left" vertical="center"/>
    </xf>
    <xf numFmtId="166" fontId="37" fillId="0" borderId="61" xfId="2" applyBorder="1" applyAlignment="1" applyProtection="1">
      <alignment horizontal="left" vertical="center"/>
    </xf>
    <xf numFmtId="166" fontId="37" fillId="0" borderId="53" xfId="2" applyBorder="1" applyAlignment="1" applyProtection="1">
      <alignment horizontal="left" vertical="center"/>
    </xf>
    <xf numFmtId="0" fontId="30" fillId="0" borderId="60" xfId="160" applyFont="1" applyFill="1" applyBorder="1" applyAlignment="1" applyProtection="1">
      <alignment horizontal="left" vertical="center" indent="3"/>
    </xf>
    <xf numFmtId="182" fontId="37" fillId="0" borderId="60" xfId="2" applyNumberFormat="1" applyBorder="1" applyAlignment="1" applyProtection="1">
      <alignment horizontal="center" vertical="center"/>
    </xf>
    <xf numFmtId="184" fontId="37" fillId="0" borderId="51" xfId="1" applyNumberFormat="1" applyBorder="1" applyAlignment="1" applyProtection="1">
      <alignment horizontal="center" vertical="center"/>
      <protection locked="0"/>
    </xf>
    <xf numFmtId="0" fontId="30" fillId="0" borderId="48" xfId="160" applyFont="1" applyFill="1" applyBorder="1" applyAlignment="1" applyProtection="1">
      <alignment horizontal="left" vertical="center" indent="3"/>
    </xf>
    <xf numFmtId="182" fontId="37" fillId="0" borderId="48" xfId="2" applyNumberFormat="1" applyBorder="1" applyAlignment="1" applyProtection="1">
      <alignment horizontal="center" vertical="center"/>
    </xf>
    <xf numFmtId="182" fontId="37" fillId="0" borderId="39" xfId="2" applyNumberFormat="1" applyBorder="1" applyAlignment="1" applyProtection="1">
      <alignment horizontal="center" vertical="center"/>
      <protection locked="0"/>
    </xf>
    <xf numFmtId="166" fontId="37" fillId="0" borderId="48" xfId="2" applyBorder="1" applyAlignment="1" applyProtection="1">
      <alignment horizontal="left" vertical="center"/>
    </xf>
    <xf numFmtId="166" fontId="37" fillId="0" borderId="39" xfId="2" applyBorder="1" applyAlignment="1" applyProtection="1">
      <alignment horizontal="left" vertical="center"/>
      <protection locked="0"/>
    </xf>
    <xf numFmtId="166" fontId="19" fillId="0" borderId="54" xfId="2" applyFont="1" applyBorder="1" applyAlignment="1" applyProtection="1">
      <alignment horizontal="left" vertical="center"/>
    </xf>
    <xf numFmtId="0" fontId="19" fillId="0" borderId="20" xfId="160" applyFont="1" applyFill="1" applyBorder="1" applyAlignment="1" applyProtection="1">
      <alignment horizontal="left" vertical="center"/>
    </xf>
    <xf numFmtId="166" fontId="37" fillId="0" borderId="25" xfId="2" applyBorder="1" applyAlignment="1" applyProtection="1">
      <alignment horizontal="left" vertical="center"/>
    </xf>
    <xf numFmtId="166" fontId="37" fillId="0" borderId="40" xfId="2" applyBorder="1" applyAlignment="1" applyProtection="1">
      <alignment horizontal="left" vertical="center"/>
    </xf>
    <xf numFmtId="182" fontId="37" fillId="0" borderId="29" xfId="2" applyNumberFormat="1" applyBorder="1" applyAlignment="1" applyProtection="1">
      <alignment horizontal="center" vertical="center"/>
    </xf>
    <xf numFmtId="0" fontId="27" fillId="0" borderId="14" xfId="165" applyFont="1" applyFill="1" applyBorder="1" applyAlignment="1" applyProtection="1">
      <alignment horizontal="center" vertical="center"/>
    </xf>
    <xf numFmtId="0" fontId="33" fillId="0" borderId="62" xfId="160" applyFont="1" applyFill="1" applyBorder="1" applyAlignment="1" applyProtection="1">
      <alignment horizontal="left" vertical="center" indent="3"/>
    </xf>
    <xf numFmtId="166" fontId="24" fillId="0" borderId="47" xfId="2" applyFont="1" applyBorder="1" applyAlignment="1" applyProtection="1">
      <alignment horizontal="left" vertical="center"/>
    </xf>
    <xf numFmtId="166" fontId="24" fillId="0" borderId="51" xfId="2" applyFont="1" applyBorder="1" applyAlignment="1" applyProtection="1">
      <alignment horizontal="left" vertical="center"/>
      <protection locked="0"/>
    </xf>
    <xf numFmtId="0" fontId="33" fillId="0" borderId="63" xfId="160" applyFont="1" applyFill="1" applyBorder="1" applyAlignment="1" applyProtection="1">
      <alignment horizontal="left" vertical="center" indent="3"/>
    </xf>
    <xf numFmtId="1" fontId="24" fillId="0" borderId="37" xfId="2" applyNumberFormat="1" applyFont="1" applyBorder="1" applyAlignment="1" applyProtection="1">
      <alignment horizontal="center" vertical="center"/>
    </xf>
    <xf numFmtId="1" fontId="24" fillId="0" borderId="39" xfId="2" applyNumberFormat="1" applyFont="1" applyBorder="1" applyAlignment="1" applyProtection="1">
      <alignment horizontal="center" vertical="center"/>
      <protection locked="0"/>
    </xf>
    <xf numFmtId="0" fontId="24" fillId="0" borderId="26" xfId="61" applyFont="1" applyBorder="1"/>
    <xf numFmtId="9" fontId="24" fillId="0" borderId="50" xfId="2" applyNumberFormat="1" applyFont="1" applyBorder="1" applyAlignment="1" applyProtection="1">
      <alignment horizontal="center" vertical="center"/>
    </xf>
    <xf numFmtId="185" fontId="24" fillId="0" borderId="30" xfId="2" applyNumberFormat="1" applyFont="1" applyBorder="1" applyAlignment="1" applyProtection="1">
      <alignment horizontal="center" vertical="center"/>
      <protection locked="0"/>
    </xf>
    <xf numFmtId="0" fontId="33" fillId="0" borderId="36" xfId="160" applyFont="1" applyFill="1" applyBorder="1" applyAlignment="1" applyProtection="1">
      <alignment horizontal="left" vertical="center" indent="3"/>
      <protection locked="0"/>
    </xf>
    <xf numFmtId="9" fontId="24" fillId="0" borderId="29" xfId="2" applyNumberFormat="1" applyFont="1" applyBorder="1" applyAlignment="1" applyProtection="1">
      <alignment horizontal="center" vertical="center"/>
    </xf>
    <xf numFmtId="166" fontId="24" fillId="0" borderId="30" xfId="2"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protection locked="0"/>
    </xf>
    <xf numFmtId="9" fontId="24" fillId="0" borderId="38" xfId="2" applyNumberFormat="1" applyFont="1" applyBorder="1" applyAlignment="1" applyProtection="1">
      <alignment horizontal="center" vertical="center"/>
    </xf>
    <xf numFmtId="166" fontId="24" fillId="0" borderId="38" xfId="2" applyFont="1" applyBorder="1" applyAlignment="1" applyProtection="1">
      <alignment horizontal="center" vertical="center"/>
      <protection locked="0"/>
    </xf>
    <xf numFmtId="9" fontId="24" fillId="0" borderId="48" xfId="2" applyNumberFormat="1" applyFont="1" applyBorder="1" applyAlignment="1" applyProtection="1">
      <alignment horizontal="center" vertical="center"/>
    </xf>
    <xf numFmtId="0" fontId="33" fillId="0" borderId="48" xfId="160" applyFont="1" applyFill="1" applyBorder="1" applyAlignment="1" applyProtection="1">
      <alignment horizontal="left" vertical="center" indent="3"/>
    </xf>
    <xf numFmtId="9" fontId="24" fillId="0" borderId="48" xfId="3" applyFont="1" applyBorder="1" applyAlignment="1" applyProtection="1">
      <alignment horizontal="center" vertical="center"/>
    </xf>
    <xf numFmtId="166" fontId="27" fillId="0" borderId="64" xfId="2" applyFont="1" applyBorder="1" applyAlignment="1" applyProtection="1">
      <alignment horizontal="center" vertical="center"/>
    </xf>
    <xf numFmtId="0" fontId="27" fillId="0" borderId="0" xfId="61" applyFont="1"/>
    <xf numFmtId="4" fontId="24" fillId="0" borderId="0" xfId="61" applyNumberFormat="1" applyFont="1"/>
    <xf numFmtId="0" fontId="27" fillId="0" borderId="42" xfId="166" applyFont="1" applyFill="1" applyBorder="1" applyAlignment="1" applyProtection="1">
      <alignment horizontal="center" vertical="center"/>
    </xf>
    <xf numFmtId="0" fontId="27" fillId="0" borderId="65" xfId="160" applyFont="1" applyFill="1" applyBorder="1" applyAlignment="1" applyProtection="1">
      <alignment horizontal="left" vertical="center"/>
    </xf>
    <xf numFmtId="9" fontId="24" fillId="0" borderId="44" xfId="2"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xf>
    <xf numFmtId="166" fontId="24" fillId="0" borderId="44" xfId="2" applyFont="1" applyBorder="1" applyAlignment="1" applyProtection="1">
      <alignment horizontal="center" vertical="center"/>
      <protection locked="0"/>
    </xf>
    <xf numFmtId="0" fontId="27" fillId="0" borderId="14" xfId="166" applyFont="1" applyFill="1" applyBorder="1" applyAlignment="1" applyProtection="1">
      <alignment horizontal="center" vertical="center"/>
    </xf>
    <xf numFmtId="0" fontId="24" fillId="0" borderId="26" xfId="61" applyFont="1" applyBorder="1" applyProtection="1">
      <protection locked="0"/>
    </xf>
    <xf numFmtId="166" fontId="24" fillId="0" borderId="47" xfId="2" applyFont="1" applyBorder="1" applyAlignment="1" applyProtection="1">
      <alignment horizontal="center" vertical="center"/>
      <protection locked="0"/>
    </xf>
    <xf numFmtId="1" fontId="24" fillId="0" borderId="51" xfId="2" applyNumberFormat="1" applyFont="1" applyBorder="1" applyAlignment="1" applyProtection="1">
      <alignment horizontal="center" vertical="center"/>
      <protection locked="0"/>
    </xf>
    <xf numFmtId="166" fontId="24" fillId="0" borderId="48" xfId="2" applyFont="1" applyBorder="1" applyAlignment="1" applyProtection="1">
      <alignment horizontal="center" vertical="center"/>
      <protection locked="0"/>
    </xf>
    <xf numFmtId="166" fontId="24" fillId="0" borderId="51" xfId="2" applyFont="1" applyBorder="1" applyAlignment="1" applyProtection="1">
      <alignment horizontal="center" vertical="center"/>
      <protection locked="0"/>
    </xf>
    <xf numFmtId="9" fontId="24" fillId="0" borderId="48" xfId="3" applyFont="1" applyBorder="1" applyAlignment="1" applyProtection="1">
      <alignment horizontal="center" vertical="center"/>
      <protection locked="0"/>
    </xf>
    <xf numFmtId="10" fontId="24" fillId="0" borderId="26" xfId="3" applyNumberFormat="1" applyFont="1" applyBorder="1" applyAlignment="1" applyProtection="1">
      <alignment horizontal="center"/>
      <protection locked="0"/>
    </xf>
    <xf numFmtId="186" fontId="24" fillId="0" borderId="47" xfId="2" applyNumberFormat="1" applyFont="1" applyBorder="1" applyAlignment="1" applyProtection="1">
      <alignment horizontal="center" vertical="center"/>
      <protection locked="0"/>
    </xf>
    <xf numFmtId="10" fontId="24" fillId="0" borderId="48" xfId="3" applyNumberFormat="1" applyFont="1" applyBorder="1" applyAlignment="1" applyProtection="1">
      <alignment horizontal="center" vertical="center"/>
      <protection locked="0"/>
    </xf>
    <xf numFmtId="166" fontId="19" fillId="0" borderId="31" xfId="2" applyFont="1" applyBorder="1" applyAlignment="1" applyProtection="1">
      <alignment horizontal="right" vertical="center"/>
    </xf>
    <xf numFmtId="10" fontId="24" fillId="0" borderId="47" xfId="3" applyNumberFormat="1" applyFont="1" applyBorder="1" applyAlignment="1" applyProtection="1">
      <alignment horizontal="center" vertical="center"/>
      <protection locked="0"/>
    </xf>
    <xf numFmtId="166" fontId="0" fillId="0" borderId="0" xfId="0" applyNumberFormat="1" applyProtection="1">
      <protection locked="0"/>
    </xf>
    <xf numFmtId="10" fontId="24" fillId="0" borderId="39" xfId="3" applyNumberFormat="1" applyFont="1" applyBorder="1" applyAlignment="1" applyProtection="1">
      <alignment horizontal="center" vertical="center"/>
      <protection locked="0"/>
    </xf>
    <xf numFmtId="187" fontId="24" fillId="0" borderId="39" xfId="2" applyNumberFormat="1" applyFont="1" applyBorder="1" applyAlignment="1" applyProtection="1">
      <alignment horizontal="center" vertical="center"/>
      <protection locked="0"/>
    </xf>
    <xf numFmtId="166" fontId="27" fillId="0" borderId="33" xfId="2" applyFont="1" applyBorder="1" applyAlignment="1" applyProtection="1">
      <alignment horizontal="center" vertical="center"/>
    </xf>
    <xf numFmtId="0" fontId="0" fillId="0" borderId="0" xfId="0" applyAlignment="1" applyProtection="1">
      <alignment vertical="center"/>
      <protection locked="0"/>
    </xf>
    <xf numFmtId="0" fontId="24" fillId="0" borderId="12" xfId="157" applyFont="1" applyFill="1" applyBorder="1" applyAlignment="1" applyProtection="1">
      <alignment horizontal="center" vertical="center"/>
    </xf>
    <xf numFmtId="9" fontId="37" fillId="0" borderId="30" xfId="162" applyNumberFormat="1"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protection locked="0"/>
    </xf>
    <xf numFmtId="0" fontId="19" fillId="0" borderId="24" xfId="0" applyFont="1" applyBorder="1" applyAlignment="1" applyProtection="1">
      <alignment vertical="center"/>
      <protection locked="0"/>
    </xf>
    <xf numFmtId="0" fontId="19" fillId="0" borderId="0" xfId="0" applyFont="1" applyAlignment="1" applyProtection="1">
      <alignment vertical="center"/>
      <protection locked="0"/>
    </xf>
    <xf numFmtId="0" fontId="29"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37" fillId="0" borderId="38" xfId="160" applyFill="1" applyBorder="1" applyAlignment="1" applyProtection="1">
      <alignment horizontal="center" vertical="center"/>
      <protection locked="0"/>
    </xf>
    <xf numFmtId="166" fontId="37" fillId="0" borderId="50" xfId="162" applyNumberFormat="1" applyFill="1" applyBorder="1" applyAlignment="1" applyProtection="1">
      <alignment horizontal="right" vertical="center"/>
      <protection locked="0"/>
    </xf>
    <xf numFmtId="166" fontId="37" fillId="0" borderId="51" xfId="162"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protection locked="0"/>
    </xf>
    <xf numFmtId="10" fontId="37" fillId="0" borderId="50" xfId="162" applyNumberFormat="1" applyFill="1" applyBorder="1" applyAlignment="1" applyProtection="1">
      <alignment horizontal="right" vertical="center"/>
      <protection locked="0"/>
    </xf>
    <xf numFmtId="0" fontId="30" fillId="0" borderId="37" xfId="162" applyFont="1" applyFill="1" applyBorder="1" applyAlignment="1" applyProtection="1">
      <alignment horizontal="left" vertical="center" indent="3"/>
      <protection locked="0"/>
    </xf>
    <xf numFmtId="10" fontId="37" fillId="0" borderId="38" xfId="162" applyNumberFormat="1" applyFill="1" applyBorder="1" applyAlignment="1" applyProtection="1">
      <alignment horizontal="right" vertical="center"/>
      <protection locked="0"/>
    </xf>
    <xf numFmtId="0" fontId="0" fillId="0" borderId="56" xfId="0" applyBorder="1" applyAlignment="1" applyProtection="1">
      <alignment vertical="center"/>
      <protection locked="0"/>
    </xf>
    <xf numFmtId="0" fontId="29" fillId="0" borderId="56" xfId="0" applyFont="1" applyBorder="1" applyAlignment="1" applyProtection="1">
      <alignment horizontal="center" vertical="center"/>
      <protection locked="0"/>
    </xf>
    <xf numFmtId="4" fontId="0" fillId="0" borderId="0" xfId="0" applyNumberFormat="1"/>
    <xf numFmtId="188" fontId="0" fillId="0" borderId="0" xfId="0" applyNumberFormat="1" applyAlignment="1" applyProtection="1">
      <alignment vertical="center"/>
      <protection locked="0"/>
    </xf>
    <xf numFmtId="166" fontId="37" fillId="0" borderId="0" xfId="2" applyBorder="1" applyAlignment="1" applyProtection="1">
      <alignment vertical="center"/>
      <protection locked="0"/>
    </xf>
    <xf numFmtId="189" fontId="37" fillId="0" borderId="0" xfId="2" applyNumberFormat="1" applyBorder="1" applyAlignment="1" applyProtection="1">
      <alignment vertical="center"/>
      <protection locked="0"/>
    </xf>
    <xf numFmtId="166" fontId="0" fillId="0" borderId="0" xfId="0" applyNumberFormat="1" applyAlignment="1" applyProtection="1">
      <alignment vertical="center"/>
      <protection locked="0"/>
    </xf>
    <xf numFmtId="0" fontId="4" fillId="25" borderId="16" xfId="156" applyFont="1" applyBorder="1" applyAlignment="1" applyProtection="1">
      <alignment horizontal="left" vertical="center"/>
    </xf>
    <xf numFmtId="0" fontId="19" fillId="0" borderId="14" xfId="160" applyFont="1" applyFill="1" applyBorder="1" applyAlignment="1" applyProtection="1">
      <alignment horizontal="center" vertical="center"/>
      <protection locked="0"/>
    </xf>
    <xf numFmtId="0" fontId="37" fillId="0" borderId="15" xfId="160" applyFill="1" applyBorder="1" applyAlignment="1" applyProtection="1">
      <alignment vertical="center"/>
    </xf>
    <xf numFmtId="190" fontId="37" fillId="0" borderId="12" xfId="160" applyNumberFormat="1" applyFill="1" applyBorder="1" applyAlignment="1" applyProtection="1">
      <alignment horizontal="center" vertical="center"/>
      <protection locked="0"/>
    </xf>
    <xf numFmtId="166" fontId="37" fillId="0" borderId="12" xfId="160" applyNumberFormat="1" applyFill="1" applyBorder="1" applyAlignment="1" applyProtection="1">
      <alignment vertical="center"/>
    </xf>
    <xf numFmtId="166" fontId="37" fillId="0" borderId="12" xfId="2" applyBorder="1" applyAlignment="1" applyProtection="1">
      <alignment horizontal="center" vertical="center"/>
    </xf>
    <xf numFmtId="2" fontId="0" fillId="0" borderId="0" xfId="0" applyNumberFormat="1" applyAlignment="1" applyProtection="1">
      <alignment vertical="center"/>
      <protection locked="0"/>
    </xf>
    <xf numFmtId="0" fontId="37" fillId="0" borderId="12" xfId="160" applyFill="1" applyBorder="1" applyAlignment="1" applyProtection="1">
      <alignment vertical="center"/>
    </xf>
    <xf numFmtId="0" fontId="24" fillId="0" borderId="56" xfId="61" applyFont="1" applyBorder="1" applyAlignment="1" applyProtection="1">
      <alignment horizontal="center"/>
      <protection locked="0"/>
    </xf>
    <xf numFmtId="0" fontId="24" fillId="0" borderId="57" xfId="61" applyFont="1" applyBorder="1" applyAlignment="1">
      <alignment horizontal="left"/>
    </xf>
    <xf numFmtId="0" fontId="24" fillId="0" borderId="66" xfId="61" applyFont="1" applyBorder="1" applyAlignment="1">
      <alignment horizontal="center"/>
    </xf>
    <xf numFmtId="0" fontId="24" fillId="0" borderId="56" xfId="61" applyFont="1" applyBorder="1" applyAlignment="1">
      <alignment horizontal="left"/>
    </xf>
    <xf numFmtId="164" fontId="24" fillId="0" borderId="56" xfId="61" applyNumberFormat="1" applyFont="1" applyBorder="1" applyAlignment="1">
      <alignment horizontal="center"/>
    </xf>
    <xf numFmtId="166" fontId="24" fillId="0" borderId="56" xfId="2" applyFont="1" applyBorder="1" applyAlignment="1" applyProtection="1">
      <alignment horizontal="center"/>
    </xf>
    <xf numFmtId="0" fontId="4" fillId="33" borderId="14" xfId="164" applyFont="1" applyBorder="1" applyAlignment="1" applyProtection="1">
      <alignment horizontal="center" vertical="center"/>
      <protection locked="0"/>
    </xf>
    <xf numFmtId="0" fontId="0" fillId="38" borderId="0" xfId="0" applyFill="1" applyAlignment="1">
      <alignment horizontal="center" vertical="top"/>
    </xf>
    <xf numFmtId="0" fontId="0" fillId="38" borderId="0" xfId="0" applyFill="1" applyAlignment="1" applyProtection="1">
      <alignment horizontal="center" vertical="top"/>
      <protection locked="0"/>
    </xf>
    <xf numFmtId="0" fontId="19" fillId="0" borderId="67" xfId="0" applyFont="1" applyBorder="1" applyAlignment="1">
      <alignment vertical="center"/>
    </xf>
    <xf numFmtId="0" fontId="19" fillId="0" borderId="70" xfId="0" applyFont="1" applyBorder="1" applyAlignment="1">
      <alignment vertical="center"/>
    </xf>
    <xf numFmtId="0" fontId="19" fillId="0" borderId="48" xfId="0" applyFont="1" applyBorder="1" applyAlignment="1">
      <alignment horizontal="left" vertical="center"/>
    </xf>
    <xf numFmtId="0" fontId="19" fillId="0" borderId="71" xfId="0" applyFont="1" applyBorder="1" applyAlignment="1">
      <alignment vertical="center"/>
    </xf>
    <xf numFmtId="0" fontId="19" fillId="0" borderId="0" xfId="0" applyFont="1" applyAlignment="1">
      <alignment horizontal="left" vertical="center"/>
    </xf>
    <xf numFmtId="0" fontId="19" fillId="0" borderId="24" xfId="0" applyFont="1" applyBorder="1" applyAlignment="1">
      <alignment vertical="center"/>
    </xf>
    <xf numFmtId="0" fontId="19" fillId="0" borderId="72" xfId="0" applyFont="1" applyBorder="1" applyAlignment="1">
      <alignment vertical="center"/>
    </xf>
    <xf numFmtId="0" fontId="27" fillId="0" borderId="0" xfId="0" applyFont="1" applyAlignment="1">
      <alignment horizontal="justify" vertical="center" wrapText="1"/>
    </xf>
    <xf numFmtId="0" fontId="19" fillId="0" borderId="14" xfId="0" applyFont="1" applyBorder="1" applyProtection="1">
      <protection locked="0"/>
    </xf>
    <xf numFmtId="0" fontId="19" fillId="0" borderId="15" xfId="0" applyFont="1" applyBorder="1" applyProtection="1">
      <protection locked="0"/>
    </xf>
    <xf numFmtId="0" fontId="19" fillId="0" borderId="16" xfId="0" applyFont="1" applyBorder="1" applyProtection="1">
      <protection locked="0"/>
    </xf>
    <xf numFmtId="0" fontId="19" fillId="0" borderId="67" xfId="0" applyFont="1" applyBorder="1" applyAlignment="1" applyProtection="1">
      <alignment horizontal="left" vertical="center"/>
      <protection locked="0"/>
    </xf>
    <xf numFmtId="0" fontId="19" fillId="0" borderId="68" xfId="0" applyFont="1" applyBorder="1" applyAlignment="1" applyProtection="1">
      <alignment horizontal="center" vertical="center"/>
      <protection locked="0"/>
    </xf>
    <xf numFmtId="0" fontId="19" fillId="0" borderId="68" xfId="0" applyFont="1" applyBorder="1" applyAlignment="1" applyProtection="1">
      <alignment horizontal="center" vertical="center" wrapText="1"/>
      <protection locked="0"/>
    </xf>
    <xf numFmtId="0" fontId="19" fillId="0" borderId="69" xfId="0" applyFont="1" applyBorder="1" applyAlignment="1" applyProtection="1">
      <alignment horizontal="center" vertical="center" wrapText="1"/>
      <protection locked="0"/>
    </xf>
    <xf numFmtId="0" fontId="0" fillId="0" borderId="24" xfId="0" applyBorder="1" applyAlignment="1" applyProtection="1">
      <alignment horizontal="left" vertical="center" wrapText="1"/>
      <protection locked="0"/>
    </xf>
    <xf numFmtId="0" fontId="37" fillId="0" borderId="0" xfId="2" applyNumberFormat="1" applyBorder="1" applyAlignment="1" applyProtection="1">
      <alignment horizontal="center" vertical="center" wrapText="1"/>
      <protection locked="0"/>
    </xf>
    <xf numFmtId="4" fontId="37" fillId="0" borderId="0" xfId="2" applyNumberFormat="1" applyBorder="1" applyAlignment="1" applyProtection="1">
      <alignment horizontal="center" vertical="center" wrapText="1"/>
      <protection locked="0"/>
    </xf>
    <xf numFmtId="1" fontId="37" fillId="0" borderId="0" xfId="2" applyNumberFormat="1" applyBorder="1" applyAlignment="1" applyProtection="1">
      <alignment horizontal="center" vertical="center" wrapText="1"/>
      <protection locked="0"/>
    </xf>
    <xf numFmtId="166" fontId="37" fillId="0" borderId="0" xfId="2" applyBorder="1" applyAlignment="1" applyProtection="1">
      <alignment horizontal="center" vertical="center" wrapText="1"/>
      <protection locked="0"/>
    </xf>
    <xf numFmtId="166" fontId="37" fillId="0" borderId="35" xfId="2" applyBorder="1" applyAlignment="1" applyProtection="1">
      <alignment vertical="center" wrapText="1"/>
      <protection locked="0"/>
    </xf>
    <xf numFmtId="192" fontId="0" fillId="0" borderId="0" xfId="0" applyNumberFormat="1" applyProtection="1">
      <protection locked="0"/>
    </xf>
    <xf numFmtId="2" fontId="0" fillId="0" borderId="0" xfId="0" applyNumberFormat="1" applyProtection="1">
      <protection locked="0"/>
    </xf>
    <xf numFmtId="193" fontId="0" fillId="0" borderId="0" xfId="0" applyNumberFormat="1" applyProtection="1">
      <protection locked="0"/>
    </xf>
    <xf numFmtId="1" fontId="19" fillId="0" borderId="15" xfId="0" applyNumberFormat="1" applyFont="1" applyBorder="1" applyAlignment="1" applyProtection="1">
      <alignment horizontal="center" vertical="center"/>
      <protection locked="0"/>
    </xf>
    <xf numFmtId="166" fontId="19" fillId="0" borderId="15" xfId="2" applyFont="1" applyBorder="1" applyAlignment="1" applyProtection="1">
      <alignment horizontal="center" vertical="center" wrapText="1"/>
      <protection locked="0"/>
    </xf>
    <xf numFmtId="166" fontId="19" fillId="0" borderId="16" xfId="2" applyFont="1" applyBorder="1" applyAlignment="1" applyProtection="1">
      <alignment horizontal="center" vertical="center" wrapText="1"/>
      <protection locked="0"/>
    </xf>
    <xf numFmtId="194" fontId="0" fillId="0" borderId="0" xfId="0" applyNumberFormat="1" applyProtection="1">
      <protection locked="0"/>
    </xf>
    <xf numFmtId="1" fontId="19" fillId="0" borderId="0" xfId="0" applyNumberFormat="1" applyFont="1" applyAlignment="1" applyProtection="1">
      <alignment horizontal="center" vertical="center"/>
      <protection locked="0"/>
    </xf>
    <xf numFmtId="166" fontId="19" fillId="0" borderId="0" xfId="2" applyFont="1" applyBorder="1" applyAlignment="1" applyProtection="1">
      <alignment horizontal="center" vertical="center" wrapText="1"/>
      <protection locked="0"/>
    </xf>
    <xf numFmtId="0" fontId="0" fillId="0" borderId="24" xfId="0" applyBorder="1" applyAlignment="1" applyProtection="1">
      <alignment horizontal="left" vertical="center"/>
      <protection locked="0"/>
    </xf>
    <xf numFmtId="195" fontId="37" fillId="0" borderId="0" xfId="2" applyNumberFormat="1" applyBorder="1" applyAlignment="1" applyProtection="1">
      <alignment horizontal="center" vertical="center" wrapText="1"/>
      <protection locked="0"/>
    </xf>
    <xf numFmtId="196" fontId="37" fillId="0" borderId="0" xfId="2" applyNumberFormat="1" applyBorder="1" applyAlignment="1" applyProtection="1">
      <alignment horizontal="center" vertical="center" wrapText="1"/>
      <protection locked="0"/>
    </xf>
    <xf numFmtId="166" fontId="37" fillId="0" borderId="0" xfId="2" applyBorder="1" applyAlignment="1" applyProtection="1">
      <alignment vertical="center" wrapText="1"/>
    </xf>
    <xf numFmtId="166" fontId="37" fillId="0" borderId="35" xfId="2" applyBorder="1" applyAlignment="1" applyProtection="1">
      <alignment vertical="center" wrapText="1"/>
    </xf>
    <xf numFmtId="166" fontId="19" fillId="0" borderId="15" xfId="2" applyFont="1" applyBorder="1" applyAlignment="1" applyProtection="1">
      <alignment horizontal="center" vertical="center"/>
      <protection locked="0"/>
    </xf>
    <xf numFmtId="166" fontId="19" fillId="0" borderId="15" xfId="2" applyFont="1" applyBorder="1" applyAlignment="1" applyProtection="1">
      <alignment horizontal="center" vertical="center"/>
    </xf>
    <xf numFmtId="166" fontId="19" fillId="0" borderId="16" xfId="2" applyFont="1" applyBorder="1" applyAlignment="1" applyProtection="1">
      <alignment horizontal="center" vertical="center"/>
    </xf>
    <xf numFmtId="166" fontId="19" fillId="0" borderId="0" xfId="2" applyFont="1" applyBorder="1" applyAlignment="1" applyProtection="1">
      <alignment horizontal="center" vertical="center"/>
      <protection locked="0"/>
    </xf>
    <xf numFmtId="166" fontId="37" fillId="0" borderId="0" xfId="2" applyBorder="1" applyAlignment="1" applyProtection="1">
      <alignment vertical="center" wrapText="1"/>
      <protection locked="0"/>
    </xf>
    <xf numFmtId="166" fontId="19" fillId="0" borderId="16" xfId="2" applyFont="1" applyBorder="1" applyAlignment="1" applyProtection="1">
      <alignment horizontal="center" vertical="center"/>
      <protection locked="0"/>
    </xf>
    <xf numFmtId="2" fontId="37" fillId="0" borderId="0" xfId="2" applyNumberFormat="1" applyBorder="1" applyAlignment="1" applyProtection="1">
      <alignment horizontal="center" vertical="center" wrapText="1"/>
      <protection locked="0"/>
    </xf>
    <xf numFmtId="2" fontId="19" fillId="0" borderId="15" xfId="0" applyNumberFormat="1" applyFont="1" applyBorder="1" applyAlignment="1" applyProtection="1">
      <alignment horizontal="center" vertical="center"/>
      <protection locked="0"/>
    </xf>
    <xf numFmtId="0" fontId="19" fillId="0" borderId="14" xfId="0" applyFont="1" applyBorder="1"/>
    <xf numFmtId="0" fontId="19" fillId="0" borderId="15" xfId="0" applyFont="1" applyBorder="1"/>
    <xf numFmtId="0" fontId="19" fillId="0" borderId="15" xfId="0" applyFont="1" applyBorder="1" applyAlignment="1">
      <alignment horizontal="center"/>
    </xf>
    <xf numFmtId="0" fontId="19" fillId="0" borderId="16" xfId="0" applyFont="1" applyBorder="1" applyAlignment="1">
      <alignment horizontal="center"/>
    </xf>
    <xf numFmtId="0" fontId="19" fillId="0" borderId="67" xfId="0" applyFont="1" applyBorder="1"/>
    <xf numFmtId="0" fontId="19" fillId="0" borderId="68" xfId="0" applyFont="1" applyBorder="1"/>
    <xf numFmtId="0" fontId="19" fillId="0" borderId="68" xfId="0" applyFont="1" applyBorder="1" applyAlignment="1">
      <alignment horizontal="center"/>
    </xf>
    <xf numFmtId="0" fontId="19" fillId="0" borderId="69" xfId="0" applyFont="1" applyBorder="1" applyAlignment="1">
      <alignment horizontal="center"/>
    </xf>
    <xf numFmtId="0" fontId="0" fillId="0" borderId="24" xfId="0" applyBorder="1" applyAlignment="1">
      <alignment horizontal="left" indent="1"/>
    </xf>
    <xf numFmtId="10" fontId="37" fillId="0" borderId="0" xfId="3" applyNumberFormat="1" applyBorder="1" applyAlignment="1" applyProtection="1">
      <alignment horizontal="center" vertical="center"/>
    </xf>
    <xf numFmtId="166" fontId="37" fillId="0" borderId="0" xfId="2" applyBorder="1" applyAlignment="1" applyProtection="1">
      <alignment horizontal="center"/>
    </xf>
    <xf numFmtId="166" fontId="37" fillId="0" borderId="35" xfId="2" applyBorder="1" applyAlignment="1" applyProtection="1">
      <alignment horizontal="center"/>
    </xf>
    <xf numFmtId="10" fontId="37" fillId="0" borderId="0" xfId="3" applyNumberFormat="1" applyBorder="1" applyAlignment="1" applyProtection="1">
      <alignment horizontal="center"/>
    </xf>
    <xf numFmtId="0" fontId="19" fillId="0" borderId="24" xfId="0" applyFont="1" applyBorder="1" applyAlignment="1">
      <alignment horizontal="left" indent="1"/>
    </xf>
    <xf numFmtId="10" fontId="19" fillId="0" borderId="0" xfId="3" applyNumberFormat="1" applyFont="1" applyBorder="1" applyAlignment="1" applyProtection="1">
      <alignment horizontal="center"/>
    </xf>
    <xf numFmtId="166" fontId="19" fillId="0" borderId="0" xfId="2" applyFont="1" applyBorder="1" applyProtection="1"/>
    <xf numFmtId="166" fontId="19" fillId="0" borderId="35" xfId="2" applyFont="1" applyBorder="1" applyProtection="1"/>
    <xf numFmtId="0" fontId="19" fillId="0" borderId="67" xfId="0" applyFont="1" applyBorder="1" applyAlignment="1">
      <alignment horizontal="left"/>
    </xf>
    <xf numFmtId="0" fontId="0" fillId="0" borderId="68" xfId="0" applyBorder="1"/>
    <xf numFmtId="10" fontId="0" fillId="0" borderId="68" xfId="0" applyNumberFormat="1" applyBorder="1" applyAlignment="1">
      <alignment horizontal="center"/>
    </xf>
    <xf numFmtId="166" fontId="37" fillId="0" borderId="68" xfId="2" applyBorder="1" applyProtection="1"/>
    <xf numFmtId="166" fontId="37" fillId="0" borderId="69" xfId="2" applyBorder="1" applyProtection="1"/>
    <xf numFmtId="10" fontId="37" fillId="0" borderId="0" xfId="3" applyNumberFormat="1" applyBorder="1" applyProtection="1"/>
    <xf numFmtId="10" fontId="0" fillId="0" borderId="0" xfId="0" applyNumberFormat="1" applyAlignment="1">
      <alignment horizontal="center"/>
    </xf>
    <xf numFmtId="189" fontId="0" fillId="0" borderId="0" xfId="0" applyNumberFormat="1" applyProtection="1">
      <protection locked="0"/>
    </xf>
    <xf numFmtId="197" fontId="37" fillId="0" borderId="0" xfId="3" applyNumberFormat="1" applyBorder="1" applyProtection="1"/>
    <xf numFmtId="0" fontId="19" fillId="0" borderId="45" xfId="0" applyFont="1" applyBorder="1" applyAlignment="1">
      <alignment horizontal="left" indent="1"/>
    </xf>
    <xf numFmtId="0" fontId="19" fillId="0" borderId="31" xfId="0" applyFont="1" applyBorder="1"/>
    <xf numFmtId="0" fontId="19" fillId="0" borderId="31" xfId="0" applyFont="1" applyBorder="1" applyAlignment="1">
      <alignment horizontal="center"/>
    </xf>
    <xf numFmtId="166" fontId="19" fillId="0" borderId="31" xfId="2" applyFont="1" applyBorder="1" applyProtection="1"/>
    <xf numFmtId="10" fontId="19" fillId="0" borderId="31" xfId="3" applyNumberFormat="1" applyFont="1" applyBorder="1" applyAlignment="1" applyProtection="1">
      <alignment horizontal="center"/>
    </xf>
    <xf numFmtId="166" fontId="19" fillId="0" borderId="32" xfId="2" applyFont="1" applyBorder="1" applyProtection="1"/>
    <xf numFmtId="0" fontId="19" fillId="0" borderId="14" xfId="0" applyFont="1" applyBorder="1" applyAlignment="1">
      <alignment horizontal="left" indent="1"/>
    </xf>
    <xf numFmtId="166" fontId="19" fillId="0" borderId="15" xfId="2" applyFont="1" applyBorder="1" applyProtection="1"/>
    <xf numFmtId="166" fontId="19" fillId="0" borderId="16" xfId="2" applyFont="1" applyBorder="1" applyProtection="1"/>
    <xf numFmtId="0" fontId="19" fillId="0" borderId="0" xfId="0" applyFont="1" applyAlignment="1">
      <alignment horizontal="left" indent="1"/>
    </xf>
    <xf numFmtId="166" fontId="19" fillId="0" borderId="0" xfId="2" applyFont="1" applyBorder="1" applyProtection="1">
      <protection locked="0"/>
    </xf>
    <xf numFmtId="0" fontId="24" fillId="0" borderId="0" xfId="0" applyFont="1"/>
    <xf numFmtId="166" fontId="0" fillId="0" borderId="0" xfId="0" applyNumberFormat="1"/>
    <xf numFmtId="198" fontId="0" fillId="0" borderId="0" xfId="0" applyNumberFormat="1" applyAlignment="1">
      <alignment horizontal="center"/>
    </xf>
    <xf numFmtId="0" fontId="1" fillId="25" borderId="12" xfId="156" applyBorder="1" applyAlignment="1" applyProtection="1">
      <alignment horizontal="center" vertical="center" wrapText="1"/>
    </xf>
    <xf numFmtId="0" fontId="0" fillId="0" borderId="0" xfId="0" applyAlignment="1">
      <alignment horizontal="left" wrapText="1"/>
    </xf>
    <xf numFmtId="0" fontId="19" fillId="0" borderId="12" xfId="160" applyFont="1" applyFill="1" applyBorder="1" applyAlignment="1" applyProtection="1">
      <alignment horizontal="center" vertical="center"/>
    </xf>
    <xf numFmtId="0" fontId="37" fillId="0" borderId="12" xfId="160" applyFill="1" applyBorder="1" applyAlignment="1" applyProtection="1">
      <alignment horizontal="center" vertical="center"/>
    </xf>
    <xf numFmtId="0" fontId="24" fillId="0" borderId="56" xfId="61" applyFont="1" applyBorder="1" applyAlignment="1">
      <alignment horizontal="center"/>
    </xf>
    <xf numFmtId="0" fontId="24" fillId="0" borderId="56" xfId="61" applyFont="1" applyBorder="1" applyAlignment="1">
      <alignment horizontal="center" vertical="center"/>
    </xf>
    <xf numFmtId="0" fontId="24" fillId="0" borderId="57" xfId="61" applyFont="1" applyBorder="1"/>
    <xf numFmtId="0" fontId="1" fillId="25" borderId="15" xfId="156" applyBorder="1" applyAlignment="1" applyProtection="1">
      <alignment horizontal="left" vertical="center"/>
    </xf>
    <xf numFmtId="2" fontId="4" fillId="0" borderId="66" xfId="166" applyNumberFormat="1" applyFont="1" applyFill="1" applyBorder="1" applyAlignment="1" applyProtection="1">
      <alignment horizontal="left" vertical="center" wrapText="1"/>
    </xf>
    <xf numFmtId="0" fontId="4" fillId="0" borderId="56" xfId="166" applyFont="1" applyFill="1" applyBorder="1" applyAlignment="1" applyProtection="1">
      <alignment horizontal="left" vertical="center" wrapText="1"/>
    </xf>
    <xf numFmtId="0" fontId="27" fillId="0" borderId="12" xfId="166" applyFont="1" applyFill="1" applyBorder="1" applyAlignment="1" applyProtection="1">
      <alignment horizontal="center" vertical="center"/>
    </xf>
    <xf numFmtId="0" fontId="24" fillId="0" borderId="12" xfId="160" applyFont="1" applyFill="1" applyBorder="1" applyAlignment="1" applyProtection="1">
      <alignment horizontal="left" vertical="center"/>
    </xf>
    <xf numFmtId="2" fontId="24" fillId="0" borderId="12" xfId="160" applyNumberFormat="1" applyFont="1" applyFill="1" applyBorder="1" applyAlignment="1" applyProtection="1">
      <alignment horizontal="center" vertical="center"/>
    </xf>
    <xf numFmtId="2" fontId="37" fillId="0" borderId="66" xfId="160" applyNumberFormat="1" applyFill="1" applyBorder="1" applyAlignment="1" applyProtection="1">
      <alignment horizontal="center" vertical="center"/>
    </xf>
    <xf numFmtId="199" fontId="37" fillId="0" borderId="56" xfId="160" applyNumberFormat="1" applyFill="1" applyBorder="1" applyAlignment="1" applyProtection="1">
      <alignment horizontal="center" vertical="center"/>
    </xf>
    <xf numFmtId="2" fontId="37" fillId="0" borderId="56" xfId="160" applyNumberFormat="1" applyFill="1" applyBorder="1" applyAlignment="1" applyProtection="1">
      <alignment horizontal="center" vertical="center"/>
    </xf>
    <xf numFmtId="200" fontId="24" fillId="0" borderId="12" xfId="160" applyNumberFormat="1" applyFont="1" applyFill="1" applyBorder="1" applyAlignment="1" applyProtection="1">
      <alignment horizontal="center" vertical="center"/>
    </xf>
    <xf numFmtId="201" fontId="37" fillId="0" borderId="56" xfId="160" applyNumberFormat="1" applyFill="1" applyBorder="1" applyAlignment="1" applyProtection="1">
      <alignment horizontal="center" vertical="center"/>
    </xf>
    <xf numFmtId="200" fontId="37" fillId="0" borderId="56" xfId="160" applyNumberFormat="1" applyFill="1" applyBorder="1" applyAlignment="1" applyProtection="1">
      <alignment horizontal="center" vertical="center"/>
    </xf>
    <xf numFmtId="202" fontId="37" fillId="0" borderId="56" xfId="160" applyNumberFormat="1" applyFill="1" applyBorder="1" applyAlignment="1" applyProtection="1">
      <alignment horizontal="center" vertical="center"/>
    </xf>
    <xf numFmtId="199" fontId="24" fillId="0" borderId="56" xfId="61" applyNumberFormat="1" applyFont="1" applyBorder="1" applyAlignment="1">
      <alignment horizontal="center" vertical="center"/>
    </xf>
    <xf numFmtId="176" fontId="37" fillId="0" borderId="56" xfId="160" applyNumberFormat="1" applyFill="1" applyBorder="1" applyAlignment="1" applyProtection="1">
      <alignment horizontal="center" vertical="center"/>
    </xf>
    <xf numFmtId="0" fontId="37" fillId="0" borderId="56" xfId="160" applyFill="1" applyBorder="1" applyAlignment="1" applyProtection="1">
      <alignment horizontal="center" vertical="center"/>
    </xf>
    <xf numFmtId="0" fontId="4" fillId="0" borderId="22" xfId="166" applyFont="1" applyFill="1" applyBorder="1" applyAlignment="1" applyProtection="1">
      <alignment horizontal="center" vertical="center"/>
    </xf>
    <xf numFmtId="0" fontId="37" fillId="0" borderId="22" xfId="160" applyFill="1" applyBorder="1" applyAlignment="1" applyProtection="1">
      <alignment horizontal="left" vertical="center"/>
    </xf>
    <xf numFmtId="166" fontId="37" fillId="0" borderId="22" xfId="2" applyBorder="1" applyAlignment="1" applyProtection="1">
      <alignment horizontal="center" vertical="center"/>
    </xf>
    <xf numFmtId="0" fontId="24" fillId="0" borderId="22" xfId="61" applyFont="1" applyBorder="1" applyAlignment="1">
      <alignment horizontal="center" vertical="center"/>
    </xf>
    <xf numFmtId="0" fontId="1" fillId="0" borderId="57" xfId="61" applyFont="1" applyBorder="1" applyAlignment="1">
      <alignment horizontal="center" vertical="center"/>
    </xf>
    <xf numFmtId="0" fontId="4" fillId="25" borderId="12" xfId="156" applyFont="1" applyBorder="1" applyAlignment="1" applyProtection="1">
      <alignment horizontal="center" vertical="center" wrapText="1"/>
    </xf>
    <xf numFmtId="0" fontId="1" fillId="0" borderId="66" xfId="61" applyFont="1" applyBorder="1" applyAlignment="1">
      <alignment horizontal="center" vertical="center"/>
    </xf>
    <xf numFmtId="0" fontId="1" fillId="0" borderId="56" xfId="61" applyFont="1" applyBorder="1" applyAlignment="1">
      <alignment horizontal="center" vertical="center"/>
    </xf>
    <xf numFmtId="0" fontId="24" fillId="0" borderId="66" xfId="61" applyFont="1" applyBorder="1"/>
    <xf numFmtId="0" fontId="37" fillId="30" borderId="14" xfId="161" applyBorder="1" applyAlignment="1" applyProtection="1">
      <alignment horizontal="center"/>
    </xf>
    <xf numFmtId="0" fontId="37" fillId="30" borderId="16" xfId="161" applyBorder="1" applyAlignment="1" applyProtection="1">
      <alignment horizontal="left"/>
    </xf>
    <xf numFmtId="0" fontId="37" fillId="30" borderId="12" xfId="161" applyBorder="1" applyAlignment="1" applyProtection="1">
      <alignment horizontal="center"/>
    </xf>
    <xf numFmtId="0" fontId="37" fillId="30" borderId="12" xfId="161" applyBorder="1" applyAlignment="1" applyProtection="1">
      <alignment horizontal="center" vertical="center"/>
    </xf>
    <xf numFmtId="4" fontId="37" fillId="30" borderId="12" xfId="161" applyNumberFormat="1" applyBorder="1" applyAlignment="1" applyProtection="1">
      <alignment horizontal="center" vertical="center"/>
    </xf>
    <xf numFmtId="166" fontId="37" fillId="30" borderId="12" xfId="161" applyNumberFormat="1" applyBorder="1" applyAlignment="1" applyProtection="1">
      <alignment horizontal="center" vertical="center" wrapText="1"/>
    </xf>
    <xf numFmtId="0" fontId="37" fillId="30" borderId="12" xfId="161" applyBorder="1" applyAlignment="1" applyProtection="1">
      <alignment horizontal="center" vertical="center" wrapText="1"/>
    </xf>
    <xf numFmtId="9" fontId="37" fillId="30" borderId="12" xfId="161" applyNumberFormat="1" applyBorder="1" applyAlignment="1" applyProtection="1">
      <alignment horizontal="center" vertical="center" wrapText="1"/>
    </xf>
    <xf numFmtId="10" fontId="37" fillId="30" borderId="12" xfId="161" applyNumberFormat="1" applyBorder="1" applyAlignment="1" applyProtection="1">
      <alignment horizontal="center" vertical="center" wrapText="1"/>
    </xf>
    <xf numFmtId="0" fontId="4" fillId="25" borderId="15" xfId="156" applyFont="1" applyBorder="1" applyAlignment="1" applyProtection="1">
      <alignment horizontal="center" vertical="center"/>
    </xf>
    <xf numFmtId="0" fontId="27" fillId="38" borderId="12" xfId="166" applyFont="1" applyFill="1" applyBorder="1" applyAlignment="1" applyProtection="1">
      <alignment horizontal="center" vertical="center"/>
    </xf>
    <xf numFmtId="0" fontId="24" fillId="38" borderId="12" xfId="160" applyFont="1" applyFill="1" applyBorder="1" applyAlignment="1" applyProtection="1">
      <alignment horizontal="left" vertical="center"/>
    </xf>
    <xf numFmtId="0" fontId="24" fillId="38" borderId="12" xfId="160" applyFont="1" applyFill="1" applyBorder="1" applyAlignment="1" applyProtection="1">
      <alignment vertical="center" wrapText="1"/>
    </xf>
    <xf numFmtId="0" fontId="24" fillId="38" borderId="12" xfId="160" applyFont="1" applyFill="1" applyBorder="1" applyAlignment="1" applyProtection="1">
      <alignment horizontal="left" vertical="center" wrapText="1"/>
    </xf>
    <xf numFmtId="0" fontId="0" fillId="0" borderId="12" xfId="0" applyBorder="1" applyAlignment="1">
      <alignment horizontal="center" vertical="center"/>
    </xf>
    <xf numFmtId="0" fontId="24" fillId="38" borderId="12" xfId="162" applyFont="1" applyFill="1" applyBorder="1" applyAlignment="1" applyProtection="1">
      <alignment vertical="center"/>
    </xf>
    <xf numFmtId="0" fontId="24" fillId="38" borderId="12" xfId="162" applyFont="1" applyFill="1" applyBorder="1" applyAlignment="1" applyProtection="1">
      <alignment vertical="center" wrapText="1"/>
    </xf>
    <xf numFmtId="0" fontId="24" fillId="38" borderId="12" xfId="162" applyFont="1" applyFill="1" applyBorder="1" applyAlignment="1" applyProtection="1">
      <alignment horizontal="left" vertical="center" wrapText="1"/>
    </xf>
    <xf numFmtId="0" fontId="24" fillId="0" borderId="56" xfId="61" applyFont="1" applyBorder="1" applyAlignment="1">
      <alignment horizontal="right"/>
    </xf>
    <xf numFmtId="0" fontId="27" fillId="0" borderId="56" xfId="61" applyFont="1" applyBorder="1" applyAlignment="1">
      <alignment horizontal="center" vertical="center"/>
    </xf>
    <xf numFmtId="4" fontId="27" fillId="0" borderId="56" xfId="61" applyNumberFormat="1" applyFont="1" applyBorder="1" applyAlignment="1">
      <alignment horizontal="center" vertical="center"/>
    </xf>
    <xf numFmtId="9" fontId="27" fillId="0" borderId="56" xfId="2" applyNumberFormat="1" applyFont="1" applyBorder="1" applyAlignment="1" applyProtection="1">
      <alignment horizontal="center" vertical="center" wrapText="1"/>
    </xf>
    <xf numFmtId="10" fontId="27" fillId="0" borderId="56" xfId="2" applyNumberFormat="1" applyFont="1" applyBorder="1" applyAlignment="1" applyProtection="1">
      <alignment horizontal="center" vertical="center" wrapText="1"/>
    </xf>
    <xf numFmtId="0" fontId="27" fillId="0" borderId="56" xfId="61" applyFont="1" applyBorder="1" applyAlignment="1">
      <alignment horizontal="center" vertical="center" wrapText="1"/>
    </xf>
    <xf numFmtId="0" fontId="27" fillId="0" borderId="57" xfId="61" applyFont="1" applyBorder="1"/>
    <xf numFmtId="0" fontId="4" fillId="33" borderId="16" xfId="164" applyFont="1" applyBorder="1" applyAlignment="1" applyProtection="1">
      <alignment horizontal="left" vertical="center"/>
    </xf>
    <xf numFmtId="0" fontId="4" fillId="33" borderId="16" xfId="164" applyFont="1" applyBorder="1" applyAlignment="1" applyProtection="1">
      <alignment horizontal="center" vertical="center"/>
    </xf>
    <xf numFmtId="0" fontId="27" fillId="0" borderId="66" xfId="61" applyFont="1" applyBorder="1"/>
    <xf numFmtId="0" fontId="27" fillId="0" borderId="56" xfId="61" applyFont="1" applyBorder="1"/>
    <xf numFmtId="0" fontId="27" fillId="0" borderId="12" xfId="61" applyFont="1" applyBorder="1" applyAlignment="1">
      <alignment horizontal="center"/>
    </xf>
    <xf numFmtId="0" fontId="24" fillId="0" borderId="12" xfId="61" applyFont="1" applyBorder="1" applyAlignment="1">
      <alignment horizontal="left"/>
    </xf>
    <xf numFmtId="10" fontId="24" fillId="0" borderId="12" xfId="3" applyNumberFormat="1" applyFont="1" applyBorder="1" applyAlignment="1" applyProtection="1">
      <alignment horizontal="center" vertical="center"/>
    </xf>
    <xf numFmtId="0" fontId="4" fillId="0" borderId="74" xfId="61" applyFont="1" applyBorder="1" applyAlignment="1">
      <alignment horizontal="center"/>
    </xf>
    <xf numFmtId="0" fontId="24" fillId="0" borderId="74" xfId="61" applyFont="1" applyBorder="1" applyAlignment="1">
      <alignment horizontal="right"/>
    </xf>
    <xf numFmtId="10" fontId="24" fillId="0" borderId="74" xfId="3" applyNumberFormat="1" applyFont="1" applyBorder="1" applyAlignment="1" applyProtection="1">
      <alignment horizontal="center" vertical="center"/>
    </xf>
    <xf numFmtId="10" fontId="24" fillId="0" borderId="12" xfId="61" applyNumberFormat="1" applyFont="1" applyBorder="1" applyAlignment="1">
      <alignment horizontal="center" vertical="center"/>
    </xf>
    <xf numFmtId="0" fontId="27" fillId="0" borderId="12" xfId="0" applyFont="1" applyBorder="1" applyAlignment="1">
      <alignment horizontal="center" vertical="center"/>
    </xf>
    <xf numFmtId="0" fontId="24" fillId="0" borderId="12" xfId="162" applyFont="1" applyFill="1" applyBorder="1" applyAlignment="1" applyProtection="1">
      <alignment horizontal="left" vertical="center"/>
    </xf>
    <xf numFmtId="0" fontId="33" fillId="0" borderId="12" xfId="162" applyFont="1" applyFill="1" applyBorder="1" applyAlignment="1" applyProtection="1">
      <alignment horizontal="left" vertical="center"/>
    </xf>
    <xf numFmtId="10" fontId="24" fillId="0" borderId="12" xfId="61" applyNumberFormat="1" applyFont="1" applyBorder="1" applyAlignment="1">
      <alignment horizontal="center"/>
    </xf>
    <xf numFmtId="0" fontId="24" fillId="0" borderId="12" xfId="3" applyNumberFormat="1" applyFont="1" applyBorder="1" applyAlignment="1" applyProtection="1">
      <alignment horizontal="center"/>
    </xf>
    <xf numFmtId="2" fontId="24" fillId="0" borderId="12" xfId="3" applyNumberFormat="1" applyFont="1" applyBorder="1" applyAlignment="1" applyProtection="1">
      <alignment horizontal="center" vertical="center"/>
    </xf>
    <xf numFmtId="0" fontId="1" fillId="33" borderId="15" xfId="164" applyBorder="1" applyAlignment="1" applyProtection="1">
      <alignment horizontal="left" vertical="center"/>
    </xf>
    <xf numFmtId="9" fontId="4" fillId="33" borderId="12" xfId="3" applyFont="1" applyFill="1" applyBorder="1" applyAlignment="1" applyProtection="1">
      <alignment horizontal="center" vertical="center"/>
    </xf>
    <xf numFmtId="10" fontId="4" fillId="0" borderId="56" xfId="61" applyNumberFormat="1" applyFont="1" applyBorder="1" applyAlignment="1">
      <alignment horizontal="center" vertical="center"/>
    </xf>
    <xf numFmtId="0" fontId="29" fillId="38" borderId="56" xfId="60" applyFont="1" applyFill="1" applyBorder="1" applyAlignment="1">
      <alignment horizontal="center" vertical="center"/>
    </xf>
    <xf numFmtId="10" fontId="24" fillId="0" borderId="56" xfId="61" applyNumberFormat="1" applyFont="1" applyBorder="1" applyAlignment="1">
      <alignment horizontal="center" vertical="center"/>
    </xf>
    <xf numFmtId="0" fontId="24" fillId="0" borderId="12" xfId="160" applyFont="1" applyFill="1" applyBorder="1" applyAlignment="1" applyProtection="1">
      <alignment vertical="center"/>
    </xf>
    <xf numFmtId="9" fontId="24" fillId="0" borderId="12" xfId="3" applyFont="1" applyBorder="1" applyAlignment="1" applyProtection="1">
      <alignment horizontal="right" vertical="center"/>
    </xf>
    <xf numFmtId="9" fontId="24" fillId="0" borderId="12" xfId="3" applyFont="1" applyBorder="1" applyAlignment="1" applyProtection="1">
      <alignment horizontal="center" vertical="center"/>
    </xf>
    <xf numFmtId="199" fontId="24" fillId="0" borderId="12" xfId="160" applyNumberFormat="1" applyFont="1" applyFill="1" applyBorder="1" applyAlignment="1" applyProtection="1">
      <alignment horizontal="right" vertical="center"/>
    </xf>
    <xf numFmtId="199" fontId="24" fillId="0" borderId="12" xfId="160" applyNumberFormat="1" applyFont="1" applyFill="1" applyBorder="1" applyAlignment="1" applyProtection="1">
      <alignment horizontal="center" vertical="center"/>
    </xf>
    <xf numFmtId="0" fontId="24" fillId="0" borderId="74" xfId="61" applyFont="1" applyBorder="1" applyAlignment="1">
      <alignment horizontal="center"/>
    </xf>
    <xf numFmtId="0" fontId="24" fillId="0" borderId="74" xfId="61" applyFont="1" applyBorder="1" applyAlignment="1">
      <alignment horizontal="left"/>
    </xf>
    <xf numFmtId="10" fontId="24" fillId="0" borderId="74" xfId="61" applyNumberFormat="1" applyFont="1" applyBorder="1" applyAlignment="1">
      <alignment horizontal="center" vertical="center"/>
    </xf>
    <xf numFmtId="197" fontId="24" fillId="0" borderId="12" xfId="61" applyNumberFormat="1" applyFont="1" applyBorder="1" applyAlignment="1">
      <alignment horizontal="center" vertical="center"/>
    </xf>
    <xf numFmtId="197" fontId="24" fillId="38" borderId="12" xfId="160" applyNumberFormat="1" applyFont="1" applyFill="1" applyBorder="1" applyAlignment="1" applyProtection="1">
      <alignment horizontal="left" vertical="center" wrapText="1"/>
    </xf>
    <xf numFmtId="0" fontId="27" fillId="0" borderId="56" xfId="61" applyFont="1" applyBorder="1" applyAlignment="1">
      <alignment horizontal="center"/>
    </xf>
    <xf numFmtId="0" fontId="27" fillId="0" borderId="56" xfId="61" applyFont="1" applyBorder="1" applyAlignment="1">
      <alignment horizontal="left"/>
    </xf>
    <xf numFmtId="10" fontId="27" fillId="0" borderId="56" xfId="61" applyNumberFormat="1" applyFont="1" applyBorder="1" applyAlignment="1">
      <alignment horizontal="center" vertical="center"/>
    </xf>
    <xf numFmtId="0" fontId="24" fillId="0" borderId="12" xfId="166" applyFont="1" applyFill="1" applyBorder="1" applyAlignment="1" applyProtection="1">
      <alignment horizontal="center" vertical="center"/>
    </xf>
    <xf numFmtId="2" fontId="24" fillId="0" borderId="12" xfId="160" applyNumberFormat="1" applyFont="1" applyFill="1" applyBorder="1" applyAlignment="1" applyProtection="1">
      <alignment horizontal="right" vertical="center"/>
    </xf>
    <xf numFmtId="10" fontId="24" fillId="0" borderId="12" xfId="3" applyNumberFormat="1" applyFont="1" applyBorder="1" applyAlignment="1" applyProtection="1">
      <alignment horizontal="right" vertical="center"/>
    </xf>
    <xf numFmtId="202" fontId="24" fillId="0" borderId="12" xfId="160" applyNumberFormat="1" applyFont="1" applyFill="1" applyBorder="1" applyAlignment="1" applyProtection="1">
      <alignment horizontal="right" vertical="center"/>
    </xf>
    <xf numFmtId="202" fontId="24" fillId="0" borderId="12" xfId="160" applyNumberFormat="1" applyFont="1" applyFill="1" applyBorder="1" applyAlignment="1" applyProtection="1">
      <alignment horizontal="center" vertical="center"/>
    </xf>
    <xf numFmtId="176" fontId="24" fillId="0" borderId="12" xfId="160" applyNumberFormat="1" applyFont="1" applyFill="1" applyBorder="1" applyAlignment="1" applyProtection="1">
      <alignment horizontal="right" vertical="center"/>
    </xf>
    <xf numFmtId="203" fontId="24" fillId="0" borderId="12" xfId="160" applyNumberFormat="1" applyFont="1" applyFill="1" applyBorder="1" applyAlignment="1" applyProtection="1">
      <alignment horizontal="right" vertical="center"/>
    </xf>
    <xf numFmtId="176" fontId="24" fillId="0" borderId="12" xfId="160" applyNumberFormat="1" applyFont="1" applyFill="1" applyBorder="1" applyAlignment="1" applyProtection="1">
      <alignment horizontal="center" vertical="center"/>
    </xf>
    <xf numFmtId="204" fontId="24" fillId="0" borderId="12" xfId="1" applyNumberFormat="1" applyFont="1" applyBorder="1" applyAlignment="1" applyProtection="1">
      <alignment horizontal="right" vertical="center"/>
    </xf>
    <xf numFmtId="204" fontId="24" fillId="0" borderId="12" xfId="1" applyNumberFormat="1" applyFont="1" applyBorder="1" applyAlignment="1" applyProtection="1">
      <alignment horizontal="center" vertical="center"/>
    </xf>
    <xf numFmtId="0" fontId="36" fillId="38" borderId="12" xfId="160" applyFont="1" applyFill="1" applyBorder="1" applyAlignment="1" applyProtection="1">
      <alignment horizontal="left" vertical="center" wrapText="1"/>
    </xf>
    <xf numFmtId="0" fontId="4" fillId="0" borderId="74" xfId="166" applyFont="1" applyFill="1" applyBorder="1" applyAlignment="1" applyProtection="1">
      <alignment horizontal="center" vertical="center"/>
    </xf>
    <xf numFmtId="0" fontId="37" fillId="0" borderId="74" xfId="160" applyFill="1" applyBorder="1" applyAlignment="1" applyProtection="1">
      <alignment horizontal="left" vertical="center"/>
    </xf>
    <xf numFmtId="10" fontId="37" fillId="0" borderId="74" xfId="3" applyNumberFormat="1" applyBorder="1" applyAlignment="1" applyProtection="1">
      <alignment horizontal="right" vertical="center"/>
    </xf>
    <xf numFmtId="10" fontId="24" fillId="0" borderId="12" xfId="160" applyNumberFormat="1" applyFont="1" applyFill="1" applyBorder="1" applyAlignment="1" applyProtection="1">
      <alignment horizontal="center" vertical="center"/>
    </xf>
    <xf numFmtId="0" fontId="24" fillId="0" borderId="12" xfId="160" applyFont="1" applyFill="1" applyBorder="1" applyAlignment="1" applyProtection="1">
      <alignment horizontal="center" vertical="center"/>
    </xf>
    <xf numFmtId="174" fontId="24" fillId="0" borderId="12" xfId="1" applyFont="1" applyBorder="1" applyAlignment="1" applyProtection="1">
      <alignment horizontal="center" vertical="center"/>
    </xf>
    <xf numFmtId="0" fontId="27" fillId="38" borderId="0" xfId="166" applyFont="1" applyFill="1" applyBorder="1" applyAlignment="1" applyProtection="1">
      <alignment horizontal="center" vertical="center"/>
    </xf>
    <xf numFmtId="0" fontId="24" fillId="38" borderId="0" xfId="160" applyFont="1" applyFill="1" applyBorder="1" applyAlignment="1" applyProtection="1">
      <alignment horizontal="left" vertical="center"/>
    </xf>
    <xf numFmtId="0" fontId="24" fillId="38" borderId="0" xfId="160" applyFont="1" applyFill="1" applyBorder="1" applyAlignment="1" applyProtection="1">
      <alignment vertical="center" wrapText="1"/>
    </xf>
    <xf numFmtId="0" fontId="24" fillId="38" borderId="0" xfId="160" applyFont="1" applyFill="1" applyBorder="1" applyAlignment="1" applyProtection="1">
      <alignment horizontal="left" vertical="center" wrapText="1"/>
    </xf>
    <xf numFmtId="0" fontId="4" fillId="33" borderId="14" xfId="164" applyFont="1" applyBorder="1" applyAlignment="1" applyProtection="1">
      <alignment horizontal="left" vertical="center"/>
    </xf>
    <xf numFmtId="0" fontId="36" fillId="0" borderId="41" xfId="4" applyFont="1" applyBorder="1" applyAlignment="1" applyProtection="1">
      <alignment vertical="center"/>
    </xf>
    <xf numFmtId="0" fontId="24" fillId="0" borderId="12" xfId="4" applyFont="1" applyBorder="1" applyAlignment="1" applyProtection="1">
      <alignment vertical="center"/>
    </xf>
    <xf numFmtId="0" fontId="27" fillId="0" borderId="12" xfId="4" applyFont="1" applyBorder="1" applyAlignment="1" applyProtection="1">
      <alignment vertical="center"/>
    </xf>
    <xf numFmtId="0" fontId="24" fillId="0" borderId="12" xfId="160" applyFont="1" applyFill="1" applyBorder="1" applyAlignment="1" applyProtection="1">
      <alignment horizontal="left" vertical="center" wrapText="1"/>
    </xf>
    <xf numFmtId="0" fontId="27" fillId="0" borderId="75" xfId="165" applyFont="1" applyFill="1" applyBorder="1" applyAlignment="1" applyProtection="1">
      <alignment horizontal="center" vertical="center"/>
    </xf>
    <xf numFmtId="0" fontId="24" fillId="0" borderId="61" xfId="160" applyFont="1" applyFill="1" applyBorder="1" applyAlignment="1" applyProtection="1">
      <alignment horizontal="left" vertical="center"/>
    </xf>
    <xf numFmtId="0" fontId="27" fillId="0" borderId="12" xfId="160" applyFont="1" applyFill="1" applyBorder="1" applyAlignment="1" applyProtection="1">
      <alignment horizontal="left" vertical="center"/>
    </xf>
    <xf numFmtId="0" fontId="19" fillId="0" borderId="49" xfId="165" applyFont="1" applyFill="1" applyBorder="1" applyAlignment="1" applyProtection="1">
      <alignment horizontal="center" vertical="center"/>
    </xf>
    <xf numFmtId="0" fontId="37" fillId="0" borderId="25" xfId="160" applyFill="1" applyBorder="1" applyAlignment="1" applyProtection="1">
      <alignment horizontal="left" vertical="center"/>
    </xf>
    <xf numFmtId="0" fontId="37" fillId="0" borderId="12" xfId="160" applyFill="1" applyBorder="1" applyAlignment="1" applyProtection="1">
      <alignment horizontal="left" vertical="center"/>
    </xf>
    <xf numFmtId="0" fontId="19" fillId="0" borderId="12" xfId="160" applyFont="1" applyFill="1" applyBorder="1" applyAlignment="1" applyProtection="1">
      <alignment horizontal="left" vertical="center"/>
    </xf>
    <xf numFmtId="0" fontId="37" fillId="0" borderId="15" xfId="160" applyFill="1" applyBorder="1" applyAlignment="1" applyProtection="1">
      <alignment horizontal="left" vertical="center"/>
    </xf>
    <xf numFmtId="0" fontId="27" fillId="0" borderId="24" xfId="165" applyFont="1" applyFill="1" applyBorder="1" applyAlignment="1" applyProtection="1">
      <alignment horizontal="center" vertical="center"/>
    </xf>
    <xf numFmtId="0" fontId="37" fillId="0" borderId="20" xfId="160" applyFill="1" applyBorder="1" applyAlignment="1" applyProtection="1">
      <alignment horizontal="left" vertical="center"/>
    </xf>
    <xf numFmtId="0" fontId="24" fillId="0" borderId="16" xfId="160" applyFont="1" applyFill="1" applyBorder="1" applyAlignment="1" applyProtection="1">
      <alignment horizontal="left" vertical="center"/>
    </xf>
    <xf numFmtId="0" fontId="24" fillId="0" borderId="44" xfId="160" applyFont="1" applyFill="1" applyBorder="1" applyAlignment="1" applyProtection="1">
      <alignment horizontal="left" vertical="center"/>
    </xf>
    <xf numFmtId="0" fontId="27" fillId="0" borderId="75" xfId="166" applyFont="1" applyFill="1" applyBorder="1" applyAlignment="1" applyProtection="1">
      <alignment horizontal="center" vertical="center"/>
    </xf>
    <xf numFmtId="0" fontId="24" fillId="0" borderId="46" xfId="160" applyFont="1" applyFill="1" applyBorder="1" applyAlignment="1" applyProtection="1">
      <alignment horizontal="left" vertical="center"/>
    </xf>
    <xf numFmtId="0" fontId="27" fillId="0" borderId="58" xfId="166" applyFont="1" applyFill="1" applyBorder="1" applyAlignment="1" applyProtection="1">
      <alignment horizontal="center" vertical="center"/>
    </xf>
    <xf numFmtId="0" fontId="24" fillId="0" borderId="0" xfId="160" applyFont="1" applyFill="1" applyBorder="1" applyAlignment="1" applyProtection="1">
      <alignment horizontal="center" vertical="center"/>
    </xf>
    <xf numFmtId="174" fontId="24" fillId="0" borderId="0" xfId="1" applyFont="1" applyBorder="1" applyAlignment="1" applyProtection="1">
      <alignment horizontal="center" vertical="center"/>
    </xf>
    <xf numFmtId="3" fontId="24" fillId="0" borderId="12" xfId="3" applyNumberFormat="1" applyFont="1" applyBorder="1" applyAlignment="1" applyProtection="1">
      <alignment horizontal="center" vertical="center"/>
    </xf>
    <xf numFmtId="3" fontId="24" fillId="0" borderId="56" xfId="61" applyNumberFormat="1" applyFont="1" applyBorder="1" applyAlignment="1">
      <alignment horizontal="center" vertical="center"/>
    </xf>
    <xf numFmtId="3" fontId="4" fillId="33" borderId="16" xfId="164" applyNumberFormat="1" applyFont="1" applyBorder="1" applyAlignment="1" applyProtection="1">
      <alignment horizontal="center" vertical="center"/>
    </xf>
    <xf numFmtId="0" fontId="0" fillId="0" borderId="0" xfId="0" applyAlignment="1">
      <alignment horizontal="left"/>
    </xf>
    <xf numFmtId="177" fontId="0" fillId="0" borderId="0" xfId="0" applyNumberFormat="1" applyAlignment="1">
      <alignment horizontal="center"/>
    </xf>
    <xf numFmtId="0" fontId="4" fillId="25" borderId="76" xfId="156" applyFont="1" applyBorder="1" applyAlignment="1" applyProtection="1">
      <alignment horizontal="center" vertical="center" wrapText="1"/>
    </xf>
    <xf numFmtId="0" fontId="4" fillId="25" borderId="76" xfId="156" applyFont="1" applyBorder="1" applyAlignment="1" applyProtection="1">
      <alignment horizontal="left" vertical="center" wrapText="1"/>
    </xf>
    <xf numFmtId="175" fontId="4" fillId="25" borderId="76" xfId="156" applyNumberFormat="1" applyFont="1" applyBorder="1" applyAlignment="1" applyProtection="1">
      <alignment horizontal="center" vertical="center" wrapText="1"/>
    </xf>
    <xf numFmtId="166" fontId="4" fillId="25" borderId="76" xfId="2" applyFont="1" applyFill="1" applyBorder="1" applyAlignment="1" applyProtection="1">
      <alignment horizontal="center" vertical="center" wrapText="1"/>
    </xf>
    <xf numFmtId="177" fontId="4" fillId="25" borderId="76" xfId="156" applyNumberFormat="1" applyFont="1" applyBorder="1" applyAlignment="1" applyProtection="1">
      <alignment horizontal="center" vertical="center" wrapText="1"/>
    </xf>
    <xf numFmtId="166" fontId="4" fillId="25" borderId="76" xfId="156" applyNumberFormat="1" applyFont="1" applyBorder="1" applyAlignment="1" applyProtection="1">
      <alignment horizontal="center" vertical="center" wrapText="1"/>
    </xf>
    <xf numFmtId="0" fontId="19" fillId="0" borderId="0" xfId="0" applyFont="1" applyAlignment="1">
      <alignment horizontal="center" vertical="center" wrapText="1"/>
    </xf>
    <xf numFmtId="0" fontId="4" fillId="25" borderId="27" xfId="156" applyFont="1" applyBorder="1" applyAlignment="1" applyProtection="1">
      <alignment horizontal="center" vertical="center" wrapText="1"/>
    </xf>
    <xf numFmtId="0" fontId="4" fillId="25" borderId="27" xfId="156" applyFont="1" applyBorder="1" applyAlignment="1" applyProtection="1">
      <alignment horizontal="left" vertical="center" wrapText="1"/>
    </xf>
    <xf numFmtId="175" fontId="4" fillId="25" borderId="27" xfId="156" applyNumberFormat="1" applyFont="1" applyBorder="1" applyAlignment="1" applyProtection="1">
      <alignment horizontal="center" vertical="center" wrapText="1"/>
    </xf>
    <xf numFmtId="166" fontId="4" fillId="25" borderId="27" xfId="2" applyFont="1" applyFill="1" applyBorder="1" applyAlignment="1" applyProtection="1">
      <alignment horizontal="center" vertical="center" wrapText="1"/>
    </xf>
    <xf numFmtId="177" fontId="4" fillId="25" borderId="27" xfId="156" applyNumberFormat="1" applyFont="1" applyBorder="1" applyAlignment="1" applyProtection="1">
      <alignment horizontal="center" vertical="center" wrapText="1"/>
    </xf>
    <xf numFmtId="166" fontId="4" fillId="25" borderId="27" xfId="156" applyNumberFormat="1" applyFont="1" applyBorder="1" applyAlignment="1" applyProtection="1">
      <alignment horizontal="center" vertical="center" wrapText="1"/>
    </xf>
    <xf numFmtId="0" fontId="0" fillId="0" borderId="76" xfId="0" applyBorder="1"/>
    <xf numFmtId="0" fontId="0" fillId="0" borderId="76" xfId="0" applyBorder="1" applyAlignment="1">
      <alignment horizontal="center" vertical="center" wrapText="1"/>
    </xf>
    <xf numFmtId="0" fontId="0" fillId="0" borderId="76" xfId="0" applyBorder="1" applyAlignment="1">
      <alignment horizontal="center"/>
    </xf>
    <xf numFmtId="175" fontId="0" fillId="0" borderId="76" xfId="0" applyNumberFormat="1" applyBorder="1" applyAlignment="1">
      <alignment horizontal="center" vertical="center" wrapText="1"/>
    </xf>
    <xf numFmtId="166" fontId="37" fillId="0" borderId="76" xfId="2" applyBorder="1" applyAlignment="1" applyProtection="1">
      <alignment horizontal="center" vertical="center" wrapText="1"/>
    </xf>
    <xf numFmtId="177" fontId="37" fillId="0" borderId="76" xfId="2" applyNumberFormat="1" applyBorder="1" applyAlignment="1" applyProtection="1">
      <alignment horizontal="center" vertical="center" wrapText="1"/>
    </xf>
    <xf numFmtId="9" fontId="0" fillId="0" borderId="76" xfId="0" applyNumberFormat="1" applyBorder="1" applyAlignment="1">
      <alignment horizontal="center" vertical="center" wrapText="1"/>
    </xf>
    <xf numFmtId="10" fontId="37" fillId="0" borderId="76" xfId="2" applyNumberFormat="1" applyBorder="1" applyAlignment="1" applyProtection="1">
      <alignment horizontal="center" vertical="center" wrapText="1"/>
    </xf>
    <xf numFmtId="0" fontId="0" fillId="0" borderId="0" xfId="0" applyAlignment="1">
      <alignment horizontal="center" vertical="center" wrapText="1"/>
    </xf>
    <xf numFmtId="0" fontId="0" fillId="0" borderId="39" xfId="0" applyBorder="1"/>
    <xf numFmtId="0" fontId="0" fillId="0" borderId="39" xfId="0" applyBorder="1" applyAlignment="1">
      <alignment horizontal="center"/>
    </xf>
    <xf numFmtId="175" fontId="0" fillId="0" borderId="39" xfId="0" applyNumberFormat="1" applyBorder="1" applyAlignment="1">
      <alignment horizontal="center" vertical="center" wrapText="1"/>
    </xf>
    <xf numFmtId="166" fontId="37" fillId="0" borderId="39" xfId="2" applyBorder="1" applyProtection="1"/>
    <xf numFmtId="177" fontId="37" fillId="0" borderId="39" xfId="2" applyNumberFormat="1" applyBorder="1" applyAlignment="1" applyProtection="1">
      <alignment horizontal="center" vertical="center" wrapText="1"/>
    </xf>
    <xf numFmtId="166" fontId="37" fillId="0" borderId="39" xfId="2" applyBorder="1" applyAlignment="1" applyProtection="1">
      <alignment horizontal="center" vertical="center" wrapText="1"/>
    </xf>
    <xf numFmtId="9" fontId="0" fillId="0" borderId="39" xfId="0" applyNumberFormat="1" applyBorder="1" applyAlignment="1">
      <alignment horizontal="center" vertical="center" wrapText="1"/>
    </xf>
    <xf numFmtId="10" fontId="37" fillId="0" borderId="38" xfId="2" applyNumberFormat="1" applyBorder="1" applyAlignment="1" applyProtection="1">
      <alignment horizontal="center" vertical="center" wrapText="1"/>
    </xf>
    <xf numFmtId="166" fontId="37" fillId="0" borderId="40" xfId="2" applyBorder="1" applyAlignment="1" applyProtection="1">
      <alignment horizontal="center" vertical="center" wrapText="1"/>
    </xf>
    <xf numFmtId="177" fontId="0" fillId="0" borderId="39" xfId="0" applyNumberFormat="1" applyBorder="1" applyAlignment="1">
      <alignment horizontal="center"/>
    </xf>
    <xf numFmtId="9" fontId="0" fillId="0" borderId="70" xfId="0" applyNumberFormat="1" applyBorder="1" applyAlignment="1">
      <alignment horizontal="center" vertical="center" wrapText="1"/>
    </xf>
    <xf numFmtId="0" fontId="24" fillId="0" borderId="39" xfId="0" applyFont="1" applyBorder="1"/>
    <xf numFmtId="0" fontId="0" fillId="0" borderId="39" xfId="0" applyBorder="1" applyAlignment="1">
      <alignment horizontal="center" vertical="center" wrapText="1"/>
    </xf>
    <xf numFmtId="166" fontId="0" fillId="0" borderId="39" xfId="0" applyNumberFormat="1" applyBorder="1"/>
    <xf numFmtId="0" fontId="24" fillId="0" borderId="54" xfId="0" applyFont="1" applyBorder="1"/>
    <xf numFmtId="0" fontId="0" fillId="0" borderId="54" xfId="0" applyBorder="1" applyAlignment="1">
      <alignment horizontal="center"/>
    </xf>
    <xf numFmtId="0" fontId="0" fillId="0" borderId="54" xfId="0" applyBorder="1"/>
    <xf numFmtId="0" fontId="0" fillId="0" borderId="54" xfId="0" applyBorder="1" applyAlignment="1">
      <alignment horizontal="center" vertical="center" wrapText="1"/>
    </xf>
    <xf numFmtId="175" fontId="0" fillId="0" borderId="54" xfId="0" applyNumberFormat="1" applyBorder="1" applyAlignment="1">
      <alignment horizontal="center" vertical="center" wrapText="1"/>
    </xf>
    <xf numFmtId="166" fontId="37" fillId="0" borderId="54" xfId="2" applyBorder="1" applyProtection="1"/>
    <xf numFmtId="177" fontId="0" fillId="0" borderId="54" xfId="0" applyNumberFormat="1" applyBorder="1" applyAlignment="1">
      <alignment horizontal="center"/>
    </xf>
    <xf numFmtId="166" fontId="37" fillId="0" borderId="54" xfId="2" applyBorder="1" applyAlignment="1" applyProtection="1">
      <alignment horizontal="center" vertical="center" wrapText="1"/>
    </xf>
    <xf numFmtId="9" fontId="0" fillId="0" borderId="54" xfId="0" applyNumberFormat="1" applyBorder="1" applyAlignment="1">
      <alignment horizontal="center" vertical="center" wrapText="1"/>
    </xf>
    <xf numFmtId="9" fontId="0" fillId="0" borderId="72" xfId="0" applyNumberFormat="1" applyBorder="1" applyAlignment="1">
      <alignment horizontal="center" vertical="center" wrapText="1"/>
    </xf>
    <xf numFmtId="10" fontId="37" fillId="0" borderId="55" xfId="2" applyNumberFormat="1" applyBorder="1" applyAlignment="1" applyProtection="1">
      <alignment horizontal="center" vertical="center" wrapText="1"/>
    </xf>
    <xf numFmtId="175" fontId="0" fillId="0" borderId="0" xfId="0" applyNumberFormat="1"/>
    <xf numFmtId="166" fontId="37" fillId="0" borderId="0" xfId="2" applyBorder="1" applyAlignment="1" applyProtection="1">
      <alignment horizontal="center" vertical="center" wrapText="1"/>
    </xf>
    <xf numFmtId="0" fontId="24" fillId="0" borderId="0" xfId="0" applyFont="1" applyAlignment="1">
      <alignment horizontal="center" vertical="top" wrapText="1"/>
    </xf>
    <xf numFmtId="0" fontId="24" fillId="0" borderId="0" xfId="0" applyFont="1" applyAlignment="1">
      <alignment wrapText="1"/>
    </xf>
    <xf numFmtId="0" fontId="24" fillId="0" borderId="0" xfId="0" applyFont="1" applyAlignment="1">
      <alignment horizontal="left" vertical="top" wrapText="1"/>
    </xf>
    <xf numFmtId="0" fontId="24" fillId="0" borderId="0" xfId="0" applyFont="1" applyAlignment="1">
      <alignment horizontal="center"/>
    </xf>
    <xf numFmtId="175" fontId="0" fillId="0" borderId="0" xfId="0" applyNumberFormat="1" applyAlignment="1">
      <alignment horizontal="center"/>
    </xf>
    <xf numFmtId="177" fontId="37" fillId="0" borderId="0" xfId="2" applyNumberFormat="1" applyBorder="1" applyAlignment="1" applyProtection="1">
      <alignment horizontal="center"/>
    </xf>
    <xf numFmtId="0" fontId="1" fillId="25" borderId="12" xfId="156" applyBorder="1" applyProtection="1"/>
    <xf numFmtId="0" fontId="0" fillId="0" borderId="27" xfId="0" applyBorder="1"/>
    <xf numFmtId="0" fontId="0" fillId="0" borderId="12" xfId="0" applyBorder="1"/>
    <xf numFmtId="190" fontId="37" fillId="0" borderId="12" xfId="160" applyNumberFormat="1" applyFill="1" applyBorder="1" applyAlignment="1" applyProtection="1">
      <alignment horizontal="center" vertical="center"/>
    </xf>
    <xf numFmtId="0" fontId="0" fillId="0" borderId="33" xfId="0" applyBorder="1"/>
    <xf numFmtId="0" fontId="19" fillId="0" borderId="42" xfId="165" applyFont="1" applyFill="1" applyBorder="1" applyAlignment="1" applyProtection="1">
      <alignment horizontal="center" vertical="center"/>
    </xf>
    <xf numFmtId="0" fontId="19" fillId="0" borderId="42" xfId="160" applyFont="1" applyFill="1" applyBorder="1" applyAlignment="1" applyProtection="1">
      <alignment horizontal="center" vertical="center"/>
    </xf>
    <xf numFmtId="0" fontId="19" fillId="0" borderId="34" xfId="160" applyFont="1" applyFill="1" applyBorder="1" applyAlignment="1" applyProtection="1">
      <alignment horizontal="center" vertical="center"/>
    </xf>
    <xf numFmtId="0" fontId="19" fillId="0" borderId="42" xfId="162" applyFont="1" applyFill="1" applyBorder="1" applyAlignment="1" applyProtection="1">
      <alignment horizontal="center" vertical="center"/>
    </xf>
    <xf numFmtId="166" fontId="24" fillId="0" borderId="12" xfId="0"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protection locked="0"/>
    </xf>
    <xf numFmtId="0" fontId="19" fillId="0" borderId="14" xfId="162" applyFont="1" applyFill="1" applyBorder="1" applyAlignment="1" applyProtection="1">
      <alignment horizontal="center" vertical="center"/>
    </xf>
    <xf numFmtId="49" fontId="24" fillId="0" borderId="12" xfId="0" applyNumberFormat="1" applyFont="1" applyBorder="1" applyAlignment="1" applyProtection="1">
      <alignment horizontal="center" vertical="top"/>
      <protection locked="0"/>
    </xf>
    <xf numFmtId="175" fontId="24" fillId="0" borderId="12" xfId="0" applyNumberFormat="1" applyFont="1" applyBorder="1" applyAlignment="1" applyProtection="1">
      <alignment horizontal="center" vertical="top"/>
      <protection locked="0"/>
    </xf>
    <xf numFmtId="49" fontId="24" fillId="0" borderId="12" xfId="0" applyNumberFormat="1" applyFont="1" applyBorder="1" applyAlignment="1" applyProtection="1">
      <alignment horizontal="center" vertical="center"/>
      <protection locked="0"/>
    </xf>
    <xf numFmtId="176" fontId="24" fillId="0" borderId="12" xfId="0" applyNumberFormat="1" applyFont="1" applyBorder="1" applyAlignment="1" applyProtection="1">
      <alignment horizontal="center"/>
      <protection locked="0"/>
    </xf>
    <xf numFmtId="0" fontId="25" fillId="25" borderId="12" xfId="156" applyFont="1" applyBorder="1" applyAlignment="1" applyProtection="1">
      <alignment horizontal="center" vertical="center" wrapText="1"/>
    </xf>
    <xf numFmtId="0" fontId="24" fillId="0" borderId="12" xfId="0" applyFont="1" applyBorder="1" applyAlignment="1" applyProtection="1">
      <alignment horizontal="left" vertical="center"/>
      <protection locked="0"/>
    </xf>
    <xf numFmtId="49" fontId="24" fillId="0" borderId="12" xfId="0" applyNumberFormat="1" applyFont="1" applyBorder="1" applyAlignment="1" applyProtection="1">
      <alignment horizontal="center"/>
      <protection locked="0"/>
    </xf>
    <xf numFmtId="166" fontId="4" fillId="25" borderId="12" xfId="156" applyNumberFormat="1" applyFont="1" applyBorder="1" applyAlignment="1" applyProtection="1">
      <alignment horizontal="left" vertical="center"/>
    </xf>
    <xf numFmtId="0" fontId="4" fillId="25" borderId="12" xfId="156" applyFont="1" applyBorder="1" applyAlignment="1" applyProtection="1">
      <alignment horizontal="left"/>
    </xf>
    <xf numFmtId="0" fontId="27" fillId="30" borderId="12" xfId="161" applyFont="1" applyBorder="1" applyAlignment="1" applyProtection="1">
      <alignment horizontal="right"/>
    </xf>
    <xf numFmtId="166" fontId="4" fillId="25" borderId="12" xfId="156" applyNumberFormat="1" applyFont="1" applyBorder="1" applyAlignment="1" applyProtection="1">
      <alignment horizontal="left"/>
    </xf>
    <xf numFmtId="0" fontId="27" fillId="0" borderId="14" xfId="166" applyFont="1" applyFill="1" applyBorder="1" applyAlignment="1" applyProtection="1">
      <alignment horizontal="center" vertical="center"/>
    </xf>
    <xf numFmtId="0" fontId="27" fillId="0" borderId="42" xfId="166" applyFont="1" applyFill="1" applyBorder="1" applyAlignment="1" applyProtection="1">
      <alignment horizontal="center" vertical="center"/>
    </xf>
    <xf numFmtId="0" fontId="27" fillId="0" borderId="42" xfId="165" applyFont="1" applyFill="1" applyBorder="1" applyAlignment="1" applyProtection="1">
      <alignment horizontal="center" vertical="center"/>
    </xf>
    <xf numFmtId="0" fontId="19" fillId="0" borderId="14" xfId="165" applyFont="1" applyFill="1" applyBorder="1" applyAlignment="1" applyProtection="1">
      <alignment horizontal="center" vertical="center"/>
    </xf>
    <xf numFmtId="0" fontId="19" fillId="0" borderId="45" xfId="165" applyFont="1" applyFill="1" applyBorder="1" applyAlignment="1" applyProtection="1">
      <alignment horizontal="center" vertical="center"/>
    </xf>
    <xf numFmtId="0" fontId="27" fillId="0" borderId="14" xfId="165" applyFont="1" applyFill="1" applyBorder="1" applyAlignment="1" applyProtection="1">
      <alignment horizontal="center" vertical="center"/>
    </xf>
    <xf numFmtId="49" fontId="24" fillId="0" borderId="48" xfId="0" applyNumberFormat="1" applyFont="1" applyBorder="1" applyAlignment="1" applyProtection="1">
      <alignment horizontal="center"/>
      <protection locked="0"/>
    </xf>
    <xf numFmtId="0" fontId="19" fillId="0" borderId="28" xfId="0" applyFont="1" applyBorder="1" applyAlignment="1">
      <alignment horizontal="left" vertical="center"/>
    </xf>
    <xf numFmtId="0" fontId="19" fillId="0" borderId="29" xfId="0" applyFont="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19" fillId="0" borderId="31" xfId="0" applyFont="1" applyBorder="1" applyAlignment="1">
      <alignment horizontal="left" vertical="center"/>
    </xf>
    <xf numFmtId="0" fontId="19" fillId="0" borderId="32" xfId="0" applyFont="1" applyBorder="1" applyAlignment="1" applyProtection="1">
      <alignment horizontal="center" vertical="center"/>
      <protection locked="0"/>
    </xf>
    <xf numFmtId="0" fontId="19" fillId="0" borderId="48" xfId="0" applyFont="1" applyBorder="1" applyAlignment="1">
      <alignment horizontal="center" vertical="center"/>
    </xf>
    <xf numFmtId="0" fontId="24" fillId="0" borderId="35" xfId="2" applyNumberFormat="1" applyFont="1" applyBorder="1" applyAlignment="1" applyProtection="1">
      <alignment horizontal="center" vertical="center" wrapText="1"/>
      <protection locked="0"/>
    </xf>
    <xf numFmtId="49" fontId="24" fillId="0" borderId="48" xfId="0" applyNumberFormat="1" applyFont="1" applyBorder="1" applyAlignment="1" applyProtection="1">
      <alignment horizontal="center" vertical="center"/>
      <protection locked="0"/>
    </xf>
    <xf numFmtId="0" fontId="19" fillId="0" borderId="38" xfId="0" applyFont="1" applyBorder="1" applyAlignment="1" applyProtection="1">
      <alignment horizontal="center" vertical="center"/>
      <protection locked="0"/>
    </xf>
    <xf numFmtId="0" fontId="24" fillId="0" borderId="48" xfId="1" applyNumberFormat="1" applyFont="1" applyBorder="1" applyAlignment="1" applyProtection="1">
      <alignment horizontal="center" vertical="center" wrapText="1"/>
      <protection locked="0"/>
    </xf>
    <xf numFmtId="0" fontId="19" fillId="0" borderId="48" xfId="0" applyFont="1" applyBorder="1" applyAlignment="1">
      <alignment horizontal="left" vertical="center"/>
    </xf>
    <xf numFmtId="0" fontId="24" fillId="0" borderId="38" xfId="0" applyFont="1" applyBorder="1" applyAlignment="1" applyProtection="1">
      <alignment horizontal="center" vertical="center" wrapText="1"/>
      <protection locked="0"/>
    </xf>
    <xf numFmtId="0" fontId="27" fillId="0" borderId="39" xfId="0" applyFont="1" applyBorder="1" applyAlignment="1" applyProtection="1">
      <alignment vertical="top" wrapText="1"/>
      <protection locked="0"/>
    </xf>
    <xf numFmtId="0" fontId="34" fillId="38" borderId="40" xfId="74" applyFont="1" applyFill="1" applyBorder="1" applyAlignment="1">
      <alignment horizontal="center"/>
    </xf>
    <xf numFmtId="0" fontId="35" fillId="38" borderId="27" xfId="74" applyFont="1" applyFill="1" applyBorder="1" applyAlignment="1">
      <alignment horizontal="center"/>
    </xf>
    <xf numFmtId="0" fontId="35" fillId="38" borderId="33" xfId="74" applyFont="1" applyFill="1" applyBorder="1" applyAlignment="1">
      <alignment horizontal="center"/>
    </xf>
    <xf numFmtId="0" fontId="24" fillId="0" borderId="68" xfId="0" applyFont="1" applyBorder="1" applyAlignment="1" applyProtection="1">
      <alignment horizontal="center" vertical="center" wrapText="1"/>
      <protection locked="0"/>
    </xf>
    <xf numFmtId="0" fontId="19" fillId="0" borderId="68" xfId="0" applyFont="1" applyBorder="1" applyAlignment="1">
      <alignment horizontal="left" vertical="center"/>
    </xf>
    <xf numFmtId="191" fontId="0" fillId="0" borderId="69" xfId="0" applyNumberFormat="1" applyBorder="1" applyAlignment="1" applyProtection="1">
      <alignment horizontal="center"/>
      <protection locked="0"/>
    </xf>
    <xf numFmtId="0" fontId="27" fillId="0" borderId="12" xfId="0" applyFont="1" applyBorder="1" applyAlignment="1">
      <alignment horizontal="center" vertical="center"/>
    </xf>
    <xf numFmtId="0" fontId="27" fillId="38" borderId="12" xfId="166" applyFont="1" applyFill="1" applyBorder="1" applyAlignment="1" applyProtection="1">
      <alignment horizontal="center" vertical="center"/>
    </xf>
    <xf numFmtId="0" fontId="4" fillId="25" borderId="12" xfId="156" applyFont="1" applyBorder="1" applyAlignment="1" applyProtection="1">
      <alignment horizontal="center" vertical="center" wrapText="1"/>
    </xf>
    <xf numFmtId="0" fontId="4" fillId="25" borderId="12" xfId="156" applyFont="1" applyBorder="1" applyAlignment="1" applyProtection="1">
      <alignment horizontal="center" vertical="center"/>
    </xf>
    <xf numFmtId="0" fontId="1" fillId="25" borderId="12" xfId="156" applyBorder="1" applyAlignment="1" applyProtection="1">
      <alignment horizontal="center" vertical="center"/>
    </xf>
  </cellXfs>
  <cellStyles count="169">
    <cellStyle name="20% - Ênfase1 2" xfId="5" xr:uid="{00000000-0005-0000-0000-000006000000}"/>
    <cellStyle name="20% - Ênfase2 2" xfId="6" xr:uid="{00000000-0005-0000-0000-000007000000}"/>
    <cellStyle name="20% - Ênfase3 2" xfId="7" xr:uid="{00000000-0005-0000-0000-000008000000}"/>
    <cellStyle name="20% - Ênfase4 2" xfId="8" xr:uid="{00000000-0005-0000-0000-000009000000}"/>
    <cellStyle name="20% - Ênfase5 2" xfId="9" xr:uid="{00000000-0005-0000-0000-00000A000000}"/>
    <cellStyle name="20% - Ênfase6 2" xfId="10" xr:uid="{00000000-0005-0000-0000-00000B000000}"/>
    <cellStyle name="40% - Ênfase1 2" xfId="11" xr:uid="{00000000-0005-0000-0000-00000C000000}"/>
    <cellStyle name="40% - Ênfase2 2" xfId="12" xr:uid="{00000000-0005-0000-0000-00000D000000}"/>
    <cellStyle name="40% - Ênfase3 2" xfId="13" xr:uid="{00000000-0005-0000-0000-00000E000000}"/>
    <cellStyle name="40% - Ênfase4 2" xfId="14" xr:uid="{00000000-0005-0000-0000-00000F000000}"/>
    <cellStyle name="40% - Ênfase5 2" xfId="15" xr:uid="{00000000-0005-0000-0000-000010000000}"/>
    <cellStyle name="40% - Ênfase6 2" xfId="16" xr:uid="{00000000-0005-0000-0000-000011000000}"/>
    <cellStyle name="60% - Ênfase1 2" xfId="17" xr:uid="{00000000-0005-0000-0000-000012000000}"/>
    <cellStyle name="60% - Ênfase2 2" xfId="18" xr:uid="{00000000-0005-0000-0000-000013000000}"/>
    <cellStyle name="60% - Ênfase3 2" xfId="19" xr:uid="{00000000-0005-0000-0000-000014000000}"/>
    <cellStyle name="60% - Ênfase3 3" xfId="20" xr:uid="{00000000-0005-0000-0000-000015000000}"/>
    <cellStyle name="60% - Ênfase4 2" xfId="21" xr:uid="{00000000-0005-0000-0000-000016000000}"/>
    <cellStyle name="60% - Ênfase5 2" xfId="22" xr:uid="{00000000-0005-0000-0000-000017000000}"/>
    <cellStyle name="60% - Ênfase6 2" xfId="23" xr:uid="{00000000-0005-0000-0000-000018000000}"/>
    <cellStyle name="Bom 2" xfId="24" xr:uid="{00000000-0005-0000-0000-000019000000}"/>
    <cellStyle name="Cálculo 2" xfId="25" xr:uid="{00000000-0005-0000-0000-00001A000000}"/>
    <cellStyle name="Célula de Verificação 2" xfId="26" xr:uid="{00000000-0005-0000-0000-00001B000000}"/>
    <cellStyle name="Célula Vinculada 2" xfId="27" xr:uid="{00000000-0005-0000-0000-00001C000000}"/>
    <cellStyle name="Ênfase1 2" xfId="150" xr:uid="{00000000-0005-0000-0000-000097000000}"/>
    <cellStyle name="Ênfase2 2" xfId="151" xr:uid="{00000000-0005-0000-0000-000098000000}"/>
    <cellStyle name="Ênfase3 2" xfId="152" xr:uid="{00000000-0005-0000-0000-000099000000}"/>
    <cellStyle name="Ênfase4 2" xfId="153" xr:uid="{00000000-0005-0000-0000-00009A000000}"/>
    <cellStyle name="Ênfase5 2" xfId="154" xr:uid="{00000000-0005-0000-0000-00009B000000}"/>
    <cellStyle name="Ênfase6 2" xfId="155" xr:uid="{00000000-0005-0000-0000-00009C000000}"/>
    <cellStyle name="Entrada 2" xfId="28" xr:uid="{00000000-0005-0000-0000-00001D000000}"/>
    <cellStyle name="Euro" xfId="29" xr:uid="{00000000-0005-0000-0000-00001E000000}"/>
    <cellStyle name="Excel Built-in 20% - Accent1" xfId="160" xr:uid="{00000000-0005-0000-0000-0000A2000000}"/>
    <cellStyle name="Excel Built-in 20% - Accent5" xfId="163" xr:uid="{00000000-0005-0000-0000-0000A5000000}"/>
    <cellStyle name="Excel Built-in 20% - Accent6" xfId="158" xr:uid="{00000000-0005-0000-0000-00009F000000}"/>
    <cellStyle name="Excel Built-in 40% - Accent1" xfId="162" xr:uid="{00000000-0005-0000-0000-0000A4000000}"/>
    <cellStyle name="Excel Built-in 40% - Accent5" xfId="161" xr:uid="{00000000-0005-0000-0000-0000A3000000}"/>
    <cellStyle name="Excel Built-in 40% - Accent6" xfId="157" xr:uid="{00000000-0005-0000-0000-00009E000000}"/>
    <cellStyle name="Excel Built-in 60% - Accent1" xfId="165" xr:uid="{00000000-0005-0000-0000-0000A7000000}"/>
    <cellStyle name="Excel Built-in 60% - Accent4" xfId="167" xr:uid="{00000000-0005-0000-0000-0000A9000000}"/>
    <cellStyle name="Excel Built-in 60% - Accent5" xfId="164" xr:uid="{00000000-0005-0000-0000-0000A6000000}"/>
    <cellStyle name="Excel Built-in 60% - Accent6" xfId="168" xr:uid="{00000000-0005-0000-0000-0000AA000000}"/>
    <cellStyle name="Excel Built-in Accent1" xfId="166" xr:uid="{00000000-0005-0000-0000-0000A8000000}"/>
    <cellStyle name="Excel Built-in Accent5" xfId="156" xr:uid="{00000000-0005-0000-0000-00009D000000}"/>
    <cellStyle name="Excel Built-in Accent6" xfId="159" xr:uid="{00000000-0005-0000-0000-0000A0000000}"/>
    <cellStyle name="Heading1" xfId="30" xr:uid="{00000000-0005-0000-0000-00001F000000}"/>
    <cellStyle name="Hiperlink" xfId="4" builtinId="8"/>
    <cellStyle name="Incorreto 2" xfId="31" xr:uid="{00000000-0005-0000-0000-000020000000}"/>
    <cellStyle name="Moeda" xfId="2" builtinId="4"/>
    <cellStyle name="Moeda 10" xfId="32" xr:uid="{00000000-0005-0000-0000-000021000000}"/>
    <cellStyle name="Moeda 11" xfId="33" xr:uid="{00000000-0005-0000-0000-000022000000}"/>
    <cellStyle name="Moeda 12" xfId="34" xr:uid="{00000000-0005-0000-0000-000023000000}"/>
    <cellStyle name="Moeda 2" xfId="35" xr:uid="{00000000-0005-0000-0000-000024000000}"/>
    <cellStyle name="Moeda 2 2" xfId="36" xr:uid="{00000000-0005-0000-0000-000025000000}"/>
    <cellStyle name="Moeda 2 3" xfId="37" xr:uid="{00000000-0005-0000-0000-000026000000}"/>
    <cellStyle name="Moeda 2 4" xfId="38" xr:uid="{00000000-0005-0000-0000-000027000000}"/>
    <cellStyle name="Moeda 2 5" xfId="39" xr:uid="{00000000-0005-0000-0000-000028000000}"/>
    <cellStyle name="Moeda 2 6" xfId="40" xr:uid="{00000000-0005-0000-0000-000029000000}"/>
    <cellStyle name="Moeda 2 7" xfId="41" xr:uid="{00000000-0005-0000-0000-00002A000000}"/>
    <cellStyle name="Moeda 3" xfId="42" xr:uid="{00000000-0005-0000-0000-00002B000000}"/>
    <cellStyle name="Moeda 3 2" xfId="43" xr:uid="{00000000-0005-0000-0000-00002C000000}"/>
    <cellStyle name="Moeda 3 2 2" xfId="44" xr:uid="{00000000-0005-0000-0000-00002D000000}"/>
    <cellStyle name="Moeda 3 2 3" xfId="45" xr:uid="{00000000-0005-0000-0000-00002E000000}"/>
    <cellStyle name="Moeda 3 3" xfId="46" xr:uid="{00000000-0005-0000-0000-00002F000000}"/>
    <cellStyle name="Moeda 3 4" xfId="47" xr:uid="{00000000-0005-0000-0000-000030000000}"/>
    <cellStyle name="Moeda 3 5" xfId="48" xr:uid="{00000000-0005-0000-0000-000031000000}"/>
    <cellStyle name="Moeda 4" xfId="49" xr:uid="{00000000-0005-0000-0000-000032000000}"/>
    <cellStyle name="Moeda 4 2" xfId="50" xr:uid="{00000000-0005-0000-0000-000033000000}"/>
    <cellStyle name="Moeda 4 3" xfId="51" xr:uid="{00000000-0005-0000-0000-000034000000}"/>
    <cellStyle name="Moeda 5" xfId="52" xr:uid="{00000000-0005-0000-0000-000035000000}"/>
    <cellStyle name="Moeda 5 2" xfId="53" xr:uid="{00000000-0005-0000-0000-000036000000}"/>
    <cellStyle name="Moeda 6" xfId="54" xr:uid="{00000000-0005-0000-0000-000037000000}"/>
    <cellStyle name="Moeda 7" xfId="55" xr:uid="{00000000-0005-0000-0000-000038000000}"/>
    <cellStyle name="Moeda 8" xfId="56" xr:uid="{00000000-0005-0000-0000-000039000000}"/>
    <cellStyle name="Moeda 8 2" xfId="57" xr:uid="{00000000-0005-0000-0000-00003A000000}"/>
    <cellStyle name="Moeda 9" xfId="58" xr:uid="{00000000-0005-0000-0000-00003B000000}"/>
    <cellStyle name="Neutra 2" xfId="59" xr:uid="{00000000-0005-0000-0000-00003C000000}"/>
    <cellStyle name="Normal" xfId="0" builtinId="0"/>
    <cellStyle name="Normal 10" xfId="60" xr:uid="{00000000-0005-0000-0000-00003D000000}"/>
    <cellStyle name="Normal 2" xfId="61" xr:uid="{00000000-0005-0000-0000-00003E000000}"/>
    <cellStyle name="Normal 2 2" xfId="62" xr:uid="{00000000-0005-0000-0000-00003F000000}"/>
    <cellStyle name="Normal 2 2 2" xfId="63" xr:uid="{00000000-0005-0000-0000-000040000000}"/>
    <cellStyle name="Normal 2 2 3" xfId="64" xr:uid="{00000000-0005-0000-0000-000041000000}"/>
    <cellStyle name="Normal 2 3" xfId="65" xr:uid="{00000000-0005-0000-0000-000042000000}"/>
    <cellStyle name="Normal 2 3 2" xfId="66" xr:uid="{00000000-0005-0000-0000-000043000000}"/>
    <cellStyle name="Normal 2 4" xfId="67" xr:uid="{00000000-0005-0000-0000-000044000000}"/>
    <cellStyle name="Normal 3" xfId="68" xr:uid="{00000000-0005-0000-0000-000045000000}"/>
    <cellStyle name="Normal 3 2" xfId="69" xr:uid="{00000000-0005-0000-0000-000046000000}"/>
    <cellStyle name="Normal 3 2 2" xfId="70" xr:uid="{00000000-0005-0000-0000-000047000000}"/>
    <cellStyle name="Normal 3 3" xfId="71" xr:uid="{00000000-0005-0000-0000-000048000000}"/>
    <cellStyle name="Normal 4" xfId="72" xr:uid="{00000000-0005-0000-0000-000049000000}"/>
    <cellStyle name="Normal 4 2" xfId="73" xr:uid="{00000000-0005-0000-0000-00004A000000}"/>
    <cellStyle name="Normal 5" xfId="74" xr:uid="{00000000-0005-0000-0000-00004B000000}"/>
    <cellStyle name="Normal 5 2" xfId="75" xr:uid="{00000000-0005-0000-0000-00004C000000}"/>
    <cellStyle name="Normal 5 3" xfId="76" xr:uid="{00000000-0005-0000-0000-00004D000000}"/>
    <cellStyle name="Normal 5 4" xfId="77" xr:uid="{00000000-0005-0000-0000-00004E000000}"/>
    <cellStyle name="Normal 6" xfId="78" xr:uid="{00000000-0005-0000-0000-00004F000000}"/>
    <cellStyle name="Normal 7" xfId="79" xr:uid="{00000000-0005-0000-0000-000050000000}"/>
    <cellStyle name="Normal 8" xfId="80" xr:uid="{00000000-0005-0000-0000-000051000000}"/>
    <cellStyle name="Normal 9" xfId="81" xr:uid="{00000000-0005-0000-0000-000052000000}"/>
    <cellStyle name="Normal 9 2" xfId="82" xr:uid="{00000000-0005-0000-0000-000053000000}"/>
    <cellStyle name="Nota 2" xfId="83" xr:uid="{00000000-0005-0000-0000-000054000000}"/>
    <cellStyle name="Porcentagem" xfId="3" builtinId="5"/>
    <cellStyle name="Porcentagem 2" xfId="84" xr:uid="{00000000-0005-0000-0000-000055000000}"/>
    <cellStyle name="Porcentagem 2 2" xfId="85" xr:uid="{00000000-0005-0000-0000-000056000000}"/>
    <cellStyle name="Porcentagem 2 3" xfId="86" xr:uid="{00000000-0005-0000-0000-000057000000}"/>
    <cellStyle name="Porcentagem 2 4" xfId="87" xr:uid="{00000000-0005-0000-0000-000058000000}"/>
    <cellStyle name="Porcentagem 2 5" xfId="88" xr:uid="{00000000-0005-0000-0000-000059000000}"/>
    <cellStyle name="Porcentagem 3" xfId="89" xr:uid="{00000000-0005-0000-0000-00005A000000}"/>
    <cellStyle name="Porcentagem 3 2" xfId="90" xr:uid="{00000000-0005-0000-0000-00005B000000}"/>
    <cellStyle name="Porcentagem 3 3" xfId="91" xr:uid="{00000000-0005-0000-0000-00005C000000}"/>
    <cellStyle name="Porcentagem 4" xfId="92" xr:uid="{00000000-0005-0000-0000-00005D000000}"/>
    <cellStyle name="Porcentagem 4 2" xfId="93" xr:uid="{00000000-0005-0000-0000-00005E000000}"/>
    <cellStyle name="Porcentagem 4 3" xfId="94" xr:uid="{00000000-0005-0000-0000-00005F000000}"/>
    <cellStyle name="Porcentagem 5" xfId="95" xr:uid="{00000000-0005-0000-0000-000060000000}"/>
    <cellStyle name="Porcentagem 5 2" xfId="96" xr:uid="{00000000-0005-0000-0000-000061000000}"/>
    <cellStyle name="Result" xfId="97" xr:uid="{00000000-0005-0000-0000-000062000000}"/>
    <cellStyle name="Result2" xfId="98" xr:uid="{00000000-0005-0000-0000-000063000000}"/>
    <cellStyle name="Saída 2" xfId="99" xr:uid="{00000000-0005-0000-0000-000064000000}"/>
    <cellStyle name="Separador de milhares 2" xfId="100" xr:uid="{00000000-0005-0000-0000-000065000000}"/>
    <cellStyle name="Separador de milhares 2 2" xfId="101" xr:uid="{00000000-0005-0000-0000-000066000000}"/>
    <cellStyle name="Separador de milhares 2 2 2" xfId="102" xr:uid="{00000000-0005-0000-0000-000067000000}"/>
    <cellStyle name="Separador de milhares 2 3" xfId="103" xr:uid="{00000000-0005-0000-0000-000068000000}"/>
    <cellStyle name="Separador de milhares 3" xfId="104" xr:uid="{00000000-0005-0000-0000-000069000000}"/>
    <cellStyle name="Separador de milhares 3 2" xfId="105" xr:uid="{00000000-0005-0000-0000-00006A000000}"/>
    <cellStyle name="Separador de milhares 3 2 2" xfId="106" xr:uid="{00000000-0005-0000-0000-00006B000000}"/>
    <cellStyle name="Separador de milhares 3 3" xfId="107" xr:uid="{00000000-0005-0000-0000-00006C000000}"/>
    <cellStyle name="Separador de milhares 3 3 2" xfId="108" xr:uid="{00000000-0005-0000-0000-00006D000000}"/>
    <cellStyle name="Separador de milhares 3 4" xfId="109" xr:uid="{00000000-0005-0000-0000-00006E000000}"/>
    <cellStyle name="Separador de milhares 4" xfId="110" xr:uid="{00000000-0005-0000-0000-00006F000000}"/>
    <cellStyle name="Separador de milhares 4 2" xfId="111" xr:uid="{00000000-0005-0000-0000-000070000000}"/>
    <cellStyle name="Separador de milhares 5" xfId="112" xr:uid="{00000000-0005-0000-0000-000071000000}"/>
    <cellStyle name="Separador de milhares 5 2" xfId="113" xr:uid="{00000000-0005-0000-0000-000072000000}"/>
    <cellStyle name="Texto de Aviso 2" xfId="114" xr:uid="{00000000-0005-0000-0000-000073000000}"/>
    <cellStyle name="Texto Explicativo 2" xfId="115" xr:uid="{00000000-0005-0000-0000-000074000000}"/>
    <cellStyle name="Título 1 1" xfId="117" xr:uid="{00000000-0005-0000-0000-000076000000}"/>
    <cellStyle name="Título 1 1 1" xfId="118" xr:uid="{00000000-0005-0000-0000-000077000000}"/>
    <cellStyle name="Título 2 2" xfId="119" xr:uid="{00000000-0005-0000-0000-000078000000}"/>
    <cellStyle name="Título 3 2" xfId="120" xr:uid="{00000000-0005-0000-0000-000079000000}"/>
    <cellStyle name="Título 4 2" xfId="121" xr:uid="{00000000-0005-0000-0000-00007A000000}"/>
    <cellStyle name="Título 5" xfId="122" xr:uid="{00000000-0005-0000-0000-00007B000000}"/>
    <cellStyle name="Total 2" xfId="116" xr:uid="{00000000-0005-0000-0000-000075000000}"/>
    <cellStyle name="Vírgula" xfId="1" builtinId="3"/>
    <cellStyle name="Vírgula 10" xfId="123" xr:uid="{00000000-0005-0000-0000-00007C000000}"/>
    <cellStyle name="Vírgula 2" xfId="124" xr:uid="{00000000-0005-0000-0000-00007D000000}"/>
    <cellStyle name="Vírgula 2 2" xfId="125" xr:uid="{00000000-0005-0000-0000-00007E000000}"/>
    <cellStyle name="Vírgula 2 2 2" xfId="126" xr:uid="{00000000-0005-0000-0000-00007F000000}"/>
    <cellStyle name="Vírgula 2 2 2 2" xfId="127" xr:uid="{00000000-0005-0000-0000-000080000000}"/>
    <cellStyle name="Vírgula 2 2 3" xfId="128" xr:uid="{00000000-0005-0000-0000-000081000000}"/>
    <cellStyle name="Vírgula 2 2 4" xfId="129" xr:uid="{00000000-0005-0000-0000-000082000000}"/>
    <cellStyle name="Vírgula 2 2 5" xfId="130" xr:uid="{00000000-0005-0000-0000-000083000000}"/>
    <cellStyle name="Vírgula 2 3" xfId="131" xr:uid="{00000000-0005-0000-0000-000084000000}"/>
    <cellStyle name="Vírgula 2 4" xfId="132" xr:uid="{00000000-0005-0000-0000-000085000000}"/>
    <cellStyle name="Vírgula 2 5" xfId="133" xr:uid="{00000000-0005-0000-0000-000086000000}"/>
    <cellStyle name="Vírgula 2 6" xfId="134" xr:uid="{00000000-0005-0000-0000-000087000000}"/>
    <cellStyle name="Vírgula 3" xfId="135" xr:uid="{00000000-0005-0000-0000-000088000000}"/>
    <cellStyle name="Vírgula 3 2" xfId="136" xr:uid="{00000000-0005-0000-0000-000089000000}"/>
    <cellStyle name="Vírgula 3 3" xfId="137" xr:uid="{00000000-0005-0000-0000-00008A000000}"/>
    <cellStyle name="Vírgula 4" xfId="138" xr:uid="{00000000-0005-0000-0000-00008B000000}"/>
    <cellStyle name="Vírgula 4 2" xfId="139" xr:uid="{00000000-0005-0000-0000-00008C000000}"/>
    <cellStyle name="Vírgula 4 3" xfId="140" xr:uid="{00000000-0005-0000-0000-00008D000000}"/>
    <cellStyle name="Vírgula 5" xfId="141" xr:uid="{00000000-0005-0000-0000-00008E000000}"/>
    <cellStyle name="Vírgula 5 2" xfId="142" xr:uid="{00000000-0005-0000-0000-00008F000000}"/>
    <cellStyle name="Vírgula 5 3" xfId="143" xr:uid="{00000000-0005-0000-0000-000090000000}"/>
    <cellStyle name="Vírgula 6" xfId="144" xr:uid="{00000000-0005-0000-0000-000091000000}"/>
    <cellStyle name="Vírgula 6 2" xfId="145" xr:uid="{00000000-0005-0000-0000-000092000000}"/>
    <cellStyle name="Vírgula 7" xfId="146" xr:uid="{00000000-0005-0000-0000-000093000000}"/>
    <cellStyle name="Vírgula 7 2" xfId="147" xr:uid="{00000000-0005-0000-0000-000094000000}"/>
    <cellStyle name="Vírgula 8" xfId="148" xr:uid="{00000000-0005-0000-0000-000095000000}"/>
    <cellStyle name="Vírgula 9" xfId="149" xr:uid="{00000000-0005-0000-0000-000096000000}"/>
  </cellStyles>
  <dxfs count="23">
    <dxf>
      <fill>
        <patternFill>
          <bgColor rgb="FFFFC000"/>
        </patternFill>
      </fill>
    </dxf>
    <dxf>
      <numFmt numFmtId="164" formatCode="#,##0.00&quot; m²&quot;"/>
    </dxf>
    <dxf>
      <numFmt numFmtId="164" formatCode="#,##0.00&quot; m²&quot;"/>
    </dxf>
    <dxf>
      <numFmt numFmtId="164" formatCode="#,##0.00&quot; m²&quot;"/>
    </dxf>
    <dxf>
      <numFmt numFmtId="164" formatCode="#,##0.00&quot; m²&quot;"/>
    </dxf>
    <dxf>
      <numFmt numFmtId="164" formatCode="#,##0.00&quot; m²&quot;"/>
    </dxf>
    <dxf>
      <numFmt numFmtId="164" formatCode="#,##0.00&quot; 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indexedColors>
      <rgbColor rgb="FF000000"/>
      <rgbColor rgb="FFFFFFFF"/>
      <rgbColor rgb="FFFF0000"/>
      <rgbColor rgb="FF00FF00"/>
      <rgbColor rgb="FF0000FF"/>
      <rgbColor rgb="FFFFD966"/>
      <rgbColor rgb="FFDAE3F3"/>
      <rgbColor rgb="FFA9D18E"/>
      <rgbColor rgb="FF800000"/>
      <rgbColor rgb="FF008000"/>
      <rgbColor rgb="FF000080"/>
      <rgbColor rgb="FF548235"/>
      <rgbColor rgb="FF800080"/>
      <rgbColor rgb="FF0563C1"/>
      <rgbColor rgb="FFC0C0C0"/>
      <rgbColor rgb="FF808080"/>
      <rgbColor rgb="FF8FAADC"/>
      <rgbColor rgb="FFC9C9C9"/>
      <rgbColor rgb="FFFFFFCC"/>
      <rgbColor rgb="FFCCFFFF"/>
      <rgbColor rgb="FF660066"/>
      <rgbColor rgb="FFFF8080"/>
      <rgbColor rgb="FF0066CC"/>
      <rgbColor rgb="FFCCCCFF"/>
      <rgbColor rgb="FF000080"/>
      <rgbColor rgb="FFE2F0D9"/>
      <rgbColor rgb="FFFFC000"/>
      <rgbColor rgb="FFB4C7E7"/>
      <rgbColor rgb="FF800080"/>
      <rgbColor rgb="FF800000"/>
      <rgbColor rgb="FF2E75B6"/>
      <rgbColor rgb="FF0000FF"/>
      <rgbColor rgb="FF9DC3E6"/>
      <rgbColor rgb="FFDEEBF7"/>
      <rgbColor rgb="FFCCFFCC"/>
      <rgbColor rgb="FFFFFF99"/>
      <rgbColor rgb="FF99CCFF"/>
      <rgbColor rgb="FFFF99CC"/>
      <rgbColor rgb="FFCC99FF"/>
      <rgbColor rgb="FFFFCC99"/>
      <rgbColor rgb="FF4472C4"/>
      <rgbColor rgb="FF33CCCC"/>
      <rgbColor rgb="FF70AD47"/>
      <rgbColor rgb="FFFFCC00"/>
      <rgbColor rgb="FFFF9900"/>
      <rgbColor rgb="FFFF6600"/>
      <rgbColor rgb="FF5B9BD5"/>
      <rgbColor rgb="FF969696"/>
      <rgbColor rgb="FF003366"/>
      <rgbColor rgb="FF339966"/>
      <rgbColor rgb="FF003300"/>
      <rgbColor rgb="FFC5E0B4"/>
      <rgbColor rgb="FF993300"/>
      <rgbColor rgb="FFBDD7E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248040</xdr:colOff>
      <xdr:row>1</xdr:row>
      <xdr:rowOff>19800</xdr:rowOff>
    </xdr:from>
    <xdr:to>
      <xdr:col>2</xdr:col>
      <xdr:colOff>761760</xdr:colOff>
      <xdr:row>2</xdr:row>
      <xdr:rowOff>47880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98880" y="162360"/>
          <a:ext cx="81612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70920</xdr:colOff>
      <xdr:row>1</xdr:row>
      <xdr:rowOff>103320</xdr:rowOff>
    </xdr:from>
    <xdr:to>
      <xdr:col>2</xdr:col>
      <xdr:colOff>643680</xdr:colOff>
      <xdr:row>1</xdr:row>
      <xdr:rowOff>637920</xdr:rowOff>
    </xdr:to>
    <xdr:pic>
      <xdr:nvPicPr>
        <xdr:cNvPr id="3" name="Imagem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524160" y="245880"/>
          <a:ext cx="572760" cy="534600"/>
        </a:xfrm>
        <a:prstGeom prst="rect">
          <a:avLst/>
        </a:prstGeom>
        <a:ln>
          <a:noFill/>
        </a:ln>
      </xdr:spPr>
    </xdr:pic>
    <xdr:clientData/>
  </xdr:twoCellAnchor>
  <xdr:twoCellAnchor>
    <xdr:from>
      <xdr:col>0</xdr:col>
      <xdr:colOff>0</xdr:colOff>
      <xdr:row>0</xdr:row>
      <xdr:rowOff>0</xdr:rowOff>
    </xdr:from>
    <xdr:to>
      <xdr:col>5</xdr:col>
      <xdr:colOff>914400</xdr:colOff>
      <xdr:row>38</xdr:row>
      <xdr:rowOff>99060</xdr:rowOff>
    </xdr:to>
    <xdr:sp macro="" textlink="">
      <xdr:nvSpPr>
        <xdr:cNvPr id="1026" name="_x0000_t202" hidden="1">
          <a:extLst>
            <a:ext uri="{FF2B5EF4-FFF2-40B4-BE49-F238E27FC236}">
              <a16:creationId xmlns:a16="http://schemas.microsoft.com/office/drawing/2014/main" id="{0221A97D-AE22-EAF1-A752-7AFE5E13BFB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914400</xdr:colOff>
      <xdr:row>38</xdr:row>
      <xdr:rowOff>99060</xdr:rowOff>
    </xdr:to>
    <xdr:sp macro="" textlink="">
      <xdr:nvSpPr>
        <xdr:cNvPr id="4" name="AutoShape 2">
          <a:extLst>
            <a:ext uri="{FF2B5EF4-FFF2-40B4-BE49-F238E27FC236}">
              <a16:creationId xmlns:a16="http://schemas.microsoft.com/office/drawing/2014/main" id="{9A9F87D1-FBA7-BD52-C0F7-27F21167F552}"/>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792480</xdr:colOff>
      <xdr:row>42</xdr:row>
      <xdr:rowOff>0</xdr:rowOff>
    </xdr:to>
    <xdr:sp macro="" textlink="">
      <xdr:nvSpPr>
        <xdr:cNvPr id="2050" name="_x0000_t202" hidden="1">
          <a:extLst>
            <a:ext uri="{FF2B5EF4-FFF2-40B4-BE49-F238E27FC236}">
              <a16:creationId xmlns:a16="http://schemas.microsoft.com/office/drawing/2014/main" id="{4F334E79-C7BB-2AE5-9CDD-EDF6948CB746}"/>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792480</xdr:colOff>
      <xdr:row>42</xdr:row>
      <xdr:rowOff>0</xdr:rowOff>
    </xdr:to>
    <xdr:sp macro="" textlink="">
      <xdr:nvSpPr>
        <xdr:cNvPr id="2" name="AutoShape 2">
          <a:extLst>
            <a:ext uri="{FF2B5EF4-FFF2-40B4-BE49-F238E27FC236}">
              <a16:creationId xmlns:a16="http://schemas.microsoft.com/office/drawing/2014/main" id="{11302675-26C5-A33B-2DB0-82CB85DB5224}"/>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247680</xdr:colOff>
      <xdr:row>1</xdr:row>
      <xdr:rowOff>19440</xdr:rowOff>
    </xdr:from>
    <xdr:to>
      <xdr:col>2</xdr:col>
      <xdr:colOff>761760</xdr:colOff>
      <xdr:row>2</xdr:row>
      <xdr:rowOff>47520</xdr:rowOff>
    </xdr:to>
    <xdr:sp macro="" textlink="">
      <xdr:nvSpPr>
        <xdr:cNvPr id="2" name="CustomShape 1">
          <a:extLst>
            <a:ext uri="{FF2B5EF4-FFF2-40B4-BE49-F238E27FC236}">
              <a16:creationId xmlns:a16="http://schemas.microsoft.com/office/drawing/2014/main" id="{00000000-0008-0000-0400-000002000000}"/>
            </a:ext>
          </a:extLst>
        </xdr:cNvPr>
        <xdr:cNvSpPr/>
      </xdr:nvSpPr>
      <xdr:spPr>
        <a:xfrm>
          <a:off x="398520" y="162000"/>
          <a:ext cx="81648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102600</xdr:colOff>
      <xdr:row>1</xdr:row>
      <xdr:rowOff>102960</xdr:rowOff>
    </xdr:from>
    <xdr:to>
      <xdr:col>2</xdr:col>
      <xdr:colOff>675360</xdr:colOff>
      <xdr:row>1</xdr:row>
      <xdr:rowOff>637560</xdr:rowOff>
    </xdr:to>
    <xdr:pic>
      <xdr:nvPicPr>
        <xdr:cNvPr id="3" name="Imagem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stretch/>
      </xdr:blipFill>
      <xdr:spPr>
        <a:xfrm>
          <a:off x="555840" y="245520"/>
          <a:ext cx="572760" cy="534600"/>
        </a:xfrm>
        <a:prstGeom prst="rect">
          <a:avLst/>
        </a:prstGeom>
        <a:ln>
          <a:noFill/>
        </a:ln>
      </xdr:spPr>
    </xdr:pic>
    <xdr:clientData/>
  </xdr:twoCellAnchor>
  <xdr:twoCellAnchor>
    <xdr:from>
      <xdr:col>0</xdr:col>
      <xdr:colOff>0</xdr:colOff>
      <xdr:row>0</xdr:row>
      <xdr:rowOff>0</xdr:rowOff>
    </xdr:from>
    <xdr:to>
      <xdr:col>5</xdr:col>
      <xdr:colOff>784860</xdr:colOff>
      <xdr:row>40</xdr:row>
      <xdr:rowOff>99060</xdr:rowOff>
    </xdr:to>
    <xdr:sp macro="" textlink="">
      <xdr:nvSpPr>
        <xdr:cNvPr id="3074" name="_x0000_t202" hidden="1">
          <a:extLst>
            <a:ext uri="{FF2B5EF4-FFF2-40B4-BE49-F238E27FC236}">
              <a16:creationId xmlns:a16="http://schemas.microsoft.com/office/drawing/2014/main" id="{AD77E9D0-A32A-A352-F032-B838D90078D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784860</xdr:colOff>
      <xdr:row>40</xdr:row>
      <xdr:rowOff>99060</xdr:rowOff>
    </xdr:to>
    <xdr:sp macro="" textlink="">
      <xdr:nvSpPr>
        <xdr:cNvPr id="4" name="AutoShape 2">
          <a:extLst>
            <a:ext uri="{FF2B5EF4-FFF2-40B4-BE49-F238E27FC236}">
              <a16:creationId xmlns:a16="http://schemas.microsoft.com/office/drawing/2014/main" id="{15D28F50-9201-7997-B0BD-6FAFE0D4507E}"/>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211320</xdr:colOff>
      <xdr:row>1</xdr:row>
      <xdr:rowOff>182520</xdr:rowOff>
    </xdr:from>
    <xdr:to>
      <xdr:col>1</xdr:col>
      <xdr:colOff>784080</xdr:colOff>
      <xdr:row>3</xdr:row>
      <xdr:rowOff>94320</xdr:rowOff>
    </xdr:to>
    <xdr:pic>
      <xdr:nvPicPr>
        <xdr:cNvPr id="4" name="Imagem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a:stretch/>
      </xdr:blipFill>
      <xdr:spPr>
        <a:xfrm>
          <a:off x="322200" y="268200"/>
          <a:ext cx="572760" cy="51192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pesquisa.apps.tcu.gov.br/" TargetMode="External"/><Relationship Id="rId1" Type="http://schemas.openxmlformats.org/officeDocument/2006/relationships/hyperlink" Target="https://bi.mte.gov.br/bgcage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K189"/>
  <sheetViews>
    <sheetView showGridLines="0" tabSelected="1" zoomScale="90" zoomScaleNormal="90" workbookViewId="0">
      <selection activeCell="F11" sqref="F11"/>
    </sheetView>
  </sheetViews>
  <sheetFormatPr defaultRowHeight="14.4"/>
  <cols>
    <col min="1" max="1" width="2.109375" style="3" customWidth="1"/>
    <col min="2" max="2" width="4.33203125" style="4" customWidth="1"/>
    <col min="3" max="3" width="57.109375" style="5" customWidth="1"/>
    <col min="4" max="4" width="17.109375" style="6" customWidth="1"/>
    <col min="5" max="5" width="17.109375" style="5" customWidth="1"/>
    <col min="6" max="9" width="17.109375" style="3" customWidth="1"/>
    <col min="10" max="10" width="7.44140625" style="3" hidden="1" customWidth="1"/>
    <col min="11" max="11" width="7.88671875" style="3" hidden="1" customWidth="1"/>
    <col min="12" max="12" width="7.6640625" style="3" hidden="1" customWidth="1"/>
    <col min="13" max="13" width="7" style="3" hidden="1" customWidth="1"/>
    <col min="14" max="14" width="7.109375" style="3" hidden="1" customWidth="1"/>
    <col min="15" max="15" width="7.5546875" style="3" hidden="1" customWidth="1"/>
    <col min="16" max="16" width="7.44140625" style="3" hidden="1" customWidth="1"/>
    <col min="17" max="17" width="8.33203125" style="3" hidden="1" customWidth="1"/>
    <col min="18" max="19" width="7.88671875" style="3" hidden="1" customWidth="1"/>
    <col min="20" max="20" width="7.5546875" style="3" hidden="1" customWidth="1"/>
    <col min="21" max="21" width="7.88671875" style="3" hidden="1" customWidth="1"/>
    <col min="22" max="22" width="7.5546875" style="3" hidden="1" customWidth="1"/>
    <col min="23" max="24" width="7.44140625" style="3" hidden="1" customWidth="1"/>
    <col min="25" max="1025" width="9.109375" style="3" customWidth="1"/>
  </cols>
  <sheetData>
    <row r="1" spans="1:24" ht="11.25" customHeight="1">
      <c r="A1" s="7"/>
      <c r="B1" s="8"/>
      <c r="C1" s="9"/>
      <c r="D1" s="9"/>
      <c r="E1" s="9"/>
      <c r="F1" s="9"/>
      <c r="G1" s="9"/>
      <c r="H1" s="9"/>
      <c r="I1" s="9"/>
      <c r="J1" s="9"/>
      <c r="K1" s="9"/>
      <c r="L1" s="9"/>
      <c r="M1" s="9"/>
      <c r="N1" s="9"/>
      <c r="O1" s="9"/>
      <c r="P1" s="9"/>
      <c r="Q1" s="9"/>
      <c r="R1" s="9"/>
      <c r="S1" s="9"/>
      <c r="T1" s="9"/>
      <c r="U1" s="9"/>
      <c r="V1" s="9"/>
      <c r="W1" s="9"/>
      <c r="X1" s="9"/>
    </row>
    <row r="2" spans="1:24" ht="57" customHeight="1">
      <c r="A2" s="683" t="str">
        <f>CONCATENATE("PREFEITURA MUNICIPAL DE PORTO ALEGRE
",D5,"
FORMAÇÃO DE PREÇOS DE REFERÊNCIA - CESSÃO DE MÃO DE OBRA")</f>
        <v>PREFEITURA MUNICIPAL DE PORTO ALEGRE
SECRETARIA MUNICIPAL DE EDUCAÇÃO (SMED)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row>
    <row r="3" spans="1:24" ht="18.75" customHeight="1">
      <c r="A3" s="11"/>
      <c r="B3" s="12"/>
      <c r="C3" s="13"/>
      <c r="D3" s="13"/>
      <c r="E3" s="13"/>
      <c r="F3" s="13"/>
      <c r="G3" s="13"/>
      <c r="H3" s="13"/>
      <c r="I3" s="13"/>
      <c r="J3" s="13"/>
      <c r="K3" s="13"/>
      <c r="L3" s="13"/>
      <c r="M3" s="13"/>
      <c r="N3" s="13"/>
      <c r="O3" s="13"/>
      <c r="P3" s="13"/>
      <c r="Q3" s="13"/>
      <c r="R3" s="13"/>
      <c r="S3" s="13"/>
      <c r="T3" s="13"/>
      <c r="U3" s="13"/>
      <c r="V3" s="13"/>
      <c r="W3" s="13"/>
      <c r="X3" s="13"/>
    </row>
    <row r="4" spans="1:24" ht="15" customHeight="1">
      <c r="B4" s="14"/>
      <c r="C4" s="15" t="s">
        <v>0</v>
      </c>
      <c r="D4" s="16"/>
      <c r="E4" s="17"/>
      <c r="G4" s="18"/>
      <c r="H4" s="18"/>
      <c r="I4" s="18"/>
      <c r="J4" s="18"/>
      <c r="K4" s="18"/>
      <c r="L4" s="18"/>
      <c r="M4" s="18"/>
      <c r="N4" s="18"/>
      <c r="O4" s="18"/>
      <c r="P4" s="18"/>
      <c r="Q4" s="18"/>
      <c r="R4" s="18"/>
      <c r="S4" s="18"/>
      <c r="T4" s="18"/>
      <c r="U4" s="18"/>
      <c r="V4" s="18"/>
      <c r="W4" s="18"/>
      <c r="X4" s="18"/>
    </row>
    <row r="5" spans="1:24" ht="15.75" customHeight="1">
      <c r="B5" s="19" t="s">
        <v>1</v>
      </c>
      <c r="C5" s="20" t="s">
        <v>2</v>
      </c>
      <c r="D5" s="684" t="s">
        <v>3</v>
      </c>
      <c r="E5" s="684"/>
      <c r="G5" s="21"/>
      <c r="H5" s="22">
        <v>1</v>
      </c>
      <c r="I5" s="22">
        <v>4</v>
      </c>
      <c r="J5" s="22">
        <v>5</v>
      </c>
      <c r="K5" s="22">
        <v>6</v>
      </c>
      <c r="L5" s="22">
        <v>7</v>
      </c>
      <c r="M5" s="22">
        <v>8</v>
      </c>
      <c r="N5" s="22">
        <v>9</v>
      </c>
      <c r="O5" s="22">
        <v>10</v>
      </c>
      <c r="P5" s="22">
        <v>11</v>
      </c>
      <c r="Q5" s="22">
        <v>12</v>
      </c>
      <c r="R5" s="22">
        <v>13</v>
      </c>
      <c r="S5" s="22">
        <v>14</v>
      </c>
      <c r="T5" s="22">
        <v>15</v>
      </c>
      <c r="U5" s="22">
        <v>16</v>
      </c>
      <c r="V5" s="22">
        <v>17</v>
      </c>
      <c r="W5" s="22">
        <v>18</v>
      </c>
      <c r="X5" s="22">
        <v>19</v>
      </c>
    </row>
    <row r="6" spans="1:24">
      <c r="B6" s="23" t="s">
        <v>4</v>
      </c>
      <c r="C6" s="20" t="s">
        <v>5</v>
      </c>
      <c r="D6" s="685"/>
      <c r="E6" s="685"/>
      <c r="G6" s="11"/>
      <c r="H6" s="24"/>
      <c r="I6" s="24"/>
      <c r="J6" s="24"/>
      <c r="K6" s="24"/>
      <c r="L6" s="24"/>
      <c r="M6" s="24"/>
      <c r="N6" s="24"/>
      <c r="O6" s="24"/>
      <c r="P6" s="24"/>
      <c r="Q6" s="24"/>
      <c r="R6" s="24"/>
      <c r="S6" s="24"/>
      <c r="T6" s="24"/>
      <c r="U6" s="24"/>
      <c r="V6" s="24"/>
      <c r="W6" s="24"/>
      <c r="X6" s="24"/>
    </row>
    <row r="7" spans="1:24">
      <c r="B7" s="19" t="s">
        <v>6</v>
      </c>
      <c r="C7" s="20" t="s">
        <v>7</v>
      </c>
      <c r="D7" s="685" t="s">
        <v>8</v>
      </c>
      <c r="E7" s="685"/>
      <c r="G7" s="11"/>
      <c r="H7" s="24"/>
      <c r="I7" s="24"/>
      <c r="J7" s="24"/>
      <c r="K7" s="24"/>
      <c r="L7" s="24"/>
      <c r="M7" s="24"/>
      <c r="N7" s="24"/>
      <c r="O7" s="24"/>
      <c r="P7" s="24"/>
      <c r="Q7" s="24"/>
      <c r="R7" s="24"/>
      <c r="S7" s="24"/>
      <c r="T7" s="24"/>
      <c r="U7" s="24"/>
      <c r="V7" s="24"/>
      <c r="W7" s="24"/>
      <c r="X7" s="24"/>
    </row>
    <row r="8" spans="1:24">
      <c r="B8" s="23" t="s">
        <v>9</v>
      </c>
      <c r="C8" s="20" t="s">
        <v>10</v>
      </c>
      <c r="D8" s="684" t="s">
        <v>11</v>
      </c>
      <c r="E8" s="684"/>
      <c r="G8" s="25"/>
      <c r="H8" s="24"/>
      <c r="I8" s="24"/>
      <c r="J8" s="24"/>
      <c r="K8" s="24"/>
      <c r="L8" s="24"/>
      <c r="M8" s="24"/>
      <c r="N8" s="24"/>
      <c r="O8" s="24"/>
      <c r="P8" s="24"/>
      <c r="Q8" s="24"/>
      <c r="R8" s="24"/>
      <c r="S8" s="24"/>
      <c r="T8" s="24"/>
      <c r="U8" s="24"/>
      <c r="V8" s="24"/>
      <c r="W8" s="24"/>
      <c r="X8" s="24"/>
    </row>
    <row r="9" spans="1:24">
      <c r="B9" s="19" t="s">
        <v>12</v>
      </c>
      <c r="C9" s="20" t="s">
        <v>13</v>
      </c>
      <c r="D9" s="679" t="s">
        <v>14</v>
      </c>
      <c r="E9" s="679"/>
    </row>
    <row r="10" spans="1:24">
      <c r="B10" s="23" t="s">
        <v>15</v>
      </c>
      <c r="C10" s="5" t="s">
        <v>16</v>
      </c>
      <c r="D10" s="680">
        <v>45761</v>
      </c>
      <c r="E10" s="680"/>
    </row>
    <row r="11" spans="1:24">
      <c r="B11" s="23" t="s">
        <v>17</v>
      </c>
      <c r="C11" s="20" t="s">
        <v>18</v>
      </c>
      <c r="D11" s="681" t="s">
        <v>19</v>
      </c>
      <c r="E11" s="681"/>
    </row>
    <row r="12" spans="1:24">
      <c r="B12" s="19" t="s">
        <v>20</v>
      </c>
      <c r="C12" s="20" t="s">
        <v>21</v>
      </c>
      <c r="D12" s="682">
        <v>60</v>
      </c>
      <c r="E12" s="682"/>
    </row>
    <row r="13" spans="1:24">
      <c r="B13" s="23" t="s">
        <v>22</v>
      </c>
      <c r="C13" s="20" t="s">
        <v>23</v>
      </c>
      <c r="D13" s="681" t="s">
        <v>24</v>
      </c>
      <c r="E13" s="681"/>
    </row>
    <row r="14" spans="1:24">
      <c r="B14" s="19" t="s">
        <v>25</v>
      </c>
      <c r="C14" s="20" t="s">
        <v>26</v>
      </c>
      <c r="D14" s="676"/>
      <c r="E14" s="676"/>
    </row>
    <row r="15" spans="1:24">
      <c r="B15" s="19" t="s">
        <v>27</v>
      </c>
      <c r="C15" s="20" t="s">
        <v>28</v>
      </c>
      <c r="D15" s="677">
        <v>1518</v>
      </c>
      <c r="E15" s="677"/>
    </row>
    <row r="16" spans="1:24">
      <c r="A16" s="26"/>
      <c r="B16" s="27"/>
      <c r="C16" s="28"/>
      <c r="D16" s="29"/>
      <c r="E16" s="28"/>
      <c r="F16" s="30"/>
      <c r="G16" s="30"/>
      <c r="H16" s="30"/>
      <c r="I16" s="30"/>
      <c r="J16" s="30"/>
      <c r="K16" s="30"/>
      <c r="L16" s="30"/>
      <c r="M16" s="30"/>
      <c r="N16" s="30"/>
      <c r="O16" s="30"/>
      <c r="P16" s="30"/>
      <c r="Q16" s="30"/>
      <c r="R16" s="30"/>
      <c r="S16" s="30"/>
      <c r="T16" s="30"/>
      <c r="U16" s="30"/>
      <c r="V16" s="30"/>
      <c r="W16" s="30"/>
      <c r="X16" s="30"/>
    </row>
    <row r="17" spans="1:24" s="12" customFormat="1">
      <c r="A17" s="31"/>
      <c r="B17" s="14"/>
      <c r="C17" s="15" t="s">
        <v>29</v>
      </c>
      <c r="D17" s="16"/>
      <c r="E17" s="32" t="s">
        <v>30</v>
      </c>
      <c r="F17" s="32" t="s">
        <v>31</v>
      </c>
      <c r="G17" s="32" t="s">
        <v>32</v>
      </c>
      <c r="H17" s="32" t="s">
        <v>33</v>
      </c>
      <c r="I17" s="32" t="s">
        <v>34</v>
      </c>
      <c r="J17" s="32" t="s">
        <v>35</v>
      </c>
      <c r="K17" s="32" t="s">
        <v>36</v>
      </c>
      <c r="L17" s="32" t="s">
        <v>37</v>
      </c>
      <c r="M17" s="32" t="s">
        <v>38</v>
      </c>
      <c r="N17" s="32" t="s">
        <v>39</v>
      </c>
      <c r="O17" s="32" t="s">
        <v>40</v>
      </c>
      <c r="P17" s="32" t="s">
        <v>41</v>
      </c>
      <c r="Q17" s="32" t="s">
        <v>42</v>
      </c>
      <c r="R17" s="32" t="s">
        <v>43</v>
      </c>
      <c r="S17" s="32" t="s">
        <v>44</v>
      </c>
      <c r="T17" s="32" t="s">
        <v>45</v>
      </c>
      <c r="U17" s="32" t="s">
        <v>46</v>
      </c>
      <c r="V17" s="32" t="s">
        <v>47</v>
      </c>
      <c r="W17" s="32" t="s">
        <v>48</v>
      </c>
      <c r="X17" s="32" t="s">
        <v>49</v>
      </c>
    </row>
    <row r="18" spans="1:24" s="38" customFormat="1">
      <c r="A18" s="33"/>
      <c r="B18" s="34" t="s">
        <v>1</v>
      </c>
      <c r="C18" s="35" t="s">
        <v>50</v>
      </c>
      <c r="D18" s="36"/>
      <c r="E18" s="37" t="s">
        <v>51</v>
      </c>
      <c r="F18" s="37"/>
      <c r="G18" s="37"/>
      <c r="H18" s="37"/>
      <c r="I18" s="37"/>
      <c r="J18" s="37"/>
      <c r="K18" s="37"/>
      <c r="L18" s="37"/>
      <c r="M18" s="37"/>
      <c r="N18" s="37"/>
      <c r="O18" s="37"/>
      <c r="P18" s="37"/>
      <c r="Q18" s="37"/>
      <c r="R18" s="37"/>
      <c r="S18" s="37"/>
      <c r="T18" s="37"/>
      <c r="U18" s="37"/>
      <c r="V18" s="37"/>
      <c r="W18" s="37"/>
      <c r="X18" s="37"/>
    </row>
    <row r="19" spans="1:24" s="43" customFormat="1">
      <c r="A19" s="39"/>
      <c r="B19" s="40" t="s">
        <v>4</v>
      </c>
      <c r="C19" s="41" t="s">
        <v>52</v>
      </c>
      <c r="D19" s="42"/>
      <c r="E19" s="37"/>
      <c r="F19" s="37"/>
      <c r="G19" s="37"/>
      <c r="H19" s="37"/>
      <c r="I19" s="37"/>
      <c r="J19" s="37"/>
      <c r="K19" s="37"/>
      <c r="L19" s="37"/>
      <c r="M19" s="37"/>
      <c r="N19" s="37"/>
      <c r="O19" s="37"/>
      <c r="P19" s="37"/>
      <c r="Q19" s="37"/>
      <c r="R19" s="37"/>
      <c r="S19" s="37"/>
      <c r="T19" s="37"/>
      <c r="U19" s="37"/>
      <c r="V19" s="37"/>
      <c r="W19" s="37"/>
      <c r="X19" s="37"/>
    </row>
    <row r="20" spans="1:24">
      <c r="A20" s="44"/>
      <c r="B20" s="19" t="s">
        <v>6</v>
      </c>
      <c r="C20" s="45" t="s">
        <v>53</v>
      </c>
      <c r="D20" s="46"/>
      <c r="E20" s="47">
        <f>IFERROR(VLOOKUP(E$18,'Apoio - Posto'!$A:$J,2,0),"")</f>
        <v>7823</v>
      </c>
      <c r="F20" s="47" t="str">
        <f>IFERROR(VLOOKUP(F$18,'Apoio - Posto'!$A:$J,2,0),"")</f>
        <v/>
      </c>
      <c r="G20" s="47" t="str">
        <f>IFERROR(VLOOKUP(G$18,'Apoio - Posto'!$A:$J,2,0),"")</f>
        <v/>
      </c>
      <c r="H20" s="47" t="str">
        <f>IFERROR(VLOOKUP(H$18,'Apoio - Posto'!$A:$J,2,0),"")</f>
        <v/>
      </c>
      <c r="I20" s="47" t="str">
        <f>IFERROR(VLOOKUP(I$18,'Apoio - Posto'!$A:$J,2,0),"")</f>
        <v/>
      </c>
      <c r="J20" s="47" t="str">
        <f>IFERROR(VLOOKUP(J$18,'Apoio - Posto'!$A:$J,2,0),"")</f>
        <v/>
      </c>
      <c r="K20" s="47" t="str">
        <f>IFERROR(VLOOKUP(K$18,'Apoio - Posto'!$A:$J,2,0),"")</f>
        <v/>
      </c>
      <c r="L20" s="47" t="str">
        <f>IFERROR(VLOOKUP(L$18,'Apoio - Posto'!$A:$J,2,0),"")</f>
        <v/>
      </c>
      <c r="M20" s="47" t="str">
        <f>IFERROR(VLOOKUP(M$18,'Apoio - Posto'!$A:$J,2,0),"")</f>
        <v/>
      </c>
      <c r="N20" s="47" t="str">
        <f>IFERROR(VLOOKUP(N$18,'Apoio - Posto'!$A:$J,2,0),"")</f>
        <v/>
      </c>
      <c r="O20" s="47" t="str">
        <f>IFERROR(VLOOKUP(O$18,'Apoio - Posto'!$A:$J,2,0),"")</f>
        <v/>
      </c>
      <c r="P20" s="47" t="str">
        <f>IFERROR(VLOOKUP(P$18,'Apoio - Posto'!$A:$J,2,0),"")</f>
        <v/>
      </c>
      <c r="Q20" s="47" t="str">
        <f>IFERROR(VLOOKUP(Q$18,'Apoio - Posto'!$A:$J,2,0),"")</f>
        <v/>
      </c>
      <c r="R20" s="47" t="str">
        <f>IFERROR(VLOOKUP(R$18,'Apoio - Posto'!$A:$J,2,0),"")</f>
        <v/>
      </c>
      <c r="S20" s="47" t="str">
        <f>IFERROR(VLOOKUP(S$18,'Apoio - Posto'!$A:$J,2,0),"")</f>
        <v/>
      </c>
      <c r="T20" s="47" t="str">
        <f>IFERROR(VLOOKUP(T$18,'Apoio - Posto'!$A:$J,2,0),"")</f>
        <v/>
      </c>
      <c r="U20" s="47" t="str">
        <f>IFERROR(VLOOKUP(U$18,'Apoio - Posto'!$A:$J,2,0),"")</f>
        <v/>
      </c>
      <c r="V20" s="47" t="str">
        <f>IFERROR(VLOOKUP(V$18,'Apoio - Posto'!$A:$J,2,0),"")</f>
        <v/>
      </c>
      <c r="W20" s="47" t="str">
        <f>IFERROR(VLOOKUP(W$18,'Apoio - Posto'!$A:$J,2,0),"")</f>
        <v/>
      </c>
      <c r="X20" s="47" t="str">
        <f>IFERROR(VLOOKUP(X$18,'Apoio - Posto'!$A:$J,2,0),"")</f>
        <v/>
      </c>
    </row>
    <row r="21" spans="1:24">
      <c r="A21" s="48"/>
      <c r="B21" s="23" t="s">
        <v>9</v>
      </c>
      <c r="C21" s="49" t="s">
        <v>54</v>
      </c>
      <c r="D21" s="50"/>
      <c r="E21" s="2">
        <f>IFERROR(VLOOKUP(E$18,'Apoio - Posto'!$A:$AA,7,0),"")</f>
        <v>2159.19</v>
      </c>
      <c r="F21" s="2" t="str">
        <f>IFERROR(VLOOKUP(F$18,'Apoio - Posto'!$A:$AA,7,0),"")</f>
        <v/>
      </c>
      <c r="G21" s="2" t="str">
        <f>IFERROR(VLOOKUP(G$18,'Apoio - Posto'!$A:$AA,7,0),"")</f>
        <v/>
      </c>
      <c r="H21" s="2" t="str">
        <f>IFERROR(VLOOKUP(H$18,'Apoio - Posto'!$A:$AA,7,0),"")</f>
        <v/>
      </c>
      <c r="I21" s="2" t="str">
        <f>IFERROR(VLOOKUP(I$18,'Apoio - Posto'!$A:$AA,7,0),"")</f>
        <v/>
      </c>
      <c r="J21" s="2" t="str">
        <f>IFERROR(VLOOKUP(J$18,'Apoio - Posto'!$A:$AA,7,0),"")</f>
        <v/>
      </c>
      <c r="K21" s="2" t="str">
        <f>IFERROR(VLOOKUP(K$18,'Apoio - Posto'!$A:$AA,7,0),"")</f>
        <v/>
      </c>
      <c r="L21" s="2" t="str">
        <f>IFERROR(VLOOKUP(L$18,'Apoio - Posto'!$A:$AA,7,0),"")</f>
        <v/>
      </c>
      <c r="M21" s="2" t="str">
        <f>IFERROR(VLOOKUP(M$18,'Apoio - Posto'!$A:$AA,7,0),"")</f>
        <v/>
      </c>
      <c r="N21" s="2" t="str">
        <f>IFERROR(VLOOKUP(N$18,'Apoio - Posto'!$A:$AA,7,0),"")</f>
        <v/>
      </c>
      <c r="O21" s="2" t="str">
        <f>IFERROR(VLOOKUP(O$18,'Apoio - Posto'!$A:$AA,7,0),"")</f>
        <v/>
      </c>
      <c r="P21" s="2" t="str">
        <f>IFERROR(VLOOKUP(P$18,'Apoio - Posto'!$A:$AA,7,0),"")</f>
        <v/>
      </c>
      <c r="Q21" s="2" t="str">
        <f>IFERROR(VLOOKUP(Q$18,'Apoio - Posto'!$A:$AA,7,0),"")</f>
        <v/>
      </c>
      <c r="R21" s="2" t="str">
        <f>IFERROR(VLOOKUP(R$18,'Apoio - Posto'!$A:$AA,7,0),"")</f>
        <v/>
      </c>
      <c r="S21" s="2" t="str">
        <f>IFERROR(VLOOKUP(S$18,'Apoio - Posto'!$A:$AA,7,0),"")</f>
        <v/>
      </c>
      <c r="T21" s="2" t="str">
        <f>IFERROR(VLOOKUP(T$18,'Apoio - Posto'!$A:$AA,7,0),"")</f>
        <v/>
      </c>
      <c r="U21" s="2" t="str">
        <f>IFERROR(VLOOKUP(U$18,'Apoio - Posto'!$A:$AA,7,0),"")</f>
        <v/>
      </c>
      <c r="V21" s="2" t="str">
        <f>IFERROR(VLOOKUP(V$18,'Apoio - Posto'!$A:$AA,7,0),"")</f>
        <v/>
      </c>
      <c r="W21" s="2" t="str">
        <f>IFERROR(VLOOKUP(W$18,'Apoio - Posto'!$A:$AA,7,0),"")</f>
        <v/>
      </c>
      <c r="X21" s="2" t="str">
        <f>IFERROR(VLOOKUP(X$18,'Apoio - Posto'!$A:$AA,7,0),"")</f>
        <v/>
      </c>
    </row>
    <row r="22" spans="1:24">
      <c r="A22" s="44"/>
      <c r="B22" s="19" t="s">
        <v>12</v>
      </c>
      <c r="C22" s="45" t="s">
        <v>55</v>
      </c>
      <c r="D22" s="46"/>
      <c r="E22" s="51">
        <f>IFERROR(VLOOKUP(E$18,'Apoio - Posto'!$A:$AA,8,0),"")</f>
        <v>220</v>
      </c>
      <c r="F22" s="51" t="str">
        <f>IFERROR(VLOOKUP(F$18,'Apoio - Posto'!$A:$AA,8,0),"")</f>
        <v/>
      </c>
      <c r="G22" s="51" t="str">
        <f>IFERROR(VLOOKUP(G$18,'Apoio - Posto'!$A:$AA,8,0),"")</f>
        <v/>
      </c>
      <c r="H22" s="51" t="str">
        <f>IFERROR(VLOOKUP(H$18,'Apoio - Posto'!$A:$AA,8,0),"")</f>
        <v/>
      </c>
      <c r="I22" s="51" t="str">
        <f>IFERROR(VLOOKUP(I$18,'Apoio - Posto'!$A:$AA,8,0),"")</f>
        <v/>
      </c>
      <c r="J22" s="51" t="str">
        <f>IFERROR(VLOOKUP(J$18,'Apoio - Posto'!$A:$AA,8,0),"")</f>
        <v/>
      </c>
      <c r="K22" s="51" t="str">
        <f>IFERROR(VLOOKUP(K$18,'Apoio - Posto'!$A:$AA,8,0),"")</f>
        <v/>
      </c>
      <c r="L22" s="51" t="str">
        <f>IFERROR(VLOOKUP(L$18,'Apoio - Posto'!$A:$AA,8,0),"")</f>
        <v/>
      </c>
      <c r="M22" s="51" t="str">
        <f>IFERROR(VLOOKUP(M$18,'Apoio - Posto'!$A:$AA,8,0),"")</f>
        <v/>
      </c>
      <c r="N22" s="51" t="str">
        <f>IFERROR(VLOOKUP(N$18,'Apoio - Posto'!$A:$AA,8,0),"")</f>
        <v/>
      </c>
      <c r="O22" s="51" t="str">
        <f>IFERROR(VLOOKUP(O$18,'Apoio - Posto'!$A:$AA,8,0),"")</f>
        <v/>
      </c>
      <c r="P22" s="51" t="str">
        <f>IFERROR(VLOOKUP(P$18,'Apoio - Posto'!$A:$AA,8,0),"")</f>
        <v/>
      </c>
      <c r="Q22" s="51" t="str">
        <f>IFERROR(VLOOKUP(Q$18,'Apoio - Posto'!$A:$AA,8,0),"")</f>
        <v/>
      </c>
      <c r="R22" s="51" t="str">
        <f>IFERROR(VLOOKUP(R$18,'Apoio - Posto'!$A:$AA,8,0),"")</f>
        <v/>
      </c>
      <c r="S22" s="51" t="str">
        <f>IFERROR(VLOOKUP(S$18,'Apoio - Posto'!$A:$AA,8,0),"")</f>
        <v/>
      </c>
      <c r="T22" s="51" t="str">
        <f>IFERROR(VLOOKUP(T$18,'Apoio - Posto'!$A:$AA,8,0),"")</f>
        <v/>
      </c>
      <c r="U22" s="51" t="str">
        <f>IFERROR(VLOOKUP(U$18,'Apoio - Posto'!$A:$AA,8,0),"")</f>
        <v/>
      </c>
      <c r="V22" s="51" t="str">
        <f>IFERROR(VLOOKUP(V$18,'Apoio - Posto'!$A:$AA,8,0),"")</f>
        <v/>
      </c>
      <c r="W22" s="51" t="str">
        <f>IFERROR(VLOOKUP(W$18,'Apoio - Posto'!$A:$AA,8,0),"")</f>
        <v/>
      </c>
      <c r="X22" s="51" t="str">
        <f>IFERROR(VLOOKUP(X$18,'Apoio - Posto'!$A:$AA,8,0),"")</f>
        <v/>
      </c>
    </row>
    <row r="23" spans="1:24">
      <c r="A23" s="48"/>
      <c r="B23" s="23" t="s">
        <v>15</v>
      </c>
      <c r="C23" s="49" t="s">
        <v>56</v>
      </c>
      <c r="D23" s="50"/>
      <c r="E23" s="52" t="s">
        <v>57</v>
      </c>
      <c r="F23" s="52" t="str">
        <f>IFERROR(VLOOKUP(F$18,'Apoio - Posto'!$A:$J,3,0),"")</f>
        <v/>
      </c>
      <c r="G23" s="52" t="str">
        <f>IFERROR(VLOOKUP(G$18,'Apoio - Posto'!$A:$J,3,0),"")</f>
        <v/>
      </c>
      <c r="H23" s="52" t="str">
        <f>IFERROR(VLOOKUP(H$18,'Apoio - Posto'!$A:$J,3,0),"")</f>
        <v/>
      </c>
      <c r="I23" s="52" t="str">
        <f>IFERROR(VLOOKUP(I$18,'Apoio - Posto'!$A:$J,3,0),"")</f>
        <v/>
      </c>
      <c r="J23" s="52" t="str">
        <f>IFERROR(VLOOKUP(J$18,'Apoio - Posto'!$A:$J,3,0),"")</f>
        <v/>
      </c>
      <c r="K23" s="52" t="str">
        <f>IFERROR(VLOOKUP(K$18,'Apoio - Posto'!$A:$J,3,0),"")</f>
        <v/>
      </c>
      <c r="L23" s="52" t="str">
        <f>IFERROR(VLOOKUP(L$18,'Apoio - Posto'!$A:$J,3,0),"")</f>
        <v/>
      </c>
      <c r="M23" s="52" t="str">
        <f>IFERROR(VLOOKUP(M$18,'Apoio - Posto'!$A:$J,3,0),"")</f>
        <v/>
      </c>
      <c r="N23" s="52" t="str">
        <f>IFERROR(VLOOKUP(N$18,'Apoio - Posto'!$A:$J,3,0),"")</f>
        <v/>
      </c>
      <c r="O23" s="52" t="str">
        <f>IFERROR(VLOOKUP(O$18,'Apoio - Posto'!$A:$J,3,0),"")</f>
        <v/>
      </c>
      <c r="P23" s="52" t="str">
        <f>IFERROR(VLOOKUP(P$18,'Apoio - Posto'!$A:$J,3,0),"")</f>
        <v/>
      </c>
      <c r="Q23" s="52" t="str">
        <f>IFERROR(VLOOKUP(Q$18,'Apoio - Posto'!$A:$J,3,0),"")</f>
        <v/>
      </c>
      <c r="R23" s="52" t="str">
        <f>IFERROR(VLOOKUP(R$18,'Apoio - Posto'!$A:$J,3,0),"")</f>
        <v/>
      </c>
      <c r="S23" s="52" t="str">
        <f>IFERROR(VLOOKUP(S$18,'Apoio - Posto'!$A:$J,3,0),"")</f>
        <v/>
      </c>
      <c r="T23" s="52" t="str">
        <f>IFERROR(VLOOKUP(T$18,'Apoio - Posto'!$A:$J,3,0),"")</f>
        <v/>
      </c>
      <c r="U23" s="52" t="str">
        <f>IFERROR(VLOOKUP(U$18,'Apoio - Posto'!$A:$J,3,0),"")</f>
        <v/>
      </c>
      <c r="V23" s="52" t="str">
        <f>IFERROR(VLOOKUP(V$18,'Apoio - Posto'!$A:$J,3,0),"")</f>
        <v/>
      </c>
      <c r="W23" s="52" t="str">
        <f>IFERROR(VLOOKUP(W$18,'Apoio - Posto'!$A:$J,3,0),"")</f>
        <v/>
      </c>
      <c r="X23" s="52" t="str">
        <f>IFERROR(VLOOKUP(X$18,'Apoio - Posto'!$A:$J,3,0),"")</f>
        <v/>
      </c>
    </row>
    <row r="24" spans="1:24">
      <c r="A24" s="44"/>
      <c r="B24" s="19" t="s">
        <v>17</v>
      </c>
      <c r="C24" s="45" t="s">
        <v>58</v>
      </c>
      <c r="D24" s="46"/>
      <c r="E24" s="53">
        <f>IFERROR(VLOOKUP(E$18,'Apoio - Posto'!$A:$J,5,0),"")</f>
        <v>45566</v>
      </c>
      <c r="F24" s="53" t="str">
        <f>IFERROR(VLOOKUP(F$18,'Apoio - Posto'!$A:$J,5,0),"")</f>
        <v/>
      </c>
      <c r="G24" s="53" t="str">
        <f>IFERROR(VLOOKUP(G$18,'Apoio - Posto'!$A:$J,5,0),"")</f>
        <v/>
      </c>
      <c r="H24" s="53" t="str">
        <f>IFERROR(VLOOKUP(H$18,'Apoio - Posto'!$A:$J,5,0),"")</f>
        <v/>
      </c>
      <c r="I24" s="53" t="str">
        <f>IFERROR(VLOOKUP(I$18,'Apoio - Posto'!$A:$J,5,0),"")</f>
        <v/>
      </c>
      <c r="J24" s="53" t="str">
        <f>IFERROR(VLOOKUP(J$18,'Apoio - Posto'!$A:$J,5,0),"")</f>
        <v/>
      </c>
      <c r="K24" s="53" t="str">
        <f>IFERROR(VLOOKUP(K$18,'Apoio - Posto'!$A:$J,5,0),"")</f>
        <v/>
      </c>
      <c r="L24" s="53" t="str">
        <f>IFERROR(VLOOKUP(L$18,'Apoio - Posto'!$A:$J,5,0),"")</f>
        <v/>
      </c>
      <c r="M24" s="53" t="str">
        <f>IFERROR(VLOOKUP(M$18,'Apoio - Posto'!$A:$J,5,0),"")</f>
        <v/>
      </c>
      <c r="N24" s="53" t="str">
        <f>IFERROR(VLOOKUP(N$18,'Apoio - Posto'!$A:$J,5,0),"")</f>
        <v/>
      </c>
      <c r="O24" s="53" t="str">
        <f>IFERROR(VLOOKUP(O$18,'Apoio - Posto'!$A:$J,5,0),"")</f>
        <v/>
      </c>
      <c r="P24" s="53" t="str">
        <f>IFERROR(VLOOKUP(P$18,'Apoio - Posto'!$A:$J,5,0),"")</f>
        <v/>
      </c>
      <c r="Q24" s="53" t="str">
        <f>IFERROR(VLOOKUP(Q$18,'Apoio - Posto'!$A:$J,5,0),"")</f>
        <v/>
      </c>
      <c r="R24" s="53" t="str">
        <f>IFERROR(VLOOKUP(R$18,'Apoio - Posto'!$A:$J,5,0),"")</f>
        <v/>
      </c>
      <c r="S24" s="53" t="str">
        <f>IFERROR(VLOOKUP(S$18,'Apoio - Posto'!$A:$J,5,0),"")</f>
        <v/>
      </c>
      <c r="T24" s="53" t="str">
        <f>IFERROR(VLOOKUP(T$18,'Apoio - Posto'!$A:$J,5,0),"")</f>
        <v/>
      </c>
      <c r="U24" s="53" t="str">
        <f>IFERROR(VLOOKUP(U$18,'Apoio - Posto'!$A:$J,5,0),"")</f>
        <v/>
      </c>
      <c r="V24" s="53" t="str">
        <f>IFERROR(VLOOKUP(V$18,'Apoio - Posto'!$A:$J,5,0),"")</f>
        <v/>
      </c>
      <c r="W24" s="53" t="str">
        <f>IFERROR(VLOOKUP(W$18,'Apoio - Posto'!$A:$J,5,0),"")</f>
        <v/>
      </c>
      <c r="X24" s="53" t="str">
        <f>IFERROR(VLOOKUP(X$18,'Apoio - Posto'!$A:$J,5,0),"")</f>
        <v/>
      </c>
    </row>
    <row r="25" spans="1:24">
      <c r="A25" s="48"/>
      <c r="B25" s="19" t="s">
        <v>20</v>
      </c>
      <c r="C25" s="49" t="s">
        <v>59</v>
      </c>
      <c r="D25" s="50"/>
      <c r="E25" s="54" t="str">
        <f>IFERROR(VLOOKUP(E$18,'Apoio - Posto'!$A:$J,4,0),"")</f>
        <v xml:space="preserve"> RS000482/2025</v>
      </c>
      <c r="F25" s="54" t="str">
        <f>IFERROR(VLOOKUP(F$18,'Apoio - Posto'!$A:$J,4,0),"")</f>
        <v/>
      </c>
      <c r="G25" s="54" t="str">
        <f>IFERROR(VLOOKUP(G$18,'Apoio - Posto'!$A:$J,4,0),"")</f>
        <v/>
      </c>
      <c r="H25" s="54" t="str">
        <f>IFERROR(VLOOKUP(H$18,'Apoio - Posto'!$A:$J,4,0),"")</f>
        <v/>
      </c>
      <c r="I25" s="54" t="str">
        <f>IFERROR(VLOOKUP(I$18,'Apoio - Posto'!$A:$J,4,0),"")</f>
        <v/>
      </c>
      <c r="J25" s="54" t="str">
        <f>IFERROR(VLOOKUP(J$18,'Apoio - Posto'!$A:$J,4,0),"")</f>
        <v/>
      </c>
      <c r="K25" s="54" t="str">
        <f>IFERROR(VLOOKUP(K$18,'Apoio - Posto'!$A:$J,4,0),"")</f>
        <v/>
      </c>
      <c r="L25" s="54" t="str">
        <f>IFERROR(VLOOKUP(L$18,'Apoio - Posto'!$A:$J,4,0),"")</f>
        <v/>
      </c>
      <c r="M25" s="54" t="str">
        <f>IFERROR(VLOOKUP(M$18,'Apoio - Posto'!$A:$J,4,0),"")</f>
        <v/>
      </c>
      <c r="N25" s="54" t="str">
        <f>IFERROR(VLOOKUP(N$18,'Apoio - Posto'!$A:$J,4,0),"")</f>
        <v/>
      </c>
      <c r="O25" s="54" t="str">
        <f>IFERROR(VLOOKUP(O$18,'Apoio - Posto'!$A:$J,4,0),"")</f>
        <v/>
      </c>
      <c r="P25" s="54" t="str">
        <f>IFERROR(VLOOKUP(P$18,'Apoio - Posto'!$A:$J,4,0),"")</f>
        <v/>
      </c>
      <c r="Q25" s="54" t="str">
        <f>IFERROR(VLOOKUP(Q$18,'Apoio - Posto'!$A:$J,4,0),"")</f>
        <v/>
      </c>
      <c r="R25" s="54" t="str">
        <f>IFERROR(VLOOKUP(R$18,'Apoio - Posto'!$A:$J,4,0),"")</f>
        <v/>
      </c>
      <c r="S25" s="54" t="str">
        <f>IFERROR(VLOOKUP(S$18,'Apoio - Posto'!$A:$J,4,0),"")</f>
        <v/>
      </c>
      <c r="T25" s="54" t="str">
        <f>IFERROR(VLOOKUP(T$18,'Apoio - Posto'!$A:$J,4,0),"")</f>
        <v/>
      </c>
      <c r="U25" s="54" t="str">
        <f>IFERROR(VLOOKUP(U$18,'Apoio - Posto'!$A:$J,4,0),"")</f>
        <v/>
      </c>
      <c r="V25" s="54" t="str">
        <f>IFERROR(VLOOKUP(V$18,'Apoio - Posto'!$A:$J,4,0),"")</f>
        <v/>
      </c>
      <c r="W25" s="54" t="str">
        <f>IFERROR(VLOOKUP(W$18,'Apoio - Posto'!$A:$J,4,0),"")</f>
        <v/>
      </c>
      <c r="X25" s="54" t="str">
        <f>IFERROR(VLOOKUP(X$18,'Apoio - Posto'!$A:$J,4,0),"")</f>
        <v/>
      </c>
    </row>
    <row r="26" spans="1:24">
      <c r="A26" s="44"/>
      <c r="B26" s="19" t="s">
        <v>22</v>
      </c>
      <c r="C26" s="49" t="s">
        <v>60</v>
      </c>
      <c r="D26" s="50"/>
      <c r="E26" s="55" t="s">
        <v>61</v>
      </c>
      <c r="F26" s="55"/>
      <c r="G26" s="55"/>
      <c r="H26" s="55"/>
      <c r="I26" s="55"/>
      <c r="J26" s="55"/>
      <c r="K26" s="55"/>
      <c r="L26" s="55"/>
      <c r="M26" s="55"/>
      <c r="N26" s="55"/>
      <c r="O26" s="55"/>
      <c r="P26" s="55"/>
      <c r="Q26" s="55"/>
      <c r="R26" s="55"/>
      <c r="S26" s="55"/>
      <c r="T26" s="55"/>
      <c r="U26" s="55"/>
      <c r="V26" s="55"/>
      <c r="W26" s="55"/>
      <c r="X26" s="55"/>
    </row>
    <row r="27" spans="1:24">
      <c r="A27" s="48"/>
      <c r="B27" s="23" t="s">
        <v>25</v>
      </c>
      <c r="C27" s="45" t="s">
        <v>62</v>
      </c>
      <c r="D27" s="46"/>
      <c r="E27" s="47">
        <v>1</v>
      </c>
      <c r="F27" s="47"/>
      <c r="G27" s="47"/>
      <c r="H27" s="47"/>
      <c r="I27" s="47"/>
      <c r="J27" s="47"/>
      <c r="K27" s="47"/>
      <c r="L27" s="47"/>
      <c r="M27" s="47"/>
      <c r="N27" s="47"/>
      <c r="O27" s="47"/>
      <c r="P27" s="47"/>
      <c r="Q27" s="47"/>
      <c r="R27" s="47"/>
      <c r="S27" s="47"/>
      <c r="T27" s="47"/>
      <c r="U27" s="47"/>
      <c r="V27" s="47"/>
      <c r="W27" s="47"/>
      <c r="X27" s="47"/>
    </row>
    <row r="28" spans="1:24">
      <c r="A28" s="44"/>
      <c r="B28" s="23" t="s">
        <v>27</v>
      </c>
      <c r="C28" s="45" t="s">
        <v>63</v>
      </c>
      <c r="D28" s="46"/>
      <c r="E28" s="47">
        <f>IFERROR(VLOOKUP(E26,'Apoio - Regime de Trabalho'!$A:$I,2,0),"")</f>
        <v>1</v>
      </c>
      <c r="F28" s="47" t="str">
        <f>IFERROR(VLOOKUP(F26,'Apoio - Regime de Trabalho'!$A:$I,2,0),"")</f>
        <v/>
      </c>
      <c r="G28" s="47" t="str">
        <f>IFERROR(VLOOKUP(G26,'Apoio - Regime de Trabalho'!$A:$I,2,0),"")</f>
        <v/>
      </c>
      <c r="H28" s="47" t="str">
        <f>IFERROR(VLOOKUP(H26,'Apoio - Regime de Trabalho'!$A:$I,2,0),"")</f>
        <v/>
      </c>
      <c r="I28" s="47" t="str">
        <f>IFERROR(VLOOKUP(I26,'Apoio - Regime de Trabalho'!$A:$I,2,0),"")</f>
        <v/>
      </c>
      <c r="J28" s="47" t="str">
        <f>IFERROR(VLOOKUP(J26,'Apoio - Regime de Trabalho'!$A:$I,2,0),"")</f>
        <v/>
      </c>
      <c r="K28" s="47" t="str">
        <f>IFERROR(VLOOKUP(K26,'Apoio - Regime de Trabalho'!$A:$I,2,0),"")</f>
        <v/>
      </c>
      <c r="L28" s="47" t="str">
        <f>IFERROR(VLOOKUP(L26,'Apoio - Regime de Trabalho'!$A:$I,2,0),"")</f>
        <v/>
      </c>
      <c r="M28" s="47" t="str">
        <f>IFERROR(VLOOKUP(M26,'Apoio - Regime de Trabalho'!$A:$I,2,0),"")</f>
        <v/>
      </c>
      <c r="N28" s="47" t="str">
        <f>IFERROR(VLOOKUP(N26,'Apoio - Regime de Trabalho'!$A:$I,2,0),"")</f>
        <v/>
      </c>
      <c r="O28" s="47" t="str">
        <f>IFERROR(VLOOKUP(O26,'Apoio - Regime de Trabalho'!$A:$I,2,0),"")</f>
        <v/>
      </c>
      <c r="P28" s="47" t="str">
        <f>IFERROR(VLOOKUP(P26,'Apoio - Regime de Trabalho'!$A:$I,2,0),"")</f>
        <v/>
      </c>
      <c r="Q28" s="47" t="str">
        <f>IFERROR(VLOOKUP(Q26,'Apoio - Regime de Trabalho'!$A:$I,2,0),"")</f>
        <v/>
      </c>
      <c r="R28" s="47" t="str">
        <f>IFERROR(VLOOKUP(R26,'Apoio - Regime de Trabalho'!$A:$I,2,0),"")</f>
        <v/>
      </c>
      <c r="S28" s="47" t="str">
        <f>IFERROR(VLOOKUP(S26,'Apoio - Regime de Trabalho'!$A:$I,2,0),"")</f>
        <v/>
      </c>
      <c r="T28" s="47" t="str">
        <f>IFERROR(VLOOKUP(T26,'Apoio - Regime de Trabalho'!$A:$I,2,0),"")</f>
        <v/>
      </c>
      <c r="U28" s="47" t="str">
        <f>IFERROR(VLOOKUP(U26,'Apoio - Regime de Trabalho'!$A:$I,2,0),"")</f>
        <v/>
      </c>
      <c r="V28" s="47" t="str">
        <f>IFERROR(VLOOKUP(V26,'Apoio - Regime de Trabalho'!$A:$I,2,0),"")</f>
        <v/>
      </c>
      <c r="W28" s="47" t="str">
        <f>IFERROR(VLOOKUP(W26,'Apoio - Regime de Trabalho'!$A:$I,2,0),"")</f>
        <v/>
      </c>
      <c r="X28" s="47" t="str">
        <f>IFERROR(VLOOKUP(X26,'Apoio - Regime de Trabalho'!$A:$I,2,0),"")</f>
        <v/>
      </c>
    </row>
    <row r="29" spans="1:24">
      <c r="A29" s="44"/>
      <c r="B29" s="23" t="s">
        <v>64</v>
      </c>
      <c r="C29" s="45" t="s">
        <v>65</v>
      </c>
      <c r="D29" s="46"/>
      <c r="E29" s="47">
        <f t="shared" ref="E29:X29" si="0">IFERROR(IF(E18="","",E28*E27),"")</f>
        <v>1</v>
      </c>
      <c r="F29" s="47" t="str">
        <f t="shared" si="0"/>
        <v/>
      </c>
      <c r="G29" s="47" t="str">
        <f t="shared" si="0"/>
        <v/>
      </c>
      <c r="H29" s="47" t="str">
        <f t="shared" si="0"/>
        <v/>
      </c>
      <c r="I29" s="47" t="str">
        <f t="shared" si="0"/>
        <v/>
      </c>
      <c r="J29" s="47" t="str">
        <f t="shared" si="0"/>
        <v/>
      </c>
      <c r="K29" s="47" t="str">
        <f t="shared" si="0"/>
        <v/>
      </c>
      <c r="L29" s="47" t="str">
        <f t="shared" si="0"/>
        <v/>
      </c>
      <c r="M29" s="47" t="str">
        <f t="shared" si="0"/>
        <v/>
      </c>
      <c r="N29" s="47" t="str">
        <f t="shared" si="0"/>
        <v/>
      </c>
      <c r="O29" s="47" t="str">
        <f t="shared" si="0"/>
        <v/>
      </c>
      <c r="P29" s="47" t="str">
        <f t="shared" si="0"/>
        <v/>
      </c>
      <c r="Q29" s="47" t="str">
        <f t="shared" si="0"/>
        <v/>
      </c>
      <c r="R29" s="47" t="str">
        <f t="shared" si="0"/>
        <v/>
      </c>
      <c r="S29" s="47" t="str">
        <f t="shared" si="0"/>
        <v/>
      </c>
      <c r="T29" s="47" t="str">
        <f t="shared" si="0"/>
        <v/>
      </c>
      <c r="U29" s="47" t="str">
        <f t="shared" si="0"/>
        <v/>
      </c>
      <c r="V29" s="47" t="str">
        <f t="shared" si="0"/>
        <v/>
      </c>
      <c r="W29" s="47" t="str">
        <f t="shared" si="0"/>
        <v/>
      </c>
      <c r="X29" s="47" t="str">
        <f t="shared" si="0"/>
        <v/>
      </c>
    </row>
    <row r="30" spans="1:24">
      <c r="B30" s="56"/>
      <c r="C30" s="57"/>
      <c r="D30" s="58"/>
      <c r="E30" s="59"/>
      <c r="F30" s="59"/>
      <c r="G30" s="59"/>
      <c r="H30" s="59"/>
      <c r="I30" s="59"/>
      <c r="J30" s="59"/>
      <c r="K30" s="59"/>
      <c r="L30" s="59"/>
      <c r="M30" s="59"/>
      <c r="N30" s="59"/>
      <c r="O30" s="59"/>
      <c r="P30" s="59"/>
      <c r="Q30" s="59"/>
      <c r="R30" s="59"/>
      <c r="S30" s="59"/>
      <c r="T30" s="59"/>
      <c r="U30" s="59"/>
      <c r="V30" s="59"/>
      <c r="W30" s="59"/>
      <c r="X30" s="59"/>
    </row>
    <row r="31" spans="1:24" s="12" customFormat="1">
      <c r="A31" s="60"/>
      <c r="B31" s="14"/>
      <c r="C31" s="15" t="s">
        <v>66</v>
      </c>
      <c r="D31" s="61"/>
      <c r="E31" s="62"/>
      <c r="F31" s="62"/>
      <c r="G31" s="62"/>
      <c r="H31" s="62"/>
      <c r="I31" s="62"/>
      <c r="J31" s="62"/>
      <c r="K31" s="62"/>
      <c r="L31" s="62"/>
      <c r="M31" s="62"/>
      <c r="N31" s="62"/>
      <c r="O31" s="62"/>
      <c r="P31" s="62"/>
      <c r="Q31" s="62"/>
      <c r="R31" s="62"/>
      <c r="S31" s="62"/>
      <c r="T31" s="62"/>
      <c r="U31" s="62"/>
      <c r="V31" s="62"/>
      <c r="W31" s="62"/>
      <c r="X31" s="62"/>
    </row>
    <row r="32" spans="1:24">
      <c r="A32" s="63"/>
      <c r="B32" s="64" t="s">
        <v>1</v>
      </c>
      <c r="C32" s="65" t="s">
        <v>67</v>
      </c>
      <c r="D32" s="66"/>
      <c r="E32" s="67">
        <f>IFERROR(E21*VLOOKUP(E26,'Apoio - Regime de Trabalho'!$A:$I,8,0)/(E22),"")</f>
        <v>2159.19</v>
      </c>
      <c r="F32" s="67" t="str">
        <f>IFERROR(F21*VLOOKUP(F26,'Apoio - Regime de Trabalho'!$A:$I,8,0)/(F22),"")</f>
        <v/>
      </c>
      <c r="G32" s="67" t="str">
        <f>IFERROR(G21*VLOOKUP(G26,'Apoio - Regime de Trabalho'!$A:$I,8,0)/(G22),"")</f>
        <v/>
      </c>
      <c r="H32" s="67" t="str">
        <f>IFERROR(H21*VLOOKUP(H26,'Apoio - Regime de Trabalho'!$A:$I,8,0)/(H22),"")</f>
        <v/>
      </c>
      <c r="I32" s="67" t="str">
        <f>IFERROR(I21*VLOOKUP(I26,'Apoio - Regime de Trabalho'!$A:$I,8,0)/(I22),"")</f>
        <v/>
      </c>
      <c r="J32" s="67" t="str">
        <f>IFERROR(J21*VLOOKUP(J26,'Apoio - Regime de Trabalho'!$A:$I,8,0)/(J22),"")</f>
        <v/>
      </c>
      <c r="K32" s="67" t="str">
        <f>IFERROR(K21*VLOOKUP(K26,'Apoio - Regime de Trabalho'!$A:$I,8,0)/(K22),"")</f>
        <v/>
      </c>
      <c r="L32" s="67" t="str">
        <f>IFERROR(L21*VLOOKUP(L26,'Apoio - Regime de Trabalho'!$A:$I,8,0)/(L22),"")</f>
        <v/>
      </c>
      <c r="M32" s="67" t="str">
        <f>IFERROR(M21*VLOOKUP(M26,'Apoio - Regime de Trabalho'!$A:$I,8,0)/(M22),"")</f>
        <v/>
      </c>
      <c r="N32" s="67" t="str">
        <f>IFERROR(N21*VLOOKUP(N26,'Apoio - Regime de Trabalho'!$A:$I,8,0)/(N22),"")</f>
        <v/>
      </c>
      <c r="O32" s="67" t="str">
        <f>IFERROR(O21*VLOOKUP(O26,'Apoio - Regime de Trabalho'!$A:$I,8,0)/(O22),"")</f>
        <v/>
      </c>
      <c r="P32" s="67" t="str">
        <f>IFERROR(P21*VLOOKUP(P26,'Apoio - Regime de Trabalho'!$A:$I,8,0)/(P22),"")</f>
        <v/>
      </c>
      <c r="Q32" s="67" t="str">
        <f>IFERROR(Q21*VLOOKUP(Q26,'Apoio - Regime de Trabalho'!$A:$I,8,0)/(Q22),"")</f>
        <v/>
      </c>
      <c r="R32" s="67" t="str">
        <f>IFERROR(R21*VLOOKUP(R26,'Apoio - Regime de Trabalho'!$A:$I,8,0)/(R22),"")</f>
        <v/>
      </c>
      <c r="S32" s="67" t="str">
        <f>IFERROR(S21*VLOOKUP(S26,'Apoio - Regime de Trabalho'!$A:$I,8,0)/(S22),"")</f>
        <v/>
      </c>
      <c r="T32" s="67" t="str">
        <f>IFERROR(T21*VLOOKUP(T26,'Apoio - Regime de Trabalho'!$A:$I,8,0)/(T22),"")</f>
        <v/>
      </c>
      <c r="U32" s="67" t="str">
        <f>IFERROR(U21*VLOOKUP(U26,'Apoio - Regime de Trabalho'!$A:$I,8,0)/(U22),"")</f>
        <v/>
      </c>
      <c r="V32" s="67" t="str">
        <f>IFERROR(V21*VLOOKUP(V26,'Apoio - Regime de Trabalho'!$A:$I,8,0)/(V22),"")</f>
        <v/>
      </c>
      <c r="W32" s="67" t="str">
        <f>IFERROR(W21*VLOOKUP(W26,'Apoio - Regime de Trabalho'!$A:$I,8,0)/(W22),"")</f>
        <v/>
      </c>
      <c r="X32" s="67" t="str">
        <f>IFERROR(X21*VLOOKUP(X26,'Apoio - Regime de Trabalho'!$A:$I,8,0)/(X22),"")</f>
        <v/>
      </c>
    </row>
    <row r="33" spans="1:24">
      <c r="A33" s="63"/>
      <c r="B33" s="678" t="s">
        <v>4</v>
      </c>
      <c r="C33" s="68" t="s">
        <v>68</v>
      </c>
      <c r="D33" s="69"/>
      <c r="E33" s="70"/>
      <c r="F33" s="70"/>
      <c r="G33" s="70"/>
      <c r="H33" s="70"/>
      <c r="I33" s="70"/>
      <c r="J33" s="70"/>
      <c r="K33" s="70"/>
      <c r="L33" s="70"/>
      <c r="M33" s="70"/>
      <c r="N33" s="70"/>
      <c r="O33" s="70"/>
      <c r="P33" s="70"/>
      <c r="Q33" s="70"/>
      <c r="R33" s="70"/>
      <c r="S33" s="70"/>
      <c r="T33" s="70"/>
      <c r="U33" s="70"/>
      <c r="V33" s="70"/>
      <c r="W33" s="70"/>
      <c r="X33" s="70"/>
    </row>
    <row r="34" spans="1:24">
      <c r="A34" s="63"/>
      <c r="B34" s="678"/>
      <c r="C34" s="71" t="s">
        <v>69</v>
      </c>
      <c r="D34" s="72"/>
      <c r="E34" s="73">
        <f>IFERROR(VLOOKUP(E$18,'Apoio - Posto'!$A:$AA,15,0),"")</f>
        <v>0</v>
      </c>
      <c r="F34" s="73" t="str">
        <f>IFERROR(VLOOKUP(F$18,'Apoio - Posto'!$A:$AA,15,0),"")</f>
        <v/>
      </c>
      <c r="G34" s="73" t="str">
        <f>IFERROR(VLOOKUP(G$18,'Apoio - Posto'!$A:$AA,15,0),"")</f>
        <v/>
      </c>
      <c r="H34" s="73" t="str">
        <f>IFERROR(VLOOKUP(H$18,'Apoio - Posto'!$A:$AA,15,0),"")</f>
        <v/>
      </c>
      <c r="I34" s="73" t="str">
        <f>IFERROR(VLOOKUP(I$18,'Apoio - Posto'!$A:$AA,15,0),"")</f>
        <v/>
      </c>
      <c r="J34" s="73" t="str">
        <f>IFERROR(VLOOKUP(J$18,'Apoio - Posto'!$A:$AA,15,0),"")</f>
        <v/>
      </c>
      <c r="K34" s="73" t="str">
        <f>IFERROR(VLOOKUP(K$18,'Apoio - Posto'!$A:$AA,15,0),"")</f>
        <v/>
      </c>
      <c r="L34" s="73" t="str">
        <f>IFERROR(VLOOKUP(L$18,'Apoio - Posto'!$A:$AA,15,0),"")</f>
        <v/>
      </c>
      <c r="M34" s="73" t="str">
        <f>IFERROR(VLOOKUP(M$18,'Apoio - Posto'!$A:$AA,15,0),"")</f>
        <v/>
      </c>
      <c r="N34" s="73" t="str">
        <f>IFERROR(VLOOKUP(N$18,'Apoio - Posto'!$A:$AA,15,0),"")</f>
        <v/>
      </c>
      <c r="O34" s="73" t="str">
        <f>IFERROR(VLOOKUP(O$18,'Apoio - Posto'!$A:$AA,15,0),"")</f>
        <v/>
      </c>
      <c r="P34" s="73" t="str">
        <f>IFERROR(VLOOKUP(P$18,'Apoio - Posto'!$A:$AA,15,0),"")</f>
        <v/>
      </c>
      <c r="Q34" s="73" t="str">
        <f>IFERROR(VLOOKUP(Q$18,'Apoio - Posto'!$A:$AA,15,0),"")</f>
        <v/>
      </c>
      <c r="R34" s="73" t="str">
        <f>IFERROR(VLOOKUP(R$18,'Apoio - Posto'!$A:$AA,15,0),"")</f>
        <v/>
      </c>
      <c r="S34" s="73" t="str">
        <f>IFERROR(VLOOKUP(S$18,'Apoio - Posto'!$A:$AA,15,0),"")</f>
        <v/>
      </c>
      <c r="T34" s="73" t="str">
        <f>IFERROR(VLOOKUP(T$18,'Apoio - Posto'!$A:$AA,15,0),"")</f>
        <v/>
      </c>
      <c r="U34" s="73" t="str">
        <f>IFERROR(VLOOKUP(U$18,'Apoio - Posto'!$A:$AA,15,0),"")</f>
        <v/>
      </c>
      <c r="V34" s="73" t="str">
        <f>IFERROR(VLOOKUP(V$18,'Apoio - Posto'!$A:$AA,15,0),"")</f>
        <v/>
      </c>
      <c r="W34" s="73" t="str">
        <f>IFERROR(VLOOKUP(W$18,'Apoio - Posto'!$A:$AA,15,0),"")</f>
        <v/>
      </c>
      <c r="X34" s="73" t="str">
        <f>IFERROR(VLOOKUP(X$18,'Apoio - Posto'!$A:$AA,15,0),"")</f>
        <v/>
      </c>
    </row>
    <row r="35" spans="1:24">
      <c r="A35" s="63"/>
      <c r="B35" s="678"/>
      <c r="C35" s="74"/>
      <c r="D35" s="75" t="s">
        <v>70</v>
      </c>
      <c r="E35" s="76">
        <f t="shared" ref="E35:X35" si="1">IFERROR((E32)*E34,"")</f>
        <v>0</v>
      </c>
      <c r="F35" s="76" t="str">
        <f t="shared" si="1"/>
        <v/>
      </c>
      <c r="G35" s="76" t="str">
        <f t="shared" si="1"/>
        <v/>
      </c>
      <c r="H35" s="76" t="str">
        <f t="shared" si="1"/>
        <v/>
      </c>
      <c r="I35" s="76" t="str">
        <f t="shared" si="1"/>
        <v/>
      </c>
      <c r="J35" s="76" t="str">
        <f t="shared" si="1"/>
        <v/>
      </c>
      <c r="K35" s="76" t="str">
        <f t="shared" si="1"/>
        <v/>
      </c>
      <c r="L35" s="76" t="str">
        <f t="shared" si="1"/>
        <v/>
      </c>
      <c r="M35" s="76" t="str">
        <f t="shared" si="1"/>
        <v/>
      </c>
      <c r="N35" s="76" t="str">
        <f t="shared" si="1"/>
        <v/>
      </c>
      <c r="O35" s="76" t="str">
        <f t="shared" si="1"/>
        <v/>
      </c>
      <c r="P35" s="76" t="str">
        <f t="shared" si="1"/>
        <v/>
      </c>
      <c r="Q35" s="76" t="str">
        <f t="shared" si="1"/>
        <v/>
      </c>
      <c r="R35" s="76" t="str">
        <f t="shared" si="1"/>
        <v/>
      </c>
      <c r="S35" s="76" t="str">
        <f t="shared" si="1"/>
        <v/>
      </c>
      <c r="T35" s="76" t="str">
        <f t="shared" si="1"/>
        <v/>
      </c>
      <c r="U35" s="76" t="str">
        <f t="shared" si="1"/>
        <v/>
      </c>
      <c r="V35" s="76" t="str">
        <f t="shared" si="1"/>
        <v/>
      </c>
      <c r="W35" s="76" t="str">
        <f t="shared" si="1"/>
        <v/>
      </c>
      <c r="X35" s="76" t="str">
        <f t="shared" si="1"/>
        <v/>
      </c>
    </row>
    <row r="36" spans="1:24">
      <c r="A36" s="63"/>
      <c r="B36" s="674" t="s">
        <v>6</v>
      </c>
      <c r="C36" s="77" t="s">
        <v>71</v>
      </c>
      <c r="D36" s="78"/>
      <c r="E36" s="79"/>
      <c r="F36" s="79"/>
      <c r="G36" s="79"/>
      <c r="H36" s="79"/>
      <c r="I36" s="79"/>
      <c r="J36" s="79"/>
      <c r="K36" s="79"/>
      <c r="L36" s="79"/>
      <c r="M36" s="79"/>
      <c r="N36" s="79"/>
      <c r="O36" s="79"/>
      <c r="P36" s="79"/>
      <c r="Q36" s="79"/>
      <c r="R36" s="79"/>
      <c r="S36" s="79"/>
      <c r="T36" s="79"/>
      <c r="U36" s="79"/>
      <c r="V36" s="79"/>
      <c r="W36" s="79"/>
      <c r="X36" s="79"/>
    </row>
    <row r="37" spans="1:24">
      <c r="A37" s="63"/>
      <c r="B37" s="674"/>
      <c r="C37" s="80" t="s">
        <v>72</v>
      </c>
      <c r="D37" s="81"/>
      <c r="E37" s="82" t="str">
        <f>IFERROR(VLOOKUP(E$18,'Apoio - Posto'!$A:$AA,14,0),"")</f>
        <v>Salário Mínimo</v>
      </c>
      <c r="F37" s="82" t="str">
        <f>IFERROR(VLOOKUP(F$18,'Apoio - Posto'!$A:$AA,14,0),"")</f>
        <v/>
      </c>
      <c r="G37" s="82" t="str">
        <f>IFERROR(VLOOKUP(G$18,'Apoio - Posto'!$A:$AA,14,0),"")</f>
        <v/>
      </c>
      <c r="H37" s="82" t="str">
        <f>IFERROR(VLOOKUP(H$18,'Apoio - Posto'!$A:$AA,14,0),"")</f>
        <v/>
      </c>
      <c r="I37" s="82" t="str">
        <f>IFERROR(VLOOKUP(I$18,'Apoio - Posto'!$A:$AA,14,0),"")</f>
        <v/>
      </c>
      <c r="J37" s="82" t="str">
        <f>IFERROR(VLOOKUP(J$18,'Apoio - Posto'!$A:$AA,14,0),"")</f>
        <v/>
      </c>
      <c r="K37" s="82" t="str">
        <f>IFERROR(VLOOKUP(K$18,'Apoio - Posto'!$A:$AA,14,0),"")</f>
        <v/>
      </c>
      <c r="L37" s="82" t="str">
        <f>IFERROR(VLOOKUP(L$18,'Apoio - Posto'!$A:$AA,14,0),"")</f>
        <v/>
      </c>
      <c r="M37" s="82" t="str">
        <f>IFERROR(VLOOKUP(M$18,'Apoio - Posto'!$A:$AA,14,0),"")</f>
        <v/>
      </c>
      <c r="N37" s="82" t="str">
        <f>IFERROR(VLOOKUP(N$18,'Apoio - Posto'!$A:$AA,14,0),"")</f>
        <v/>
      </c>
      <c r="O37" s="82" t="str">
        <f>IFERROR(VLOOKUP(O$18,'Apoio - Posto'!$A:$AA,14,0),"")</f>
        <v/>
      </c>
      <c r="P37" s="82" t="str">
        <f>IFERROR(VLOOKUP(P$18,'Apoio - Posto'!$A:$AA,14,0),"")</f>
        <v/>
      </c>
      <c r="Q37" s="82" t="str">
        <f>IFERROR(VLOOKUP(Q$18,'Apoio - Posto'!$A:$AA,14,0),"")</f>
        <v/>
      </c>
      <c r="R37" s="82" t="str">
        <f>IFERROR(VLOOKUP(R$18,'Apoio - Posto'!$A:$AA,14,0),"")</f>
        <v/>
      </c>
      <c r="S37" s="82" t="str">
        <f>IFERROR(VLOOKUP(S$18,'Apoio - Posto'!$A:$AA,14,0),"")</f>
        <v/>
      </c>
      <c r="T37" s="82" t="str">
        <f>IFERROR(VLOOKUP(T$18,'Apoio - Posto'!$A:$AA,14,0),"")</f>
        <v/>
      </c>
      <c r="U37" s="82" t="str">
        <f>IFERROR(VLOOKUP(U$18,'Apoio - Posto'!$A:$AA,14,0),"")</f>
        <v/>
      </c>
      <c r="V37" s="82" t="str">
        <f>IFERROR(VLOOKUP(V$18,'Apoio - Posto'!$A:$AA,14,0),"")</f>
        <v/>
      </c>
      <c r="W37" s="82" t="str">
        <f>IFERROR(VLOOKUP(W$18,'Apoio - Posto'!$A:$AA,14,0),"")</f>
        <v/>
      </c>
      <c r="X37" s="82" t="str">
        <f>IFERROR(VLOOKUP(X$18,'Apoio - Posto'!$A:$AA,14,0),"")</f>
        <v/>
      </c>
    </row>
    <row r="38" spans="1:24">
      <c r="A38" s="63"/>
      <c r="B38" s="674"/>
      <c r="C38" s="83" t="s">
        <v>73</v>
      </c>
      <c r="D38" s="84"/>
      <c r="E38" s="85"/>
      <c r="F38" s="85"/>
      <c r="G38" s="85"/>
      <c r="H38" s="85"/>
      <c r="I38" s="85"/>
      <c r="J38" s="85"/>
      <c r="K38" s="85"/>
      <c r="L38" s="85"/>
      <c r="M38" s="85"/>
      <c r="N38" s="85"/>
      <c r="O38" s="85"/>
      <c r="P38" s="85"/>
      <c r="Q38" s="85"/>
      <c r="R38" s="85"/>
      <c r="S38" s="85"/>
      <c r="T38" s="85"/>
      <c r="U38" s="85"/>
      <c r="V38" s="85"/>
      <c r="W38" s="85"/>
      <c r="X38" s="85"/>
    </row>
    <row r="39" spans="1:24">
      <c r="A39" s="63"/>
      <c r="B39" s="674"/>
      <c r="C39" s="86"/>
      <c r="D39" s="75" t="s">
        <v>70</v>
      </c>
      <c r="E39" s="76">
        <f t="shared" ref="E39:X39" si="2">IF(E21="","",IFERROR(IF(E37="Salário Base",E$32,IF(E37="Salário Mínimo",$D$15,0))*E38,""))</f>
        <v>0</v>
      </c>
      <c r="F39" s="76" t="str">
        <f t="shared" si="2"/>
        <v/>
      </c>
      <c r="G39" s="76" t="str">
        <f t="shared" si="2"/>
        <v/>
      </c>
      <c r="H39" s="76" t="str">
        <f t="shared" si="2"/>
        <v/>
      </c>
      <c r="I39" s="76" t="str">
        <f t="shared" si="2"/>
        <v/>
      </c>
      <c r="J39" s="76" t="str">
        <f t="shared" si="2"/>
        <v/>
      </c>
      <c r="K39" s="76" t="str">
        <f t="shared" si="2"/>
        <v/>
      </c>
      <c r="L39" s="76" t="str">
        <f t="shared" si="2"/>
        <v/>
      </c>
      <c r="M39" s="76" t="str">
        <f t="shared" si="2"/>
        <v/>
      </c>
      <c r="N39" s="76" t="str">
        <f t="shared" si="2"/>
        <v/>
      </c>
      <c r="O39" s="76" t="str">
        <f t="shared" si="2"/>
        <v/>
      </c>
      <c r="P39" s="76" t="str">
        <f t="shared" si="2"/>
        <v/>
      </c>
      <c r="Q39" s="76" t="str">
        <f t="shared" si="2"/>
        <v/>
      </c>
      <c r="R39" s="76" t="str">
        <f t="shared" si="2"/>
        <v/>
      </c>
      <c r="S39" s="76" t="str">
        <f t="shared" si="2"/>
        <v/>
      </c>
      <c r="T39" s="76" t="str">
        <f t="shared" si="2"/>
        <v/>
      </c>
      <c r="U39" s="76" t="str">
        <f t="shared" si="2"/>
        <v/>
      </c>
      <c r="V39" s="76" t="str">
        <f t="shared" si="2"/>
        <v/>
      </c>
      <c r="W39" s="76" t="str">
        <f t="shared" si="2"/>
        <v/>
      </c>
      <c r="X39" s="76" t="str">
        <f t="shared" si="2"/>
        <v/>
      </c>
    </row>
    <row r="40" spans="1:24">
      <c r="A40" s="87"/>
      <c r="B40" s="678" t="s">
        <v>9</v>
      </c>
      <c r="C40" s="68" t="s">
        <v>74</v>
      </c>
      <c r="D40" s="88"/>
      <c r="E40" s="89"/>
      <c r="F40" s="89"/>
      <c r="G40" s="89"/>
      <c r="H40" s="89"/>
      <c r="I40" s="89"/>
      <c r="J40" s="89"/>
      <c r="K40" s="89"/>
      <c r="L40" s="89"/>
      <c r="M40" s="89"/>
      <c r="N40" s="89"/>
      <c r="O40" s="89"/>
      <c r="P40" s="89"/>
      <c r="Q40" s="89"/>
      <c r="R40" s="89"/>
      <c r="S40" s="89"/>
      <c r="T40" s="89"/>
      <c r="U40" s="89"/>
      <c r="V40" s="89"/>
      <c r="W40" s="89"/>
      <c r="X40" s="89"/>
    </row>
    <row r="41" spans="1:24">
      <c r="A41" s="87"/>
      <c r="B41" s="678"/>
      <c r="C41" s="90" t="s">
        <v>73</v>
      </c>
      <c r="D41" s="72"/>
      <c r="E41" s="73"/>
      <c r="F41" s="73"/>
      <c r="G41" s="73"/>
      <c r="H41" s="73"/>
      <c r="I41" s="73"/>
      <c r="J41" s="73"/>
      <c r="K41" s="73"/>
      <c r="L41" s="73"/>
      <c r="M41" s="73"/>
      <c r="N41" s="73"/>
      <c r="O41" s="73"/>
      <c r="P41" s="73"/>
      <c r="Q41" s="73"/>
      <c r="R41" s="73"/>
      <c r="S41" s="73"/>
      <c r="T41" s="73"/>
      <c r="U41" s="73"/>
      <c r="V41" s="73"/>
      <c r="W41" s="73"/>
      <c r="X41" s="73"/>
    </row>
    <row r="42" spans="1:24">
      <c r="A42" s="87"/>
      <c r="B42" s="678"/>
      <c r="C42" s="86"/>
      <c r="D42" s="75" t="s">
        <v>70</v>
      </c>
      <c r="E42" s="76">
        <f t="shared" ref="E42:X42" si="3">IFERROR(E41*E$32,"")</f>
        <v>0</v>
      </c>
      <c r="F42" s="76" t="str">
        <f t="shared" si="3"/>
        <v/>
      </c>
      <c r="G42" s="76" t="str">
        <f t="shared" si="3"/>
        <v/>
      </c>
      <c r="H42" s="76" t="str">
        <f t="shared" si="3"/>
        <v/>
      </c>
      <c r="I42" s="76" t="str">
        <f t="shared" si="3"/>
        <v/>
      </c>
      <c r="J42" s="76" t="str">
        <f t="shared" si="3"/>
        <v/>
      </c>
      <c r="K42" s="76" t="str">
        <f t="shared" si="3"/>
        <v/>
      </c>
      <c r="L42" s="76" t="str">
        <f t="shared" si="3"/>
        <v/>
      </c>
      <c r="M42" s="76" t="str">
        <f t="shared" si="3"/>
        <v/>
      </c>
      <c r="N42" s="76" t="str">
        <f t="shared" si="3"/>
        <v/>
      </c>
      <c r="O42" s="76" t="str">
        <f t="shared" si="3"/>
        <v/>
      </c>
      <c r="P42" s="76" t="str">
        <f t="shared" si="3"/>
        <v/>
      </c>
      <c r="Q42" s="76" t="str">
        <f t="shared" si="3"/>
        <v/>
      </c>
      <c r="R42" s="76" t="str">
        <f t="shared" si="3"/>
        <v/>
      </c>
      <c r="S42" s="76" t="str">
        <f t="shared" si="3"/>
        <v/>
      </c>
      <c r="T42" s="76" t="str">
        <f t="shared" si="3"/>
        <v/>
      </c>
      <c r="U42" s="76" t="str">
        <f t="shared" si="3"/>
        <v/>
      </c>
      <c r="V42" s="76" t="str">
        <f t="shared" si="3"/>
        <v/>
      </c>
      <c r="W42" s="76" t="str">
        <f t="shared" si="3"/>
        <v/>
      </c>
      <c r="X42" s="76" t="str">
        <f t="shared" si="3"/>
        <v/>
      </c>
    </row>
    <row r="43" spans="1:24">
      <c r="A43" s="63"/>
      <c r="B43" s="674" t="s">
        <v>12</v>
      </c>
      <c r="C43" s="91" t="s">
        <v>75</v>
      </c>
      <c r="D43" s="92"/>
      <c r="E43" s="93"/>
      <c r="F43" s="93"/>
      <c r="G43" s="93"/>
      <c r="H43" s="93"/>
      <c r="I43" s="93"/>
      <c r="J43" s="93"/>
      <c r="K43" s="93"/>
      <c r="L43" s="93"/>
      <c r="M43" s="93"/>
      <c r="N43" s="93"/>
      <c r="O43" s="93"/>
      <c r="P43" s="93"/>
      <c r="Q43" s="93"/>
      <c r="R43" s="93"/>
      <c r="S43" s="93"/>
      <c r="T43" s="93"/>
      <c r="U43" s="93"/>
      <c r="V43" s="93"/>
      <c r="W43" s="93"/>
      <c r="X43" s="93"/>
    </row>
    <row r="44" spans="1:24">
      <c r="A44" s="63"/>
      <c r="B44" s="674"/>
      <c r="C44" s="80" t="s">
        <v>76</v>
      </c>
      <c r="D44" s="94"/>
      <c r="E44" s="95" t="str">
        <f t="shared" ref="E44:X44" si="4">IF(AND(E20=5173,E26="12x36 Noturno"),8,"")</f>
        <v/>
      </c>
      <c r="F44" s="95" t="str">
        <f t="shared" si="4"/>
        <v/>
      </c>
      <c r="G44" s="95" t="str">
        <f t="shared" si="4"/>
        <v/>
      </c>
      <c r="H44" s="95" t="str">
        <f t="shared" si="4"/>
        <v/>
      </c>
      <c r="I44" s="95" t="str">
        <f t="shared" si="4"/>
        <v/>
      </c>
      <c r="J44" s="95" t="str">
        <f t="shared" si="4"/>
        <v/>
      </c>
      <c r="K44" s="95" t="str">
        <f t="shared" si="4"/>
        <v/>
      </c>
      <c r="L44" s="95" t="str">
        <f t="shared" si="4"/>
        <v/>
      </c>
      <c r="M44" s="95" t="str">
        <f t="shared" si="4"/>
        <v/>
      </c>
      <c r="N44" s="95" t="str">
        <f t="shared" si="4"/>
        <v/>
      </c>
      <c r="O44" s="95" t="str">
        <f t="shared" si="4"/>
        <v/>
      </c>
      <c r="P44" s="95" t="str">
        <f t="shared" si="4"/>
        <v/>
      </c>
      <c r="Q44" s="95" t="str">
        <f t="shared" si="4"/>
        <v/>
      </c>
      <c r="R44" s="95" t="str">
        <f t="shared" si="4"/>
        <v/>
      </c>
      <c r="S44" s="95" t="str">
        <f t="shared" si="4"/>
        <v/>
      </c>
      <c r="T44" s="95" t="str">
        <f t="shared" si="4"/>
        <v/>
      </c>
      <c r="U44" s="95" t="str">
        <f t="shared" si="4"/>
        <v/>
      </c>
      <c r="V44" s="95" t="str">
        <f t="shared" si="4"/>
        <v/>
      </c>
      <c r="W44" s="95" t="str">
        <f t="shared" si="4"/>
        <v/>
      </c>
      <c r="X44" s="95" t="str">
        <f t="shared" si="4"/>
        <v/>
      </c>
    </row>
    <row r="45" spans="1:24">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c r="J45" s="97" t="str">
        <f>IF(J44="","",VLOOKUP(J26,'Apoio - Regime de Trabalho'!$A:$I,7,0))</f>
        <v/>
      </c>
      <c r="K45" s="97" t="str">
        <f>IF(K44="","",VLOOKUP(K26,'Apoio - Regime de Trabalho'!$A:$I,7,0))</f>
        <v/>
      </c>
      <c r="L45" s="97" t="str">
        <f>IF(L44="","",VLOOKUP(L26,'Apoio - Regime de Trabalho'!$A:$I,7,0))</f>
        <v/>
      </c>
      <c r="M45" s="97" t="str">
        <f>IF(M44="","",VLOOKUP(M26,'Apoio - Regime de Trabalho'!$A:$I,7,0))</f>
        <v/>
      </c>
      <c r="N45" s="97" t="str">
        <f>IF(N44="","",VLOOKUP(N26,'Apoio - Regime de Trabalho'!$A:$I,7,0))</f>
        <v/>
      </c>
      <c r="O45" s="97" t="str">
        <f>IF(O44="","",VLOOKUP(O26,'Apoio - Regime de Trabalho'!$A:$I,7,0))</f>
        <v/>
      </c>
      <c r="P45" s="97" t="str">
        <f>IF(P44="","",VLOOKUP(P26,'Apoio - Regime de Trabalho'!$A:$I,7,0))</f>
        <v/>
      </c>
      <c r="Q45" s="97" t="str">
        <f>IF(Q44="","",VLOOKUP(Q26,'Apoio - Regime de Trabalho'!$A:$I,7,0))</f>
        <v/>
      </c>
      <c r="R45" s="97" t="str">
        <f>IF(R44="","",VLOOKUP(R26,'Apoio - Regime de Trabalho'!$A:$I,7,0))</f>
        <v/>
      </c>
      <c r="S45" s="97" t="str">
        <f>IF(S44="","",VLOOKUP(S26,'Apoio - Regime de Trabalho'!$A:$I,7,0))</f>
        <v/>
      </c>
      <c r="T45" s="97" t="str">
        <f>IF(T44="","",VLOOKUP(T26,'Apoio - Regime de Trabalho'!$A:$I,7,0))</f>
        <v/>
      </c>
      <c r="U45" s="97" t="str">
        <f>IF(U44="","",VLOOKUP(U26,'Apoio - Regime de Trabalho'!$A:$I,7,0))</f>
        <v/>
      </c>
      <c r="V45" s="97" t="str">
        <f>IF(V44="","",VLOOKUP(V26,'Apoio - Regime de Trabalho'!$A:$I,7,0))</f>
        <v/>
      </c>
      <c r="W45" s="97" t="str">
        <f>IF(W44="","",VLOOKUP(W26,'Apoio - Regime de Trabalho'!$A:$I,7,0))</f>
        <v/>
      </c>
      <c r="X45" s="97" t="str">
        <f>IF(X44="","",VLOOKUP(X26,'Apoio - Regime de Trabalho'!$A:$I,7,0))</f>
        <v/>
      </c>
    </row>
    <row r="46" spans="1:24">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IFERROR(SUM(I$32,I$35,I$39)/(VLOOKUP(I$26,'Apoio - Regime de Trabalho'!$A:$I,8,0))*20%*I$44*I$45,"")</f>
        <v/>
      </c>
      <c r="J46" s="99" t="str">
        <f>IFERROR(SUM(J$32,J$35,J$39)/(VLOOKUP(J$26,'Apoio - Regime de Trabalho'!$A:$I,8,0))*20%*J$44*J$45,"")</f>
        <v/>
      </c>
      <c r="K46" s="99" t="str">
        <f>IFERROR(SUM(K$32,K$35,K$39)/(VLOOKUP(K$26,'Apoio - Regime de Trabalho'!$A:$I,8,0))*20%*K$44*K$45,"")</f>
        <v/>
      </c>
      <c r="L46" s="99" t="str">
        <f>IFERROR(SUM(L$32,L$35,L$39)/(VLOOKUP(L$26,'Apoio - Regime de Trabalho'!$A:$I,8,0))*20%*L$44*L$45,"")</f>
        <v/>
      </c>
      <c r="M46" s="99" t="str">
        <f>IFERROR(SUM(M$32,M$35,M$39)/(VLOOKUP(M$26,'Apoio - Regime de Trabalho'!$A:$I,8,0))*20%*M$44*M$45,"")</f>
        <v/>
      </c>
      <c r="N46" s="99" t="str">
        <f>IFERROR(SUM(N$32,N$35,N$39)/(VLOOKUP(N$26,'Apoio - Regime de Trabalho'!$A:$I,8,0))*20%*N$44*N$45,"")</f>
        <v/>
      </c>
      <c r="O46" s="99" t="str">
        <f>IFERROR(SUM(O$32,O$35,O$39)/(VLOOKUP(O$26,'Apoio - Regime de Trabalho'!$A:$I,8,0))*20%*O$44*O$45,"")</f>
        <v/>
      </c>
      <c r="P46" s="99" t="str">
        <f>IFERROR(SUM(P$32,P$35,P$39)/(VLOOKUP(P$26,'Apoio - Regime de Trabalho'!$A:$I,8,0))*20%*P$44*P$45,"")</f>
        <v/>
      </c>
      <c r="Q46" s="99" t="str">
        <f>IFERROR(SUM(Q$32,Q$35,Q$39)/(VLOOKUP(Q$26,'Apoio - Regime de Trabalho'!$A:$I,8,0))*20%*Q$44*Q$45,"")</f>
        <v/>
      </c>
      <c r="R46" s="99" t="str">
        <f>IFERROR(SUM(R$32,R$35,R$39)/(VLOOKUP(R$26,'Apoio - Regime de Trabalho'!$A:$I,8,0))*20%*R$44*R$45,"")</f>
        <v/>
      </c>
      <c r="S46" s="99" t="str">
        <f>IFERROR(SUM(S$32,S$35,S$39)/(VLOOKUP(S$26,'Apoio - Regime de Trabalho'!$A:$I,8,0))*20%*S$44*S$45,"")</f>
        <v/>
      </c>
      <c r="T46" s="99" t="str">
        <f>IFERROR(SUM(T$32,T$35,T$39)/(VLOOKUP(T$26,'Apoio - Regime de Trabalho'!$A:$I,8,0))*20%*T$44*T$45,"")</f>
        <v/>
      </c>
      <c r="U46" s="99" t="str">
        <f>IFERROR(SUM(U$32,U$35,U$39)/(VLOOKUP(U$26,'Apoio - Regime de Trabalho'!$A:$I,8,0))*20%*U$44*U$45,"")</f>
        <v/>
      </c>
      <c r="V46" s="99" t="str">
        <f>IFERROR(SUM(V$32,V$35,V$39)/(VLOOKUP(V$26,'Apoio - Regime de Trabalho'!$A:$I,8,0))*20%*V$44*V$45,"")</f>
        <v/>
      </c>
      <c r="W46" s="99" t="str">
        <f>IFERROR(SUM(W$32,W$35,W$39)/(VLOOKUP(W$26,'Apoio - Regime de Trabalho'!$A:$I,8,0))*20%*W$44*W$45,"")</f>
        <v/>
      </c>
      <c r="X46" s="99" t="str">
        <f>IFERROR(SUM(X$32,X$35,X$39)/(VLOOKUP(X$26,'Apoio - Regime de Trabalho'!$A:$I,8,0))*20%*X$44*X$45,"")</f>
        <v/>
      </c>
    </row>
    <row r="47" spans="1:24">
      <c r="A47" s="63"/>
      <c r="B47" s="675" t="s">
        <v>15</v>
      </c>
      <c r="C47" s="100" t="s">
        <v>78</v>
      </c>
      <c r="D47" s="88"/>
      <c r="E47" s="101"/>
      <c r="F47" s="101"/>
      <c r="G47" s="101"/>
      <c r="H47" s="101"/>
      <c r="I47" s="101"/>
      <c r="J47" s="101"/>
      <c r="K47" s="101"/>
      <c r="L47" s="101"/>
      <c r="M47" s="101"/>
      <c r="N47" s="101"/>
      <c r="O47" s="101"/>
      <c r="P47" s="101"/>
      <c r="Q47" s="101"/>
      <c r="R47" s="101"/>
      <c r="S47" s="101"/>
      <c r="T47" s="101"/>
      <c r="U47" s="101"/>
      <c r="V47" s="101"/>
      <c r="W47" s="101"/>
      <c r="X47" s="101"/>
    </row>
    <row r="48" spans="1:24">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c r="J48" s="104" t="str">
        <f>IF(J44="","",J45*J44*('Apoio - Notas Explicativas'!$D$11/'Apoio - Notas Explicativas'!$D$12-1) *IF(AND(J20=5173,J26="12x36 Noturno"),0,1))</f>
        <v/>
      </c>
      <c r="K48" s="104" t="str">
        <f>IF(K44="","",K45*K44*('Apoio - Notas Explicativas'!$D$11/'Apoio - Notas Explicativas'!$D$12-1) *IF(AND(K20=5173,K26="12x36 Noturno"),0,1))</f>
        <v/>
      </c>
      <c r="L48" s="104" t="str">
        <f>IF(L44="","",L45*L44*('Apoio - Notas Explicativas'!$D$11/'Apoio - Notas Explicativas'!$D$12-1) *IF(AND(L20=5173,L26="12x36 Noturno"),0,1))</f>
        <v/>
      </c>
      <c r="M48" s="104" t="str">
        <f>IF(M44="","",M45*M44*('Apoio - Notas Explicativas'!$D$11/'Apoio - Notas Explicativas'!$D$12-1) *IF(AND(M20=5173,M26="12x36 Noturno"),0,1))</f>
        <v/>
      </c>
      <c r="N48" s="104" t="str">
        <f>IF(N44="","",N45*N44*('Apoio - Notas Explicativas'!$D$11/'Apoio - Notas Explicativas'!$D$12-1) *IF(AND(N20=5173,N26="12x36 Noturno"),0,1))</f>
        <v/>
      </c>
      <c r="O48" s="104" t="str">
        <f>IF(O44="","",O45*O44*('Apoio - Notas Explicativas'!$D$11/'Apoio - Notas Explicativas'!$D$12-1) *IF(AND(O20=5173,O26="12x36 Noturno"),0,1))</f>
        <v/>
      </c>
      <c r="P48" s="104" t="str">
        <f>IF(P44="","",P45*P44*('Apoio - Notas Explicativas'!$D$11/'Apoio - Notas Explicativas'!$D$12-1) *IF(AND(P20=5173,P26="12x36 Noturno"),0,1))</f>
        <v/>
      </c>
      <c r="Q48" s="104" t="str">
        <f>IF(Q44="","",Q45*Q44*('Apoio - Notas Explicativas'!$D$11/'Apoio - Notas Explicativas'!$D$12-1) *IF(AND(Q20=5173,Q26="12x36 Noturno"),0,1))</f>
        <v/>
      </c>
      <c r="R48" s="104" t="str">
        <f>IF(R44="","",R45*R44*('Apoio - Notas Explicativas'!$D$11/'Apoio - Notas Explicativas'!$D$12-1) *IF(AND(R20=5173,R26="12x36 Noturno"),0,1))</f>
        <v/>
      </c>
      <c r="S48" s="104" t="str">
        <f>IF(S44="","",S45*S44*('Apoio - Notas Explicativas'!$D$11/'Apoio - Notas Explicativas'!$D$12-1) *IF(AND(S20=5173,S26="12x36 Noturno"),0,1))</f>
        <v/>
      </c>
      <c r="T48" s="104" t="str">
        <f>IF(T44="","",T45*T44*('Apoio - Notas Explicativas'!$D$11/'Apoio - Notas Explicativas'!$D$12-1) *IF(AND(T20=5173,T26="12x36 Noturno"),0,1))</f>
        <v/>
      </c>
      <c r="U48" s="104" t="str">
        <f>IF(U44="","",U45*U44*('Apoio - Notas Explicativas'!$D$11/'Apoio - Notas Explicativas'!$D$12-1) *IF(AND(U20=5173,U26="12x36 Noturno"),0,1))</f>
        <v/>
      </c>
      <c r="V48" s="104" t="str">
        <f>IF(V44="","",V45*V44*('Apoio - Notas Explicativas'!$D$11/'Apoio - Notas Explicativas'!$D$12-1) *IF(AND(V20=5173,V26="12x36 Noturno"),0,1))</f>
        <v/>
      </c>
      <c r="W48" s="104" t="str">
        <f>IF(W44="","",W45*W44*('Apoio - Notas Explicativas'!$D$11/'Apoio - Notas Explicativas'!$D$12-1) *IF(AND(W20=5173,W26="12x36 Noturno"),0,1))</f>
        <v/>
      </c>
      <c r="X48" s="104" t="str">
        <f>IF(X44="","",X45*X44*('Apoio - Notas Explicativas'!$D$11/'Apoio - Notas Explicativas'!$D$12-1) *IF(AND(X20=5173,X26="12x36 Noturno"),0,1))</f>
        <v/>
      </c>
    </row>
    <row r="49" spans="1:24">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IFERROR(I48*(SUM(I$32,I$35,I$39)/(VLOOKUP(I$26,'Apoio - Regime de Trabalho'!$A:$I,8,0))*120%),"")</f>
        <v/>
      </c>
      <c r="J49" s="76" t="str">
        <f>IFERROR(J48*(SUM(J$32,J$35,J$39)/(VLOOKUP(J$26,'Apoio - Regime de Trabalho'!$A:$I,8,0))*120%),"")</f>
        <v/>
      </c>
      <c r="K49" s="76" t="str">
        <f>IFERROR(K48*(SUM(K$32,K$35,K$39)/(VLOOKUP(K$26,'Apoio - Regime de Trabalho'!$A:$I,8,0))*120%),"")</f>
        <v/>
      </c>
      <c r="L49" s="76" t="str">
        <f>IFERROR(L48*(SUM(L$32,L$35,L$39)/(VLOOKUP(L$26,'Apoio - Regime de Trabalho'!$A:$I,8,0))*120%),"")</f>
        <v/>
      </c>
      <c r="M49" s="76" t="str">
        <f>IFERROR(M48*(SUM(M$32,M$35,M$39)/(VLOOKUP(M$26,'Apoio - Regime de Trabalho'!$A:$I,8,0))*120%),"")</f>
        <v/>
      </c>
      <c r="N49" s="76" t="str">
        <f>IFERROR(N48*(SUM(N$32,N$35,N$39)/(VLOOKUP(N$26,'Apoio - Regime de Trabalho'!$A:$I,8,0))*120%),"")</f>
        <v/>
      </c>
      <c r="O49" s="76" t="str">
        <f>IFERROR(O48*(SUM(O$32,O$35,O$39)/(VLOOKUP(O$26,'Apoio - Regime de Trabalho'!$A:$I,8,0))*120%),"")</f>
        <v/>
      </c>
      <c r="P49" s="76" t="str">
        <f>IFERROR(P48*(SUM(P$32,P$35,P$39)/(VLOOKUP(P$26,'Apoio - Regime de Trabalho'!$A:$I,8,0))*120%),"")</f>
        <v/>
      </c>
      <c r="Q49" s="76" t="str">
        <f>IFERROR(Q48*(SUM(Q$32,Q$35,Q$39)/(VLOOKUP(Q$26,'Apoio - Regime de Trabalho'!$A:$I,8,0))*120%),"")</f>
        <v/>
      </c>
      <c r="R49" s="76" t="str">
        <f>IFERROR(R48*(SUM(R$32,R$35,R$39)/(VLOOKUP(R$26,'Apoio - Regime de Trabalho'!$A:$I,8,0))*120%),"")</f>
        <v/>
      </c>
      <c r="S49" s="76" t="str">
        <f>IFERROR(S48*(SUM(S$32,S$35,S$39)/(VLOOKUP(S$26,'Apoio - Regime de Trabalho'!$A:$I,8,0))*120%),"")</f>
        <v/>
      </c>
      <c r="T49" s="76" t="str">
        <f>IFERROR(T48*(SUM(T$32,T$35,T$39)/(VLOOKUP(T$26,'Apoio - Regime de Trabalho'!$A:$I,8,0))*120%),"")</f>
        <v/>
      </c>
      <c r="U49" s="76" t="str">
        <f>IFERROR(U48*(SUM(U$32,U$35,U$39)/(VLOOKUP(U$26,'Apoio - Regime de Trabalho'!$A:$I,8,0))*120%),"")</f>
        <v/>
      </c>
      <c r="V49" s="76" t="str">
        <f>IFERROR(V48*(SUM(V$32,V$35,V$39)/(VLOOKUP(V$26,'Apoio - Regime de Trabalho'!$A:$I,8,0))*120%),"")</f>
        <v/>
      </c>
      <c r="W49" s="76" t="str">
        <f>IFERROR(W48*(SUM(W$32,W$35,W$39)/(VLOOKUP(W$26,'Apoio - Regime de Trabalho'!$A:$I,8,0))*120%),"")</f>
        <v/>
      </c>
      <c r="X49" s="76" t="str">
        <f>IFERROR(X48*(SUM(X$32,X$35,X$39)/(VLOOKUP(X$26,'Apoio - Regime de Trabalho'!$A:$I,8,0))*120%),"")</f>
        <v/>
      </c>
    </row>
    <row r="50" spans="1:24">
      <c r="A50" s="102"/>
      <c r="B50" s="673" t="s">
        <v>17</v>
      </c>
      <c r="C50" s="106" t="s">
        <v>80</v>
      </c>
      <c r="D50" s="88"/>
      <c r="E50" s="89"/>
      <c r="F50" s="89"/>
      <c r="G50" s="89"/>
      <c r="H50" s="89"/>
      <c r="I50" s="89"/>
      <c r="J50" s="89"/>
      <c r="K50" s="89"/>
      <c r="L50" s="89"/>
      <c r="M50" s="89"/>
      <c r="N50" s="89"/>
      <c r="O50" s="89"/>
      <c r="P50" s="89"/>
      <c r="Q50" s="89"/>
      <c r="R50" s="89"/>
      <c r="S50" s="89"/>
      <c r="T50" s="89"/>
      <c r="U50" s="89"/>
      <c r="V50" s="89"/>
      <c r="W50" s="89"/>
      <c r="X50" s="89"/>
    </row>
    <row r="51" spans="1:24">
      <c r="A51" s="63"/>
      <c r="B51" s="673"/>
      <c r="C51" s="80" t="s">
        <v>73</v>
      </c>
      <c r="D51" s="107"/>
      <c r="E51" s="108">
        <v>0.5</v>
      </c>
      <c r="F51" s="108"/>
      <c r="G51" s="108"/>
      <c r="H51" s="108"/>
      <c r="I51" s="108"/>
      <c r="J51" s="108"/>
      <c r="K51" s="108"/>
      <c r="L51" s="108"/>
      <c r="M51" s="108"/>
      <c r="N51" s="108"/>
      <c r="O51" s="108"/>
      <c r="P51" s="108"/>
      <c r="Q51" s="108"/>
      <c r="R51" s="108"/>
      <c r="S51" s="108"/>
      <c r="T51" s="108"/>
      <c r="U51" s="108"/>
      <c r="V51" s="108"/>
      <c r="W51" s="108"/>
      <c r="X51" s="108"/>
    </row>
    <row r="52" spans="1:24">
      <c r="A52" s="63"/>
      <c r="B52" s="673"/>
      <c r="C52" s="83" t="s">
        <v>81</v>
      </c>
      <c r="D52" s="109"/>
      <c r="E52" s="110">
        <v>8</v>
      </c>
      <c r="F52" s="110"/>
      <c r="G52" s="110"/>
      <c r="H52" s="110"/>
      <c r="I52" s="110"/>
      <c r="J52" s="110"/>
      <c r="K52" s="110"/>
      <c r="L52" s="110"/>
      <c r="M52" s="110"/>
      <c r="N52" s="110"/>
      <c r="O52" s="110"/>
      <c r="P52" s="110"/>
      <c r="Q52" s="110"/>
      <c r="R52" s="110"/>
      <c r="S52" s="110"/>
      <c r="T52" s="110"/>
      <c r="U52" s="110"/>
      <c r="V52" s="110"/>
      <c r="W52" s="110"/>
      <c r="X52" s="110"/>
    </row>
    <row r="53" spans="1:24">
      <c r="A53" s="63"/>
      <c r="B53" s="673"/>
      <c r="C53" s="98"/>
      <c r="D53" s="75" t="s">
        <v>70</v>
      </c>
      <c r="E53" s="76">
        <f>IFERROR(SUM(E$32,E$35,E$39,E$46)/(VLOOKUP(E$26,'Apoio - Regime de Trabalho'!$A:$I,8,0))*(1+E$51)*E$52,"")</f>
        <v>117.774</v>
      </c>
      <c r="F53" s="76" t="str">
        <f>IFERROR(SUM(F$32,F$35,F$39,F$46)/(VLOOKUP(F$26,'Apoio - Regime de Trabalho'!$A:$I,8,0))*(1+F$51)*F$52,"")</f>
        <v/>
      </c>
      <c r="G53" s="76" t="str">
        <f>IFERROR(SUM(G$32,G$35,G$39,G$46)/(VLOOKUP(G$26,'Apoio - Regime de Trabalho'!$A:$I,8,0))*(1+G$51)*G$52,"")</f>
        <v/>
      </c>
      <c r="H53" s="76" t="str">
        <f>IFERROR(SUM(H$32,H$35,H$39,H$46)/(VLOOKUP(H$26,'Apoio - Regime de Trabalho'!$A:$I,8,0))*(1+H$51)*H$52,"")</f>
        <v/>
      </c>
      <c r="I53" s="76" t="str">
        <f>IFERROR(SUM(I$32,I$35,I$39,I$46)/(VLOOKUP(I$26,'Apoio - Regime de Trabalho'!$A:$I,8,0))*(1+I$51)*I$52,"")</f>
        <v/>
      </c>
      <c r="J53" s="76" t="str">
        <f>IFERROR(SUM(J$32,J$35,J$39,J$46)/(VLOOKUP(J$26,'Apoio - Regime de Trabalho'!$A:$I,8,0))*(1+J$51)*J$52,"")</f>
        <v/>
      </c>
      <c r="K53" s="76" t="str">
        <f>IFERROR(SUM(K$32,K$35,K$39,K$46)/(VLOOKUP(K$26,'Apoio - Regime de Trabalho'!$A:$I,8,0))*(1+K$51)*K$52,"")</f>
        <v/>
      </c>
      <c r="L53" s="76" t="str">
        <f>IFERROR(SUM(L$32,L$35,L$39,L$46)/(VLOOKUP(L$26,'Apoio - Regime de Trabalho'!$A:$I,8,0))*(1+L$51)*L$52,"")</f>
        <v/>
      </c>
      <c r="M53" s="76" t="str">
        <f>IFERROR(SUM(M$32,M$35,M$39,M$46)/(VLOOKUP(M$26,'Apoio - Regime de Trabalho'!$A:$I,8,0))*(1+M$51)*M$52,"")</f>
        <v/>
      </c>
      <c r="N53" s="76" t="str">
        <f>IFERROR(SUM(N$32,N$35,N$39,N$46)/(VLOOKUP(N$26,'Apoio - Regime de Trabalho'!$A:$I,8,0))*(1+N$51)*N$52,"")</f>
        <v/>
      </c>
      <c r="O53" s="76" t="str">
        <f>IFERROR(SUM(O$32,O$35,O$39,O$46)/(VLOOKUP(O$26,'Apoio - Regime de Trabalho'!$A:$I,8,0))*(1+O$51)*O$52,"")</f>
        <v/>
      </c>
      <c r="P53" s="76" t="str">
        <f>IFERROR(SUM(P$32,P$35,P$39,P$46)/(VLOOKUP(P$26,'Apoio - Regime de Trabalho'!$A:$I,8,0))*(1+P$51)*P$52,"")</f>
        <v/>
      </c>
      <c r="Q53" s="76" t="str">
        <f>IFERROR(SUM(Q$32,Q$35,Q$39,Q$46)/(VLOOKUP(Q$26,'Apoio - Regime de Trabalho'!$A:$I,8,0))*(1+Q$51)*Q$52,"")</f>
        <v/>
      </c>
      <c r="R53" s="76" t="str">
        <f>IFERROR(SUM(R$32,R$35,R$39,R$46)/(VLOOKUP(R$26,'Apoio - Regime de Trabalho'!$A:$I,8,0))*(1+R$51)*R$52,"")</f>
        <v/>
      </c>
      <c r="S53" s="76" t="str">
        <f>IFERROR(SUM(S$32,S$35,S$39,S$46)/(VLOOKUP(S$26,'Apoio - Regime de Trabalho'!$A:$I,8,0))*(1+S$51)*S$52,"")</f>
        <v/>
      </c>
      <c r="T53" s="76" t="str">
        <f>IFERROR(SUM(T$32,T$35,T$39,T$46)/(VLOOKUP(T$26,'Apoio - Regime de Trabalho'!$A:$I,8,0))*(1+T$51)*T$52,"")</f>
        <v/>
      </c>
      <c r="U53" s="76" t="str">
        <f>IFERROR(SUM(U$32,U$35,U$39,U$46)/(VLOOKUP(U$26,'Apoio - Regime de Trabalho'!$A:$I,8,0))*(1+U$51)*U$52,"")</f>
        <v/>
      </c>
      <c r="V53" s="76" t="str">
        <f>IFERROR(SUM(V$32,V$35,V$39,V$46)/(VLOOKUP(V$26,'Apoio - Regime de Trabalho'!$A:$I,8,0))*(1+V$51)*V$52,"")</f>
        <v/>
      </c>
      <c r="W53" s="76" t="str">
        <f>IFERROR(SUM(W$32,W$35,W$39,W$46)/(VLOOKUP(W$26,'Apoio - Regime de Trabalho'!$A:$I,8,0))*(1+W$51)*W$52,"")</f>
        <v/>
      </c>
      <c r="X53" s="76" t="str">
        <f>IFERROR(SUM(X$32,X$35,X$39,X$46)/(VLOOKUP(X$26,'Apoio - Regime de Trabalho'!$A:$I,8,0))*(1+X$51)*X$52,"")</f>
        <v/>
      </c>
    </row>
    <row r="54" spans="1:24">
      <c r="A54" s="63"/>
      <c r="B54" s="675" t="s">
        <v>20</v>
      </c>
      <c r="C54" s="100" t="s">
        <v>82</v>
      </c>
      <c r="D54" s="88"/>
      <c r="E54" s="89"/>
      <c r="F54" s="89"/>
      <c r="G54" s="89"/>
      <c r="H54" s="89"/>
      <c r="I54" s="89"/>
      <c r="J54" s="89"/>
      <c r="K54" s="89"/>
      <c r="L54" s="89"/>
      <c r="M54" s="89"/>
      <c r="N54" s="89"/>
      <c r="O54" s="89"/>
      <c r="P54" s="89"/>
      <c r="Q54" s="89"/>
      <c r="R54" s="89"/>
      <c r="S54" s="89"/>
      <c r="T54" s="89"/>
      <c r="U54" s="89"/>
      <c r="V54" s="89"/>
      <c r="W54" s="89"/>
      <c r="X54" s="89"/>
    </row>
    <row r="55" spans="1:24">
      <c r="A55" s="63"/>
      <c r="B55" s="675"/>
      <c r="C55" s="103" t="s">
        <v>83</v>
      </c>
      <c r="D55" s="72"/>
      <c r="E55" s="111">
        <f t="shared" ref="E55:X55" si="5">IF(E18="","",IFERROR(SUM(E$46,E49)*20%,""))</f>
        <v>0</v>
      </c>
      <c r="F55" s="111" t="str">
        <f t="shared" si="5"/>
        <v/>
      </c>
      <c r="G55" s="111" t="str">
        <f t="shared" si="5"/>
        <v/>
      </c>
      <c r="H55" s="111" t="str">
        <f t="shared" si="5"/>
        <v/>
      </c>
      <c r="I55" s="111" t="str">
        <f t="shared" si="5"/>
        <v/>
      </c>
      <c r="J55" s="111" t="str">
        <f t="shared" si="5"/>
        <v/>
      </c>
      <c r="K55" s="111" t="str">
        <f t="shared" si="5"/>
        <v/>
      </c>
      <c r="L55" s="111" t="str">
        <f t="shared" si="5"/>
        <v/>
      </c>
      <c r="M55" s="111" t="str">
        <f t="shared" si="5"/>
        <v/>
      </c>
      <c r="N55" s="111" t="str">
        <f t="shared" si="5"/>
        <v/>
      </c>
      <c r="O55" s="111" t="str">
        <f t="shared" si="5"/>
        <v/>
      </c>
      <c r="P55" s="111" t="str">
        <f t="shared" si="5"/>
        <v/>
      </c>
      <c r="Q55" s="111" t="str">
        <f t="shared" si="5"/>
        <v/>
      </c>
      <c r="R55" s="111" t="str">
        <f t="shared" si="5"/>
        <v/>
      </c>
      <c r="S55" s="111" t="str">
        <f t="shared" si="5"/>
        <v/>
      </c>
      <c r="T55" s="111" t="str">
        <f t="shared" si="5"/>
        <v/>
      </c>
      <c r="U55" s="111" t="str">
        <f t="shared" si="5"/>
        <v/>
      </c>
      <c r="V55" s="111" t="str">
        <f t="shared" si="5"/>
        <v/>
      </c>
      <c r="W55" s="111" t="str">
        <f t="shared" si="5"/>
        <v/>
      </c>
      <c r="X55" s="111" t="str">
        <f t="shared" si="5"/>
        <v/>
      </c>
    </row>
    <row r="56" spans="1:24">
      <c r="A56" s="63"/>
      <c r="B56" s="675"/>
      <c r="C56" s="112" t="s">
        <v>84</v>
      </c>
      <c r="D56" s="113" t="s">
        <v>85</v>
      </c>
      <c r="E56" s="114">
        <f t="shared" ref="E56:X56" si="6">IFERROR(IF(E18="","",IF(D56="Não",0,E53*20%)),"")</f>
        <v>23.5548</v>
      </c>
      <c r="F56" s="114" t="str">
        <f t="shared" si="6"/>
        <v/>
      </c>
      <c r="G56" s="114" t="str">
        <f t="shared" si="6"/>
        <v/>
      </c>
      <c r="H56" s="114" t="str">
        <f t="shared" si="6"/>
        <v/>
      </c>
      <c r="I56" s="114" t="str">
        <f t="shared" si="6"/>
        <v/>
      </c>
      <c r="J56" s="114" t="str">
        <f t="shared" si="6"/>
        <v/>
      </c>
      <c r="K56" s="114" t="str">
        <f t="shared" si="6"/>
        <v/>
      </c>
      <c r="L56" s="114" t="str">
        <f t="shared" si="6"/>
        <v/>
      </c>
      <c r="M56" s="114" t="str">
        <f t="shared" si="6"/>
        <v/>
      </c>
      <c r="N56" s="114" t="str">
        <f t="shared" si="6"/>
        <v/>
      </c>
      <c r="O56" s="114" t="str">
        <f t="shared" si="6"/>
        <v/>
      </c>
      <c r="P56" s="114" t="str">
        <f t="shared" si="6"/>
        <v/>
      </c>
      <c r="Q56" s="114" t="str">
        <f t="shared" si="6"/>
        <v/>
      </c>
      <c r="R56" s="114" t="str">
        <f t="shared" si="6"/>
        <v/>
      </c>
      <c r="S56" s="114" t="str">
        <f t="shared" si="6"/>
        <v/>
      </c>
      <c r="T56" s="114" t="str">
        <f t="shared" si="6"/>
        <v/>
      </c>
      <c r="U56" s="114" t="str">
        <f t="shared" si="6"/>
        <v/>
      </c>
      <c r="V56" s="114" t="str">
        <f t="shared" si="6"/>
        <v/>
      </c>
      <c r="W56" s="114" t="str">
        <f t="shared" si="6"/>
        <v/>
      </c>
      <c r="X56" s="114" t="str">
        <f t="shared" si="6"/>
        <v/>
      </c>
    </row>
    <row r="57" spans="1:24">
      <c r="A57" s="63"/>
      <c r="B57" s="675"/>
      <c r="C57" s="112" t="s">
        <v>86</v>
      </c>
      <c r="D57" s="113"/>
      <c r="E57" s="114">
        <f t="shared" ref="E57:X57" si="7">IF(E21="","",IFERROR(E$59*20%,""))</f>
        <v>0</v>
      </c>
      <c r="F57" s="114" t="str">
        <f t="shared" si="7"/>
        <v/>
      </c>
      <c r="G57" s="114" t="str">
        <f t="shared" si="7"/>
        <v/>
      </c>
      <c r="H57" s="114" t="str">
        <f t="shared" si="7"/>
        <v/>
      </c>
      <c r="I57" s="114" t="str">
        <f t="shared" si="7"/>
        <v/>
      </c>
      <c r="J57" s="114" t="str">
        <f t="shared" si="7"/>
        <v/>
      </c>
      <c r="K57" s="114" t="str">
        <f t="shared" si="7"/>
        <v/>
      </c>
      <c r="L57" s="114" t="str">
        <f t="shared" si="7"/>
        <v/>
      </c>
      <c r="M57" s="114" t="str">
        <f t="shared" si="7"/>
        <v/>
      </c>
      <c r="N57" s="114" t="str">
        <f t="shared" si="7"/>
        <v/>
      </c>
      <c r="O57" s="114" t="str">
        <f t="shared" si="7"/>
        <v/>
      </c>
      <c r="P57" s="114" t="str">
        <f t="shared" si="7"/>
        <v/>
      </c>
      <c r="Q57" s="114" t="str">
        <f t="shared" si="7"/>
        <v/>
      </c>
      <c r="R57" s="114" t="str">
        <f t="shared" si="7"/>
        <v/>
      </c>
      <c r="S57" s="114" t="str">
        <f t="shared" si="7"/>
        <v/>
      </c>
      <c r="T57" s="114" t="str">
        <f t="shared" si="7"/>
        <v/>
      </c>
      <c r="U57" s="114" t="str">
        <f t="shared" si="7"/>
        <v/>
      </c>
      <c r="V57" s="114" t="str">
        <f t="shared" si="7"/>
        <v/>
      </c>
      <c r="W57" s="114" t="str">
        <f t="shared" si="7"/>
        <v/>
      </c>
      <c r="X57" s="114" t="str">
        <f t="shared" si="7"/>
        <v/>
      </c>
    </row>
    <row r="58" spans="1:24">
      <c r="A58" s="63"/>
      <c r="B58" s="675"/>
      <c r="C58" s="105"/>
      <c r="D58" s="75" t="s">
        <v>70</v>
      </c>
      <c r="E58" s="76">
        <f t="shared" ref="E58:X58" si="8">IF(SUM(E55:E57)=0,"",SUM(E55:E57))</f>
        <v>23.5548</v>
      </c>
      <c r="F58" s="76" t="str">
        <f t="shared" si="8"/>
        <v/>
      </c>
      <c r="G58" s="76" t="str">
        <f t="shared" si="8"/>
        <v/>
      </c>
      <c r="H58" s="76" t="str">
        <f t="shared" si="8"/>
        <v/>
      </c>
      <c r="I58" s="76" t="str">
        <f t="shared" si="8"/>
        <v/>
      </c>
      <c r="J58" s="76" t="str">
        <f t="shared" si="8"/>
        <v/>
      </c>
      <c r="K58" s="76" t="str">
        <f t="shared" si="8"/>
        <v/>
      </c>
      <c r="L58" s="76" t="str">
        <f t="shared" si="8"/>
        <v/>
      </c>
      <c r="M58" s="76" t="str">
        <f t="shared" si="8"/>
        <v/>
      </c>
      <c r="N58" s="76" t="str">
        <f t="shared" si="8"/>
        <v/>
      </c>
      <c r="O58" s="76" t="str">
        <f t="shared" si="8"/>
        <v/>
      </c>
      <c r="P58" s="76" t="str">
        <f t="shared" si="8"/>
        <v/>
      </c>
      <c r="Q58" s="76" t="str">
        <f t="shared" si="8"/>
        <v/>
      </c>
      <c r="R58" s="76" t="str">
        <f t="shared" si="8"/>
        <v/>
      </c>
      <c r="S58" s="76" t="str">
        <f t="shared" si="8"/>
        <v/>
      </c>
      <c r="T58" s="76" t="str">
        <f t="shared" si="8"/>
        <v/>
      </c>
      <c r="U58" s="76" t="str">
        <f t="shared" si="8"/>
        <v/>
      </c>
      <c r="V58" s="76" t="str">
        <f t="shared" si="8"/>
        <v/>
      </c>
      <c r="W58" s="76" t="str">
        <f t="shared" si="8"/>
        <v/>
      </c>
      <c r="X58" s="76" t="str">
        <f t="shared" si="8"/>
        <v/>
      </c>
    </row>
    <row r="59" spans="1:24">
      <c r="A59" s="63"/>
      <c r="B59" s="115" t="s">
        <v>22</v>
      </c>
      <c r="C59" s="116" t="s">
        <v>87</v>
      </c>
      <c r="D59" s="117"/>
      <c r="E59" s="118">
        <f>IFERROR(IFERROR(VLOOKUP(E$18,'Apoio - Posto'!$A:$AA,12,0),"")*VLOOKUP(E26,'Apoio - Regime de Trabalho'!$A:$I,7,0),"")</f>
        <v>0</v>
      </c>
      <c r="F59" s="118" t="str">
        <f>IFERROR(IFERROR(VLOOKUP(F$18,'Apoio - Posto'!$A:$AA,12,0),"")*VLOOKUP(F26,'Apoio - Regime de Trabalho'!$A:$I,7,0),"")</f>
        <v/>
      </c>
      <c r="G59" s="118" t="str">
        <f>IFERROR(IFERROR(VLOOKUP(G$18,'Apoio - Posto'!$A:$AA,12,0),"")*VLOOKUP(G26,'Apoio - Regime de Trabalho'!$A:$I,7,0),"")</f>
        <v/>
      </c>
      <c r="H59" s="118" t="str">
        <f>IFERROR(IFERROR(VLOOKUP(H$18,'Apoio - Posto'!$A:$AA,12,0),"")*VLOOKUP(H26,'Apoio - Regime de Trabalho'!$A:$I,7,0),"")</f>
        <v/>
      </c>
      <c r="I59" s="118" t="str">
        <f>IFERROR(IFERROR(VLOOKUP(I$18,'Apoio - Posto'!$A:$AA,12,0),"")*VLOOKUP(I26,'Apoio - Regime de Trabalho'!$A:$I,7,0),"")</f>
        <v/>
      </c>
      <c r="J59" s="118" t="str">
        <f>IFERROR(IFERROR(VLOOKUP(J$18,'Apoio - Posto'!$A:$AA,12,0),"")*VLOOKUP(J26,'Apoio - Regime de Trabalho'!$A:$I,7,0),"")</f>
        <v/>
      </c>
      <c r="K59" s="118" t="str">
        <f>IFERROR(IFERROR(VLOOKUP(K$18,'Apoio - Posto'!$A:$AA,12,0),"")*VLOOKUP(K26,'Apoio - Regime de Trabalho'!$A:$I,7,0),"")</f>
        <v/>
      </c>
      <c r="L59" s="118" t="str">
        <f>IFERROR(IFERROR(VLOOKUP(L$18,'Apoio - Posto'!$A:$AA,12,0),"")*VLOOKUP(L26,'Apoio - Regime de Trabalho'!$A:$I,7,0),"")</f>
        <v/>
      </c>
      <c r="M59" s="118" t="str">
        <f>IFERROR(IFERROR(VLOOKUP(M$18,'Apoio - Posto'!$A:$AA,12,0),"")*VLOOKUP(M26,'Apoio - Regime de Trabalho'!$A:$I,7,0),"")</f>
        <v/>
      </c>
      <c r="N59" s="118" t="str">
        <f>IFERROR(IFERROR(VLOOKUP(N$18,'Apoio - Posto'!$A:$AA,12,0),"")*VLOOKUP(N26,'Apoio - Regime de Trabalho'!$A:$I,7,0),"")</f>
        <v/>
      </c>
      <c r="O59" s="118" t="str">
        <f>IFERROR(IFERROR(VLOOKUP(O$18,'Apoio - Posto'!$A:$AA,12,0),"")*VLOOKUP(O26,'Apoio - Regime de Trabalho'!$A:$I,7,0),"")</f>
        <v/>
      </c>
      <c r="P59" s="118" t="str">
        <f>IFERROR(IFERROR(VLOOKUP(P$18,'Apoio - Posto'!$A:$AA,12,0),"")*VLOOKUP(P26,'Apoio - Regime de Trabalho'!$A:$I,7,0),"")</f>
        <v/>
      </c>
      <c r="Q59" s="118" t="str">
        <f>IFERROR(IFERROR(VLOOKUP(Q$18,'Apoio - Posto'!$A:$AA,12,0),"")*VLOOKUP(Q26,'Apoio - Regime de Trabalho'!$A:$I,7,0),"")</f>
        <v/>
      </c>
      <c r="R59" s="118" t="str">
        <f>IFERROR(IFERROR(VLOOKUP(R$18,'Apoio - Posto'!$A:$AA,12,0),"")*VLOOKUP(R26,'Apoio - Regime de Trabalho'!$A:$I,7,0),"")</f>
        <v/>
      </c>
      <c r="S59" s="118" t="str">
        <f>IFERROR(IFERROR(VLOOKUP(S$18,'Apoio - Posto'!$A:$AA,12,0),"")*VLOOKUP(S26,'Apoio - Regime de Trabalho'!$A:$I,7,0),"")</f>
        <v/>
      </c>
      <c r="T59" s="118" t="str">
        <f>IFERROR(IFERROR(VLOOKUP(T$18,'Apoio - Posto'!$A:$AA,12,0),"")*VLOOKUP(T26,'Apoio - Regime de Trabalho'!$A:$I,7,0),"")</f>
        <v/>
      </c>
      <c r="U59" s="118" t="str">
        <f>IFERROR(IFERROR(VLOOKUP(U$18,'Apoio - Posto'!$A:$AA,12,0),"")*VLOOKUP(U26,'Apoio - Regime de Trabalho'!$A:$I,7,0),"")</f>
        <v/>
      </c>
      <c r="V59" s="118" t="str">
        <f>IFERROR(IFERROR(VLOOKUP(V$18,'Apoio - Posto'!$A:$AA,12,0),"")*VLOOKUP(V26,'Apoio - Regime de Trabalho'!$A:$I,7,0),"")</f>
        <v/>
      </c>
      <c r="W59" s="118" t="str">
        <f>IFERROR(IFERROR(VLOOKUP(W$18,'Apoio - Posto'!$A:$AA,12,0),"")*VLOOKUP(W26,'Apoio - Regime de Trabalho'!$A:$I,7,0),"")</f>
        <v/>
      </c>
      <c r="X59" s="118" t="str">
        <f>IFERROR(IFERROR(VLOOKUP(X$18,'Apoio - Posto'!$A:$AA,12,0),"")*VLOOKUP(X26,'Apoio - Regime de Trabalho'!$A:$I,7,0),"")</f>
        <v/>
      </c>
    </row>
    <row r="60" spans="1:24">
      <c r="A60" s="119"/>
      <c r="B60" s="1" t="s">
        <v>25</v>
      </c>
      <c r="C60" s="120" t="s">
        <v>88</v>
      </c>
      <c r="D60" s="121"/>
      <c r="E60" s="122"/>
      <c r="F60" s="122"/>
      <c r="G60" s="122"/>
      <c r="H60" s="122"/>
      <c r="I60" s="122"/>
      <c r="J60" s="122"/>
      <c r="K60" s="122"/>
      <c r="L60" s="122"/>
      <c r="M60" s="122"/>
      <c r="N60" s="122"/>
      <c r="O60" s="122"/>
      <c r="P60" s="122"/>
      <c r="Q60" s="122"/>
      <c r="R60" s="122"/>
      <c r="S60" s="122"/>
      <c r="T60" s="122"/>
      <c r="U60" s="122"/>
      <c r="V60" s="122"/>
      <c r="W60" s="122"/>
      <c r="X60" s="122"/>
    </row>
    <row r="61" spans="1:24" s="129" customFormat="1">
      <c r="A61" s="123"/>
      <c r="B61" s="124"/>
      <c r="C61" s="15" t="s">
        <v>89</v>
      </c>
      <c r="D61" s="125"/>
      <c r="E61" s="126">
        <f t="shared" ref="E61:X61" si="9">IF(E21="","",SUM(E32,E35,E39,E42,E46,E49,E53,E58,E59,E60))</f>
        <v>2300.5187999999998</v>
      </c>
      <c r="F61" s="127" t="str">
        <f t="shared" si="9"/>
        <v/>
      </c>
      <c r="G61" s="127" t="str">
        <f t="shared" si="9"/>
        <v/>
      </c>
      <c r="H61" s="128" t="str">
        <f t="shared" si="9"/>
        <v/>
      </c>
      <c r="I61" s="128" t="str">
        <f t="shared" si="9"/>
        <v/>
      </c>
      <c r="J61" s="128" t="str">
        <f t="shared" si="9"/>
        <v/>
      </c>
      <c r="K61" s="128" t="str">
        <f t="shared" si="9"/>
        <v/>
      </c>
      <c r="L61" s="128" t="str">
        <f t="shared" si="9"/>
        <v/>
      </c>
      <c r="M61" s="128" t="str">
        <f t="shared" si="9"/>
        <v/>
      </c>
      <c r="N61" s="128" t="str">
        <f t="shared" si="9"/>
        <v/>
      </c>
      <c r="O61" s="128" t="str">
        <f t="shared" si="9"/>
        <v/>
      </c>
      <c r="P61" s="128" t="str">
        <f t="shared" si="9"/>
        <v/>
      </c>
      <c r="Q61" s="128" t="str">
        <f t="shared" si="9"/>
        <v/>
      </c>
      <c r="R61" s="128" t="str">
        <f t="shared" si="9"/>
        <v/>
      </c>
      <c r="S61" s="128" t="str">
        <f t="shared" si="9"/>
        <v/>
      </c>
      <c r="T61" s="128" t="str">
        <f t="shared" si="9"/>
        <v/>
      </c>
      <c r="U61" s="128" t="str">
        <f t="shared" si="9"/>
        <v/>
      </c>
      <c r="V61" s="128" t="str">
        <f t="shared" si="9"/>
        <v/>
      </c>
      <c r="W61" s="128" t="str">
        <f t="shared" si="9"/>
        <v/>
      </c>
      <c r="X61" s="128" t="str">
        <f t="shared" si="9"/>
        <v/>
      </c>
    </row>
    <row r="62" spans="1:24" s="131" customFormat="1">
      <c r="A62" s="130"/>
      <c r="D62" s="132"/>
      <c r="E62" s="133"/>
      <c r="F62" s="133"/>
      <c r="G62" s="133"/>
      <c r="H62" s="133"/>
      <c r="I62" s="133"/>
      <c r="J62" s="133"/>
      <c r="K62" s="133"/>
      <c r="L62" s="133"/>
      <c r="M62" s="133"/>
      <c r="N62" s="133"/>
      <c r="O62" s="133"/>
      <c r="P62" s="133"/>
      <c r="Q62" s="133"/>
      <c r="R62" s="133"/>
      <c r="S62" s="133"/>
      <c r="T62" s="133"/>
      <c r="U62" s="133"/>
      <c r="V62" s="133"/>
      <c r="W62" s="133"/>
      <c r="X62" s="133"/>
    </row>
    <row r="63" spans="1:24" s="135" customFormat="1">
      <c r="A63" s="134"/>
      <c r="B63" s="14"/>
      <c r="C63" s="15" t="s">
        <v>90</v>
      </c>
      <c r="D63" s="61"/>
      <c r="E63" s="62"/>
      <c r="F63" s="62"/>
      <c r="G63" s="62"/>
      <c r="H63" s="62"/>
      <c r="I63" s="62"/>
      <c r="J63" s="62"/>
      <c r="K63" s="62"/>
      <c r="L63" s="62"/>
      <c r="M63" s="62"/>
      <c r="N63" s="62"/>
      <c r="O63" s="62"/>
      <c r="P63" s="62"/>
      <c r="Q63" s="62"/>
      <c r="R63" s="62"/>
      <c r="S63" s="62"/>
      <c r="T63" s="62"/>
      <c r="U63" s="62"/>
      <c r="V63" s="62"/>
      <c r="W63" s="62"/>
      <c r="X63" s="62"/>
    </row>
    <row r="64" spans="1:24" ht="3.75" customHeight="1"/>
    <row r="65" spans="1:24" s="135" customFormat="1">
      <c r="A65" s="136"/>
      <c r="B65" s="137"/>
      <c r="C65" s="138" t="s">
        <v>91</v>
      </c>
      <c r="D65" s="139"/>
      <c r="E65" s="140"/>
      <c r="F65" s="140"/>
      <c r="G65" s="140"/>
      <c r="H65" s="141"/>
      <c r="I65" s="141"/>
      <c r="J65" s="141"/>
      <c r="K65" s="141"/>
      <c r="L65" s="141"/>
      <c r="M65" s="141"/>
      <c r="N65" s="141"/>
      <c r="O65" s="141"/>
      <c r="P65" s="141"/>
      <c r="Q65" s="141"/>
      <c r="R65" s="141"/>
      <c r="S65" s="141"/>
      <c r="T65" s="141"/>
      <c r="U65" s="141"/>
      <c r="V65" s="141"/>
      <c r="W65" s="141"/>
      <c r="X65" s="141"/>
    </row>
    <row r="66" spans="1:24">
      <c r="A66" s="134"/>
      <c r="B66" s="142" t="s">
        <v>1</v>
      </c>
      <c r="C66" s="143" t="s">
        <v>92</v>
      </c>
      <c r="D66" s="144">
        <f>IFERROR(INDEX('Apoio - Notas Explicativas'!Q:Q,MATCH(C66,'Apoio - Notas Explicativas'!C:C,0)),"")</f>
        <v>8.3299999999999999E-2</v>
      </c>
      <c r="E66" s="67">
        <f t="shared" ref="E66:N68" si="10">IFERROR($D66*E$61,"")</f>
        <v>191.63321603999998</v>
      </c>
      <c r="F66" s="67" t="str">
        <f t="shared" si="10"/>
        <v/>
      </c>
      <c r="G66" s="67" t="str">
        <f t="shared" si="10"/>
        <v/>
      </c>
      <c r="H66" s="67" t="str">
        <f t="shared" si="10"/>
        <v/>
      </c>
      <c r="I66" s="67" t="str">
        <f t="shared" si="10"/>
        <v/>
      </c>
      <c r="J66" s="67" t="str">
        <f t="shared" si="10"/>
        <v/>
      </c>
      <c r="K66" s="67" t="str">
        <f t="shared" si="10"/>
        <v/>
      </c>
      <c r="L66" s="67" t="str">
        <f t="shared" si="10"/>
        <v/>
      </c>
      <c r="M66" s="67" t="str">
        <f t="shared" si="10"/>
        <v/>
      </c>
      <c r="N66" s="67" t="str">
        <f t="shared" si="10"/>
        <v/>
      </c>
      <c r="O66" s="67" t="str">
        <f t="shared" ref="O66:X68" si="11">IFERROR($D66*O$61,"")</f>
        <v/>
      </c>
      <c r="P66" s="67" t="str">
        <f t="shared" si="11"/>
        <v/>
      </c>
      <c r="Q66" s="67" t="str">
        <f t="shared" si="11"/>
        <v/>
      </c>
      <c r="R66" s="67" t="str">
        <f t="shared" si="11"/>
        <v/>
      </c>
      <c r="S66" s="67" t="str">
        <f t="shared" si="11"/>
        <v/>
      </c>
      <c r="T66" s="67" t="str">
        <f t="shared" si="11"/>
        <v/>
      </c>
      <c r="U66" s="67" t="str">
        <f t="shared" si="11"/>
        <v/>
      </c>
      <c r="V66" s="67" t="str">
        <f t="shared" si="11"/>
        <v/>
      </c>
      <c r="W66" s="67" t="str">
        <f t="shared" si="11"/>
        <v/>
      </c>
      <c r="X66" s="67" t="str">
        <f t="shared" si="11"/>
        <v/>
      </c>
    </row>
    <row r="67" spans="1:24">
      <c r="A67" s="134"/>
      <c r="B67" s="142" t="s">
        <v>4</v>
      </c>
      <c r="C67" s="143" t="s">
        <v>93</v>
      </c>
      <c r="D67" s="144">
        <f>IFERROR(INDEX('Apoio - Notas Explicativas'!Q:Q,MATCH(C67,'Apoio - Notas Explicativas'!C:C,0)),"")</f>
        <v>0.1111</v>
      </c>
      <c r="E67" s="67">
        <f t="shared" si="10"/>
        <v>255.58763868</v>
      </c>
      <c r="F67" s="67" t="str">
        <f t="shared" si="10"/>
        <v/>
      </c>
      <c r="G67" s="67" t="str">
        <f t="shared" si="10"/>
        <v/>
      </c>
      <c r="H67" s="67" t="str">
        <f t="shared" si="10"/>
        <v/>
      </c>
      <c r="I67" s="67" t="str">
        <f t="shared" si="10"/>
        <v/>
      </c>
      <c r="J67" s="67" t="str">
        <f t="shared" si="10"/>
        <v/>
      </c>
      <c r="K67" s="67" t="str">
        <f t="shared" si="10"/>
        <v/>
      </c>
      <c r="L67" s="67" t="str">
        <f t="shared" si="10"/>
        <v/>
      </c>
      <c r="M67" s="67" t="str">
        <f t="shared" si="10"/>
        <v/>
      </c>
      <c r="N67" s="67" t="str">
        <f t="shared" si="10"/>
        <v/>
      </c>
      <c r="O67" s="67" t="str">
        <f t="shared" si="11"/>
        <v/>
      </c>
      <c r="P67" s="67" t="str">
        <f t="shared" si="11"/>
        <v/>
      </c>
      <c r="Q67" s="67" t="str">
        <f t="shared" si="11"/>
        <v/>
      </c>
      <c r="R67" s="67" t="str">
        <f t="shared" si="11"/>
        <v/>
      </c>
      <c r="S67" s="67" t="str">
        <f t="shared" si="11"/>
        <v/>
      </c>
      <c r="T67" s="67" t="str">
        <f t="shared" si="11"/>
        <v/>
      </c>
      <c r="U67" s="67" t="str">
        <f t="shared" si="11"/>
        <v/>
      </c>
      <c r="V67" s="67" t="str">
        <f t="shared" si="11"/>
        <v/>
      </c>
      <c r="W67" s="67" t="str">
        <f t="shared" si="11"/>
        <v/>
      </c>
      <c r="X67" s="67" t="str">
        <f t="shared" si="11"/>
        <v/>
      </c>
    </row>
    <row r="68" spans="1:24">
      <c r="A68" s="134"/>
      <c r="B68" s="142" t="s">
        <v>6</v>
      </c>
      <c r="C68" s="145" t="s">
        <v>94</v>
      </c>
      <c r="D68" s="144">
        <f>IFERROR(INDEX('Apoio - Notas Explicativas'!Q:Q,MATCH(C68,'Apoio - Notas Explicativas'!C:C,0)),"")</f>
        <v>7.1599999999999997E-2</v>
      </c>
      <c r="E68" s="67">
        <f t="shared" si="10"/>
        <v>164.71714607999999</v>
      </c>
      <c r="F68" s="67" t="str">
        <f t="shared" si="10"/>
        <v/>
      </c>
      <c r="G68" s="67" t="str">
        <f t="shared" si="10"/>
        <v/>
      </c>
      <c r="H68" s="67" t="str">
        <f t="shared" si="10"/>
        <v/>
      </c>
      <c r="I68" s="67" t="str">
        <f t="shared" si="10"/>
        <v/>
      </c>
      <c r="J68" s="67" t="str">
        <f t="shared" si="10"/>
        <v/>
      </c>
      <c r="K68" s="67" t="str">
        <f t="shared" si="10"/>
        <v/>
      </c>
      <c r="L68" s="67" t="str">
        <f t="shared" si="10"/>
        <v/>
      </c>
      <c r="M68" s="67" t="str">
        <f t="shared" si="10"/>
        <v/>
      </c>
      <c r="N68" s="67" t="str">
        <f t="shared" si="10"/>
        <v/>
      </c>
      <c r="O68" s="67" t="str">
        <f t="shared" si="11"/>
        <v/>
      </c>
      <c r="P68" s="67" t="str">
        <f t="shared" si="11"/>
        <v/>
      </c>
      <c r="Q68" s="67" t="str">
        <f t="shared" si="11"/>
        <v/>
      </c>
      <c r="R68" s="67" t="str">
        <f t="shared" si="11"/>
        <v/>
      </c>
      <c r="S68" s="67" t="str">
        <f t="shared" si="11"/>
        <v/>
      </c>
      <c r="T68" s="67" t="str">
        <f t="shared" si="11"/>
        <v/>
      </c>
      <c r="U68" s="67" t="str">
        <f t="shared" si="11"/>
        <v/>
      </c>
      <c r="V68" s="67" t="str">
        <f t="shared" si="11"/>
        <v/>
      </c>
      <c r="W68" s="67" t="str">
        <f t="shared" si="11"/>
        <v/>
      </c>
      <c r="X68" s="67" t="str">
        <f t="shared" si="11"/>
        <v/>
      </c>
    </row>
    <row r="69" spans="1:24" s="129" customFormat="1">
      <c r="A69" s="146"/>
      <c r="B69" s="137"/>
      <c r="C69" s="138" t="s">
        <v>95</v>
      </c>
      <c r="D69" s="147"/>
      <c r="E69" s="140">
        <f t="shared" ref="E69:X69" si="12">IF(SUM(E66:E68)=0,"",SUM(E66:E68))</f>
        <v>611.93800079999994</v>
      </c>
      <c r="F69" s="140" t="str">
        <f t="shared" si="12"/>
        <v/>
      </c>
      <c r="G69" s="141" t="str">
        <f t="shared" si="12"/>
        <v/>
      </c>
      <c r="H69" s="140" t="str">
        <f t="shared" si="12"/>
        <v/>
      </c>
      <c r="I69" s="140" t="str">
        <f t="shared" si="12"/>
        <v/>
      </c>
      <c r="J69" s="140" t="str">
        <f t="shared" si="12"/>
        <v/>
      </c>
      <c r="K69" s="140" t="str">
        <f t="shared" si="12"/>
        <v/>
      </c>
      <c r="L69" s="140" t="str">
        <f t="shared" si="12"/>
        <v/>
      </c>
      <c r="M69" s="140" t="str">
        <f t="shared" si="12"/>
        <v/>
      </c>
      <c r="N69" s="140" t="str">
        <f t="shared" si="12"/>
        <v/>
      </c>
      <c r="O69" s="140" t="str">
        <f t="shared" si="12"/>
        <v/>
      </c>
      <c r="P69" s="140" t="str">
        <f t="shared" si="12"/>
        <v/>
      </c>
      <c r="Q69" s="140" t="str">
        <f t="shared" si="12"/>
        <v/>
      </c>
      <c r="R69" s="140" t="str">
        <f t="shared" si="12"/>
        <v/>
      </c>
      <c r="S69" s="140" t="str">
        <f t="shared" si="12"/>
        <v/>
      </c>
      <c r="T69" s="140" t="str">
        <f t="shared" si="12"/>
        <v/>
      </c>
      <c r="U69" s="140" t="str">
        <f t="shared" si="12"/>
        <v/>
      </c>
      <c r="V69" s="140" t="str">
        <f t="shared" si="12"/>
        <v/>
      </c>
      <c r="W69" s="140" t="str">
        <f t="shared" si="12"/>
        <v/>
      </c>
      <c r="X69" s="140" t="str">
        <f t="shared" si="12"/>
        <v/>
      </c>
    </row>
    <row r="70" spans="1:24" ht="3.75" customHeight="1"/>
    <row r="71" spans="1:24" s="135" customFormat="1">
      <c r="A71" s="146"/>
      <c r="B71" s="137"/>
      <c r="C71" s="138" t="s">
        <v>96</v>
      </c>
      <c r="D71" s="139"/>
      <c r="E71" s="140"/>
      <c r="F71" s="141"/>
      <c r="G71" s="141"/>
      <c r="H71" s="140"/>
      <c r="I71" s="140"/>
      <c r="J71" s="140"/>
      <c r="K71" s="140"/>
      <c r="L71" s="140"/>
      <c r="M71" s="140"/>
      <c r="N71" s="140"/>
      <c r="O71" s="140"/>
      <c r="P71" s="140"/>
      <c r="Q71" s="140"/>
      <c r="R71" s="140"/>
      <c r="S71" s="140"/>
      <c r="T71" s="140"/>
      <c r="U71" s="140"/>
      <c r="V71" s="140"/>
      <c r="W71" s="140"/>
      <c r="X71" s="140"/>
    </row>
    <row r="72" spans="1:24">
      <c r="A72" s="146"/>
      <c r="B72" s="142" t="s">
        <v>1</v>
      </c>
      <c r="C72" s="143" t="s">
        <v>97</v>
      </c>
      <c r="D72" s="144">
        <f>IFERROR(INDEX('Apoio - Notas Explicativas'!Q:Q,MATCH(C72,'Apoio - Notas Explicativas'!C:C,0)),"")</f>
        <v>0.2</v>
      </c>
      <c r="E72" s="67">
        <f t="shared" ref="E72:N77" si="13">IFERROR($D72*E$61,"")</f>
        <v>460.10375999999997</v>
      </c>
      <c r="F72" s="148" t="str">
        <f t="shared" si="13"/>
        <v/>
      </c>
      <c r="G72" s="148" t="str">
        <f t="shared" si="13"/>
        <v/>
      </c>
      <c r="H72" s="67" t="str">
        <f t="shared" si="13"/>
        <v/>
      </c>
      <c r="I72" s="67" t="str">
        <f t="shared" si="13"/>
        <v/>
      </c>
      <c r="J72" s="67" t="str">
        <f t="shared" si="13"/>
        <v/>
      </c>
      <c r="K72" s="67" t="str">
        <f t="shared" si="13"/>
        <v/>
      </c>
      <c r="L72" s="67" t="str">
        <f t="shared" si="13"/>
        <v/>
      </c>
      <c r="M72" s="67" t="str">
        <f t="shared" si="13"/>
        <v/>
      </c>
      <c r="N72" s="67" t="str">
        <f t="shared" si="13"/>
        <v/>
      </c>
      <c r="O72" s="67" t="str">
        <f t="shared" ref="O72:X77" si="14">IFERROR($D72*O$61,"")</f>
        <v/>
      </c>
      <c r="P72" s="67" t="str">
        <f t="shared" si="14"/>
        <v/>
      </c>
      <c r="Q72" s="67" t="str">
        <f t="shared" si="14"/>
        <v/>
      </c>
      <c r="R72" s="67" t="str">
        <f t="shared" si="14"/>
        <v/>
      </c>
      <c r="S72" s="67" t="str">
        <f t="shared" si="14"/>
        <v/>
      </c>
      <c r="T72" s="67" t="str">
        <f t="shared" si="14"/>
        <v/>
      </c>
      <c r="U72" s="67" t="str">
        <f t="shared" si="14"/>
        <v/>
      </c>
      <c r="V72" s="67" t="str">
        <f t="shared" si="14"/>
        <v/>
      </c>
      <c r="W72" s="67" t="str">
        <f t="shared" si="14"/>
        <v/>
      </c>
      <c r="X72" s="67" t="str">
        <f t="shared" si="14"/>
        <v/>
      </c>
    </row>
    <row r="73" spans="1:24">
      <c r="A73" s="134"/>
      <c r="B73" s="142" t="s">
        <v>4</v>
      </c>
      <c r="C73" s="149" t="s">
        <v>98</v>
      </c>
      <c r="D73" s="144">
        <f>IFERROR(INDEX('Apoio - Notas Explicativas'!Q:Q,MATCH(C73,'Apoio - Notas Explicativas'!C:C,0)),"")</f>
        <v>1.4999999999999999E-2</v>
      </c>
      <c r="E73" s="67">
        <f t="shared" si="13"/>
        <v>34.507781999999999</v>
      </c>
      <c r="F73" s="148" t="str">
        <f t="shared" si="13"/>
        <v/>
      </c>
      <c r="G73" s="148" t="str">
        <f t="shared" si="13"/>
        <v/>
      </c>
      <c r="H73" s="67" t="str">
        <f t="shared" si="13"/>
        <v/>
      </c>
      <c r="I73" s="67" t="str">
        <f t="shared" si="13"/>
        <v/>
      </c>
      <c r="J73" s="67" t="str">
        <f t="shared" si="13"/>
        <v/>
      </c>
      <c r="K73" s="67" t="str">
        <f t="shared" si="13"/>
        <v/>
      </c>
      <c r="L73" s="67" t="str">
        <f t="shared" si="13"/>
        <v/>
      </c>
      <c r="M73" s="67" t="str">
        <f t="shared" si="13"/>
        <v/>
      </c>
      <c r="N73" s="67" t="str">
        <f t="shared" si="13"/>
        <v/>
      </c>
      <c r="O73" s="67" t="str">
        <f t="shared" si="14"/>
        <v/>
      </c>
      <c r="P73" s="67" t="str">
        <f t="shared" si="14"/>
        <v/>
      </c>
      <c r="Q73" s="67" t="str">
        <f t="shared" si="14"/>
        <v/>
      </c>
      <c r="R73" s="67" t="str">
        <f t="shared" si="14"/>
        <v/>
      </c>
      <c r="S73" s="67" t="str">
        <f t="shared" si="14"/>
        <v/>
      </c>
      <c r="T73" s="67" t="str">
        <f t="shared" si="14"/>
        <v/>
      </c>
      <c r="U73" s="67" t="str">
        <f t="shared" si="14"/>
        <v/>
      </c>
      <c r="V73" s="67" t="str">
        <f t="shared" si="14"/>
        <v/>
      </c>
      <c r="W73" s="67" t="str">
        <f t="shared" si="14"/>
        <v/>
      </c>
      <c r="X73" s="67" t="str">
        <f t="shared" si="14"/>
        <v/>
      </c>
    </row>
    <row r="74" spans="1:24">
      <c r="A74" s="134"/>
      <c r="B74" s="142" t="s">
        <v>6</v>
      </c>
      <c r="C74" s="143" t="s">
        <v>99</v>
      </c>
      <c r="D74" s="144">
        <f>IFERROR(INDEX('Apoio - Notas Explicativas'!Q:Q,MATCH(C74,'Apoio - Notas Explicativas'!C:C,0)),"")</f>
        <v>0.01</v>
      </c>
      <c r="E74" s="67">
        <f t="shared" si="13"/>
        <v>23.005188</v>
      </c>
      <c r="F74" s="148" t="str">
        <f t="shared" si="13"/>
        <v/>
      </c>
      <c r="G74" s="148" t="str">
        <f t="shared" si="13"/>
        <v/>
      </c>
      <c r="H74" s="67" t="str">
        <f t="shared" si="13"/>
        <v/>
      </c>
      <c r="I74" s="67" t="str">
        <f t="shared" si="13"/>
        <v/>
      </c>
      <c r="J74" s="67" t="str">
        <f t="shared" si="13"/>
        <v/>
      </c>
      <c r="K74" s="67" t="str">
        <f t="shared" si="13"/>
        <v/>
      </c>
      <c r="L74" s="67" t="str">
        <f t="shared" si="13"/>
        <v/>
      </c>
      <c r="M74" s="67" t="str">
        <f t="shared" si="13"/>
        <v/>
      </c>
      <c r="N74" s="67" t="str">
        <f t="shared" si="13"/>
        <v/>
      </c>
      <c r="O74" s="67" t="str">
        <f t="shared" si="14"/>
        <v/>
      </c>
      <c r="P74" s="67" t="str">
        <f t="shared" si="14"/>
        <v/>
      </c>
      <c r="Q74" s="67" t="str">
        <f t="shared" si="14"/>
        <v/>
      </c>
      <c r="R74" s="67" t="str">
        <f t="shared" si="14"/>
        <v/>
      </c>
      <c r="S74" s="67" t="str">
        <f t="shared" si="14"/>
        <v/>
      </c>
      <c r="T74" s="67" t="str">
        <f t="shared" si="14"/>
        <v/>
      </c>
      <c r="U74" s="67" t="str">
        <f t="shared" si="14"/>
        <v/>
      </c>
      <c r="V74" s="67" t="str">
        <f t="shared" si="14"/>
        <v/>
      </c>
      <c r="W74" s="67" t="str">
        <f t="shared" si="14"/>
        <v/>
      </c>
      <c r="X74" s="67" t="str">
        <f t="shared" si="14"/>
        <v/>
      </c>
    </row>
    <row r="75" spans="1:24">
      <c r="A75" s="134"/>
      <c r="B75" s="142" t="s">
        <v>9</v>
      </c>
      <c r="C75" s="143" t="s">
        <v>100</v>
      </c>
      <c r="D75" s="144">
        <f>IFERROR(INDEX('Apoio - Notas Explicativas'!Q:Q,MATCH(C75,'Apoio - Notas Explicativas'!C:C,0)),"")</f>
        <v>2E-3</v>
      </c>
      <c r="E75" s="67">
        <f t="shared" si="13"/>
        <v>4.6010375999999997</v>
      </c>
      <c r="F75" s="148" t="str">
        <f t="shared" si="13"/>
        <v/>
      </c>
      <c r="G75" s="148" t="str">
        <f t="shared" si="13"/>
        <v/>
      </c>
      <c r="H75" s="67" t="str">
        <f t="shared" si="13"/>
        <v/>
      </c>
      <c r="I75" s="67" t="str">
        <f t="shared" si="13"/>
        <v/>
      </c>
      <c r="J75" s="67" t="str">
        <f t="shared" si="13"/>
        <v/>
      </c>
      <c r="K75" s="67" t="str">
        <f t="shared" si="13"/>
        <v/>
      </c>
      <c r="L75" s="67" t="str">
        <f t="shared" si="13"/>
        <v/>
      </c>
      <c r="M75" s="67" t="str">
        <f t="shared" si="13"/>
        <v/>
      </c>
      <c r="N75" s="67" t="str">
        <f t="shared" si="13"/>
        <v/>
      </c>
      <c r="O75" s="67" t="str">
        <f t="shared" si="14"/>
        <v/>
      </c>
      <c r="P75" s="67" t="str">
        <f t="shared" si="14"/>
        <v/>
      </c>
      <c r="Q75" s="67" t="str">
        <f t="shared" si="14"/>
        <v/>
      </c>
      <c r="R75" s="67" t="str">
        <f t="shared" si="14"/>
        <v/>
      </c>
      <c r="S75" s="67" t="str">
        <f t="shared" si="14"/>
        <v/>
      </c>
      <c r="T75" s="67" t="str">
        <f t="shared" si="14"/>
        <v/>
      </c>
      <c r="U75" s="67" t="str">
        <f t="shared" si="14"/>
        <v/>
      </c>
      <c r="V75" s="67" t="str">
        <f t="shared" si="14"/>
        <v/>
      </c>
      <c r="W75" s="67" t="str">
        <f t="shared" si="14"/>
        <v/>
      </c>
      <c r="X75" s="67" t="str">
        <f t="shared" si="14"/>
        <v/>
      </c>
    </row>
    <row r="76" spans="1:24">
      <c r="A76" s="134"/>
      <c r="B76" s="142" t="s">
        <v>12</v>
      </c>
      <c r="C76" s="143" t="s">
        <v>101</v>
      </c>
      <c r="D76" s="144">
        <f>IFERROR(INDEX('Apoio - Notas Explicativas'!Q:Q,MATCH(C76,'Apoio - Notas Explicativas'!C:C,0)),"")</f>
        <v>2.5000000000000001E-2</v>
      </c>
      <c r="E76" s="67">
        <f t="shared" si="13"/>
        <v>57.512969999999996</v>
      </c>
      <c r="F76" s="148" t="str">
        <f t="shared" si="13"/>
        <v/>
      </c>
      <c r="G76" s="148" t="str">
        <f t="shared" si="13"/>
        <v/>
      </c>
      <c r="H76" s="67" t="str">
        <f t="shared" si="13"/>
        <v/>
      </c>
      <c r="I76" s="67" t="str">
        <f t="shared" si="13"/>
        <v/>
      </c>
      <c r="J76" s="67" t="str">
        <f t="shared" si="13"/>
        <v/>
      </c>
      <c r="K76" s="67" t="str">
        <f t="shared" si="13"/>
        <v/>
      </c>
      <c r="L76" s="67" t="str">
        <f t="shared" si="13"/>
        <v/>
      </c>
      <c r="M76" s="67" t="str">
        <f t="shared" si="13"/>
        <v/>
      </c>
      <c r="N76" s="67" t="str">
        <f t="shared" si="13"/>
        <v/>
      </c>
      <c r="O76" s="67" t="str">
        <f t="shared" si="14"/>
        <v/>
      </c>
      <c r="P76" s="67" t="str">
        <f t="shared" si="14"/>
        <v/>
      </c>
      <c r="Q76" s="67" t="str">
        <f t="shared" si="14"/>
        <v/>
      </c>
      <c r="R76" s="67" t="str">
        <f t="shared" si="14"/>
        <v/>
      </c>
      <c r="S76" s="67" t="str">
        <f t="shared" si="14"/>
        <v/>
      </c>
      <c r="T76" s="67" t="str">
        <f t="shared" si="14"/>
        <v/>
      </c>
      <c r="U76" s="67" t="str">
        <f t="shared" si="14"/>
        <v/>
      </c>
      <c r="V76" s="67" t="str">
        <f t="shared" si="14"/>
        <v/>
      </c>
      <c r="W76" s="67" t="str">
        <f t="shared" si="14"/>
        <v/>
      </c>
      <c r="X76" s="67" t="str">
        <f t="shared" si="14"/>
        <v/>
      </c>
    </row>
    <row r="77" spans="1:24">
      <c r="A77" s="134"/>
      <c r="B77" s="142" t="s">
        <v>15</v>
      </c>
      <c r="C77" s="143" t="s">
        <v>102</v>
      </c>
      <c r="D77" s="144">
        <f>IFERROR(INDEX('Apoio - Notas Explicativas'!Q:Q,MATCH(C77,'Apoio - Notas Explicativas'!C:C,0)),"")</f>
        <v>0.08</v>
      </c>
      <c r="E77" s="67">
        <f t="shared" si="13"/>
        <v>184.041504</v>
      </c>
      <c r="F77" s="148" t="str">
        <f t="shared" si="13"/>
        <v/>
      </c>
      <c r="G77" s="148" t="str">
        <f t="shared" si="13"/>
        <v/>
      </c>
      <c r="H77" s="67" t="str">
        <f t="shared" si="13"/>
        <v/>
      </c>
      <c r="I77" s="67" t="str">
        <f t="shared" si="13"/>
        <v/>
      </c>
      <c r="J77" s="67" t="str">
        <f t="shared" si="13"/>
        <v/>
      </c>
      <c r="K77" s="67" t="str">
        <f t="shared" si="13"/>
        <v/>
      </c>
      <c r="L77" s="67" t="str">
        <f t="shared" si="13"/>
        <v/>
      </c>
      <c r="M77" s="67" t="str">
        <f t="shared" si="13"/>
        <v/>
      </c>
      <c r="N77" s="67" t="str">
        <f t="shared" si="13"/>
        <v/>
      </c>
      <c r="O77" s="67" t="str">
        <f t="shared" si="14"/>
        <v/>
      </c>
      <c r="P77" s="67" t="str">
        <f t="shared" si="14"/>
        <v/>
      </c>
      <c r="Q77" s="67" t="str">
        <f t="shared" si="14"/>
        <v/>
      </c>
      <c r="R77" s="67" t="str">
        <f t="shared" si="14"/>
        <v/>
      </c>
      <c r="S77" s="67" t="str">
        <f t="shared" si="14"/>
        <v/>
      </c>
      <c r="T77" s="67" t="str">
        <f t="shared" si="14"/>
        <v/>
      </c>
      <c r="U77" s="67" t="str">
        <f t="shared" si="14"/>
        <v/>
      </c>
      <c r="V77" s="67" t="str">
        <f t="shared" si="14"/>
        <v/>
      </c>
      <c r="W77" s="67" t="str">
        <f t="shared" si="14"/>
        <v/>
      </c>
      <c r="X77" s="67" t="str">
        <f t="shared" si="14"/>
        <v/>
      </c>
    </row>
    <row r="78" spans="1:24">
      <c r="A78" s="134"/>
      <c r="B78" s="672" t="s">
        <v>17</v>
      </c>
      <c r="C78" s="150" t="str">
        <f>CONCATENATE("GILL/RAT (RAT ",D79," x FAP ",D80,")")</f>
        <v>GILL/RAT (RAT 0,03 x FAP 1)</v>
      </c>
      <c r="D78" s="151"/>
      <c r="E78" s="101"/>
      <c r="F78" s="152"/>
      <c r="G78" s="152"/>
      <c r="H78" s="101"/>
      <c r="I78" s="101"/>
      <c r="J78" s="101"/>
      <c r="K78" s="101"/>
      <c r="L78" s="101"/>
      <c r="M78" s="101"/>
      <c r="N78" s="101"/>
      <c r="O78" s="101"/>
      <c r="P78" s="101"/>
      <c r="Q78" s="101"/>
      <c r="R78" s="101"/>
      <c r="S78" s="101"/>
      <c r="T78" s="101"/>
      <c r="U78" s="101"/>
      <c r="V78" s="101"/>
      <c r="W78" s="101"/>
      <c r="X78" s="101"/>
    </row>
    <row r="79" spans="1:24">
      <c r="A79" s="134"/>
      <c r="B79" s="672"/>
      <c r="C79" s="153" t="s">
        <v>103</v>
      </c>
      <c r="D79" s="154">
        <f>VLOOKUP(C79,'Apoio - Notas Explicativas'!$C:$Q,14,0)</f>
        <v>0.03</v>
      </c>
      <c r="E79" s="155"/>
      <c r="F79" s="155"/>
      <c r="G79" s="155"/>
      <c r="H79" s="156"/>
      <c r="I79" s="156"/>
      <c r="J79" s="156"/>
      <c r="K79" s="156"/>
      <c r="L79" s="156"/>
      <c r="M79" s="156"/>
      <c r="N79" s="156"/>
      <c r="O79" s="156"/>
      <c r="P79" s="156"/>
      <c r="Q79" s="156"/>
      <c r="R79" s="156"/>
      <c r="S79" s="156"/>
      <c r="T79" s="156"/>
      <c r="U79" s="156"/>
      <c r="V79" s="156"/>
      <c r="W79" s="156"/>
      <c r="X79" s="156"/>
    </row>
    <row r="80" spans="1:24">
      <c r="A80" s="134"/>
      <c r="B80" s="672"/>
      <c r="C80" s="157" t="s">
        <v>104</v>
      </c>
      <c r="D80" s="158">
        <f>VLOOKUP(C80,'Apoio - Notas Explicativas'!$C:$Q,14,0)</f>
        <v>1</v>
      </c>
      <c r="E80" s="159"/>
      <c r="F80" s="159"/>
      <c r="G80" s="159"/>
      <c r="H80" s="159"/>
      <c r="I80" s="159"/>
      <c r="J80" s="159"/>
      <c r="K80" s="159"/>
      <c r="L80" s="159"/>
      <c r="M80" s="159"/>
      <c r="N80" s="159"/>
      <c r="O80" s="159"/>
      <c r="P80" s="159"/>
      <c r="Q80" s="159"/>
      <c r="R80" s="159"/>
      <c r="S80" s="159"/>
      <c r="T80" s="159"/>
      <c r="U80" s="159"/>
      <c r="V80" s="159"/>
      <c r="W80" s="159"/>
      <c r="X80" s="159"/>
    </row>
    <row r="81" spans="1:24">
      <c r="A81" s="134"/>
      <c r="B81" s="672"/>
      <c r="C81" s="143"/>
      <c r="D81" s="160">
        <f>D80*D79</f>
        <v>0.03</v>
      </c>
      <c r="E81" s="161">
        <f t="shared" ref="E81:N82" si="15">IFERROR($D81*E$61,"")</f>
        <v>69.015563999999998</v>
      </c>
      <c r="F81" s="161" t="str">
        <f t="shared" si="15"/>
        <v/>
      </c>
      <c r="G81" s="161" t="str">
        <f t="shared" si="15"/>
        <v/>
      </c>
      <c r="H81" s="161" t="str">
        <f t="shared" si="15"/>
        <v/>
      </c>
      <c r="I81" s="161" t="str">
        <f t="shared" si="15"/>
        <v/>
      </c>
      <c r="J81" s="161" t="str">
        <f t="shared" si="15"/>
        <v/>
      </c>
      <c r="K81" s="161" t="str">
        <f t="shared" si="15"/>
        <v/>
      </c>
      <c r="L81" s="161" t="str">
        <f t="shared" si="15"/>
        <v/>
      </c>
      <c r="M81" s="161" t="str">
        <f t="shared" si="15"/>
        <v/>
      </c>
      <c r="N81" s="161" t="str">
        <f t="shared" si="15"/>
        <v/>
      </c>
      <c r="O81" s="161" t="str">
        <f t="shared" ref="O81:X82" si="16">IFERROR($D81*O$61,"")</f>
        <v/>
      </c>
      <c r="P81" s="161" t="str">
        <f t="shared" si="16"/>
        <v/>
      </c>
      <c r="Q81" s="161" t="str">
        <f t="shared" si="16"/>
        <v/>
      </c>
      <c r="R81" s="161" t="str">
        <f t="shared" si="16"/>
        <v/>
      </c>
      <c r="S81" s="161" t="str">
        <f t="shared" si="16"/>
        <v/>
      </c>
      <c r="T81" s="161" t="str">
        <f t="shared" si="16"/>
        <v/>
      </c>
      <c r="U81" s="161" t="str">
        <f t="shared" si="16"/>
        <v/>
      </c>
      <c r="V81" s="161" t="str">
        <f t="shared" si="16"/>
        <v/>
      </c>
      <c r="W81" s="161" t="str">
        <f t="shared" si="16"/>
        <v/>
      </c>
      <c r="X81" s="161" t="str">
        <f t="shared" si="16"/>
        <v/>
      </c>
    </row>
    <row r="82" spans="1:24">
      <c r="A82" s="146"/>
      <c r="B82" s="142" t="s">
        <v>20</v>
      </c>
      <c r="C82" s="143" t="s">
        <v>105</v>
      </c>
      <c r="D82" s="144">
        <f>IFERROR(INDEX('Apoio - Notas Explicativas'!Q:Q,MATCH(C82,'Apoio - Notas Explicativas'!C:C,0)),"")</f>
        <v>6.0000000000000001E-3</v>
      </c>
      <c r="E82" s="148">
        <f t="shared" si="15"/>
        <v>13.803112799999999</v>
      </c>
      <c r="F82" s="148" t="str">
        <f t="shared" si="15"/>
        <v/>
      </c>
      <c r="G82" s="148" t="str">
        <f t="shared" si="15"/>
        <v/>
      </c>
      <c r="H82" s="148" t="str">
        <f t="shared" si="15"/>
        <v/>
      </c>
      <c r="I82" s="148" t="str">
        <f t="shared" si="15"/>
        <v/>
      </c>
      <c r="J82" s="148" t="str">
        <f t="shared" si="15"/>
        <v/>
      </c>
      <c r="K82" s="148" t="str">
        <f t="shared" si="15"/>
        <v/>
      </c>
      <c r="L82" s="148" t="str">
        <f t="shared" si="15"/>
        <v/>
      </c>
      <c r="M82" s="148" t="str">
        <f t="shared" si="15"/>
        <v/>
      </c>
      <c r="N82" s="148" t="str">
        <f t="shared" si="15"/>
        <v/>
      </c>
      <c r="O82" s="148" t="str">
        <f t="shared" si="16"/>
        <v/>
      </c>
      <c r="P82" s="148" t="str">
        <f t="shared" si="16"/>
        <v/>
      </c>
      <c r="Q82" s="148" t="str">
        <f t="shared" si="16"/>
        <v/>
      </c>
      <c r="R82" s="148" t="str">
        <f t="shared" si="16"/>
        <v/>
      </c>
      <c r="S82" s="148" t="str">
        <f t="shared" si="16"/>
        <v/>
      </c>
      <c r="T82" s="148" t="str">
        <f t="shared" si="16"/>
        <v/>
      </c>
      <c r="U82" s="148" t="str">
        <f t="shared" si="16"/>
        <v/>
      </c>
      <c r="V82" s="148" t="str">
        <f t="shared" si="16"/>
        <v/>
      </c>
      <c r="W82" s="148" t="str">
        <f t="shared" si="16"/>
        <v/>
      </c>
      <c r="X82" s="148" t="str">
        <f t="shared" si="16"/>
        <v/>
      </c>
    </row>
    <row r="83" spans="1:24" s="129" customFormat="1">
      <c r="A83" s="146"/>
      <c r="B83" s="137"/>
      <c r="C83" s="138" t="s">
        <v>106</v>
      </c>
      <c r="D83" s="147"/>
      <c r="E83" s="140">
        <f t="shared" ref="E83:X83" si="17">IF((SUM(E72:E77,E81,E82))=0,"",(SUM(E72:E77,E81,E82)))</f>
        <v>846.59091840000008</v>
      </c>
      <c r="F83" s="140" t="str">
        <f t="shared" si="17"/>
        <v/>
      </c>
      <c r="G83" s="140" t="str">
        <f t="shared" si="17"/>
        <v/>
      </c>
      <c r="H83" s="140" t="str">
        <f t="shared" si="17"/>
        <v/>
      </c>
      <c r="I83" s="140" t="str">
        <f t="shared" si="17"/>
        <v/>
      </c>
      <c r="J83" s="140" t="str">
        <f t="shared" si="17"/>
        <v/>
      </c>
      <c r="K83" s="140" t="str">
        <f t="shared" si="17"/>
        <v/>
      </c>
      <c r="L83" s="140" t="str">
        <f t="shared" si="17"/>
        <v/>
      </c>
      <c r="M83" s="140" t="str">
        <f t="shared" si="17"/>
        <v/>
      </c>
      <c r="N83" s="140" t="str">
        <f t="shared" si="17"/>
        <v/>
      </c>
      <c r="O83" s="140" t="str">
        <f t="shared" si="17"/>
        <v/>
      </c>
      <c r="P83" s="140" t="str">
        <f t="shared" si="17"/>
        <v/>
      </c>
      <c r="Q83" s="140" t="str">
        <f t="shared" si="17"/>
        <v/>
      </c>
      <c r="R83" s="140" t="str">
        <f t="shared" si="17"/>
        <v/>
      </c>
      <c r="S83" s="140" t="str">
        <f t="shared" si="17"/>
        <v/>
      </c>
      <c r="T83" s="140" t="str">
        <f t="shared" si="17"/>
        <v/>
      </c>
      <c r="U83" s="140" t="str">
        <f t="shared" si="17"/>
        <v/>
      </c>
      <c r="V83" s="140" t="str">
        <f t="shared" si="17"/>
        <v/>
      </c>
      <c r="W83" s="140" t="str">
        <f t="shared" si="17"/>
        <v/>
      </c>
      <c r="X83" s="140" t="str">
        <f t="shared" si="17"/>
        <v/>
      </c>
    </row>
    <row r="84" spans="1:24" ht="3.75" customHeight="1"/>
    <row r="85" spans="1:24" s="135" customFormat="1">
      <c r="A85" s="146"/>
      <c r="B85" s="162"/>
      <c r="C85" s="163" t="s">
        <v>107</v>
      </c>
      <c r="D85" s="164"/>
      <c r="E85" s="140"/>
      <c r="F85" s="140"/>
      <c r="G85" s="140"/>
      <c r="H85" s="140"/>
      <c r="I85" s="140"/>
      <c r="J85" s="140"/>
      <c r="K85" s="140"/>
      <c r="L85" s="140"/>
      <c r="M85" s="140"/>
      <c r="N85" s="140"/>
      <c r="O85" s="140"/>
      <c r="P85" s="140"/>
      <c r="Q85" s="140"/>
      <c r="R85" s="140"/>
      <c r="S85" s="140"/>
      <c r="T85" s="140"/>
      <c r="U85" s="140"/>
      <c r="V85" s="140"/>
      <c r="W85" s="140"/>
      <c r="X85" s="140"/>
    </row>
    <row r="86" spans="1:24" s="12" customFormat="1">
      <c r="A86" s="134"/>
      <c r="B86" s="672" t="s">
        <v>1</v>
      </c>
      <c r="C86" s="165" t="s">
        <v>108</v>
      </c>
      <c r="D86" s="166"/>
      <c r="E86" s="167"/>
      <c r="F86" s="167"/>
      <c r="G86" s="167"/>
      <c r="H86" s="167"/>
      <c r="I86" s="167"/>
      <c r="J86" s="167"/>
      <c r="K86" s="167"/>
      <c r="L86" s="167"/>
      <c r="M86" s="167"/>
      <c r="N86" s="167"/>
      <c r="O86" s="167"/>
      <c r="P86" s="167"/>
      <c r="Q86" s="167"/>
      <c r="R86" s="167"/>
      <c r="S86" s="167"/>
      <c r="T86" s="167"/>
      <c r="U86" s="167"/>
      <c r="V86" s="167"/>
      <c r="W86" s="167"/>
      <c r="X86" s="167"/>
    </row>
    <row r="87" spans="1:24">
      <c r="A87" s="134"/>
      <c r="B87" s="672"/>
      <c r="C87" s="168" t="s">
        <v>109</v>
      </c>
      <c r="D87" s="169"/>
      <c r="E87" s="170">
        <f>IF(E18="","",5)</f>
        <v>5</v>
      </c>
      <c r="F87" s="170" t="str">
        <f>IF(F18="","",5)</f>
        <v/>
      </c>
      <c r="G87" s="170" t="str">
        <f>IF(G18="","",5)</f>
        <v/>
      </c>
      <c r="H87" s="170" t="str">
        <f>IF(H18="","",5)</f>
        <v/>
      </c>
      <c r="I87" s="170" t="str">
        <f>IF(I18="","",5)</f>
        <v/>
      </c>
      <c r="J87" s="170" t="str">
        <f t="shared" ref="J87:X87" si="18">IF(J18="","",4.8)</f>
        <v/>
      </c>
      <c r="K87" s="170" t="str">
        <f t="shared" si="18"/>
        <v/>
      </c>
      <c r="L87" s="170" t="str">
        <f t="shared" si="18"/>
        <v/>
      </c>
      <c r="M87" s="170" t="str">
        <f t="shared" si="18"/>
        <v/>
      </c>
      <c r="N87" s="170" t="str">
        <f t="shared" si="18"/>
        <v/>
      </c>
      <c r="O87" s="170" t="str">
        <f t="shared" si="18"/>
        <v/>
      </c>
      <c r="P87" s="170" t="str">
        <f t="shared" si="18"/>
        <v/>
      </c>
      <c r="Q87" s="170" t="str">
        <f t="shared" si="18"/>
        <v/>
      </c>
      <c r="R87" s="170" t="str">
        <f t="shared" si="18"/>
        <v/>
      </c>
      <c r="S87" s="170" t="str">
        <f t="shared" si="18"/>
        <v/>
      </c>
      <c r="T87" s="170" t="str">
        <f t="shared" si="18"/>
        <v/>
      </c>
      <c r="U87" s="170" t="str">
        <f t="shared" si="18"/>
        <v/>
      </c>
      <c r="V87" s="170" t="str">
        <f t="shared" si="18"/>
        <v/>
      </c>
      <c r="W87" s="170" t="str">
        <f t="shared" si="18"/>
        <v/>
      </c>
      <c r="X87" s="170" t="str">
        <f t="shared" si="18"/>
        <v/>
      </c>
    </row>
    <row r="88" spans="1:24">
      <c r="A88" s="134"/>
      <c r="B88" s="672"/>
      <c r="C88" s="83" t="s">
        <v>110</v>
      </c>
      <c r="D88" s="171"/>
      <c r="E88" s="172">
        <f t="shared" ref="E88:X88" si="19">IF(E18="","",2)</f>
        <v>2</v>
      </c>
      <c r="F88" s="172" t="str">
        <f t="shared" si="19"/>
        <v/>
      </c>
      <c r="G88" s="172" t="str">
        <f t="shared" si="19"/>
        <v/>
      </c>
      <c r="H88" s="172" t="str">
        <f t="shared" si="19"/>
        <v/>
      </c>
      <c r="I88" s="172" t="str">
        <f t="shared" si="19"/>
        <v/>
      </c>
      <c r="J88" s="172" t="str">
        <f t="shared" si="19"/>
        <v/>
      </c>
      <c r="K88" s="172" t="str">
        <f t="shared" si="19"/>
        <v/>
      </c>
      <c r="L88" s="172" t="str">
        <f t="shared" si="19"/>
        <v/>
      </c>
      <c r="M88" s="172" t="str">
        <f t="shared" si="19"/>
        <v/>
      </c>
      <c r="N88" s="172" t="str">
        <f t="shared" si="19"/>
        <v/>
      </c>
      <c r="O88" s="172" t="str">
        <f t="shared" si="19"/>
        <v/>
      </c>
      <c r="P88" s="172" t="str">
        <f t="shared" si="19"/>
        <v/>
      </c>
      <c r="Q88" s="172" t="str">
        <f t="shared" si="19"/>
        <v/>
      </c>
      <c r="R88" s="172" t="str">
        <f t="shared" si="19"/>
        <v/>
      </c>
      <c r="S88" s="172" t="str">
        <f t="shared" si="19"/>
        <v/>
      </c>
      <c r="T88" s="172" t="str">
        <f t="shared" si="19"/>
        <v/>
      </c>
      <c r="U88" s="172" t="str">
        <f t="shared" si="19"/>
        <v/>
      </c>
      <c r="V88" s="172" t="str">
        <f t="shared" si="19"/>
        <v/>
      </c>
      <c r="W88" s="172" t="str">
        <f t="shared" si="19"/>
        <v/>
      </c>
      <c r="X88" s="172" t="str">
        <f t="shared" si="19"/>
        <v/>
      </c>
    </row>
    <row r="89" spans="1:24">
      <c r="A89" s="134"/>
      <c r="B89" s="672"/>
      <c r="C89" s="83" t="s">
        <v>111</v>
      </c>
      <c r="D89" s="173"/>
      <c r="E89" s="174">
        <f>IFERROR(IF(E18="","",VLOOKUP(E26,'Apoio - Regime de Trabalho'!$A:$G,7,0)),"")</f>
        <v>22</v>
      </c>
      <c r="F89" s="174" t="str">
        <f>IFERROR(IF(F18="","",VLOOKUP(F26,'Apoio - Regime de Trabalho'!$A:$G,7,0)),"")</f>
        <v/>
      </c>
      <c r="G89" s="174" t="str">
        <f>IFERROR(IF(G18="","",VLOOKUP(G26,'Apoio - Regime de Trabalho'!$A:$G,7,0)),"")</f>
        <v/>
      </c>
      <c r="H89" s="174" t="str">
        <f>IFERROR(IF(H18="","",VLOOKUP(H26,'Apoio - Regime de Trabalho'!$A:$G,7,0)),"")</f>
        <v/>
      </c>
      <c r="I89" s="174" t="str">
        <f>IFERROR(IF(I18="","",VLOOKUP(I26,'Apoio - Regime de Trabalho'!$A:$G,7,0)),"")</f>
        <v/>
      </c>
      <c r="J89" s="174" t="str">
        <f>IFERROR(IF(J18="","",VLOOKUP(J26,'Apoio - Regime de Trabalho'!$A:$G,7,0)),"")</f>
        <v/>
      </c>
      <c r="K89" s="174" t="str">
        <f>IFERROR(IF(K18="","",VLOOKUP(K26,'Apoio - Regime de Trabalho'!$A:$G,7,0)),"")</f>
        <v/>
      </c>
      <c r="L89" s="174" t="str">
        <f>IFERROR(IF(L18="","",VLOOKUP(L26,'Apoio - Regime de Trabalho'!$A:$G,7,0)),"")</f>
        <v/>
      </c>
      <c r="M89" s="174" t="str">
        <f>IFERROR(IF(M18="","",VLOOKUP(M26,'Apoio - Regime de Trabalho'!$A:$G,7,0)),"")</f>
        <v/>
      </c>
      <c r="N89" s="174" t="str">
        <f>IFERROR(IF(N18="","",VLOOKUP(N26,'Apoio - Regime de Trabalho'!$A:$G,7,0)),"")</f>
        <v/>
      </c>
      <c r="O89" s="174" t="str">
        <f>IFERROR(IF(O18="","",VLOOKUP(O26,'Apoio - Regime de Trabalho'!$A:$G,7,0)),"")</f>
        <v/>
      </c>
      <c r="P89" s="174" t="str">
        <f>IFERROR(IF(P18="","",VLOOKUP(P26,'Apoio - Regime de Trabalho'!$A:$G,7,0)),"")</f>
        <v/>
      </c>
      <c r="Q89" s="174" t="str">
        <f>IFERROR(IF(Q18="","",VLOOKUP(Q26,'Apoio - Regime de Trabalho'!$A:$G,7,0)),"")</f>
        <v/>
      </c>
      <c r="R89" s="174" t="str">
        <f>IFERROR(IF(R18="","",VLOOKUP(R26,'Apoio - Regime de Trabalho'!$A:$G,7,0)),"")</f>
        <v/>
      </c>
      <c r="S89" s="174" t="str">
        <f>IFERROR(IF(S18="","",VLOOKUP(S26,'Apoio - Regime de Trabalho'!$A:$G,7,0)),"")</f>
        <v/>
      </c>
      <c r="T89" s="174" t="str">
        <f>IFERROR(IF(T18="","",VLOOKUP(T26,'Apoio - Regime de Trabalho'!$A:$G,7,0)),"")</f>
        <v/>
      </c>
      <c r="U89" s="174" t="str">
        <f>IFERROR(IF(U18="","",VLOOKUP(U26,'Apoio - Regime de Trabalho'!$A:$G,7,0)),"")</f>
        <v/>
      </c>
      <c r="V89" s="174" t="str">
        <f>IFERROR(IF(V18="","",VLOOKUP(V26,'Apoio - Regime de Trabalho'!$A:$G,7,0)),"")</f>
        <v/>
      </c>
      <c r="W89" s="174" t="str">
        <f>IFERROR(IF(W18="","",VLOOKUP(W26,'Apoio - Regime de Trabalho'!$A:$G,7,0)),"")</f>
        <v/>
      </c>
      <c r="X89" s="174" t="str">
        <f>IFERROR(IF(X18="","",VLOOKUP(X26,'Apoio - Regime de Trabalho'!$A:$G,7,0)),"")</f>
        <v/>
      </c>
    </row>
    <row r="90" spans="1:24">
      <c r="A90" s="134"/>
      <c r="B90" s="672"/>
      <c r="C90" s="83" t="s">
        <v>112</v>
      </c>
      <c r="D90" s="171"/>
      <c r="E90" s="175">
        <f>IF(E18="","",IFERROR(VLOOKUP(E$18,'Apoio - Posto'!$A:$AA,16,0),6%))</f>
        <v>0.06</v>
      </c>
      <c r="F90" s="175" t="str">
        <f>IF(F18="","",IFERROR(VLOOKUP(F$18,'Apoio - Posto'!$A:$AA,16,0),6%))</f>
        <v/>
      </c>
      <c r="G90" s="175" t="str">
        <f>IF(G18="","",IFERROR(VLOOKUP(G$18,'Apoio - Posto'!$A:$AA,16,0),6%))</f>
        <v/>
      </c>
      <c r="H90" s="175" t="str">
        <f>IF(H18="","",IFERROR(VLOOKUP(H$18,'Apoio - Posto'!$A:$AA,16,0),6%))</f>
        <v/>
      </c>
      <c r="I90" s="175" t="str">
        <f>IF(I18="","",IFERROR(VLOOKUP(I$18,'Apoio - Posto'!$A:$AA,16,0),6%))</f>
        <v/>
      </c>
      <c r="J90" s="175" t="str">
        <f>IF(J18="","",IFERROR(VLOOKUP(J$18,'Apoio - Posto'!$A:$AA,16,0),6%))</f>
        <v/>
      </c>
      <c r="K90" s="175" t="str">
        <f>IF(K18="","",IFERROR(VLOOKUP(K$18,'Apoio - Posto'!$A:$AA,16,0),6%))</f>
        <v/>
      </c>
      <c r="L90" s="175" t="str">
        <f>IF(L18="","",IFERROR(VLOOKUP(L$18,'Apoio - Posto'!$A:$AA,16,0),6%))</f>
        <v/>
      </c>
      <c r="M90" s="175" t="str">
        <f>IF(M18="","",IFERROR(VLOOKUP(M$18,'Apoio - Posto'!$A:$AA,16,0),6%))</f>
        <v/>
      </c>
      <c r="N90" s="175" t="str">
        <f>IF(N18="","",IFERROR(VLOOKUP(N$18,'Apoio - Posto'!$A:$AA,16,0),6%))</f>
        <v/>
      </c>
      <c r="O90" s="175" t="str">
        <f>IF(O18="","",IFERROR(VLOOKUP(O$18,'Apoio - Posto'!$A:$AA,16,0),6%))</f>
        <v/>
      </c>
      <c r="P90" s="175" t="str">
        <f>IF(P18="","",IFERROR(VLOOKUP(P$18,'Apoio - Posto'!$A:$AA,16,0),6%))</f>
        <v/>
      </c>
      <c r="Q90" s="175" t="str">
        <f>IF(Q18="","",IFERROR(VLOOKUP(Q$18,'Apoio - Posto'!$A:$AA,16,0),6%))</f>
        <v/>
      </c>
      <c r="R90" s="175" t="str">
        <f>IF(R18="","",IFERROR(VLOOKUP(R$18,'Apoio - Posto'!$A:$AA,16,0),6%))</f>
        <v/>
      </c>
      <c r="S90" s="175" t="str">
        <f>IF(S18="","",IFERROR(VLOOKUP(S$18,'Apoio - Posto'!$A:$AA,16,0),6%))</f>
        <v/>
      </c>
      <c r="T90" s="175" t="str">
        <f>IF(T18="","",IFERROR(VLOOKUP(T$18,'Apoio - Posto'!$A:$AA,16,0),6%))</f>
        <v/>
      </c>
      <c r="U90" s="175" t="str">
        <f>IF(U18="","",IFERROR(VLOOKUP(U$18,'Apoio - Posto'!$A:$AA,16,0),6%))</f>
        <v/>
      </c>
      <c r="V90" s="175" t="str">
        <f>IF(V18="","",IFERROR(VLOOKUP(V$18,'Apoio - Posto'!$A:$AA,16,0),6%))</f>
        <v/>
      </c>
      <c r="W90" s="175" t="str">
        <f>IF(W18="","",IFERROR(VLOOKUP(W$18,'Apoio - Posto'!$A:$AA,16,0),6%))</f>
        <v/>
      </c>
      <c r="X90" s="175" t="str">
        <f>IF(X18="","",IFERROR(VLOOKUP(X$18,'Apoio - Posto'!$A:$AA,16,0),6%))</f>
        <v/>
      </c>
    </row>
    <row r="91" spans="1:24">
      <c r="A91" s="134"/>
      <c r="B91" s="672"/>
      <c r="C91" s="176"/>
      <c r="D91" s="177" t="s">
        <v>70</v>
      </c>
      <c r="E91" s="99">
        <f t="shared" ref="E91:X91" si="20">IFERROR(MAX((E87*E88*E89)-(E$90*E$32),0),"")</f>
        <v>90.448599999999999</v>
      </c>
      <c r="F91" s="99" t="str">
        <f t="shared" si="20"/>
        <v/>
      </c>
      <c r="G91" s="99" t="str">
        <f t="shared" si="20"/>
        <v/>
      </c>
      <c r="H91" s="99" t="str">
        <f t="shared" si="20"/>
        <v/>
      </c>
      <c r="I91" s="99" t="str">
        <f t="shared" si="20"/>
        <v/>
      </c>
      <c r="J91" s="99" t="str">
        <f t="shared" si="20"/>
        <v/>
      </c>
      <c r="K91" s="99" t="str">
        <f t="shared" si="20"/>
        <v/>
      </c>
      <c r="L91" s="99" t="str">
        <f t="shared" si="20"/>
        <v/>
      </c>
      <c r="M91" s="99" t="str">
        <f t="shared" si="20"/>
        <v/>
      </c>
      <c r="N91" s="99" t="str">
        <f t="shared" si="20"/>
        <v/>
      </c>
      <c r="O91" s="99" t="str">
        <f t="shared" si="20"/>
        <v/>
      </c>
      <c r="P91" s="99" t="str">
        <f t="shared" si="20"/>
        <v/>
      </c>
      <c r="Q91" s="99" t="str">
        <f t="shared" si="20"/>
        <v/>
      </c>
      <c r="R91" s="99" t="str">
        <f t="shared" si="20"/>
        <v/>
      </c>
      <c r="S91" s="99" t="str">
        <f t="shared" si="20"/>
        <v/>
      </c>
      <c r="T91" s="99" t="str">
        <f t="shared" si="20"/>
        <v/>
      </c>
      <c r="U91" s="99" t="str">
        <f t="shared" si="20"/>
        <v/>
      </c>
      <c r="V91" s="99" t="str">
        <f t="shared" si="20"/>
        <v/>
      </c>
      <c r="W91" s="99" t="str">
        <f t="shared" si="20"/>
        <v/>
      </c>
      <c r="X91" s="99" t="str">
        <f t="shared" si="20"/>
        <v/>
      </c>
    </row>
    <row r="92" spans="1:24">
      <c r="A92" s="134"/>
      <c r="B92" s="672" t="s">
        <v>4</v>
      </c>
      <c r="C92" s="178" t="s">
        <v>113</v>
      </c>
      <c r="D92" s="179"/>
      <c r="E92" s="180"/>
      <c r="F92" s="180"/>
      <c r="G92" s="180"/>
      <c r="H92" s="180"/>
      <c r="I92" s="180"/>
      <c r="J92" s="180"/>
      <c r="K92" s="180"/>
      <c r="L92" s="180"/>
      <c r="M92" s="180"/>
      <c r="N92" s="180"/>
      <c r="O92" s="180"/>
      <c r="P92" s="180"/>
      <c r="Q92" s="180"/>
      <c r="R92" s="180"/>
      <c r="S92" s="180"/>
      <c r="T92" s="180"/>
      <c r="U92" s="180"/>
      <c r="V92" s="180"/>
      <c r="W92" s="180"/>
      <c r="X92" s="180"/>
    </row>
    <row r="93" spans="1:24">
      <c r="A93" s="134"/>
      <c r="B93" s="672"/>
      <c r="C93" s="181" t="s">
        <v>114</v>
      </c>
      <c r="D93" s="169"/>
      <c r="E93" s="170">
        <f>IFERROR(VLOOKUP(E$18,'Apoio - Posto'!$A:$AA,IF(VLOOKUP(E26,'Apoio - Regime de Trabalho'!$A:$I,8,0)&gt;=200,9,10),0),"")</f>
        <v>30</v>
      </c>
      <c r="F93" s="170" t="str">
        <f>IFERROR(VLOOKUP(F$18,'Apoio - Posto'!$A:$AA,IF(VLOOKUP(F26,'Apoio - Regime de Trabalho'!$A:$I,8,0)&gt;=200,9,10),0),"")</f>
        <v/>
      </c>
      <c r="G93" s="170" t="str">
        <f>IFERROR(VLOOKUP(G$18,'Apoio - Posto'!$A:$AA,IF(VLOOKUP(G26,'Apoio - Regime de Trabalho'!$A:$I,8,0)&gt;=200,9,10),0),"")</f>
        <v/>
      </c>
      <c r="H93" s="170" t="str">
        <f>IFERROR(VLOOKUP(H$18,'Apoio - Posto'!$A:$AA,IF(VLOOKUP(H26,'Apoio - Regime de Trabalho'!$A:$I,8,0)&gt;=200,9,10),0),"")</f>
        <v/>
      </c>
      <c r="I93" s="170" t="str">
        <f>IFERROR(VLOOKUP(I$18,'Apoio - Posto'!$A:$AA,IF(VLOOKUP(I26,'Apoio - Regime de Trabalho'!$A:$I,8,0)&gt;=200,9,10),0),"")</f>
        <v/>
      </c>
      <c r="J93" s="170" t="str">
        <f>IFERROR(VLOOKUP(J$18,'Apoio - Posto'!$A:$AA,IF(VLOOKUP(J26,'Apoio - Regime de Trabalho'!$A:$I,8,0)&gt;=200,9,10),0),"")</f>
        <v/>
      </c>
      <c r="K93" s="170" t="str">
        <f>IFERROR(VLOOKUP(K$18,'Apoio - Posto'!$A:$AA,IF(VLOOKUP(K26,'Apoio - Regime de Trabalho'!$A:$I,8,0)&gt;=200,9,10),0),"")</f>
        <v/>
      </c>
      <c r="L93" s="170" t="str">
        <f>IFERROR(VLOOKUP(L$18,'Apoio - Posto'!$A:$AA,IF(VLOOKUP(L26,'Apoio - Regime de Trabalho'!$A:$I,8,0)&gt;=200,9,10),0),"")</f>
        <v/>
      </c>
      <c r="M93" s="170" t="str">
        <f>IFERROR(VLOOKUP(M$18,'Apoio - Posto'!$A:$AA,IF(VLOOKUP(M26,'Apoio - Regime de Trabalho'!$A:$I,8,0)&gt;=200,9,10),0),"")</f>
        <v/>
      </c>
      <c r="N93" s="170" t="str">
        <f>IFERROR(VLOOKUP(N$18,'Apoio - Posto'!$A:$AA,IF(VLOOKUP(N26,'Apoio - Regime de Trabalho'!$A:$I,8,0)&gt;=200,9,10),0),"")</f>
        <v/>
      </c>
      <c r="O93" s="170" t="str">
        <f>IFERROR(VLOOKUP(O$18,'Apoio - Posto'!$A:$AA,IF(VLOOKUP(O26,'Apoio - Regime de Trabalho'!$A:$I,8,0)&gt;=200,9,10),0),"")</f>
        <v/>
      </c>
      <c r="P93" s="170" t="str">
        <f>IFERROR(VLOOKUP(P$18,'Apoio - Posto'!$A:$AA,IF(VLOOKUP(P26,'Apoio - Regime de Trabalho'!$A:$I,8,0)&gt;=200,9,10),0),"")</f>
        <v/>
      </c>
      <c r="Q93" s="170" t="str">
        <f>IFERROR(VLOOKUP(Q$18,'Apoio - Posto'!$A:$AA,IF(VLOOKUP(Q26,'Apoio - Regime de Trabalho'!$A:$I,8,0)&gt;=200,9,10),0),"")</f>
        <v/>
      </c>
      <c r="R93" s="170" t="str">
        <f>IFERROR(VLOOKUP(R$18,'Apoio - Posto'!$A:$AA,IF(VLOOKUP(R26,'Apoio - Regime de Trabalho'!$A:$I,8,0)&gt;=200,9,10),0),"")</f>
        <v/>
      </c>
      <c r="S93" s="170" t="str">
        <f>IFERROR(VLOOKUP(S$18,'Apoio - Posto'!$A:$AA,IF(VLOOKUP(S26,'Apoio - Regime de Trabalho'!$A:$I,8,0)&gt;=200,9,10),0),"")</f>
        <v/>
      </c>
      <c r="T93" s="170" t="str">
        <f>IFERROR(VLOOKUP(T$18,'Apoio - Posto'!$A:$AA,IF(VLOOKUP(T26,'Apoio - Regime de Trabalho'!$A:$I,8,0)&gt;=200,9,10),0),"")</f>
        <v/>
      </c>
      <c r="U93" s="170" t="str">
        <f>IFERROR(VLOOKUP(U$18,'Apoio - Posto'!$A:$AA,IF(VLOOKUP(U26,'Apoio - Regime de Trabalho'!$A:$I,8,0)&gt;=200,9,10),0),"")</f>
        <v/>
      </c>
      <c r="V93" s="170" t="str">
        <f>IFERROR(VLOOKUP(V$18,'Apoio - Posto'!$A:$AA,IF(VLOOKUP(V26,'Apoio - Regime de Trabalho'!$A:$I,8,0)&gt;=200,9,10),0),"")</f>
        <v/>
      </c>
      <c r="W93" s="170" t="str">
        <f>IFERROR(VLOOKUP(W$18,'Apoio - Posto'!$A:$AA,IF(VLOOKUP(W26,'Apoio - Regime de Trabalho'!$A:$I,8,0)&gt;=200,9,10),0),"")</f>
        <v/>
      </c>
      <c r="X93" s="170" t="str">
        <f>IFERROR(VLOOKUP(X$18,'Apoio - Posto'!$A:$AA,IF(VLOOKUP(X26,'Apoio - Regime de Trabalho'!$A:$I,8,0)&gt;=200,9,10),0),"")</f>
        <v/>
      </c>
    </row>
    <row r="94" spans="1:24">
      <c r="A94" s="134"/>
      <c r="B94" s="672"/>
      <c r="C94" s="112" t="s">
        <v>115</v>
      </c>
      <c r="D94" s="173"/>
      <c r="E94" s="174">
        <f>IFERROR(IF(E18="","",VLOOKUP(E26,'Apoio - Regime de Trabalho'!$A:$G,7,0)),"")</f>
        <v>22</v>
      </c>
      <c r="F94" s="174" t="str">
        <f>IFERROR(IF(F18="","",VLOOKUP(F26,'Apoio - Regime de Trabalho'!$A:$G,7,0)),"")</f>
        <v/>
      </c>
      <c r="G94" s="174" t="str">
        <f>IFERROR(IF(G18="","",VLOOKUP(G26,'Apoio - Regime de Trabalho'!$A:$G,7,0)),"")</f>
        <v/>
      </c>
      <c r="H94" s="174" t="str">
        <f>IFERROR(IF(H18="","",VLOOKUP(H26,'Apoio - Regime de Trabalho'!$A:$G,7,0)),"")</f>
        <v/>
      </c>
      <c r="I94" s="174" t="str">
        <f>IFERROR(IF(I18="","",VLOOKUP(I26,'Apoio - Regime de Trabalho'!$A:$G,7,0)),"")</f>
        <v/>
      </c>
      <c r="J94" s="174" t="str">
        <f>IFERROR(IF(J18="","",VLOOKUP(J26,'Apoio - Regime de Trabalho'!$A:$G,7,0)),"")</f>
        <v/>
      </c>
      <c r="K94" s="174" t="str">
        <f>IFERROR(IF(K18="","",VLOOKUP(K26,'Apoio - Regime de Trabalho'!$A:$G,7,0)),"")</f>
        <v/>
      </c>
      <c r="L94" s="174" t="str">
        <f>IFERROR(IF(L18="","",VLOOKUP(L26,'Apoio - Regime de Trabalho'!$A:$G,7,0)),"")</f>
        <v/>
      </c>
      <c r="M94" s="174" t="str">
        <f>IFERROR(IF(M18="","",VLOOKUP(M26,'Apoio - Regime de Trabalho'!$A:$G,7,0)),"")</f>
        <v/>
      </c>
      <c r="N94" s="174" t="str">
        <f>IFERROR(IF(N18="","",VLOOKUP(N26,'Apoio - Regime de Trabalho'!$A:$G,7,0)),"")</f>
        <v/>
      </c>
      <c r="O94" s="174" t="str">
        <f>IFERROR(IF(O18="","",VLOOKUP(O26,'Apoio - Regime de Trabalho'!$A:$G,7,0)),"")</f>
        <v/>
      </c>
      <c r="P94" s="174" t="str">
        <f>IFERROR(IF(P18="","",VLOOKUP(P26,'Apoio - Regime de Trabalho'!$A:$G,7,0)),"")</f>
        <v/>
      </c>
      <c r="Q94" s="174" t="str">
        <f>IFERROR(IF(Q18="","",VLOOKUP(Q26,'Apoio - Regime de Trabalho'!$A:$G,7,0)),"")</f>
        <v/>
      </c>
      <c r="R94" s="174" t="str">
        <f>IFERROR(IF(R18="","",VLOOKUP(R26,'Apoio - Regime de Trabalho'!$A:$G,7,0)),"")</f>
        <v/>
      </c>
      <c r="S94" s="174" t="str">
        <f>IFERROR(IF(S18="","",VLOOKUP(S26,'Apoio - Regime de Trabalho'!$A:$G,7,0)),"")</f>
        <v/>
      </c>
      <c r="T94" s="174" t="str">
        <f>IFERROR(IF(T18="","",VLOOKUP(T26,'Apoio - Regime de Trabalho'!$A:$G,7,0)),"")</f>
        <v/>
      </c>
      <c r="U94" s="174" t="str">
        <f>IFERROR(IF(U18="","",VLOOKUP(U26,'Apoio - Regime de Trabalho'!$A:$G,7,0)),"")</f>
        <v/>
      </c>
      <c r="V94" s="174" t="str">
        <f>IFERROR(IF(V18="","",VLOOKUP(V26,'Apoio - Regime de Trabalho'!$A:$G,7,0)),"")</f>
        <v/>
      </c>
      <c r="W94" s="174" t="str">
        <f>IFERROR(IF(W18="","",VLOOKUP(W26,'Apoio - Regime de Trabalho'!$A:$G,7,0)),"")</f>
        <v/>
      </c>
      <c r="X94" s="174" t="str">
        <f>IFERROR(IF(X18="","",VLOOKUP(X26,'Apoio - Regime de Trabalho'!$A:$G,7,0)),"")</f>
        <v/>
      </c>
    </row>
    <row r="95" spans="1:24">
      <c r="A95" s="134"/>
      <c r="B95" s="672"/>
      <c r="C95" s="112" t="s">
        <v>116</v>
      </c>
      <c r="D95" s="173"/>
      <c r="E95" s="182">
        <f>IFERROR(VLOOKUP(E$18,'Apoio - Posto'!$A:$AA,17,0),"")</f>
        <v>0.2</v>
      </c>
      <c r="F95" s="182" t="str">
        <f>IFERROR(VLOOKUP(F$18,'Apoio - Posto'!$A:$AA,17,0),"")</f>
        <v/>
      </c>
      <c r="G95" s="182" t="str">
        <f>IFERROR(VLOOKUP(G$18,'Apoio - Posto'!$A:$AA,17,0),"")</f>
        <v/>
      </c>
      <c r="H95" s="182" t="str">
        <f>IFERROR(VLOOKUP(H$18,'Apoio - Posto'!$A:$AA,17,0),"")</f>
        <v/>
      </c>
      <c r="I95" s="182" t="str">
        <f>IFERROR(VLOOKUP(I$18,'Apoio - Posto'!$A:$AA,17,0),"")</f>
        <v/>
      </c>
      <c r="J95" s="182" t="str">
        <f>IFERROR(VLOOKUP(J$18,'Apoio - Posto'!$A:$AA,17,0),"")</f>
        <v/>
      </c>
      <c r="K95" s="182" t="str">
        <f>IFERROR(VLOOKUP(K$18,'Apoio - Posto'!$A:$AA,17,0),"")</f>
        <v/>
      </c>
      <c r="L95" s="182" t="str">
        <f>IFERROR(VLOOKUP(L$18,'Apoio - Posto'!$A:$AA,17,0),"")</f>
        <v/>
      </c>
      <c r="M95" s="182" t="str">
        <f>IFERROR(VLOOKUP(M$18,'Apoio - Posto'!$A:$AA,17,0),"")</f>
        <v/>
      </c>
      <c r="N95" s="182" t="str">
        <f>IFERROR(VLOOKUP(N$18,'Apoio - Posto'!$A:$AA,17,0),"")</f>
        <v/>
      </c>
      <c r="O95" s="182" t="str">
        <f>IFERROR(VLOOKUP(O$18,'Apoio - Posto'!$A:$AA,17,0),"")</f>
        <v/>
      </c>
      <c r="P95" s="182" t="str">
        <f>IFERROR(VLOOKUP(P$18,'Apoio - Posto'!$A:$AA,17,0),"")</f>
        <v/>
      </c>
      <c r="Q95" s="182" t="str">
        <f>IFERROR(VLOOKUP(Q$18,'Apoio - Posto'!$A:$AA,17,0),"")</f>
        <v/>
      </c>
      <c r="R95" s="182" t="str">
        <f>IFERROR(VLOOKUP(R$18,'Apoio - Posto'!$A:$AA,17,0),"")</f>
        <v/>
      </c>
      <c r="S95" s="182" t="str">
        <f>IFERROR(VLOOKUP(S$18,'Apoio - Posto'!$A:$AA,17,0),"")</f>
        <v/>
      </c>
      <c r="T95" s="182" t="str">
        <f>IFERROR(VLOOKUP(T$18,'Apoio - Posto'!$A:$AA,17,0),"")</f>
        <v/>
      </c>
      <c r="U95" s="182" t="str">
        <f>IFERROR(VLOOKUP(U$18,'Apoio - Posto'!$A:$AA,17,0),"")</f>
        <v/>
      </c>
      <c r="V95" s="182" t="str">
        <f>IFERROR(VLOOKUP(V$18,'Apoio - Posto'!$A:$AA,17,0),"")</f>
        <v/>
      </c>
      <c r="W95" s="182" t="str">
        <f>IFERROR(VLOOKUP(W$18,'Apoio - Posto'!$A:$AA,17,0),"")</f>
        <v/>
      </c>
      <c r="X95" s="182" t="str">
        <f>IFERROR(VLOOKUP(X$18,'Apoio - Posto'!$A:$AA,17,0),"")</f>
        <v/>
      </c>
    </row>
    <row r="96" spans="1:24">
      <c r="A96" s="134"/>
      <c r="B96" s="672"/>
      <c r="C96" s="176"/>
      <c r="D96" s="177" t="s">
        <v>70</v>
      </c>
      <c r="E96" s="76">
        <f t="shared" ref="E96:X96" si="21">IFERROR((E93*E94)-(E$93*E$94*E$95),"")</f>
        <v>528</v>
      </c>
      <c r="F96" s="76" t="str">
        <f t="shared" si="21"/>
        <v/>
      </c>
      <c r="G96" s="76" t="str">
        <f t="shared" si="21"/>
        <v/>
      </c>
      <c r="H96" s="76" t="str">
        <f t="shared" si="21"/>
        <v/>
      </c>
      <c r="I96" s="76" t="str">
        <f t="shared" si="21"/>
        <v/>
      </c>
      <c r="J96" s="76" t="str">
        <f t="shared" si="21"/>
        <v/>
      </c>
      <c r="K96" s="76" t="str">
        <f t="shared" si="21"/>
        <v/>
      </c>
      <c r="L96" s="76" t="str">
        <f t="shared" si="21"/>
        <v/>
      </c>
      <c r="M96" s="76" t="str">
        <f t="shared" si="21"/>
        <v/>
      </c>
      <c r="N96" s="76" t="str">
        <f t="shared" si="21"/>
        <v/>
      </c>
      <c r="O96" s="76" t="str">
        <f t="shared" si="21"/>
        <v/>
      </c>
      <c r="P96" s="76" t="str">
        <f t="shared" si="21"/>
        <v/>
      </c>
      <c r="Q96" s="76" t="str">
        <f t="shared" si="21"/>
        <v/>
      </c>
      <c r="R96" s="76" t="str">
        <f t="shared" si="21"/>
        <v/>
      </c>
      <c r="S96" s="76" t="str">
        <f t="shared" si="21"/>
        <v/>
      </c>
      <c r="T96" s="76" t="str">
        <f t="shared" si="21"/>
        <v/>
      </c>
      <c r="U96" s="76" t="str">
        <f t="shared" si="21"/>
        <v/>
      </c>
      <c r="V96" s="76" t="str">
        <f t="shared" si="21"/>
        <v/>
      </c>
      <c r="W96" s="76" t="str">
        <f t="shared" si="21"/>
        <v/>
      </c>
      <c r="X96" s="76" t="str">
        <f t="shared" si="21"/>
        <v/>
      </c>
    </row>
    <row r="97" spans="1:24">
      <c r="A97" s="134"/>
      <c r="B97" s="672" t="s">
        <v>6</v>
      </c>
      <c r="C97" s="106" t="s">
        <v>117</v>
      </c>
      <c r="D97" s="179"/>
      <c r="E97" s="183"/>
      <c r="F97" s="183"/>
      <c r="G97" s="183"/>
      <c r="H97" s="183"/>
      <c r="I97" s="183"/>
      <c r="J97" s="183"/>
      <c r="K97" s="183"/>
      <c r="L97" s="183"/>
      <c r="M97" s="183"/>
      <c r="N97" s="183"/>
      <c r="O97" s="183"/>
      <c r="P97" s="183"/>
      <c r="Q97" s="183"/>
      <c r="R97" s="183"/>
      <c r="S97" s="183"/>
      <c r="T97" s="183"/>
      <c r="U97" s="183"/>
      <c r="V97" s="183"/>
      <c r="W97" s="183"/>
      <c r="X97" s="183"/>
    </row>
    <row r="98" spans="1:24">
      <c r="A98" s="134"/>
      <c r="B98" s="672"/>
      <c r="C98" s="184" t="s">
        <v>118</v>
      </c>
      <c r="D98" s="185"/>
      <c r="E98" s="186"/>
      <c r="F98" s="186"/>
      <c r="G98" s="186"/>
      <c r="H98" s="186"/>
      <c r="I98" s="186"/>
      <c r="J98" s="186"/>
      <c r="K98" s="186"/>
      <c r="L98" s="186"/>
      <c r="M98" s="186"/>
      <c r="N98" s="186"/>
      <c r="O98" s="186"/>
      <c r="P98" s="186"/>
      <c r="Q98" s="186"/>
      <c r="R98" s="186"/>
      <c r="S98" s="186"/>
      <c r="T98" s="186"/>
      <c r="U98" s="186"/>
      <c r="V98" s="186"/>
      <c r="W98" s="186"/>
      <c r="X98" s="186"/>
    </row>
    <row r="99" spans="1:24">
      <c r="A99" s="134"/>
      <c r="B99" s="672"/>
      <c r="C99" s="187" t="s">
        <v>116</v>
      </c>
      <c r="D99" s="173"/>
      <c r="E99" s="182"/>
      <c r="F99" s="182"/>
      <c r="G99" s="182"/>
      <c r="H99" s="182"/>
      <c r="I99" s="182"/>
      <c r="J99" s="182"/>
      <c r="K99" s="182"/>
      <c r="L99" s="182"/>
      <c r="M99" s="182"/>
      <c r="N99" s="182"/>
      <c r="O99" s="182"/>
      <c r="P99" s="182"/>
      <c r="Q99" s="182"/>
      <c r="R99" s="182"/>
      <c r="S99" s="182"/>
      <c r="T99" s="182"/>
      <c r="U99" s="182"/>
      <c r="V99" s="182"/>
      <c r="W99" s="182"/>
      <c r="X99" s="182"/>
    </row>
    <row r="100" spans="1:24">
      <c r="A100" s="134"/>
      <c r="B100" s="672"/>
      <c r="C100" s="176"/>
      <c r="D100" s="177" t="s">
        <v>70</v>
      </c>
      <c r="E100" s="188">
        <f t="shared" ref="E100:X100" si="22">IF(E21="","",IFERROR((E$98)-(E$99*E$98),""))</f>
        <v>0</v>
      </c>
      <c r="F100" s="188" t="str">
        <f t="shared" si="22"/>
        <v/>
      </c>
      <c r="G100" s="188" t="str">
        <f t="shared" si="22"/>
        <v/>
      </c>
      <c r="H100" s="188" t="str">
        <f t="shared" si="22"/>
        <v/>
      </c>
      <c r="I100" s="188" t="str">
        <f t="shared" si="22"/>
        <v/>
      </c>
      <c r="J100" s="188" t="str">
        <f t="shared" si="22"/>
        <v/>
      </c>
      <c r="K100" s="188" t="str">
        <f t="shared" si="22"/>
        <v/>
      </c>
      <c r="L100" s="188" t="str">
        <f t="shared" si="22"/>
        <v/>
      </c>
      <c r="M100" s="188" t="str">
        <f t="shared" si="22"/>
        <v/>
      </c>
      <c r="N100" s="188" t="str">
        <f t="shared" si="22"/>
        <v/>
      </c>
      <c r="O100" s="188" t="str">
        <f t="shared" si="22"/>
        <v/>
      </c>
      <c r="P100" s="188" t="str">
        <f t="shared" si="22"/>
        <v/>
      </c>
      <c r="Q100" s="188" t="str">
        <f t="shared" si="22"/>
        <v/>
      </c>
      <c r="R100" s="188" t="str">
        <f t="shared" si="22"/>
        <v/>
      </c>
      <c r="S100" s="188" t="str">
        <f t="shared" si="22"/>
        <v/>
      </c>
      <c r="T100" s="188" t="str">
        <f t="shared" si="22"/>
        <v/>
      </c>
      <c r="U100" s="188" t="str">
        <f t="shared" si="22"/>
        <v/>
      </c>
      <c r="V100" s="188" t="str">
        <f t="shared" si="22"/>
        <v/>
      </c>
      <c r="W100" s="188" t="str">
        <f t="shared" si="22"/>
        <v/>
      </c>
      <c r="X100" s="188" t="str">
        <f t="shared" si="22"/>
        <v/>
      </c>
    </row>
    <row r="101" spans="1:24">
      <c r="A101" s="134"/>
      <c r="B101" s="142" t="s">
        <v>9</v>
      </c>
      <c r="C101" s="98" t="s">
        <v>119</v>
      </c>
      <c r="D101" s="189"/>
      <c r="E101" s="190">
        <f>IFERROR(VLOOKUP(E$18,'Apoio - Posto'!$A:$AA,19,0),"")</f>
        <v>24.1</v>
      </c>
      <c r="F101" s="190" t="str">
        <f>IFERROR(VLOOKUP(F$18,'Apoio - Posto'!$A:$AA,19,0),"")</f>
        <v/>
      </c>
      <c r="G101" s="190" t="str">
        <f>IFERROR(VLOOKUP(G$18,'Apoio - Posto'!$A:$AA,19,0),"")</f>
        <v/>
      </c>
      <c r="H101" s="190" t="str">
        <f>IFERROR(VLOOKUP(H$18,'Apoio - Posto'!$A:$AA,19,0),"")</f>
        <v/>
      </c>
      <c r="I101" s="190" t="str">
        <f>IFERROR(VLOOKUP(I$18,'Apoio - Posto'!$A:$AA,19,0),"")</f>
        <v/>
      </c>
      <c r="J101" s="190" t="str">
        <f>IFERROR(VLOOKUP(J$18,'Apoio - Posto'!$A:$AA,19,0),"")</f>
        <v/>
      </c>
      <c r="K101" s="190" t="str">
        <f>IFERROR(VLOOKUP(K$18,'Apoio - Posto'!$A:$AA,19,0),"")</f>
        <v/>
      </c>
      <c r="L101" s="190" t="str">
        <f>IFERROR(VLOOKUP(L$18,'Apoio - Posto'!$A:$AA,19,0),"")</f>
        <v/>
      </c>
      <c r="M101" s="190" t="str">
        <f>IFERROR(VLOOKUP(M$18,'Apoio - Posto'!$A:$AA,19,0),"")</f>
        <v/>
      </c>
      <c r="N101" s="190" t="str">
        <f>IFERROR(VLOOKUP(N$18,'Apoio - Posto'!$A:$AA,19,0),"")</f>
        <v/>
      </c>
      <c r="O101" s="190" t="str">
        <f>IFERROR(VLOOKUP(O$18,'Apoio - Posto'!$A:$AA,19,0),"")</f>
        <v/>
      </c>
      <c r="P101" s="190" t="str">
        <f>IFERROR(VLOOKUP(P$18,'Apoio - Posto'!$A:$AA,19,0),"")</f>
        <v/>
      </c>
      <c r="Q101" s="190" t="str">
        <f>IFERROR(VLOOKUP(Q$18,'Apoio - Posto'!$A:$AA,19,0),"")</f>
        <v/>
      </c>
      <c r="R101" s="190" t="str">
        <f>IFERROR(VLOOKUP(R$18,'Apoio - Posto'!$A:$AA,19,0),"")</f>
        <v/>
      </c>
      <c r="S101" s="190" t="str">
        <f>IFERROR(VLOOKUP(S$18,'Apoio - Posto'!$A:$AA,19,0),"")</f>
        <v/>
      </c>
      <c r="T101" s="190" t="str">
        <f>IFERROR(VLOOKUP(T$18,'Apoio - Posto'!$A:$AA,19,0),"")</f>
        <v/>
      </c>
      <c r="U101" s="190" t="str">
        <f>IFERROR(VLOOKUP(U$18,'Apoio - Posto'!$A:$AA,19,0),"")</f>
        <v/>
      </c>
      <c r="V101" s="190" t="str">
        <f>IFERROR(VLOOKUP(V$18,'Apoio - Posto'!$A:$AA,19,0),"")</f>
        <v/>
      </c>
      <c r="W101" s="190" t="str">
        <f>IFERROR(VLOOKUP(W$18,'Apoio - Posto'!$A:$AA,19,0),"")</f>
        <v/>
      </c>
      <c r="X101" s="190" t="str">
        <f>IFERROR(VLOOKUP(X$18,'Apoio - Posto'!$A:$AA,19,0),"")</f>
        <v/>
      </c>
    </row>
    <row r="102" spans="1:24">
      <c r="A102" s="134"/>
      <c r="B102" s="64" t="s">
        <v>12</v>
      </c>
      <c r="C102" s="65" t="s">
        <v>120</v>
      </c>
      <c r="D102" s="191"/>
      <c r="E102" s="192"/>
      <c r="F102" s="192"/>
      <c r="G102" s="192"/>
      <c r="H102" s="192"/>
      <c r="I102" s="192"/>
      <c r="J102" s="192"/>
      <c r="K102" s="192"/>
      <c r="L102" s="192"/>
      <c r="M102" s="192"/>
      <c r="N102" s="192"/>
      <c r="O102" s="192"/>
      <c r="P102" s="192"/>
      <c r="Q102" s="192"/>
      <c r="R102" s="192"/>
      <c r="S102" s="192"/>
      <c r="T102" s="192"/>
      <c r="U102" s="192"/>
      <c r="V102" s="192"/>
      <c r="W102" s="192"/>
      <c r="X102" s="192"/>
    </row>
    <row r="103" spans="1:24">
      <c r="A103" s="134"/>
      <c r="B103" s="672" t="s">
        <v>15</v>
      </c>
      <c r="C103" s="178" t="s">
        <v>121</v>
      </c>
      <c r="D103" s="191"/>
      <c r="E103" s="180"/>
      <c r="F103" s="180"/>
      <c r="G103" s="180"/>
      <c r="H103" s="180"/>
      <c r="I103" s="180"/>
      <c r="J103" s="180"/>
      <c r="K103" s="180"/>
      <c r="L103" s="180"/>
      <c r="M103" s="180"/>
      <c r="N103" s="180"/>
      <c r="O103" s="180"/>
      <c r="P103" s="180"/>
      <c r="Q103" s="180"/>
      <c r="R103" s="180"/>
      <c r="S103" s="180"/>
      <c r="T103" s="180"/>
      <c r="U103" s="180"/>
      <c r="V103" s="180"/>
      <c r="W103" s="180"/>
      <c r="X103" s="180"/>
    </row>
    <row r="104" spans="1:24">
      <c r="A104" s="134"/>
      <c r="B104" s="672"/>
      <c r="C104" s="193" t="s">
        <v>118</v>
      </c>
      <c r="D104" s="194"/>
      <c r="E104" s="170"/>
      <c r="F104" s="170"/>
      <c r="G104" s="170"/>
      <c r="H104" s="170"/>
      <c r="I104" s="170"/>
      <c r="J104" s="170"/>
      <c r="K104" s="170"/>
      <c r="L104" s="170"/>
      <c r="M104" s="170"/>
      <c r="N104" s="170"/>
      <c r="O104" s="170"/>
      <c r="P104" s="170"/>
      <c r="Q104" s="170"/>
      <c r="R104" s="170"/>
      <c r="S104" s="170"/>
      <c r="T104" s="170"/>
      <c r="U104" s="170"/>
      <c r="V104" s="170"/>
      <c r="W104" s="170"/>
      <c r="X104" s="170"/>
    </row>
    <row r="105" spans="1:24">
      <c r="A105" s="134"/>
      <c r="B105" s="672"/>
      <c r="C105" s="195" t="s">
        <v>122</v>
      </c>
      <c r="D105" s="173"/>
      <c r="E105" s="182"/>
      <c r="F105" s="182"/>
      <c r="G105" s="182"/>
      <c r="H105" s="182"/>
      <c r="I105" s="182"/>
      <c r="J105" s="182"/>
      <c r="K105" s="182"/>
      <c r="L105" s="182"/>
      <c r="M105" s="182"/>
      <c r="N105" s="182"/>
      <c r="O105" s="182"/>
      <c r="P105" s="182"/>
      <c r="Q105" s="182"/>
      <c r="R105" s="182"/>
      <c r="S105" s="182"/>
      <c r="T105" s="182"/>
      <c r="U105" s="182"/>
      <c r="V105" s="182"/>
      <c r="W105" s="182"/>
      <c r="X105" s="182"/>
    </row>
    <row r="106" spans="1:24">
      <c r="A106" s="134"/>
      <c r="B106" s="672"/>
      <c r="C106" s="176"/>
      <c r="D106" s="177" t="s">
        <v>70</v>
      </c>
      <c r="E106" s="76">
        <f t="shared" ref="E106:X106" si="23">IF(E21="","",IFERROR((E104)-(E$105*E$104),""))</f>
        <v>0</v>
      </c>
      <c r="F106" s="76" t="str">
        <f t="shared" si="23"/>
        <v/>
      </c>
      <c r="G106" s="76" t="str">
        <f t="shared" si="23"/>
        <v/>
      </c>
      <c r="H106" s="76" t="str">
        <f t="shared" si="23"/>
        <v/>
      </c>
      <c r="I106" s="76" t="str">
        <f t="shared" si="23"/>
        <v/>
      </c>
      <c r="J106" s="76" t="str">
        <f t="shared" si="23"/>
        <v/>
      </c>
      <c r="K106" s="76" t="str">
        <f t="shared" si="23"/>
        <v/>
      </c>
      <c r="L106" s="76" t="str">
        <f t="shared" si="23"/>
        <v/>
      </c>
      <c r="M106" s="76" t="str">
        <f t="shared" si="23"/>
        <v/>
      </c>
      <c r="N106" s="76" t="str">
        <f t="shared" si="23"/>
        <v/>
      </c>
      <c r="O106" s="76" t="str">
        <f t="shared" si="23"/>
        <v/>
      </c>
      <c r="P106" s="76" t="str">
        <f t="shared" si="23"/>
        <v/>
      </c>
      <c r="Q106" s="76" t="str">
        <f t="shared" si="23"/>
        <v/>
      </c>
      <c r="R106" s="76" t="str">
        <f t="shared" si="23"/>
        <v/>
      </c>
      <c r="S106" s="76" t="str">
        <f t="shared" si="23"/>
        <v/>
      </c>
      <c r="T106" s="76" t="str">
        <f t="shared" si="23"/>
        <v/>
      </c>
      <c r="U106" s="76" t="str">
        <f t="shared" si="23"/>
        <v/>
      </c>
      <c r="V106" s="76" t="str">
        <f t="shared" si="23"/>
        <v/>
      </c>
      <c r="W106" s="76" t="str">
        <f t="shared" si="23"/>
        <v/>
      </c>
      <c r="X106" s="76" t="str">
        <f t="shared" si="23"/>
        <v/>
      </c>
    </row>
    <row r="107" spans="1:24">
      <c r="A107" s="134"/>
      <c r="B107" s="64" t="s">
        <v>17</v>
      </c>
      <c r="C107" s="65" t="s">
        <v>123</v>
      </c>
      <c r="D107" s="196" t="str">
        <f>IFERROR(VLOOKUP(E18,'Apoio - Posto'!A:J,14,0),"")</f>
        <v/>
      </c>
      <c r="E107" s="197">
        <f>IFERROR(VLOOKUP(E$18,'Apoio - Posto'!$A:$AA,18,0),"")</f>
        <v>0</v>
      </c>
      <c r="F107" s="197" t="str">
        <f>IFERROR(VLOOKUP(F$18,'Apoio - Posto'!$A:$AA,18,0),"")</f>
        <v/>
      </c>
      <c r="G107" s="197" t="str">
        <f>IFERROR(VLOOKUP(G$18,'Apoio - Posto'!$A:$AA,18,0),"")</f>
        <v/>
      </c>
      <c r="H107" s="197" t="str">
        <f>IFERROR(VLOOKUP(H$18,'Apoio - Posto'!$A:$AA,18,0),"")</f>
        <v/>
      </c>
      <c r="I107" s="197" t="str">
        <f>IFERROR(VLOOKUP(I$18,'Apoio - Posto'!$A:$AA,18,0),"")</f>
        <v/>
      </c>
      <c r="J107" s="197" t="str">
        <f>IFERROR(VLOOKUP(J$18,'Apoio - Posto'!$A:$AA,18,0),"")</f>
        <v/>
      </c>
      <c r="K107" s="197" t="str">
        <f>IFERROR(VLOOKUP(K$18,'Apoio - Posto'!$A:$AA,18,0),"")</f>
        <v/>
      </c>
      <c r="L107" s="197" t="str">
        <f>IFERROR(VLOOKUP(L$18,'Apoio - Posto'!$A:$AA,18,0),"")</f>
        <v/>
      </c>
      <c r="M107" s="197" t="str">
        <f>IFERROR(VLOOKUP(M$18,'Apoio - Posto'!$A:$AA,18,0),"")</f>
        <v/>
      </c>
      <c r="N107" s="197" t="str">
        <f>IFERROR(VLOOKUP(N$18,'Apoio - Posto'!$A:$AA,18,0),"")</f>
        <v/>
      </c>
      <c r="O107" s="197" t="str">
        <f>IFERROR(VLOOKUP(O$18,'Apoio - Posto'!$A:$AA,18,0),"")</f>
        <v/>
      </c>
      <c r="P107" s="197" t="str">
        <f>IFERROR(VLOOKUP(P$18,'Apoio - Posto'!$A:$AA,18,0),"")</f>
        <v/>
      </c>
      <c r="Q107" s="197" t="str">
        <f>IFERROR(VLOOKUP(Q$18,'Apoio - Posto'!$A:$AA,18,0),"")</f>
        <v/>
      </c>
      <c r="R107" s="197" t="str">
        <f>IFERROR(VLOOKUP(R$18,'Apoio - Posto'!$A:$AA,18,0),"")</f>
        <v/>
      </c>
      <c r="S107" s="197" t="str">
        <f>IFERROR(VLOOKUP(S$18,'Apoio - Posto'!$A:$AA,18,0),"")</f>
        <v/>
      </c>
      <c r="T107" s="197" t="str">
        <f>IFERROR(VLOOKUP(T$18,'Apoio - Posto'!$A:$AA,18,0),"")</f>
        <v/>
      </c>
      <c r="U107" s="197" t="str">
        <f>IFERROR(VLOOKUP(U$18,'Apoio - Posto'!$A:$AA,18,0),"")</f>
        <v/>
      </c>
      <c r="V107" s="197" t="str">
        <f>IFERROR(VLOOKUP(V$18,'Apoio - Posto'!$A:$AA,18,0),"")</f>
        <v/>
      </c>
      <c r="W107" s="197" t="str">
        <f>IFERROR(VLOOKUP(W$18,'Apoio - Posto'!$A:$AA,18,0),"")</f>
        <v/>
      </c>
      <c r="X107" s="197" t="str">
        <f>IFERROR(VLOOKUP(X$18,'Apoio - Posto'!$A:$AA,18,0),"")</f>
        <v/>
      </c>
    </row>
    <row r="108" spans="1:24">
      <c r="A108" s="134"/>
      <c r="B108" s="672" t="s">
        <v>20</v>
      </c>
      <c r="C108" s="198" t="s">
        <v>124</v>
      </c>
      <c r="D108" s="191"/>
      <c r="E108" s="192"/>
      <c r="F108" s="192"/>
      <c r="G108" s="192"/>
      <c r="H108" s="192"/>
      <c r="I108" s="192"/>
      <c r="J108" s="192"/>
      <c r="K108" s="192"/>
      <c r="L108" s="192"/>
      <c r="M108" s="192"/>
      <c r="N108" s="192"/>
      <c r="O108" s="192"/>
      <c r="P108" s="192"/>
      <c r="Q108" s="192"/>
      <c r="R108" s="192"/>
      <c r="S108" s="192"/>
      <c r="T108" s="192"/>
      <c r="U108" s="192"/>
      <c r="V108" s="192"/>
      <c r="W108" s="192"/>
      <c r="X108" s="192"/>
    </row>
    <row r="109" spans="1:24">
      <c r="A109" s="134"/>
      <c r="B109" s="672"/>
      <c r="C109" s="181" t="s">
        <v>125</v>
      </c>
      <c r="D109" s="194"/>
      <c r="E109" s="199"/>
      <c r="F109" s="199"/>
      <c r="G109" s="199"/>
      <c r="H109" s="199"/>
      <c r="I109" s="199"/>
      <c r="J109" s="199"/>
      <c r="K109" s="199"/>
      <c r="L109" s="199"/>
      <c r="M109" s="199"/>
      <c r="N109" s="199"/>
      <c r="O109" s="199"/>
      <c r="P109" s="199"/>
      <c r="Q109" s="199"/>
      <c r="R109" s="199"/>
      <c r="S109" s="199"/>
      <c r="T109" s="199"/>
      <c r="U109" s="199"/>
      <c r="V109" s="199"/>
      <c r="W109" s="199"/>
      <c r="X109" s="199"/>
    </row>
    <row r="110" spans="1:24">
      <c r="A110" s="134"/>
      <c r="B110" s="672"/>
      <c r="C110" s="112" t="s">
        <v>116</v>
      </c>
      <c r="D110" s="173"/>
      <c r="E110" s="200"/>
      <c r="F110" s="200"/>
      <c r="G110" s="200"/>
      <c r="H110" s="200"/>
      <c r="I110" s="200"/>
      <c r="J110" s="200"/>
      <c r="K110" s="200"/>
      <c r="L110" s="200"/>
      <c r="M110" s="200"/>
      <c r="N110" s="200"/>
      <c r="O110" s="200"/>
      <c r="P110" s="200"/>
      <c r="Q110" s="200"/>
      <c r="R110" s="200"/>
      <c r="S110" s="200"/>
      <c r="T110" s="200"/>
      <c r="U110" s="200"/>
      <c r="V110" s="200"/>
      <c r="W110" s="200"/>
      <c r="X110" s="200"/>
    </row>
    <row r="111" spans="1:24">
      <c r="A111" s="134"/>
      <c r="B111" s="672"/>
      <c r="C111" s="86"/>
      <c r="D111" s="201" t="s">
        <v>70</v>
      </c>
      <c r="E111" s="202">
        <f t="shared" ref="E111:X111" si="24">IF(E18="","",E109*(1-E110))</f>
        <v>0</v>
      </c>
      <c r="F111" s="202" t="str">
        <f t="shared" si="24"/>
        <v/>
      </c>
      <c r="G111" s="202" t="str">
        <f t="shared" si="24"/>
        <v/>
      </c>
      <c r="H111" s="202" t="str">
        <f t="shared" si="24"/>
        <v/>
      </c>
      <c r="I111" s="202" t="str">
        <f t="shared" si="24"/>
        <v/>
      </c>
      <c r="J111" s="202" t="str">
        <f t="shared" si="24"/>
        <v/>
      </c>
      <c r="K111" s="202" t="str">
        <f t="shared" si="24"/>
        <v/>
      </c>
      <c r="L111" s="202" t="str">
        <f t="shared" si="24"/>
        <v/>
      </c>
      <c r="M111" s="202" t="str">
        <f t="shared" si="24"/>
        <v/>
      </c>
      <c r="N111" s="202" t="str">
        <f t="shared" si="24"/>
        <v/>
      </c>
      <c r="O111" s="202" t="str">
        <f t="shared" si="24"/>
        <v/>
      </c>
      <c r="P111" s="202" t="str">
        <f t="shared" si="24"/>
        <v/>
      </c>
      <c r="Q111" s="202" t="str">
        <f t="shared" si="24"/>
        <v/>
      </c>
      <c r="R111" s="202" t="str">
        <f t="shared" si="24"/>
        <v/>
      </c>
      <c r="S111" s="202" t="str">
        <f t="shared" si="24"/>
        <v/>
      </c>
      <c r="T111" s="202" t="str">
        <f t="shared" si="24"/>
        <v/>
      </c>
      <c r="U111" s="202" t="str">
        <f t="shared" si="24"/>
        <v/>
      </c>
      <c r="V111" s="202" t="str">
        <f t="shared" si="24"/>
        <v/>
      </c>
      <c r="W111" s="202" t="str">
        <f t="shared" si="24"/>
        <v/>
      </c>
      <c r="X111" s="202" t="str">
        <f t="shared" si="24"/>
        <v/>
      </c>
    </row>
    <row r="112" spans="1:24" s="129" customFormat="1">
      <c r="A112" s="146"/>
      <c r="B112" s="203"/>
      <c r="C112" s="204" t="s">
        <v>126</v>
      </c>
      <c r="D112" s="205"/>
      <c r="E112" s="206">
        <f t="shared" ref="E112:X112" si="25">IF(E21="","",SUM(E91,E96,E100,E101,E102,E106,E107,E111))</f>
        <v>642.54859999999996</v>
      </c>
      <c r="F112" s="206" t="str">
        <f t="shared" si="25"/>
        <v/>
      </c>
      <c r="G112" s="206" t="str">
        <f t="shared" si="25"/>
        <v/>
      </c>
      <c r="H112" s="206" t="str">
        <f t="shared" si="25"/>
        <v/>
      </c>
      <c r="I112" s="206" t="str">
        <f t="shared" si="25"/>
        <v/>
      </c>
      <c r="J112" s="206" t="str">
        <f t="shared" si="25"/>
        <v/>
      </c>
      <c r="K112" s="206" t="str">
        <f t="shared" si="25"/>
        <v/>
      </c>
      <c r="L112" s="206" t="str">
        <f t="shared" si="25"/>
        <v/>
      </c>
      <c r="M112" s="206" t="str">
        <f t="shared" si="25"/>
        <v/>
      </c>
      <c r="N112" s="206" t="str">
        <f t="shared" si="25"/>
        <v/>
      </c>
      <c r="O112" s="206" t="str">
        <f t="shared" si="25"/>
        <v/>
      </c>
      <c r="P112" s="206" t="str">
        <f t="shared" si="25"/>
        <v/>
      </c>
      <c r="Q112" s="206" t="str">
        <f t="shared" si="25"/>
        <v/>
      </c>
      <c r="R112" s="206" t="str">
        <f t="shared" si="25"/>
        <v/>
      </c>
      <c r="S112" s="206" t="str">
        <f t="shared" si="25"/>
        <v/>
      </c>
      <c r="T112" s="206" t="str">
        <f t="shared" si="25"/>
        <v/>
      </c>
      <c r="U112" s="206" t="str">
        <f t="shared" si="25"/>
        <v/>
      </c>
      <c r="V112" s="206" t="str">
        <f t="shared" si="25"/>
        <v/>
      </c>
      <c r="W112" s="206" t="str">
        <f t="shared" si="25"/>
        <v/>
      </c>
      <c r="X112" s="206" t="str">
        <f t="shared" si="25"/>
        <v/>
      </c>
    </row>
    <row r="113" spans="1:24" ht="3.75" customHeight="1"/>
    <row r="114" spans="1:24" s="129" customFormat="1">
      <c r="A114" s="123"/>
      <c r="B114" s="124"/>
      <c r="C114" s="15" t="s">
        <v>127</v>
      </c>
      <c r="D114" s="125"/>
      <c r="E114" s="128">
        <f t="shared" ref="E114:X114" si="26">IF(E21="","",IFERROR(SUM(E112,E83,E69),""))</f>
        <v>2101.0775192000001</v>
      </c>
      <c r="F114" s="126" t="str">
        <f t="shared" si="26"/>
        <v/>
      </c>
      <c r="G114" s="207" t="str">
        <f t="shared" si="26"/>
        <v/>
      </c>
      <c r="H114" s="126" t="str">
        <f t="shared" si="26"/>
        <v/>
      </c>
      <c r="I114" s="126" t="str">
        <f t="shared" si="26"/>
        <v/>
      </c>
      <c r="J114" s="126" t="str">
        <f t="shared" si="26"/>
        <v/>
      </c>
      <c r="K114" s="126" t="str">
        <f t="shared" si="26"/>
        <v/>
      </c>
      <c r="L114" s="126" t="str">
        <f t="shared" si="26"/>
        <v/>
      </c>
      <c r="M114" s="126" t="str">
        <f t="shared" si="26"/>
        <v/>
      </c>
      <c r="N114" s="126" t="str">
        <f t="shared" si="26"/>
        <v/>
      </c>
      <c r="O114" s="126" t="str">
        <f t="shared" si="26"/>
        <v/>
      </c>
      <c r="P114" s="126" t="str">
        <f t="shared" si="26"/>
        <v/>
      </c>
      <c r="Q114" s="126" t="str">
        <f t="shared" si="26"/>
        <v/>
      </c>
      <c r="R114" s="126" t="str">
        <f t="shared" si="26"/>
        <v/>
      </c>
      <c r="S114" s="126" t="str">
        <f t="shared" si="26"/>
        <v/>
      </c>
      <c r="T114" s="126" t="str">
        <f t="shared" si="26"/>
        <v/>
      </c>
      <c r="U114" s="126" t="str">
        <f t="shared" si="26"/>
        <v/>
      </c>
      <c r="V114" s="126" t="str">
        <f t="shared" si="26"/>
        <v/>
      </c>
      <c r="W114" s="126" t="str">
        <f t="shared" si="26"/>
        <v/>
      </c>
      <c r="X114" s="126" t="str">
        <f t="shared" si="26"/>
        <v/>
      </c>
    </row>
    <row r="115" spans="1:24" s="135" customFormat="1">
      <c r="B115" s="208"/>
      <c r="C115" s="208"/>
      <c r="D115" s="208"/>
      <c r="E115" s="209"/>
      <c r="F115" s="209"/>
      <c r="G115" s="209"/>
      <c r="H115" s="209"/>
      <c r="I115" s="209"/>
      <c r="J115" s="209"/>
      <c r="K115" s="209"/>
      <c r="L115" s="209"/>
      <c r="M115" s="209"/>
      <c r="N115" s="209"/>
      <c r="O115" s="209"/>
      <c r="P115" s="209"/>
      <c r="Q115" s="209"/>
      <c r="R115" s="209"/>
      <c r="S115" s="209"/>
      <c r="T115" s="209"/>
      <c r="U115" s="209"/>
      <c r="V115" s="209"/>
      <c r="W115" s="209"/>
      <c r="X115" s="209"/>
    </row>
    <row r="116" spans="1:24" s="135" customFormat="1">
      <c r="A116" s="134"/>
      <c r="B116" s="14"/>
      <c r="C116" s="15" t="s">
        <v>128</v>
      </c>
      <c r="D116" s="61"/>
      <c r="E116" s="62"/>
      <c r="F116" s="210"/>
      <c r="G116" s="62"/>
      <c r="H116" s="62"/>
      <c r="I116" s="62"/>
      <c r="J116" s="62"/>
      <c r="K116" s="62"/>
      <c r="L116" s="62"/>
      <c r="M116" s="62"/>
      <c r="N116" s="62"/>
      <c r="O116" s="62"/>
      <c r="P116" s="62"/>
      <c r="Q116" s="62"/>
      <c r="R116" s="62"/>
      <c r="S116" s="62"/>
      <c r="T116" s="62"/>
      <c r="U116" s="62"/>
      <c r="V116" s="62"/>
      <c r="W116" s="62"/>
      <c r="X116" s="62"/>
    </row>
    <row r="117" spans="1:24" s="212" customFormat="1">
      <c r="A117" s="211"/>
      <c r="B117" s="142" t="s">
        <v>1</v>
      </c>
      <c r="C117" s="98" t="s">
        <v>129</v>
      </c>
      <c r="D117" s="144">
        <f>INDEX('Apoio - Notas Explicativas'!Q:Q,MATCH(C117,'Apoio - Notas Explicativas'!C:C,0))</f>
        <v>4.1999999999999997E-3</v>
      </c>
      <c r="E117" s="67">
        <f t="shared" ref="E117:N122" si="27">IFERROR($D117*E$61,"")</f>
        <v>9.6621789599999985</v>
      </c>
      <c r="F117" s="67" t="str">
        <f t="shared" si="27"/>
        <v/>
      </c>
      <c r="G117" s="67" t="str">
        <f t="shared" si="27"/>
        <v/>
      </c>
      <c r="H117" s="67" t="str">
        <f t="shared" si="27"/>
        <v/>
      </c>
      <c r="I117" s="67" t="str">
        <f t="shared" si="27"/>
        <v/>
      </c>
      <c r="J117" s="67" t="str">
        <f t="shared" si="27"/>
        <v/>
      </c>
      <c r="K117" s="67" t="str">
        <f t="shared" si="27"/>
        <v/>
      </c>
      <c r="L117" s="67" t="str">
        <f t="shared" si="27"/>
        <v/>
      </c>
      <c r="M117" s="67" t="str">
        <f t="shared" si="27"/>
        <v/>
      </c>
      <c r="N117" s="67" t="str">
        <f t="shared" si="27"/>
        <v/>
      </c>
      <c r="O117" s="67" t="str">
        <f t="shared" ref="O117:X122" si="28">IFERROR($D117*O$61,"")</f>
        <v/>
      </c>
      <c r="P117" s="67" t="str">
        <f t="shared" si="28"/>
        <v/>
      </c>
      <c r="Q117" s="67" t="str">
        <f t="shared" si="28"/>
        <v/>
      </c>
      <c r="R117" s="67" t="str">
        <f t="shared" si="28"/>
        <v/>
      </c>
      <c r="S117" s="67" t="str">
        <f t="shared" si="28"/>
        <v/>
      </c>
      <c r="T117" s="67" t="str">
        <f t="shared" si="28"/>
        <v/>
      </c>
      <c r="U117" s="67" t="str">
        <f t="shared" si="28"/>
        <v/>
      </c>
      <c r="V117" s="67" t="str">
        <f t="shared" si="28"/>
        <v/>
      </c>
      <c r="W117" s="67" t="str">
        <f t="shared" si="28"/>
        <v/>
      </c>
      <c r="X117" s="67" t="str">
        <f t="shared" si="28"/>
        <v/>
      </c>
    </row>
    <row r="118" spans="1:24" s="212" customFormat="1">
      <c r="A118" s="211"/>
      <c r="B118" s="142" t="s">
        <v>4</v>
      </c>
      <c r="C118" s="98" t="s">
        <v>130</v>
      </c>
      <c r="D118" s="144">
        <f>INDEX('Apoio - Notas Explicativas'!Q:Q,MATCH(C118,'Apoio - Notas Explicativas'!C:C,0))</f>
        <v>2.9999999999999997E-4</v>
      </c>
      <c r="E118" s="67">
        <f t="shared" si="27"/>
        <v>0.69015563999999985</v>
      </c>
      <c r="F118" s="67" t="str">
        <f t="shared" si="27"/>
        <v/>
      </c>
      <c r="G118" s="67" t="str">
        <f t="shared" si="27"/>
        <v/>
      </c>
      <c r="H118" s="67" t="str">
        <f t="shared" si="27"/>
        <v/>
      </c>
      <c r="I118" s="67" t="str">
        <f t="shared" si="27"/>
        <v/>
      </c>
      <c r="J118" s="67" t="str">
        <f t="shared" si="27"/>
        <v/>
      </c>
      <c r="K118" s="67" t="str">
        <f t="shared" si="27"/>
        <v/>
      </c>
      <c r="L118" s="67" t="str">
        <f t="shared" si="27"/>
        <v/>
      </c>
      <c r="M118" s="67" t="str">
        <f t="shared" si="27"/>
        <v/>
      </c>
      <c r="N118" s="67" t="str">
        <f t="shared" si="27"/>
        <v/>
      </c>
      <c r="O118" s="67" t="str">
        <f t="shared" si="28"/>
        <v/>
      </c>
      <c r="P118" s="67" t="str">
        <f t="shared" si="28"/>
        <v/>
      </c>
      <c r="Q118" s="67" t="str">
        <f t="shared" si="28"/>
        <v/>
      </c>
      <c r="R118" s="67" t="str">
        <f t="shared" si="28"/>
        <v/>
      </c>
      <c r="S118" s="67" t="str">
        <f t="shared" si="28"/>
        <v/>
      </c>
      <c r="T118" s="67" t="str">
        <f t="shared" si="28"/>
        <v/>
      </c>
      <c r="U118" s="67" t="str">
        <f t="shared" si="28"/>
        <v/>
      </c>
      <c r="V118" s="67" t="str">
        <f t="shared" si="28"/>
        <v/>
      </c>
      <c r="W118" s="67" t="str">
        <f t="shared" si="28"/>
        <v/>
      </c>
      <c r="X118" s="67" t="str">
        <f t="shared" si="28"/>
        <v/>
      </c>
    </row>
    <row r="119" spans="1:24" s="212" customFormat="1">
      <c r="A119" s="211"/>
      <c r="B119" s="142" t="s">
        <v>6</v>
      </c>
      <c r="C119" s="98" t="s">
        <v>131</v>
      </c>
      <c r="D119" s="144">
        <f>INDEX('Apoio - Notas Explicativas'!Q:Q,MATCH(C119,'Apoio - Notas Explicativas'!C:C,0))</f>
        <v>1E-4</v>
      </c>
      <c r="E119" s="67">
        <f t="shared" si="27"/>
        <v>0.23005187999999999</v>
      </c>
      <c r="F119" s="67" t="str">
        <f t="shared" si="27"/>
        <v/>
      </c>
      <c r="G119" s="67" t="str">
        <f t="shared" si="27"/>
        <v/>
      </c>
      <c r="H119" s="67" t="str">
        <f t="shared" si="27"/>
        <v/>
      </c>
      <c r="I119" s="67" t="str">
        <f t="shared" si="27"/>
        <v/>
      </c>
      <c r="J119" s="67" t="str">
        <f t="shared" si="27"/>
        <v/>
      </c>
      <c r="K119" s="67" t="str">
        <f t="shared" si="27"/>
        <v/>
      </c>
      <c r="L119" s="67" t="str">
        <f t="shared" si="27"/>
        <v/>
      </c>
      <c r="M119" s="67" t="str">
        <f t="shared" si="27"/>
        <v/>
      </c>
      <c r="N119" s="67" t="str">
        <f t="shared" si="27"/>
        <v/>
      </c>
      <c r="O119" s="67" t="str">
        <f t="shared" si="28"/>
        <v/>
      </c>
      <c r="P119" s="67" t="str">
        <f t="shared" si="28"/>
        <v/>
      </c>
      <c r="Q119" s="67" t="str">
        <f t="shared" si="28"/>
        <v/>
      </c>
      <c r="R119" s="67" t="str">
        <f t="shared" si="28"/>
        <v/>
      </c>
      <c r="S119" s="67" t="str">
        <f t="shared" si="28"/>
        <v/>
      </c>
      <c r="T119" s="67" t="str">
        <f t="shared" si="28"/>
        <v/>
      </c>
      <c r="U119" s="67" t="str">
        <f t="shared" si="28"/>
        <v/>
      </c>
      <c r="V119" s="67" t="str">
        <f t="shared" si="28"/>
        <v/>
      </c>
      <c r="W119" s="67" t="str">
        <f t="shared" si="28"/>
        <v/>
      </c>
      <c r="X119" s="67" t="str">
        <f t="shared" si="28"/>
        <v/>
      </c>
    </row>
    <row r="120" spans="1:24" s="212" customFormat="1">
      <c r="A120" s="211"/>
      <c r="B120" s="142" t="s">
        <v>9</v>
      </c>
      <c r="C120" s="98" t="s">
        <v>132</v>
      </c>
      <c r="D120" s="144">
        <f>INDEX('Apoio - Notas Explicativas'!Q:Q,MATCH(C120,'Apoio - Notas Explicativas'!C:C,0))</f>
        <v>5.4000000000000003E-3</v>
      </c>
      <c r="E120" s="67">
        <f t="shared" si="27"/>
        <v>12.42280152</v>
      </c>
      <c r="F120" s="67" t="str">
        <f t="shared" si="27"/>
        <v/>
      </c>
      <c r="G120" s="67" t="str">
        <f t="shared" si="27"/>
        <v/>
      </c>
      <c r="H120" s="67" t="str">
        <f t="shared" si="27"/>
        <v/>
      </c>
      <c r="I120" s="67" t="str">
        <f t="shared" si="27"/>
        <v/>
      </c>
      <c r="J120" s="67" t="str">
        <f t="shared" si="27"/>
        <v/>
      </c>
      <c r="K120" s="67" t="str">
        <f t="shared" si="27"/>
        <v/>
      </c>
      <c r="L120" s="67" t="str">
        <f t="shared" si="27"/>
        <v/>
      </c>
      <c r="M120" s="67" t="str">
        <f t="shared" si="27"/>
        <v/>
      </c>
      <c r="N120" s="67" t="str">
        <f t="shared" si="27"/>
        <v/>
      </c>
      <c r="O120" s="67" t="str">
        <f t="shared" si="28"/>
        <v/>
      </c>
      <c r="P120" s="67" t="str">
        <f t="shared" si="28"/>
        <v/>
      </c>
      <c r="Q120" s="67" t="str">
        <f t="shared" si="28"/>
        <v/>
      </c>
      <c r="R120" s="67" t="str">
        <f t="shared" si="28"/>
        <v/>
      </c>
      <c r="S120" s="67" t="str">
        <f t="shared" si="28"/>
        <v/>
      </c>
      <c r="T120" s="67" t="str">
        <f t="shared" si="28"/>
        <v/>
      </c>
      <c r="U120" s="67" t="str">
        <f t="shared" si="28"/>
        <v/>
      </c>
      <c r="V120" s="67" t="str">
        <f t="shared" si="28"/>
        <v/>
      </c>
      <c r="W120" s="67" t="str">
        <f t="shared" si="28"/>
        <v/>
      </c>
      <c r="X120" s="67" t="str">
        <f t="shared" si="28"/>
        <v/>
      </c>
    </row>
    <row r="121" spans="1:24" s="212" customFormat="1">
      <c r="A121" s="211"/>
      <c r="B121" s="142" t="s">
        <v>12</v>
      </c>
      <c r="C121" s="98" t="s">
        <v>133</v>
      </c>
      <c r="D121" s="144">
        <f>INDEX('Apoio - Notas Explicativas'!Q:Q,MATCH(C121,'Apoio - Notas Explicativas'!C:C,0))</f>
        <v>2E-3</v>
      </c>
      <c r="E121" s="67">
        <f t="shared" si="27"/>
        <v>4.6010375999999997</v>
      </c>
      <c r="F121" s="67" t="str">
        <f t="shared" si="27"/>
        <v/>
      </c>
      <c r="G121" s="67" t="str">
        <f t="shared" si="27"/>
        <v/>
      </c>
      <c r="H121" s="67" t="str">
        <f t="shared" si="27"/>
        <v/>
      </c>
      <c r="I121" s="67" t="str">
        <f t="shared" si="27"/>
        <v/>
      </c>
      <c r="J121" s="67" t="str">
        <f t="shared" si="27"/>
        <v/>
      </c>
      <c r="K121" s="67" t="str">
        <f t="shared" si="27"/>
        <v/>
      </c>
      <c r="L121" s="67" t="str">
        <f t="shared" si="27"/>
        <v/>
      </c>
      <c r="M121" s="67" t="str">
        <f t="shared" si="27"/>
        <v/>
      </c>
      <c r="N121" s="67" t="str">
        <f t="shared" si="27"/>
        <v/>
      </c>
      <c r="O121" s="67" t="str">
        <f t="shared" si="28"/>
        <v/>
      </c>
      <c r="P121" s="67" t="str">
        <f t="shared" si="28"/>
        <v/>
      </c>
      <c r="Q121" s="67" t="str">
        <f t="shared" si="28"/>
        <v/>
      </c>
      <c r="R121" s="67" t="str">
        <f t="shared" si="28"/>
        <v/>
      </c>
      <c r="S121" s="67" t="str">
        <f t="shared" si="28"/>
        <v/>
      </c>
      <c r="T121" s="67" t="str">
        <f t="shared" si="28"/>
        <v/>
      </c>
      <c r="U121" s="67" t="str">
        <f t="shared" si="28"/>
        <v/>
      </c>
      <c r="V121" s="67" t="str">
        <f t="shared" si="28"/>
        <v/>
      </c>
      <c r="W121" s="67" t="str">
        <f t="shared" si="28"/>
        <v/>
      </c>
      <c r="X121" s="67" t="str">
        <f t="shared" si="28"/>
        <v/>
      </c>
    </row>
    <row r="122" spans="1:24" s="212" customFormat="1">
      <c r="A122" s="211"/>
      <c r="B122" s="142" t="s">
        <v>15</v>
      </c>
      <c r="C122" s="98" t="s">
        <v>134</v>
      </c>
      <c r="D122" s="144">
        <f>INDEX('Apoio - Notas Explicativas'!Q:Q,MATCH(C122,'Apoio - Notas Explicativas'!C:C,0))</f>
        <v>0.04</v>
      </c>
      <c r="E122" s="67">
        <f t="shared" si="27"/>
        <v>92.020752000000002</v>
      </c>
      <c r="F122" s="67" t="str">
        <f t="shared" si="27"/>
        <v/>
      </c>
      <c r="G122" s="67" t="str">
        <f t="shared" si="27"/>
        <v/>
      </c>
      <c r="H122" s="67" t="str">
        <f t="shared" si="27"/>
        <v/>
      </c>
      <c r="I122" s="67" t="str">
        <f t="shared" si="27"/>
        <v/>
      </c>
      <c r="J122" s="67" t="str">
        <f t="shared" si="27"/>
        <v/>
      </c>
      <c r="K122" s="67" t="str">
        <f t="shared" si="27"/>
        <v/>
      </c>
      <c r="L122" s="67" t="str">
        <f t="shared" si="27"/>
        <v/>
      </c>
      <c r="M122" s="67" t="str">
        <f t="shared" si="27"/>
        <v/>
      </c>
      <c r="N122" s="67" t="str">
        <f t="shared" si="27"/>
        <v/>
      </c>
      <c r="O122" s="67" t="str">
        <f t="shared" si="28"/>
        <v/>
      </c>
      <c r="P122" s="67" t="str">
        <f t="shared" si="28"/>
        <v/>
      </c>
      <c r="Q122" s="67" t="str">
        <f t="shared" si="28"/>
        <v/>
      </c>
      <c r="R122" s="67" t="str">
        <f t="shared" si="28"/>
        <v/>
      </c>
      <c r="S122" s="67" t="str">
        <f t="shared" si="28"/>
        <v/>
      </c>
      <c r="T122" s="67" t="str">
        <f t="shared" si="28"/>
        <v/>
      </c>
      <c r="U122" s="67" t="str">
        <f t="shared" si="28"/>
        <v/>
      </c>
      <c r="V122" s="67" t="str">
        <f t="shared" si="28"/>
        <v/>
      </c>
      <c r="W122" s="67" t="str">
        <f t="shared" si="28"/>
        <v/>
      </c>
      <c r="X122" s="67" t="str">
        <f t="shared" si="28"/>
        <v/>
      </c>
    </row>
    <row r="123" spans="1:24" s="129" customFormat="1">
      <c r="A123" s="123"/>
      <c r="B123" s="124"/>
      <c r="C123" s="15" t="s">
        <v>135</v>
      </c>
      <c r="D123" s="125"/>
      <c r="E123" s="126">
        <f t="shared" ref="E123:X123" si="29">IF(SUM(E117:E122)=0,"",SUM(E117:E122))</f>
        <v>119.6269776</v>
      </c>
      <c r="F123" s="126" t="str">
        <f t="shared" si="29"/>
        <v/>
      </c>
      <c r="G123" s="126" t="str">
        <f t="shared" si="29"/>
        <v/>
      </c>
      <c r="H123" s="126" t="str">
        <f t="shared" si="29"/>
        <v/>
      </c>
      <c r="I123" s="126" t="str">
        <f t="shared" si="29"/>
        <v/>
      </c>
      <c r="J123" s="126" t="str">
        <f t="shared" si="29"/>
        <v/>
      </c>
      <c r="K123" s="126" t="str">
        <f t="shared" si="29"/>
        <v/>
      </c>
      <c r="L123" s="126" t="str">
        <f t="shared" si="29"/>
        <v/>
      </c>
      <c r="M123" s="126" t="str">
        <f t="shared" si="29"/>
        <v/>
      </c>
      <c r="N123" s="126" t="str">
        <f t="shared" si="29"/>
        <v/>
      </c>
      <c r="O123" s="126" t="str">
        <f t="shared" si="29"/>
        <v/>
      </c>
      <c r="P123" s="126" t="str">
        <f t="shared" si="29"/>
        <v/>
      </c>
      <c r="Q123" s="126" t="str">
        <f t="shared" si="29"/>
        <v/>
      </c>
      <c r="R123" s="126" t="str">
        <f t="shared" si="29"/>
        <v/>
      </c>
      <c r="S123" s="126" t="str">
        <f t="shared" si="29"/>
        <v/>
      </c>
      <c r="T123" s="126" t="str">
        <f t="shared" si="29"/>
        <v/>
      </c>
      <c r="U123" s="126" t="str">
        <f t="shared" si="29"/>
        <v/>
      </c>
      <c r="V123" s="126" t="str">
        <f t="shared" si="29"/>
        <v/>
      </c>
      <c r="W123" s="126" t="str">
        <f t="shared" si="29"/>
        <v/>
      </c>
      <c r="X123" s="126" t="str">
        <f t="shared" si="29"/>
        <v/>
      </c>
    </row>
    <row r="124" spans="1:24" s="213" customFormat="1">
      <c r="A124" s="131"/>
      <c r="D124" s="132"/>
      <c r="E124" s="214"/>
      <c r="F124" s="214"/>
      <c r="G124" s="214"/>
      <c r="H124" s="214"/>
      <c r="I124" s="214"/>
      <c r="J124" s="214"/>
      <c r="K124" s="214"/>
      <c r="L124" s="214"/>
      <c r="M124" s="214"/>
      <c r="N124" s="214"/>
      <c r="O124" s="214"/>
      <c r="P124" s="214"/>
      <c r="Q124" s="214"/>
      <c r="R124" s="214"/>
      <c r="S124" s="214"/>
      <c r="T124" s="214"/>
      <c r="U124" s="214"/>
      <c r="V124" s="214"/>
      <c r="W124" s="214"/>
      <c r="X124" s="214"/>
    </row>
    <row r="125" spans="1:24" s="135" customFormat="1">
      <c r="A125" s="134"/>
      <c r="B125" s="14"/>
      <c r="C125" s="15" t="s">
        <v>136</v>
      </c>
      <c r="D125" s="61"/>
      <c r="E125" s="62"/>
      <c r="F125" s="62"/>
      <c r="G125" s="62"/>
      <c r="H125" s="62"/>
      <c r="I125" s="62"/>
      <c r="J125" s="62"/>
      <c r="K125" s="62"/>
      <c r="L125" s="62"/>
      <c r="M125" s="62"/>
      <c r="N125" s="62"/>
      <c r="O125" s="62"/>
      <c r="P125" s="62"/>
      <c r="Q125" s="62"/>
      <c r="R125" s="62"/>
      <c r="S125" s="62"/>
      <c r="T125" s="62"/>
      <c r="U125" s="62"/>
      <c r="V125" s="62"/>
      <c r="W125" s="62"/>
      <c r="X125" s="62"/>
    </row>
    <row r="126" spans="1:24" ht="3.75" customHeight="1"/>
    <row r="127" spans="1:24" s="135" customFormat="1" ht="28.8">
      <c r="A127" s="136"/>
      <c r="B127" s="137"/>
      <c r="C127" s="215" t="s">
        <v>137</v>
      </c>
      <c r="D127" s="139"/>
      <c r="E127" s="140"/>
      <c r="F127" s="141"/>
      <c r="G127" s="141"/>
      <c r="H127" s="141"/>
      <c r="I127" s="141"/>
      <c r="J127" s="141"/>
      <c r="K127" s="141"/>
      <c r="L127" s="141"/>
      <c r="M127" s="141"/>
      <c r="N127" s="141"/>
      <c r="O127" s="141"/>
      <c r="P127" s="141"/>
      <c r="Q127" s="141"/>
      <c r="R127" s="141"/>
      <c r="S127" s="141"/>
      <c r="T127" s="141"/>
      <c r="U127" s="141"/>
      <c r="V127" s="141"/>
      <c r="W127" s="141"/>
      <c r="X127" s="141"/>
    </row>
    <row r="128" spans="1:24" s="212" customFormat="1">
      <c r="A128" s="216"/>
      <c r="B128" s="142" t="s">
        <v>1</v>
      </c>
      <c r="C128" s="98" t="s">
        <v>138</v>
      </c>
      <c r="D128" s="144">
        <f>INDEX('Apoio - Notas Explicativas'!$Q:$Q,MATCH(C128,'Apoio - Notas Explicativas'!$C:$C,0))</f>
        <v>1.6199999999999999E-2</v>
      </c>
      <c r="E128" s="67">
        <f t="shared" ref="E128:X128" si="30">IF(E21="","",IFERROR($D128*SUM(E$61),""))</f>
        <v>37.268404559999993</v>
      </c>
      <c r="F128" s="148" t="str">
        <f t="shared" si="30"/>
        <v/>
      </c>
      <c r="G128" s="148" t="str">
        <f t="shared" si="30"/>
        <v/>
      </c>
      <c r="H128" s="148" t="str">
        <f t="shared" si="30"/>
        <v/>
      </c>
      <c r="I128" s="148" t="str">
        <f t="shared" si="30"/>
        <v/>
      </c>
      <c r="J128" s="148" t="str">
        <f t="shared" si="30"/>
        <v/>
      </c>
      <c r="K128" s="148" t="str">
        <f t="shared" si="30"/>
        <v/>
      </c>
      <c r="L128" s="148" t="str">
        <f t="shared" si="30"/>
        <v/>
      </c>
      <c r="M128" s="148" t="str">
        <f t="shared" si="30"/>
        <v/>
      </c>
      <c r="N128" s="148" t="str">
        <f t="shared" si="30"/>
        <v/>
      </c>
      <c r="O128" s="148" t="str">
        <f t="shared" si="30"/>
        <v/>
      </c>
      <c r="P128" s="148" t="str">
        <f t="shared" si="30"/>
        <v/>
      </c>
      <c r="Q128" s="148" t="str">
        <f t="shared" si="30"/>
        <v/>
      </c>
      <c r="R128" s="148" t="str">
        <f t="shared" si="30"/>
        <v/>
      </c>
      <c r="S128" s="148" t="str">
        <f t="shared" si="30"/>
        <v/>
      </c>
      <c r="T128" s="148" t="str">
        <f t="shared" si="30"/>
        <v/>
      </c>
      <c r="U128" s="148" t="str">
        <f t="shared" si="30"/>
        <v/>
      </c>
      <c r="V128" s="148" t="str">
        <f t="shared" si="30"/>
        <v/>
      </c>
      <c r="W128" s="148" t="str">
        <f t="shared" si="30"/>
        <v/>
      </c>
      <c r="X128" s="148" t="str">
        <f t="shared" si="30"/>
        <v/>
      </c>
    </row>
    <row r="129" spans="1:24" s="212" customFormat="1">
      <c r="A129" s="216"/>
      <c r="B129" s="142" t="s">
        <v>4</v>
      </c>
      <c r="C129" s="98" t="s">
        <v>139</v>
      </c>
      <c r="D129" s="144">
        <f>INDEX('Apoio - Notas Explicativas'!$Q:$Q,MATCH(C129,'Apoio - Notas Explicativas'!$C:$C,0))</f>
        <v>1.3899999999999999E-2</v>
      </c>
      <c r="E129" s="67">
        <f t="shared" ref="E129:X129" si="31">IFERROR($D129*(E61+E66+E67),"")</f>
        <v>38.193581200607994</v>
      </c>
      <c r="F129" s="148" t="str">
        <f t="shared" si="31"/>
        <v/>
      </c>
      <c r="G129" s="148" t="str">
        <f t="shared" si="31"/>
        <v/>
      </c>
      <c r="H129" s="148" t="str">
        <f t="shared" si="31"/>
        <v/>
      </c>
      <c r="I129" s="148" t="str">
        <f t="shared" si="31"/>
        <v/>
      </c>
      <c r="J129" s="148" t="str">
        <f t="shared" si="31"/>
        <v/>
      </c>
      <c r="K129" s="148" t="str">
        <f t="shared" si="31"/>
        <v/>
      </c>
      <c r="L129" s="148" t="str">
        <f t="shared" si="31"/>
        <v/>
      </c>
      <c r="M129" s="148" t="str">
        <f t="shared" si="31"/>
        <v/>
      </c>
      <c r="N129" s="148" t="str">
        <f t="shared" si="31"/>
        <v/>
      </c>
      <c r="O129" s="148" t="str">
        <f t="shared" si="31"/>
        <v/>
      </c>
      <c r="P129" s="148" t="str">
        <f t="shared" si="31"/>
        <v/>
      </c>
      <c r="Q129" s="148" t="str">
        <f t="shared" si="31"/>
        <v/>
      </c>
      <c r="R129" s="148" t="str">
        <f t="shared" si="31"/>
        <v/>
      </c>
      <c r="S129" s="148" t="str">
        <f t="shared" si="31"/>
        <v/>
      </c>
      <c r="T129" s="148" t="str">
        <f t="shared" si="31"/>
        <v/>
      </c>
      <c r="U129" s="148" t="str">
        <f t="shared" si="31"/>
        <v/>
      </c>
      <c r="V129" s="148" t="str">
        <f t="shared" si="31"/>
        <v/>
      </c>
      <c r="W129" s="148" t="str">
        <f t="shared" si="31"/>
        <v/>
      </c>
      <c r="X129" s="148" t="str">
        <f t="shared" si="31"/>
        <v/>
      </c>
    </row>
    <row r="130" spans="1:24" s="212" customFormat="1">
      <c r="A130" s="216"/>
      <c r="B130" s="142" t="s">
        <v>6</v>
      </c>
      <c r="C130" s="98" t="s">
        <v>140</v>
      </c>
      <c r="D130" s="144">
        <f>INDEX('Apoio - Notas Explicativas'!$Q:$Q,MATCH(C130,'Apoio - Notas Explicativas'!$C:$C,0))</f>
        <v>2.0000000000000001E-4</v>
      </c>
      <c r="E130" s="67">
        <f t="shared" ref="E130:X130" si="32">IFERROR($D130*(E61+E66+E67),"")</f>
        <v>0.54954793094400001</v>
      </c>
      <c r="F130" s="148" t="str">
        <f t="shared" si="32"/>
        <v/>
      </c>
      <c r="G130" s="148" t="str">
        <f t="shared" si="32"/>
        <v/>
      </c>
      <c r="H130" s="148" t="str">
        <f t="shared" si="32"/>
        <v/>
      </c>
      <c r="I130" s="148" t="str">
        <f t="shared" si="32"/>
        <v/>
      </c>
      <c r="J130" s="148" t="str">
        <f t="shared" si="32"/>
        <v/>
      </c>
      <c r="K130" s="148" t="str">
        <f t="shared" si="32"/>
        <v/>
      </c>
      <c r="L130" s="148" t="str">
        <f t="shared" si="32"/>
        <v/>
      </c>
      <c r="M130" s="148" t="str">
        <f t="shared" si="32"/>
        <v/>
      </c>
      <c r="N130" s="148" t="str">
        <f t="shared" si="32"/>
        <v/>
      </c>
      <c r="O130" s="148" t="str">
        <f t="shared" si="32"/>
        <v/>
      </c>
      <c r="P130" s="148" t="str">
        <f t="shared" si="32"/>
        <v/>
      </c>
      <c r="Q130" s="148" t="str">
        <f t="shared" si="32"/>
        <v/>
      </c>
      <c r="R130" s="148" t="str">
        <f t="shared" si="32"/>
        <v/>
      </c>
      <c r="S130" s="148" t="str">
        <f t="shared" si="32"/>
        <v/>
      </c>
      <c r="T130" s="148" t="str">
        <f t="shared" si="32"/>
        <v/>
      </c>
      <c r="U130" s="148" t="str">
        <f t="shared" si="32"/>
        <v/>
      </c>
      <c r="V130" s="148" t="str">
        <f t="shared" si="32"/>
        <v/>
      </c>
      <c r="W130" s="148" t="str">
        <f t="shared" si="32"/>
        <v/>
      </c>
      <c r="X130" s="148" t="str">
        <f t="shared" si="32"/>
        <v/>
      </c>
    </row>
    <row r="131" spans="1:24" s="212" customFormat="1">
      <c r="A131" s="216"/>
      <c r="B131" s="142" t="s">
        <v>9</v>
      </c>
      <c r="C131" s="98" t="s">
        <v>141</v>
      </c>
      <c r="D131" s="144">
        <f>INDEX('Apoio - Notas Explicativas'!$Q:$Q,MATCH(C131,'Apoio - Notas Explicativas'!$C:$C,0))</f>
        <v>8.2000000000000007E-3</v>
      </c>
      <c r="E131" s="67">
        <f t="shared" ref="E131:X131" si="33">IFERROR($D131*(E61+E66+E67),"")</f>
        <v>22.531465168703999</v>
      </c>
      <c r="F131" s="148" t="str">
        <f t="shared" si="33"/>
        <v/>
      </c>
      <c r="G131" s="148" t="str">
        <f t="shared" si="33"/>
        <v/>
      </c>
      <c r="H131" s="148" t="str">
        <f t="shared" si="33"/>
        <v/>
      </c>
      <c r="I131" s="148" t="str">
        <f t="shared" si="33"/>
        <v/>
      </c>
      <c r="J131" s="148" t="str">
        <f t="shared" si="33"/>
        <v/>
      </c>
      <c r="K131" s="148" t="str">
        <f t="shared" si="33"/>
        <v/>
      </c>
      <c r="L131" s="148" t="str">
        <f t="shared" si="33"/>
        <v/>
      </c>
      <c r="M131" s="148" t="str">
        <f t="shared" si="33"/>
        <v/>
      </c>
      <c r="N131" s="148" t="str">
        <f t="shared" si="33"/>
        <v/>
      </c>
      <c r="O131" s="148" t="str">
        <f t="shared" si="33"/>
        <v/>
      </c>
      <c r="P131" s="148" t="str">
        <f t="shared" si="33"/>
        <v/>
      </c>
      <c r="Q131" s="148" t="str">
        <f t="shared" si="33"/>
        <v/>
      </c>
      <c r="R131" s="148" t="str">
        <f t="shared" si="33"/>
        <v/>
      </c>
      <c r="S131" s="148" t="str">
        <f t="shared" si="33"/>
        <v/>
      </c>
      <c r="T131" s="148" t="str">
        <f t="shared" si="33"/>
        <v/>
      </c>
      <c r="U131" s="148" t="str">
        <f t="shared" si="33"/>
        <v/>
      </c>
      <c r="V131" s="148" t="str">
        <f t="shared" si="33"/>
        <v/>
      </c>
      <c r="W131" s="148" t="str">
        <f t="shared" si="33"/>
        <v/>
      </c>
      <c r="X131" s="148" t="str">
        <f t="shared" si="33"/>
        <v/>
      </c>
    </row>
    <row r="132" spans="1:24" s="212" customFormat="1">
      <c r="A132" s="216"/>
      <c r="B132" s="142" t="s">
        <v>12</v>
      </c>
      <c r="C132" s="98" t="s">
        <v>142</v>
      </c>
      <c r="D132" s="144">
        <f>INDEX('Apoio - Notas Explicativas'!$Q:$Q,MATCH(C132,'Apoio - Notas Explicativas'!$C:$C,0))</f>
        <v>2.9999999999999997E-4</v>
      </c>
      <c r="E132" s="67">
        <f t="shared" ref="E132:X132" si="34">IFERROR($D132*(E61+E66+E67),"")</f>
        <v>0.82432189641599984</v>
      </c>
      <c r="F132" s="148" t="str">
        <f t="shared" si="34"/>
        <v/>
      </c>
      <c r="G132" s="148" t="str">
        <f t="shared" si="34"/>
        <v/>
      </c>
      <c r="H132" s="148" t="str">
        <f t="shared" si="34"/>
        <v/>
      </c>
      <c r="I132" s="148" t="str">
        <f t="shared" si="34"/>
        <v/>
      </c>
      <c r="J132" s="148" t="str">
        <f t="shared" si="34"/>
        <v/>
      </c>
      <c r="K132" s="148" t="str">
        <f t="shared" si="34"/>
        <v/>
      </c>
      <c r="L132" s="148" t="str">
        <f t="shared" si="34"/>
        <v/>
      </c>
      <c r="M132" s="148" t="str">
        <f t="shared" si="34"/>
        <v/>
      </c>
      <c r="N132" s="148" t="str">
        <f t="shared" si="34"/>
        <v/>
      </c>
      <c r="O132" s="148" t="str">
        <f t="shared" si="34"/>
        <v/>
      </c>
      <c r="P132" s="148" t="str">
        <f t="shared" si="34"/>
        <v/>
      </c>
      <c r="Q132" s="148" t="str">
        <f t="shared" si="34"/>
        <v/>
      </c>
      <c r="R132" s="148" t="str">
        <f t="shared" si="34"/>
        <v/>
      </c>
      <c r="S132" s="148" t="str">
        <f t="shared" si="34"/>
        <v/>
      </c>
      <c r="T132" s="148" t="str">
        <f t="shared" si="34"/>
        <v/>
      </c>
      <c r="U132" s="148" t="str">
        <f t="shared" si="34"/>
        <v/>
      </c>
      <c r="V132" s="148" t="str">
        <f t="shared" si="34"/>
        <v/>
      </c>
      <c r="W132" s="148" t="str">
        <f t="shared" si="34"/>
        <v/>
      </c>
      <c r="X132" s="148" t="str">
        <f t="shared" si="34"/>
        <v/>
      </c>
    </row>
    <row r="133" spans="1:24" s="212" customFormat="1">
      <c r="A133" s="216"/>
      <c r="B133" s="142" t="s">
        <v>15</v>
      </c>
      <c r="C133" s="98" t="s">
        <v>143</v>
      </c>
      <c r="D133" s="144">
        <f>INDEX('Apoio - Notas Explicativas'!$Q:$Q,MATCH(C133,'Apoio - Notas Explicativas'!$C:$C,0))</f>
        <v>6.9999999999999999E-4</v>
      </c>
      <c r="E133" s="67">
        <f t="shared" ref="E133:X133" si="35">IFERROR((E$61+E67)*$D$133,"")</f>
        <v>1.7892745070759999</v>
      </c>
      <c r="F133" s="148" t="str">
        <f t="shared" si="35"/>
        <v/>
      </c>
      <c r="G133" s="148" t="str">
        <f t="shared" si="35"/>
        <v/>
      </c>
      <c r="H133" s="148" t="str">
        <f t="shared" si="35"/>
        <v/>
      </c>
      <c r="I133" s="148" t="str">
        <f t="shared" si="35"/>
        <v/>
      </c>
      <c r="J133" s="148" t="str">
        <f t="shared" si="35"/>
        <v/>
      </c>
      <c r="K133" s="148" t="str">
        <f t="shared" si="35"/>
        <v/>
      </c>
      <c r="L133" s="148" t="str">
        <f t="shared" si="35"/>
        <v/>
      </c>
      <c r="M133" s="148" t="str">
        <f t="shared" si="35"/>
        <v/>
      </c>
      <c r="N133" s="148" t="str">
        <f t="shared" si="35"/>
        <v/>
      </c>
      <c r="O133" s="148" t="str">
        <f t="shared" si="35"/>
        <v/>
      </c>
      <c r="P133" s="148" t="str">
        <f t="shared" si="35"/>
        <v/>
      </c>
      <c r="Q133" s="148" t="str">
        <f t="shared" si="35"/>
        <v/>
      </c>
      <c r="R133" s="148" t="str">
        <f t="shared" si="35"/>
        <v/>
      </c>
      <c r="S133" s="148" t="str">
        <f t="shared" si="35"/>
        <v/>
      </c>
      <c r="T133" s="148" t="str">
        <f t="shared" si="35"/>
        <v/>
      </c>
      <c r="U133" s="148" t="str">
        <f t="shared" si="35"/>
        <v/>
      </c>
      <c r="V133" s="148" t="str">
        <f t="shared" si="35"/>
        <v/>
      </c>
      <c r="W133" s="148" t="str">
        <f t="shared" si="35"/>
        <v/>
      </c>
      <c r="X133" s="148" t="str">
        <f t="shared" si="35"/>
        <v/>
      </c>
    </row>
    <row r="134" spans="1:24" s="212" customFormat="1">
      <c r="A134" s="216"/>
      <c r="B134" s="142" t="s">
        <v>17</v>
      </c>
      <c r="C134" s="98" t="s">
        <v>144</v>
      </c>
      <c r="D134" s="144">
        <f>SUM(D128:D133)*SUM(D81:D82,D72:D77)</f>
        <v>1.4536000000000002E-2</v>
      </c>
      <c r="E134" s="67">
        <f t="shared" ref="E134:X134" si="36">IF(E18="","",SUM(E128:E133)*SUM($D$72:$D$77,$D$81:$D$82))</f>
        <v>37.22562705705927</v>
      </c>
      <c r="F134" s="148" t="str">
        <f t="shared" si="36"/>
        <v/>
      </c>
      <c r="G134" s="148" t="str">
        <f t="shared" si="36"/>
        <v/>
      </c>
      <c r="H134" s="148" t="str">
        <f t="shared" si="36"/>
        <v/>
      </c>
      <c r="I134" s="148" t="str">
        <f t="shared" si="36"/>
        <v/>
      </c>
      <c r="J134" s="148" t="str">
        <f t="shared" si="36"/>
        <v/>
      </c>
      <c r="K134" s="148" t="str">
        <f t="shared" si="36"/>
        <v/>
      </c>
      <c r="L134" s="148" t="str">
        <f t="shared" si="36"/>
        <v/>
      </c>
      <c r="M134" s="148" t="str">
        <f t="shared" si="36"/>
        <v/>
      </c>
      <c r="N134" s="148" t="str">
        <f t="shared" si="36"/>
        <v/>
      </c>
      <c r="O134" s="148" t="str">
        <f t="shared" si="36"/>
        <v/>
      </c>
      <c r="P134" s="148" t="str">
        <f t="shared" si="36"/>
        <v/>
      </c>
      <c r="Q134" s="148" t="str">
        <f t="shared" si="36"/>
        <v/>
      </c>
      <c r="R134" s="148" t="str">
        <f t="shared" si="36"/>
        <v/>
      </c>
      <c r="S134" s="148" t="str">
        <f t="shared" si="36"/>
        <v/>
      </c>
      <c r="T134" s="148" t="str">
        <f t="shared" si="36"/>
        <v/>
      </c>
      <c r="U134" s="148" t="str">
        <f t="shared" si="36"/>
        <v/>
      </c>
      <c r="V134" s="148" t="str">
        <f t="shared" si="36"/>
        <v/>
      </c>
      <c r="W134" s="148" t="str">
        <f t="shared" si="36"/>
        <v/>
      </c>
      <c r="X134" s="148" t="str">
        <f t="shared" si="36"/>
        <v/>
      </c>
    </row>
    <row r="135" spans="1:24" s="212" customFormat="1">
      <c r="A135" s="216"/>
      <c r="B135" s="142" t="s">
        <v>20</v>
      </c>
      <c r="C135" s="98" t="s">
        <v>145</v>
      </c>
      <c r="D135" s="217">
        <f>INDEX('Apoio - Notas Explicativas'!$Q:$Q,MATCH(C135,'Apoio - Notas Explicativas'!$C:$C,0))</f>
        <v>37.96</v>
      </c>
      <c r="E135" s="67">
        <f t="shared" ref="E135:X135" si="37">IFERROR(((E112-SUM(E91,E96))/(30*12))*$D$135,"")</f>
        <v>2.5412111111111133</v>
      </c>
      <c r="F135" s="148" t="str">
        <f t="shared" si="37"/>
        <v/>
      </c>
      <c r="G135" s="148" t="str">
        <f t="shared" si="37"/>
        <v/>
      </c>
      <c r="H135" s="148" t="str">
        <f t="shared" si="37"/>
        <v/>
      </c>
      <c r="I135" s="148" t="str">
        <f t="shared" si="37"/>
        <v/>
      </c>
      <c r="J135" s="148" t="str">
        <f t="shared" si="37"/>
        <v/>
      </c>
      <c r="K135" s="148" t="str">
        <f t="shared" si="37"/>
        <v/>
      </c>
      <c r="L135" s="148" t="str">
        <f t="shared" si="37"/>
        <v/>
      </c>
      <c r="M135" s="148" t="str">
        <f t="shared" si="37"/>
        <v/>
      </c>
      <c r="N135" s="148" t="str">
        <f t="shared" si="37"/>
        <v/>
      </c>
      <c r="O135" s="148" t="str">
        <f t="shared" si="37"/>
        <v/>
      </c>
      <c r="P135" s="148" t="str">
        <f t="shared" si="37"/>
        <v/>
      </c>
      <c r="Q135" s="148" t="str">
        <f t="shared" si="37"/>
        <v/>
      </c>
      <c r="R135" s="148" t="str">
        <f t="shared" si="37"/>
        <v/>
      </c>
      <c r="S135" s="148" t="str">
        <f t="shared" si="37"/>
        <v/>
      </c>
      <c r="T135" s="148" t="str">
        <f t="shared" si="37"/>
        <v/>
      </c>
      <c r="U135" s="148" t="str">
        <f t="shared" si="37"/>
        <v/>
      </c>
      <c r="V135" s="148" t="str">
        <f t="shared" si="37"/>
        <v/>
      </c>
      <c r="W135" s="148" t="str">
        <f t="shared" si="37"/>
        <v/>
      </c>
      <c r="X135" s="148" t="str">
        <f t="shared" si="37"/>
        <v/>
      </c>
    </row>
    <row r="136" spans="1:24" s="212" customFormat="1">
      <c r="A136" s="216"/>
      <c r="B136" s="142" t="s">
        <v>22</v>
      </c>
      <c r="C136" s="98" t="s">
        <v>146</v>
      </c>
      <c r="D136" s="217">
        <f>INDEX('Apoio - Notas Explicativas'!$Q:$Q,MATCH(C136,'Apoio - Notas Explicativas'!$C:$C,0))</f>
        <v>37.96</v>
      </c>
      <c r="E136" s="67">
        <f t="shared" ref="E136:X136" si="38">IFERROR(((((E$123/12)*$D$136))/30),"")</f>
        <v>12.614000193600001</v>
      </c>
      <c r="F136" s="148" t="str">
        <f t="shared" si="38"/>
        <v/>
      </c>
      <c r="G136" s="148" t="str">
        <f t="shared" si="38"/>
        <v/>
      </c>
      <c r="H136" s="148" t="str">
        <f t="shared" si="38"/>
        <v/>
      </c>
      <c r="I136" s="148" t="str">
        <f t="shared" si="38"/>
        <v/>
      </c>
      <c r="J136" s="148" t="str">
        <f t="shared" si="38"/>
        <v/>
      </c>
      <c r="K136" s="148" t="str">
        <f t="shared" si="38"/>
        <v/>
      </c>
      <c r="L136" s="148" t="str">
        <f t="shared" si="38"/>
        <v/>
      </c>
      <c r="M136" s="148" t="str">
        <f t="shared" si="38"/>
        <v/>
      </c>
      <c r="N136" s="148" t="str">
        <f t="shared" si="38"/>
        <v/>
      </c>
      <c r="O136" s="148" t="str">
        <f t="shared" si="38"/>
        <v/>
      </c>
      <c r="P136" s="148" t="str">
        <f t="shared" si="38"/>
        <v/>
      </c>
      <c r="Q136" s="148" t="str">
        <f t="shared" si="38"/>
        <v/>
      </c>
      <c r="R136" s="148" t="str">
        <f t="shared" si="38"/>
        <v/>
      </c>
      <c r="S136" s="148" t="str">
        <f t="shared" si="38"/>
        <v/>
      </c>
      <c r="T136" s="148" t="str">
        <f t="shared" si="38"/>
        <v/>
      </c>
      <c r="U136" s="148" t="str">
        <f t="shared" si="38"/>
        <v/>
      </c>
      <c r="V136" s="148" t="str">
        <f t="shared" si="38"/>
        <v/>
      </c>
      <c r="W136" s="148" t="str">
        <f t="shared" si="38"/>
        <v/>
      </c>
      <c r="X136" s="148" t="str">
        <f t="shared" si="38"/>
        <v/>
      </c>
    </row>
    <row r="137" spans="1:24" s="129" customFormat="1">
      <c r="A137" s="146"/>
      <c r="B137" s="137"/>
      <c r="C137" s="138" t="s">
        <v>147</v>
      </c>
      <c r="D137" s="147"/>
      <c r="E137" s="140">
        <f t="shared" ref="E137:X137" si="39">IF(SUM(E128:E136)=0,"",SUM(E128:E136))</f>
        <v>153.53743362551839</v>
      </c>
      <c r="F137" s="141" t="str">
        <f t="shared" si="39"/>
        <v/>
      </c>
      <c r="G137" s="140" t="str">
        <f t="shared" si="39"/>
        <v/>
      </c>
      <c r="H137" s="141" t="str">
        <f t="shared" si="39"/>
        <v/>
      </c>
      <c r="I137" s="141" t="str">
        <f t="shared" si="39"/>
        <v/>
      </c>
      <c r="J137" s="141" t="str">
        <f t="shared" si="39"/>
        <v/>
      </c>
      <c r="K137" s="141" t="str">
        <f t="shared" si="39"/>
        <v/>
      </c>
      <c r="L137" s="141" t="str">
        <f t="shared" si="39"/>
        <v/>
      </c>
      <c r="M137" s="141" t="str">
        <f t="shared" si="39"/>
        <v/>
      </c>
      <c r="N137" s="141" t="str">
        <f t="shared" si="39"/>
        <v/>
      </c>
      <c r="O137" s="141" t="str">
        <f t="shared" si="39"/>
        <v/>
      </c>
      <c r="P137" s="141" t="str">
        <f t="shared" si="39"/>
        <v/>
      </c>
      <c r="Q137" s="141" t="str">
        <f t="shared" si="39"/>
        <v/>
      </c>
      <c r="R137" s="141" t="str">
        <f t="shared" si="39"/>
        <v/>
      </c>
      <c r="S137" s="141" t="str">
        <f t="shared" si="39"/>
        <v/>
      </c>
      <c r="T137" s="141" t="str">
        <f t="shared" si="39"/>
        <v/>
      </c>
      <c r="U137" s="141" t="str">
        <f t="shared" si="39"/>
        <v/>
      </c>
      <c r="V137" s="141" t="str">
        <f t="shared" si="39"/>
        <v/>
      </c>
      <c r="W137" s="141" t="str">
        <f t="shared" si="39"/>
        <v/>
      </c>
      <c r="X137" s="141" t="str">
        <f t="shared" si="39"/>
        <v/>
      </c>
    </row>
    <row r="139" spans="1:24" s="135" customFormat="1">
      <c r="A139" s="136"/>
      <c r="B139" s="137"/>
      <c r="C139" s="138" t="s">
        <v>148</v>
      </c>
      <c r="D139" s="139"/>
      <c r="E139" s="140"/>
      <c r="F139" s="140"/>
      <c r="G139" s="140"/>
      <c r="H139" s="140"/>
      <c r="I139" s="140"/>
      <c r="J139" s="140"/>
      <c r="K139" s="140"/>
      <c r="L139" s="140"/>
      <c r="M139" s="140"/>
      <c r="N139" s="140"/>
      <c r="O139" s="140"/>
      <c r="P139" s="140"/>
      <c r="Q139" s="140"/>
      <c r="R139" s="140"/>
      <c r="S139" s="140"/>
      <c r="T139" s="140"/>
      <c r="U139" s="140"/>
      <c r="V139" s="140"/>
      <c r="W139" s="140"/>
      <c r="X139" s="140"/>
    </row>
    <row r="140" spans="1:24" s="212" customFormat="1">
      <c r="A140" s="218"/>
      <c r="B140" s="672" t="s">
        <v>1</v>
      </c>
      <c r="C140" s="100" t="s">
        <v>149</v>
      </c>
      <c r="D140" s="191"/>
      <c r="E140" s="101"/>
      <c r="F140" s="101"/>
      <c r="G140" s="101"/>
      <c r="H140" s="101"/>
      <c r="I140" s="101"/>
      <c r="J140" s="101"/>
      <c r="K140" s="101"/>
      <c r="L140" s="101"/>
      <c r="M140" s="101"/>
      <c r="N140" s="101"/>
      <c r="O140" s="101"/>
      <c r="P140" s="101"/>
      <c r="Q140" s="101"/>
      <c r="R140" s="101"/>
      <c r="S140" s="101"/>
      <c r="T140" s="101"/>
      <c r="U140" s="101"/>
      <c r="V140" s="101"/>
      <c r="W140" s="101"/>
      <c r="X140" s="101"/>
    </row>
    <row r="141" spans="1:24" s="212" customFormat="1">
      <c r="A141" s="218"/>
      <c r="B141" s="672"/>
      <c r="C141" s="103" t="s">
        <v>150</v>
      </c>
      <c r="D141" s="72"/>
      <c r="E141" s="219"/>
      <c r="F141" s="219"/>
      <c r="G141" s="219"/>
      <c r="H141" s="219"/>
      <c r="I141" s="219"/>
      <c r="J141" s="219"/>
      <c r="K141" s="219"/>
      <c r="L141" s="219"/>
      <c r="M141" s="219"/>
      <c r="N141" s="219"/>
      <c r="O141" s="219"/>
      <c r="P141" s="219"/>
      <c r="Q141" s="219"/>
      <c r="R141" s="219"/>
      <c r="S141" s="219"/>
      <c r="T141" s="219"/>
      <c r="U141" s="219"/>
      <c r="V141" s="219"/>
      <c r="W141" s="219"/>
      <c r="X141" s="219"/>
    </row>
    <row r="142" spans="1:24" s="212" customFormat="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 IF(I141="Não",0, IF(I141="Indenização",(((SUM(I32,I42)/VLOOKUP(I$26,'Apoio - Regime de Trabalho'!$A:$I,8,0))*1.5)*VLOOKUP(I$26,'Apoio - Regime de Trabalho'!$A:$I,7,0)),"")))</f>
        <v/>
      </c>
      <c r="J142" s="76" t="str">
        <f>IF(J141="Rendição",(((SUM(J61,J$83,J$112,J148)/VLOOKUP(J$26,'Apoio - Regime de Trabalho'!$A:$I,8,0)))*VLOOKUP(J$26,'Apoio - Regime de Trabalho'!$A:$I,7,0)), IF(J141="Não",0, IF(J141="Indenização",(((SUM(J32,J42)/VLOOKUP(J$26,'Apoio - Regime de Trabalho'!$A:$I,8,0))*1.5)*VLOOKUP(J$26,'Apoio - Regime de Trabalho'!$A:$I,7,0)),"")))</f>
        <v/>
      </c>
      <c r="K142" s="76" t="str">
        <f>IF(K141="Rendição",(((SUM(K61,K$83,K$112,K148)/VLOOKUP(K$26,'Apoio - Regime de Trabalho'!$A:$I,8,0)))*VLOOKUP(K$26,'Apoio - Regime de Trabalho'!$A:$I,7,0)), IF(K141="Não",0, IF(K141="Indenização",(((SUM(K32,K42)/VLOOKUP(K$26,'Apoio - Regime de Trabalho'!$A:$I,8,0))*1.5)*VLOOKUP(K$26,'Apoio - Regime de Trabalho'!$A:$I,7,0)),"")))</f>
        <v/>
      </c>
      <c r="L142" s="76" t="str">
        <f>IF(L141="Rendição",(((SUM(L61,L$83,L$112,L148)/VLOOKUP(L$26,'Apoio - Regime de Trabalho'!$A:$I,8,0)))*VLOOKUP(L$26,'Apoio - Regime de Trabalho'!$A:$I,7,0)), IF(L141="Não",0, IF(L141="Indenização",(((SUM(L32,L42)/VLOOKUP(L$26,'Apoio - Regime de Trabalho'!$A:$I,8,0))*1.5)*VLOOKUP(L$26,'Apoio - Regime de Trabalho'!$A:$I,7,0)),"")))</f>
        <v/>
      </c>
      <c r="M142" s="76" t="str">
        <f>IF(M141="Rendição",(((SUM(M61,M$83,M$112,M148)/VLOOKUP(M$26,'Apoio - Regime de Trabalho'!$A:$I,8,0)))*VLOOKUP(M$26,'Apoio - Regime de Trabalho'!$A:$I,7,0)), IF(M141="Não",0, IF(M141="Indenização",(((SUM(M32,M42)/VLOOKUP(M$26,'Apoio - Regime de Trabalho'!$A:$I,8,0))*1.5)*VLOOKUP(M$26,'Apoio - Regime de Trabalho'!$A:$I,7,0)),"")))</f>
        <v/>
      </c>
      <c r="N142" s="76" t="str">
        <f>IF(N141="Rendição",(((SUM(N61,N$83,N$112,N148)/VLOOKUP(N$26,'Apoio - Regime de Trabalho'!$A:$I,8,0)))*VLOOKUP(N$26,'Apoio - Regime de Trabalho'!$A:$I,7,0)), IF(N141="Não",0, IF(N141="Indenização",(((SUM(N32,N42)/VLOOKUP(N$26,'Apoio - Regime de Trabalho'!$A:$I,8,0))*1.5)*VLOOKUP(N$26,'Apoio - Regime de Trabalho'!$A:$I,7,0)),"")))</f>
        <v/>
      </c>
      <c r="O142" s="76" t="str">
        <f>IF(O141="Rendição",(((SUM(O61,O$83,O$112,O148)/VLOOKUP(O$26,'Apoio - Regime de Trabalho'!$A:$I,8,0)))*VLOOKUP(O$26,'Apoio - Regime de Trabalho'!$A:$I,7,0)), IF(O141="Não",0, IF(O141="Indenização",(((SUM(O32,O42)/VLOOKUP(O$26,'Apoio - Regime de Trabalho'!$A:$I,8,0))*1.5)*VLOOKUP(O$26,'Apoio - Regime de Trabalho'!$A:$I,7,0)),"")))</f>
        <v/>
      </c>
      <c r="P142" s="76" t="str">
        <f>IF(P141="Rendição",(((SUM(P61,P$83,P$112,P148)/VLOOKUP(P$26,'Apoio - Regime de Trabalho'!$A:$I,8,0)))*VLOOKUP(P$26,'Apoio - Regime de Trabalho'!$A:$I,7,0)), IF(P141="Não",0, IF(P141="Indenização",(((SUM(P32,P42)/VLOOKUP(P$26,'Apoio - Regime de Trabalho'!$A:$I,8,0))*1.5)*VLOOKUP(P$26,'Apoio - Regime de Trabalho'!$A:$I,7,0)),"")))</f>
        <v/>
      </c>
      <c r="Q142" s="76" t="str">
        <f>IF(Q141="Rendição",(((SUM(Q61,Q$83,Q$112,Q148)/VLOOKUP(Q$26,'Apoio - Regime de Trabalho'!$A:$I,8,0)))*VLOOKUP(Q$26,'Apoio - Regime de Trabalho'!$A:$I,7,0)), IF(Q141="Não",0, IF(Q141="Indenização",(((SUM(Q32,Q42)/VLOOKUP(Q$26,'Apoio - Regime de Trabalho'!$A:$I,8,0))*1.5)*VLOOKUP(Q$26,'Apoio - Regime de Trabalho'!$A:$I,7,0)),"")))</f>
        <v/>
      </c>
      <c r="R142" s="76" t="str">
        <f>IF(R141="Rendição",(((SUM(R61,R$83,R$112,R148)/VLOOKUP(R$26,'Apoio - Regime de Trabalho'!$A:$I,8,0)))*VLOOKUP(R$26,'Apoio - Regime de Trabalho'!$A:$I,7,0)), IF(R141="Não",0, IF(R141="Indenização",(((SUM(R32,R42)/VLOOKUP(R$26,'Apoio - Regime de Trabalho'!$A:$I,8,0))*1.5)*VLOOKUP(R$26,'Apoio - Regime de Trabalho'!$A:$I,7,0)),"")))</f>
        <v/>
      </c>
      <c r="S142" s="76" t="str">
        <f>IF(S141="Rendição",(((SUM(S61,S$83,S$112,S148)/VLOOKUP(S$26,'Apoio - Regime de Trabalho'!$A:$I,8,0)))*VLOOKUP(S$26,'Apoio - Regime de Trabalho'!$A:$I,7,0)), IF(S141="Não",0, IF(S141="Indenização",(((SUM(S32,S42)/VLOOKUP(S$26,'Apoio - Regime de Trabalho'!$A:$I,8,0))*1.5)*VLOOKUP(S$26,'Apoio - Regime de Trabalho'!$A:$I,7,0)),"")))</f>
        <v/>
      </c>
      <c r="T142" s="76" t="str">
        <f>IF(T141="Rendição",(((SUM(T61,T$83,T$112,T148)/VLOOKUP(T$26,'Apoio - Regime de Trabalho'!$A:$I,8,0)))*VLOOKUP(T$26,'Apoio - Regime de Trabalho'!$A:$I,7,0)), IF(T141="Não",0, IF(T141="Indenização",(((SUM(T32,T42)/VLOOKUP(T$26,'Apoio - Regime de Trabalho'!$A:$I,8,0))*1.5)*VLOOKUP(T$26,'Apoio - Regime de Trabalho'!$A:$I,7,0)),"")))</f>
        <v/>
      </c>
      <c r="U142" s="76" t="str">
        <f>IF(U141="Rendição",(((SUM(U61,U$83,U$112,U148)/VLOOKUP(U$26,'Apoio - Regime de Trabalho'!$A:$I,8,0)))*VLOOKUP(U$26,'Apoio - Regime de Trabalho'!$A:$I,7,0)), IF(U141="Não",0, IF(U141="Indenização",(((SUM(U32,U42)/VLOOKUP(U$26,'Apoio - Regime de Trabalho'!$A:$I,8,0))*1.5)*VLOOKUP(U$26,'Apoio - Regime de Trabalho'!$A:$I,7,0)),"")))</f>
        <v/>
      </c>
      <c r="V142" s="76" t="str">
        <f>IF(V141="Rendição",(((SUM(V61,V$83,V$112,V148)/VLOOKUP(V$26,'Apoio - Regime de Trabalho'!$A:$I,8,0)))*VLOOKUP(V$26,'Apoio - Regime de Trabalho'!$A:$I,7,0)), IF(V141="Não",0, IF(V141="Indenização",(((SUM(V32,V42)/VLOOKUP(V$26,'Apoio - Regime de Trabalho'!$A:$I,8,0))*1.5)*VLOOKUP(V$26,'Apoio - Regime de Trabalho'!$A:$I,7,0)),"")))</f>
        <v/>
      </c>
      <c r="W142" s="76" t="str">
        <f>IF(W141="Rendição",(((SUM(W61,W$83,W$112,W148)/VLOOKUP(W$26,'Apoio - Regime de Trabalho'!$A:$I,8,0)))*VLOOKUP(W$26,'Apoio - Regime de Trabalho'!$A:$I,7,0)), IF(W141="Não",0, IF(W141="Indenização",(((SUM(W32,W42)/VLOOKUP(W$26,'Apoio - Regime de Trabalho'!$A:$I,8,0))*1.5)*VLOOKUP(W$26,'Apoio - Regime de Trabalho'!$A:$I,7,0)),"")))</f>
        <v/>
      </c>
      <c r="X142" s="76" t="str">
        <f>IF(X141="Rendição",(((SUM(X61,X$83,X$112,X148)/VLOOKUP(X$26,'Apoio - Regime de Trabalho'!$A:$I,8,0)))*VLOOKUP(X$26,'Apoio - Regime de Trabalho'!$A:$I,7,0)), IF(X141="Não",0, IF(X141="Indenização",(((SUM(X32,X42)/VLOOKUP(X$26,'Apoio - Regime de Trabalho'!$A:$I,8,0))*1.5)*VLOOKUP(X$26,'Apoio - Regime de Trabalho'!$A:$I,7,0)),"")))</f>
        <v/>
      </c>
    </row>
    <row r="143" spans="1:24" s="129" customFormat="1">
      <c r="A143" s="146"/>
      <c r="B143" s="137"/>
      <c r="C143" s="138" t="s">
        <v>151</v>
      </c>
      <c r="D143" s="147"/>
      <c r="E143" s="141" t="str">
        <f t="shared" ref="E143:X143" si="40">E142</f>
        <v/>
      </c>
      <c r="F143" s="141" t="str">
        <f t="shared" si="40"/>
        <v/>
      </c>
      <c r="G143" s="141" t="str">
        <f t="shared" si="40"/>
        <v/>
      </c>
      <c r="H143" s="141" t="str">
        <f t="shared" si="40"/>
        <v/>
      </c>
      <c r="I143" s="141" t="str">
        <f t="shared" si="40"/>
        <v/>
      </c>
      <c r="J143" s="141" t="str">
        <f t="shared" si="40"/>
        <v/>
      </c>
      <c r="K143" s="141" t="str">
        <f t="shared" si="40"/>
        <v/>
      </c>
      <c r="L143" s="141" t="str">
        <f t="shared" si="40"/>
        <v/>
      </c>
      <c r="M143" s="141" t="str">
        <f t="shared" si="40"/>
        <v/>
      </c>
      <c r="N143" s="141" t="str">
        <f t="shared" si="40"/>
        <v/>
      </c>
      <c r="O143" s="141" t="str">
        <f t="shared" si="40"/>
        <v/>
      </c>
      <c r="P143" s="141" t="str">
        <f t="shared" si="40"/>
        <v/>
      </c>
      <c r="Q143" s="141" t="str">
        <f t="shared" si="40"/>
        <v/>
      </c>
      <c r="R143" s="141" t="str">
        <f t="shared" si="40"/>
        <v/>
      </c>
      <c r="S143" s="141" t="str">
        <f t="shared" si="40"/>
        <v/>
      </c>
      <c r="T143" s="141" t="str">
        <f t="shared" si="40"/>
        <v/>
      </c>
      <c r="U143" s="141" t="str">
        <f t="shared" si="40"/>
        <v/>
      </c>
      <c r="V143" s="141" t="str">
        <f t="shared" si="40"/>
        <v/>
      </c>
      <c r="W143" s="141" t="str">
        <f t="shared" si="40"/>
        <v/>
      </c>
      <c r="X143" s="141" t="str">
        <f t="shared" si="40"/>
        <v/>
      </c>
    </row>
    <row r="144" spans="1:24" ht="3.75" customHeight="1"/>
    <row r="145" spans="1:24" s="129" customFormat="1">
      <c r="A145" s="123"/>
      <c r="B145" s="124"/>
      <c r="C145" s="15" t="s">
        <v>152</v>
      </c>
      <c r="D145" s="125"/>
      <c r="E145" s="126">
        <f t="shared" ref="E145:X145" si="41">IF(E143="",E137,SUM(E143,E137))</f>
        <v>153.53743362551839</v>
      </c>
      <c r="F145" s="126" t="str">
        <f t="shared" si="41"/>
        <v/>
      </c>
      <c r="G145" s="128" t="str">
        <f t="shared" si="41"/>
        <v/>
      </c>
      <c r="H145" s="207" t="str">
        <f t="shared" si="41"/>
        <v/>
      </c>
      <c r="I145" s="207" t="str">
        <f t="shared" si="41"/>
        <v/>
      </c>
      <c r="J145" s="207" t="str">
        <f t="shared" si="41"/>
        <v/>
      </c>
      <c r="K145" s="207" t="str">
        <f t="shared" si="41"/>
        <v/>
      </c>
      <c r="L145" s="207" t="str">
        <f t="shared" si="41"/>
        <v/>
      </c>
      <c r="M145" s="207" t="str">
        <f t="shared" si="41"/>
        <v/>
      </c>
      <c r="N145" s="207" t="str">
        <f t="shared" si="41"/>
        <v/>
      </c>
      <c r="O145" s="207" t="str">
        <f t="shared" si="41"/>
        <v/>
      </c>
      <c r="P145" s="207" t="str">
        <f t="shared" si="41"/>
        <v/>
      </c>
      <c r="Q145" s="207" t="str">
        <f t="shared" si="41"/>
        <v/>
      </c>
      <c r="R145" s="207" t="str">
        <f t="shared" si="41"/>
        <v/>
      </c>
      <c r="S145" s="207" t="str">
        <f t="shared" si="41"/>
        <v/>
      </c>
      <c r="T145" s="207" t="str">
        <f t="shared" si="41"/>
        <v/>
      </c>
      <c r="U145" s="207" t="str">
        <f t="shared" si="41"/>
        <v/>
      </c>
      <c r="V145" s="207" t="str">
        <f t="shared" si="41"/>
        <v/>
      </c>
      <c r="W145" s="207" t="str">
        <f t="shared" si="41"/>
        <v/>
      </c>
      <c r="X145" s="207" t="str">
        <f t="shared" si="41"/>
        <v/>
      </c>
    </row>
    <row r="146" spans="1:24" s="129" customFormat="1">
      <c r="B146" s="222"/>
      <c r="C146" s="223"/>
      <c r="D146" s="224"/>
      <c r="E146" s="223"/>
      <c r="F146" s="223"/>
      <c r="G146" s="223"/>
      <c r="H146" s="223"/>
      <c r="I146" s="223"/>
      <c r="J146" s="223"/>
      <c r="K146" s="223"/>
      <c r="L146" s="223"/>
      <c r="M146" s="223"/>
      <c r="N146" s="223"/>
      <c r="O146" s="223"/>
      <c r="P146" s="223"/>
      <c r="Q146" s="223"/>
      <c r="R146" s="223"/>
      <c r="S146" s="223"/>
      <c r="T146" s="223"/>
      <c r="U146" s="223"/>
      <c r="V146" s="223"/>
      <c r="W146" s="223"/>
      <c r="X146" s="223"/>
    </row>
    <row r="147" spans="1:24" s="135" customFormat="1">
      <c r="A147" s="134"/>
      <c r="B147" s="14"/>
      <c r="C147" s="15" t="s">
        <v>153</v>
      </c>
      <c r="D147" s="61"/>
      <c r="E147" s="62"/>
      <c r="F147" s="62"/>
      <c r="G147" s="62"/>
      <c r="H147" s="62"/>
      <c r="I147" s="62"/>
      <c r="J147" s="62"/>
      <c r="K147" s="62"/>
      <c r="L147" s="62"/>
      <c r="M147" s="62"/>
      <c r="N147" s="62"/>
      <c r="O147" s="62"/>
      <c r="P147" s="62"/>
      <c r="Q147" s="62"/>
      <c r="R147" s="62"/>
      <c r="S147" s="62"/>
      <c r="T147" s="62"/>
      <c r="U147" s="62"/>
      <c r="V147" s="62"/>
      <c r="W147" s="62"/>
      <c r="X147" s="62"/>
    </row>
    <row r="148" spans="1:24" s="135" customFormat="1">
      <c r="A148" s="216"/>
      <c r="B148" s="142" t="s">
        <v>1</v>
      </c>
      <c r="C148" s="225" t="s">
        <v>154</v>
      </c>
      <c r="D148" s="144"/>
      <c r="E148" s="67">
        <f>IF(E18="","",ROUND(IF($D$148&lt;&gt;"",$D$148*SUM(E61,E114,E123,E145),IFERROR('Mat Individual e Uniformes'!J4/Proposta!$J$6,"")),2))</f>
        <v>24.96</v>
      </c>
      <c r="F148" s="67" t="str">
        <f>IF(F18="","",ROUND(IF($D$148&lt;&gt;"",$D$148*SUM(F61,F114,F123,F145),IFERROR('Mat Individual e Uniformes'!K4/Proposta!$J$6,"")),2))</f>
        <v/>
      </c>
      <c r="G148" s="67" t="str">
        <f>IF(G18="","",ROUND(IF($D$148&lt;&gt;"",$D$148*SUM(G61,G114,G123,G145),IFERROR('Mat Individual e Uniformes'!L4/Proposta!$J$6,"")),2))</f>
        <v/>
      </c>
      <c r="H148" s="67" t="str">
        <f>IF(H18="","",ROUND(IF($D$148&lt;&gt;"",$D$148*SUM(H61,H114,H123,H145),IFERROR('Mat Individual e Uniformes'!M4/Proposta!$J$6,"")),2))</f>
        <v/>
      </c>
      <c r="I148" s="67" t="str">
        <f>IF(I18="","",ROUND(IF($D$148&lt;&gt;"",$D$148*SUM(I61,I114,I123,I145),IFERROR('Mat Individual e Uniformes'!N4/Proposta!$J$6,"")),2))</f>
        <v/>
      </c>
      <c r="J148" s="67" t="str">
        <f>IF(J18="","",ROUND(IF($D$148&lt;&gt;"",$D$148*SUM(J61,J114,J123,J145),IFERROR('Mat Individual e Uniformes'!O4/Proposta!$J$6,"")),2))</f>
        <v/>
      </c>
      <c r="K148" s="67" t="str">
        <f>IF(K18="","",ROUND(IF($D$148&lt;&gt;"",$D$148*SUM(K61,K114,K123,K145),IFERROR('Mat Individual e Uniformes'!P4/Proposta!$J$6,"")),2))</f>
        <v/>
      </c>
      <c r="L148" s="67" t="str">
        <f>IF(L18="","",ROUND(IF($D$148&lt;&gt;"",$D$148*SUM(L61,L114,L123,L145),IFERROR('Mat Individual e Uniformes'!Q4/Proposta!$J$6,"")),2))</f>
        <v/>
      </c>
      <c r="M148" s="67" t="str">
        <f>IF(M18="","",ROUND(IF($D$148&lt;&gt;"",$D$148*SUM(M61,M114,M123,M145),IFERROR('Mat Individual e Uniformes'!R4/Proposta!$J$6,"")),2))</f>
        <v/>
      </c>
      <c r="N148" s="67" t="str">
        <f>IF(N18="","",ROUND(IF($D$148&lt;&gt;"",$D$148*SUM(N61,N114,N123,N145),IFERROR('Mat Individual e Uniformes'!S4/Proposta!$J$6,"")),2))</f>
        <v/>
      </c>
      <c r="O148" s="67" t="str">
        <f>IF(O18="","",ROUND(IF($D$148&lt;&gt;"",$D$148*SUM(O61,O114,O123,O145),IFERROR('Mat Individual e Uniformes'!T4/Proposta!$J$6,"")),2))</f>
        <v/>
      </c>
      <c r="P148" s="67" t="str">
        <f>IF(P18="","",ROUND(IF($D$148&lt;&gt;"",$D$148*SUM(P61,P114,P123,P145),IFERROR('Mat Individual e Uniformes'!U4/Proposta!$J$6,"")),2))</f>
        <v/>
      </c>
      <c r="Q148" s="67" t="str">
        <f>IF(Q18="","",ROUND(IF($D$148&lt;&gt;"",$D$148*SUM(Q61,Q114,Q123,Q145),IFERROR('Mat Individual e Uniformes'!V4/Proposta!$J$6,"")),2))</f>
        <v/>
      </c>
      <c r="R148" s="67" t="str">
        <f>IF(R18="","",ROUND(IF($D$148&lt;&gt;"",$D$148*SUM(R61,R114,R123,R145),IFERROR('Mat Individual e Uniformes'!W4/Proposta!$J$6,"")),2))</f>
        <v/>
      </c>
      <c r="S148" s="67" t="str">
        <f>IF(S18="","",ROUND(IF($D$148&lt;&gt;"",$D$148*SUM(S61,S114,S123,S145),IFERROR('Mat Individual e Uniformes'!X4/Proposta!$J$6,"")),2))</f>
        <v/>
      </c>
      <c r="T148" s="67" t="str">
        <f>IF(T18="","",ROUND(IF($D$148&lt;&gt;"",$D$148*SUM(T61,T114,T123,T145),IFERROR('Mat Individual e Uniformes'!Y4/Proposta!$J$6,"")),2))</f>
        <v/>
      </c>
      <c r="U148" s="67" t="str">
        <f>IF(U18="","",ROUND(IF($D$148&lt;&gt;"",$D$148*SUM(U61,U114,U123,U145),IFERROR('Mat Individual e Uniformes'!Z4/Proposta!$J$6,"")),2))</f>
        <v/>
      </c>
      <c r="V148" s="67" t="str">
        <f>IF(V18="","",ROUND(IF($D$148&lt;&gt;"",$D$148*SUM(V61,V114,V123,V145),IFERROR('Mat Individual e Uniformes'!AA4/Proposta!$J$6,"")),2))</f>
        <v/>
      </c>
      <c r="W148" s="67" t="str">
        <f>IF(W18="","",ROUND(IF($D$148&lt;&gt;"",$D$148*SUM(W61,W114,W123,W145),IFERROR('Mat Individual e Uniformes'!AB4/Proposta!$J$6,"")),2))</f>
        <v/>
      </c>
      <c r="X148" s="67" t="str">
        <f>IF(X18="","",ROUND(IF($D$148&lt;&gt;"",$D$148*SUM(X61,X114,X123,X145),IFERROR('Mat Individual e Uniformes'!AC4/Proposta!$J$6,"")),2))</f>
        <v/>
      </c>
    </row>
    <row r="149" spans="1:24" s="135" customFormat="1" hidden="1">
      <c r="A149" s="216"/>
      <c r="B149" s="142" t="s">
        <v>4</v>
      </c>
      <c r="C149" s="225" t="s">
        <v>155</v>
      </c>
      <c r="D149" s="144"/>
      <c r="E149" s="67">
        <f t="shared" ref="E149:X149" si="42">IFERROR( IF(E18="","",ROUND( IF($D$149&lt;&gt;"",$D$149*SUM(E61,E114,E123,E145,E148), 0),2)),0)</f>
        <v>0</v>
      </c>
      <c r="F149" s="67" t="str">
        <f t="shared" si="42"/>
        <v/>
      </c>
      <c r="G149" s="67" t="str">
        <f t="shared" si="42"/>
        <v/>
      </c>
      <c r="H149" s="67" t="str">
        <f t="shared" si="42"/>
        <v/>
      </c>
      <c r="I149" s="67" t="str">
        <f t="shared" si="42"/>
        <v/>
      </c>
      <c r="J149" s="67" t="str">
        <f t="shared" si="42"/>
        <v/>
      </c>
      <c r="K149" s="67" t="str">
        <f t="shared" si="42"/>
        <v/>
      </c>
      <c r="L149" s="67" t="str">
        <f t="shared" si="42"/>
        <v/>
      </c>
      <c r="M149" s="67" t="str">
        <f t="shared" si="42"/>
        <v/>
      </c>
      <c r="N149" s="67" t="str">
        <f t="shared" si="42"/>
        <v/>
      </c>
      <c r="O149" s="67" t="str">
        <f t="shared" si="42"/>
        <v/>
      </c>
      <c r="P149" s="67" t="str">
        <f t="shared" si="42"/>
        <v/>
      </c>
      <c r="Q149" s="67" t="str">
        <f t="shared" si="42"/>
        <v/>
      </c>
      <c r="R149" s="67" t="str">
        <f t="shared" si="42"/>
        <v/>
      </c>
      <c r="S149" s="67" t="str">
        <f t="shared" si="42"/>
        <v/>
      </c>
      <c r="T149" s="67" t="str">
        <f t="shared" si="42"/>
        <v/>
      </c>
      <c r="U149" s="67" t="str">
        <f t="shared" si="42"/>
        <v/>
      </c>
      <c r="V149" s="67" t="str">
        <f t="shared" si="42"/>
        <v/>
      </c>
      <c r="W149" s="67" t="str">
        <f t="shared" si="42"/>
        <v/>
      </c>
      <c r="X149" s="67" t="str">
        <f t="shared" si="42"/>
        <v/>
      </c>
    </row>
    <row r="150" spans="1:24" s="129" customFormat="1">
      <c r="A150" s="123"/>
      <c r="B150" s="124"/>
      <c r="C150" s="15" t="s">
        <v>156</v>
      </c>
      <c r="D150" s="125"/>
      <c r="E150" s="126">
        <f t="shared" ref="E150:X150" si="43">IF(E18="","",SUM(E148:E148))</f>
        <v>24.96</v>
      </c>
      <c r="F150" s="126" t="str">
        <f t="shared" si="43"/>
        <v/>
      </c>
      <c r="G150" s="126" t="str">
        <f t="shared" si="43"/>
        <v/>
      </c>
      <c r="H150" s="126" t="str">
        <f t="shared" si="43"/>
        <v/>
      </c>
      <c r="I150" s="126" t="str">
        <f t="shared" si="43"/>
        <v/>
      </c>
      <c r="J150" s="126" t="str">
        <f t="shared" si="43"/>
        <v/>
      </c>
      <c r="K150" s="126" t="str">
        <f t="shared" si="43"/>
        <v/>
      </c>
      <c r="L150" s="126" t="str">
        <f t="shared" si="43"/>
        <v/>
      </c>
      <c r="M150" s="126" t="str">
        <f t="shared" si="43"/>
        <v/>
      </c>
      <c r="N150" s="126" t="str">
        <f t="shared" si="43"/>
        <v/>
      </c>
      <c r="O150" s="126" t="str">
        <f t="shared" si="43"/>
        <v/>
      </c>
      <c r="P150" s="126" t="str">
        <f t="shared" si="43"/>
        <v/>
      </c>
      <c r="Q150" s="126" t="str">
        <f t="shared" si="43"/>
        <v/>
      </c>
      <c r="R150" s="126" t="str">
        <f t="shared" si="43"/>
        <v/>
      </c>
      <c r="S150" s="126" t="str">
        <f t="shared" si="43"/>
        <v/>
      </c>
      <c r="T150" s="126" t="str">
        <f t="shared" si="43"/>
        <v/>
      </c>
      <c r="U150" s="126" t="str">
        <f t="shared" si="43"/>
        <v/>
      </c>
      <c r="V150" s="126" t="str">
        <f t="shared" si="43"/>
        <v/>
      </c>
      <c r="W150" s="126" t="str">
        <f t="shared" si="43"/>
        <v/>
      </c>
      <c r="X150" s="126" t="str">
        <f t="shared" si="43"/>
        <v/>
      </c>
    </row>
    <row r="151" spans="1:24">
      <c r="F151" s="5"/>
      <c r="G151" s="5"/>
      <c r="H151" s="5"/>
      <c r="I151" s="5"/>
      <c r="J151" s="5"/>
      <c r="K151" s="5"/>
      <c r="L151" s="5"/>
      <c r="M151" s="5"/>
      <c r="N151" s="5"/>
      <c r="O151" s="5"/>
      <c r="P151" s="5"/>
      <c r="Q151" s="5"/>
      <c r="R151" s="5"/>
      <c r="S151" s="5"/>
      <c r="T151" s="5"/>
      <c r="U151" s="5"/>
      <c r="V151" s="5"/>
      <c r="W151" s="5"/>
      <c r="X151" s="5"/>
    </row>
    <row r="152" spans="1:24" s="135" customFormat="1">
      <c r="A152" s="134"/>
      <c r="B152" s="14"/>
      <c r="C152" s="15" t="s">
        <v>157</v>
      </c>
      <c r="D152" s="61"/>
      <c r="E152" s="62"/>
      <c r="F152" s="62"/>
      <c r="G152" s="62"/>
      <c r="H152" s="62"/>
      <c r="I152" s="62"/>
      <c r="J152" s="62"/>
      <c r="K152" s="62"/>
      <c r="L152" s="62"/>
      <c r="M152" s="62"/>
      <c r="N152" s="62"/>
      <c r="O152" s="62"/>
      <c r="P152" s="62"/>
      <c r="Q152" s="62"/>
      <c r="R152" s="62"/>
      <c r="S152" s="62"/>
      <c r="T152" s="62"/>
      <c r="U152" s="62"/>
      <c r="V152" s="62"/>
      <c r="W152" s="62"/>
      <c r="X152" s="62"/>
    </row>
    <row r="153" spans="1:24" ht="3.75" customHeight="1"/>
    <row r="154" spans="1:24" s="135" customFormat="1">
      <c r="A154" s="136"/>
      <c r="B154" s="137"/>
      <c r="C154" s="138" t="s">
        <v>158</v>
      </c>
      <c r="D154" s="139"/>
      <c r="E154" s="140"/>
      <c r="F154" s="140"/>
      <c r="G154" s="140"/>
      <c r="H154" s="140"/>
      <c r="I154" s="140"/>
      <c r="J154" s="140"/>
      <c r="K154" s="140"/>
      <c r="L154" s="140"/>
      <c r="M154" s="140"/>
      <c r="N154" s="140"/>
      <c r="O154" s="140"/>
      <c r="P154" s="140"/>
      <c r="Q154" s="140"/>
      <c r="R154" s="140"/>
      <c r="S154" s="140"/>
      <c r="T154" s="140"/>
      <c r="U154" s="140"/>
      <c r="V154" s="140"/>
      <c r="W154" s="140"/>
      <c r="X154" s="140"/>
    </row>
    <row r="155" spans="1:24">
      <c r="A155" s="218"/>
      <c r="B155" s="142" t="s">
        <v>1</v>
      </c>
      <c r="C155" s="98" t="s">
        <v>159</v>
      </c>
      <c r="D155" s="144">
        <f>IFERROR(INDEX('Apoio - Notas Explicativas'!Q:Q,MATCH(C155,'Apoio - Notas Explicativas'!C:C,0)),"")</f>
        <v>0.05</v>
      </c>
      <c r="E155" s="67">
        <f t="shared" ref="E155:X155" si="44">IF(E18="","",IFERROR(ROUND($D$155*SUM(E61,E114,E123,E145,E150),2),""))</f>
        <v>234.99</v>
      </c>
      <c r="F155" s="67" t="str">
        <f t="shared" si="44"/>
        <v/>
      </c>
      <c r="G155" s="67" t="str">
        <f t="shared" si="44"/>
        <v/>
      </c>
      <c r="H155" s="67" t="str">
        <f t="shared" si="44"/>
        <v/>
      </c>
      <c r="I155" s="67" t="str">
        <f t="shared" si="44"/>
        <v/>
      </c>
      <c r="J155" s="67" t="str">
        <f t="shared" si="44"/>
        <v/>
      </c>
      <c r="K155" s="67" t="str">
        <f t="shared" si="44"/>
        <v/>
      </c>
      <c r="L155" s="67" t="str">
        <f t="shared" si="44"/>
        <v/>
      </c>
      <c r="M155" s="67" t="str">
        <f t="shared" si="44"/>
        <v/>
      </c>
      <c r="N155" s="67" t="str">
        <f t="shared" si="44"/>
        <v/>
      </c>
      <c r="O155" s="67" t="str">
        <f t="shared" si="44"/>
        <v/>
      </c>
      <c r="P155" s="67" t="str">
        <f t="shared" si="44"/>
        <v/>
      </c>
      <c r="Q155" s="67" t="str">
        <f t="shared" si="44"/>
        <v/>
      </c>
      <c r="R155" s="67" t="str">
        <f t="shared" si="44"/>
        <v/>
      </c>
      <c r="S155" s="67" t="str">
        <f t="shared" si="44"/>
        <v/>
      </c>
      <c r="T155" s="67" t="str">
        <f t="shared" si="44"/>
        <v/>
      </c>
      <c r="U155" s="67" t="str">
        <f t="shared" si="44"/>
        <v/>
      </c>
      <c r="V155" s="67" t="str">
        <f t="shared" si="44"/>
        <v/>
      </c>
      <c r="W155" s="67" t="str">
        <f t="shared" si="44"/>
        <v/>
      </c>
      <c r="X155" s="67" t="str">
        <f t="shared" si="44"/>
        <v/>
      </c>
    </row>
    <row r="156" spans="1:24">
      <c r="A156" s="216"/>
      <c r="B156" s="142" t="s">
        <v>4</v>
      </c>
      <c r="C156" s="98" t="s">
        <v>160</v>
      </c>
      <c r="D156" s="144">
        <f>IFERROR(INDEX('Apoio - Notas Explicativas'!Q:Q,MATCH(C156,'Apoio - Notas Explicativas'!C:C,0)),"")</f>
        <v>0.1</v>
      </c>
      <c r="E156" s="67">
        <f t="shared" ref="E156:X156" si="45">IF(E18="","",IFERROR(ROUND($D$156*SUM(E155,E61,E114,E123,E145,E150),2),""))</f>
        <v>493.47</v>
      </c>
      <c r="F156" s="67" t="str">
        <f t="shared" si="45"/>
        <v/>
      </c>
      <c r="G156" s="67" t="str">
        <f t="shared" si="45"/>
        <v/>
      </c>
      <c r="H156" s="67" t="str">
        <f t="shared" si="45"/>
        <v/>
      </c>
      <c r="I156" s="67" t="str">
        <f t="shared" si="45"/>
        <v/>
      </c>
      <c r="J156" s="67" t="str">
        <f t="shared" si="45"/>
        <v/>
      </c>
      <c r="K156" s="67" t="str">
        <f t="shared" si="45"/>
        <v/>
      </c>
      <c r="L156" s="67" t="str">
        <f t="shared" si="45"/>
        <v/>
      </c>
      <c r="M156" s="67" t="str">
        <f t="shared" si="45"/>
        <v/>
      </c>
      <c r="N156" s="67" t="str">
        <f t="shared" si="45"/>
        <v/>
      </c>
      <c r="O156" s="67" t="str">
        <f t="shared" si="45"/>
        <v/>
      </c>
      <c r="P156" s="67" t="str">
        <f t="shared" si="45"/>
        <v/>
      </c>
      <c r="Q156" s="67" t="str">
        <f t="shared" si="45"/>
        <v/>
      </c>
      <c r="R156" s="67" t="str">
        <f t="shared" si="45"/>
        <v/>
      </c>
      <c r="S156" s="67" t="str">
        <f t="shared" si="45"/>
        <v/>
      </c>
      <c r="T156" s="67" t="str">
        <f t="shared" si="45"/>
        <v/>
      </c>
      <c r="U156" s="67" t="str">
        <f t="shared" si="45"/>
        <v/>
      </c>
      <c r="V156" s="67" t="str">
        <f t="shared" si="45"/>
        <v/>
      </c>
      <c r="W156" s="67" t="str">
        <f t="shared" si="45"/>
        <v/>
      </c>
      <c r="X156" s="67" t="str">
        <f t="shared" si="45"/>
        <v/>
      </c>
    </row>
    <row r="157" spans="1:24" s="129" customFormat="1">
      <c r="A157" s="146"/>
      <c r="B157" s="137"/>
      <c r="C157" s="138" t="s">
        <v>161</v>
      </c>
      <c r="D157" s="147"/>
      <c r="E157" s="140">
        <f t="shared" ref="E157:X157" si="46">IF(E18="","",SUM(E155:E156))</f>
        <v>728.46</v>
      </c>
      <c r="F157" s="140" t="str">
        <f t="shared" si="46"/>
        <v/>
      </c>
      <c r="G157" s="140" t="str">
        <f t="shared" si="46"/>
        <v/>
      </c>
      <c r="H157" s="140" t="str">
        <f t="shared" si="46"/>
        <v/>
      </c>
      <c r="I157" s="140" t="str">
        <f t="shared" si="46"/>
        <v/>
      </c>
      <c r="J157" s="140" t="str">
        <f t="shared" si="46"/>
        <v/>
      </c>
      <c r="K157" s="140" t="str">
        <f t="shared" si="46"/>
        <v/>
      </c>
      <c r="L157" s="140" t="str">
        <f t="shared" si="46"/>
        <v/>
      </c>
      <c r="M157" s="140" t="str">
        <f t="shared" si="46"/>
        <v/>
      </c>
      <c r="N157" s="140" t="str">
        <f t="shared" si="46"/>
        <v/>
      </c>
      <c r="O157" s="140" t="str">
        <f t="shared" si="46"/>
        <v/>
      </c>
      <c r="P157" s="140" t="str">
        <f t="shared" si="46"/>
        <v/>
      </c>
      <c r="Q157" s="140" t="str">
        <f t="shared" si="46"/>
        <v/>
      </c>
      <c r="R157" s="140" t="str">
        <f t="shared" si="46"/>
        <v/>
      </c>
      <c r="S157" s="140" t="str">
        <f t="shared" si="46"/>
        <v/>
      </c>
      <c r="T157" s="140" t="str">
        <f t="shared" si="46"/>
        <v/>
      </c>
      <c r="U157" s="140" t="str">
        <f t="shared" si="46"/>
        <v/>
      </c>
      <c r="V157" s="140" t="str">
        <f t="shared" si="46"/>
        <v/>
      </c>
      <c r="W157" s="140" t="str">
        <f t="shared" si="46"/>
        <v/>
      </c>
      <c r="X157" s="140" t="str">
        <f t="shared" si="46"/>
        <v/>
      </c>
    </row>
    <row r="158" spans="1:24" ht="3.75" customHeight="1"/>
    <row r="159" spans="1:24" s="135" customFormat="1">
      <c r="A159" s="136"/>
      <c r="B159" s="137"/>
      <c r="C159" s="138" t="s">
        <v>162</v>
      </c>
      <c r="D159" s="139"/>
      <c r="E159" s="140"/>
      <c r="F159" s="140"/>
      <c r="G159" s="140"/>
      <c r="H159" s="140"/>
      <c r="I159" s="140"/>
      <c r="J159" s="140"/>
      <c r="K159" s="140"/>
      <c r="L159" s="140"/>
      <c r="M159" s="140"/>
      <c r="N159" s="140"/>
      <c r="O159" s="140"/>
      <c r="P159" s="140"/>
      <c r="Q159" s="140"/>
      <c r="R159" s="140"/>
      <c r="S159" s="140"/>
      <c r="T159" s="140"/>
      <c r="U159" s="140"/>
      <c r="V159" s="140"/>
      <c r="W159" s="140"/>
      <c r="X159" s="140"/>
    </row>
    <row r="160" spans="1:24">
      <c r="A160" s="216"/>
      <c r="B160" s="142" t="s">
        <v>1</v>
      </c>
      <c r="C160" s="98" t="s">
        <v>163</v>
      </c>
      <c r="D160" s="226">
        <f>IFERROR(INDEX('Apoio - Notas Explicativas'!Q:Q,MATCH(C160,'Apoio - Notas Explicativas'!C:C,0)),"")</f>
        <v>0.03</v>
      </c>
      <c r="E160" s="67">
        <f t="shared" ref="E160:X160" si="47">IF(E18="","",IFERROR(ROUND(SUM(E$157,E$61,E$114,E$123,E$145,E$150)*$D160/(1-SUM($D$160:$D$165,E$163)),2),""))</f>
        <v>173.52</v>
      </c>
      <c r="F160" s="67" t="str">
        <f t="shared" si="47"/>
        <v/>
      </c>
      <c r="G160" s="67" t="str">
        <f t="shared" si="47"/>
        <v/>
      </c>
      <c r="H160" s="67" t="str">
        <f t="shared" si="47"/>
        <v/>
      </c>
      <c r="I160" s="67" t="str">
        <f t="shared" si="47"/>
        <v/>
      </c>
      <c r="J160" s="67" t="str">
        <f t="shared" si="47"/>
        <v/>
      </c>
      <c r="K160" s="67" t="str">
        <f t="shared" si="47"/>
        <v/>
      </c>
      <c r="L160" s="67" t="str">
        <f t="shared" si="47"/>
        <v/>
      </c>
      <c r="M160" s="67" t="str">
        <f t="shared" si="47"/>
        <v/>
      </c>
      <c r="N160" s="67" t="str">
        <f t="shared" si="47"/>
        <v/>
      </c>
      <c r="O160" s="67" t="str">
        <f t="shared" si="47"/>
        <v/>
      </c>
      <c r="P160" s="67" t="str">
        <f t="shared" si="47"/>
        <v/>
      </c>
      <c r="Q160" s="67" t="str">
        <f t="shared" si="47"/>
        <v/>
      </c>
      <c r="R160" s="67" t="str">
        <f t="shared" si="47"/>
        <v/>
      </c>
      <c r="S160" s="67" t="str">
        <f t="shared" si="47"/>
        <v/>
      </c>
      <c r="T160" s="67" t="str">
        <f t="shared" si="47"/>
        <v/>
      </c>
      <c r="U160" s="67" t="str">
        <f t="shared" si="47"/>
        <v/>
      </c>
      <c r="V160" s="67" t="str">
        <f t="shared" si="47"/>
        <v/>
      </c>
      <c r="W160" s="67" t="str">
        <f t="shared" si="47"/>
        <v/>
      </c>
      <c r="X160" s="67" t="str">
        <f t="shared" si="47"/>
        <v/>
      </c>
    </row>
    <row r="161" spans="1:24">
      <c r="A161" s="218"/>
      <c r="B161" s="142" t="s">
        <v>4</v>
      </c>
      <c r="C161" s="98" t="s">
        <v>164</v>
      </c>
      <c r="D161" s="226">
        <f>IFERROR(INDEX('Apoio - Notas Explicativas'!Q:Q,MATCH(C161,'Apoio - Notas Explicativas'!C:C,0)),"")</f>
        <v>6.4999999999999997E-3</v>
      </c>
      <c r="E161" s="67">
        <f t="shared" ref="E161:X161" si="48">IF(E20="","",IFERROR(ROUND(SUM(E$157,E$61,E$114,E$123,E$145,E$150)*$D161/(1-SUM($D$160:$D$165,E$163)),2),""))</f>
        <v>37.6</v>
      </c>
      <c r="F161" s="67" t="str">
        <f t="shared" si="48"/>
        <v/>
      </c>
      <c r="G161" s="67" t="str">
        <f t="shared" si="48"/>
        <v/>
      </c>
      <c r="H161" s="67" t="str">
        <f t="shared" si="48"/>
        <v/>
      </c>
      <c r="I161" s="67" t="str">
        <f t="shared" si="48"/>
        <v/>
      </c>
      <c r="J161" s="67" t="str">
        <f t="shared" si="48"/>
        <v/>
      </c>
      <c r="K161" s="67" t="str">
        <f t="shared" si="48"/>
        <v/>
      </c>
      <c r="L161" s="67" t="str">
        <f t="shared" si="48"/>
        <v/>
      </c>
      <c r="M161" s="67" t="str">
        <f t="shared" si="48"/>
        <v/>
      </c>
      <c r="N161" s="67" t="str">
        <f t="shared" si="48"/>
        <v/>
      </c>
      <c r="O161" s="67" t="str">
        <f t="shared" si="48"/>
        <v/>
      </c>
      <c r="P161" s="67" t="str">
        <f t="shared" si="48"/>
        <v/>
      </c>
      <c r="Q161" s="67" t="str">
        <f t="shared" si="48"/>
        <v/>
      </c>
      <c r="R161" s="67" t="str">
        <f t="shared" si="48"/>
        <v/>
      </c>
      <c r="S161" s="67" t="str">
        <f t="shared" si="48"/>
        <v/>
      </c>
      <c r="T161" s="67" t="str">
        <f t="shared" si="48"/>
        <v/>
      </c>
      <c r="U161" s="67" t="str">
        <f t="shared" si="48"/>
        <v/>
      </c>
      <c r="V161" s="67" t="str">
        <f t="shared" si="48"/>
        <v/>
      </c>
      <c r="W161" s="67" t="str">
        <f t="shared" si="48"/>
        <v/>
      </c>
      <c r="X161" s="67" t="str">
        <f t="shared" si="48"/>
        <v/>
      </c>
    </row>
    <row r="162" spans="1:24">
      <c r="A162" s="218"/>
      <c r="B162" s="673" t="s">
        <v>6</v>
      </c>
      <c r="C162" s="106" t="s">
        <v>165</v>
      </c>
      <c r="D162" s="227"/>
      <c r="E162" s="101"/>
      <c r="F162" s="101"/>
      <c r="G162" s="101"/>
      <c r="H162" s="101"/>
      <c r="I162" s="101"/>
      <c r="J162" s="101"/>
      <c r="K162" s="101"/>
      <c r="L162" s="101"/>
      <c r="M162" s="101"/>
      <c r="N162" s="101"/>
      <c r="O162" s="101"/>
      <c r="P162" s="101"/>
      <c r="Q162" s="101"/>
      <c r="R162" s="101"/>
      <c r="S162" s="101"/>
      <c r="T162" s="101"/>
      <c r="U162" s="101"/>
      <c r="V162" s="101"/>
      <c r="W162" s="101"/>
      <c r="X162" s="101"/>
    </row>
    <row r="163" spans="1:24">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t="str">
        <f>IF(F18="","", IF($D$13="Simples",INDEX('Apoio - Notas Explicativas'!$Q:$Q,MATCH($C$162,'Apoio - Notas Explicativas'!$C:$C,0)), IFERROR(VLOOKUP(F$18,'Apoio - Posto'!$A:$AA,20,0), INDEX('Apoio - Notas Explicativas'!$Q:$Q,MATCH($C$162,'Apoio - Notas Explicativas'!$C:$C,0)) )))</f>
        <v/>
      </c>
      <c r="G163" s="229" t="str">
        <f>IF(G18="","", IF($D$13="Simples",INDEX('Apoio - Notas Explicativas'!$Q:$Q,MATCH($C$162,'Apoio - Notas Explicativas'!$C:$C,0)), IFERROR(VLOOKUP(G$18,'Apoio - Posto'!$A:$AA,20,0), INDEX('Apoio - Notas Explicativas'!$Q:$Q,MATCH($C$162,'Apoio - Notas Explicativas'!$C:$C,0)) )))</f>
        <v/>
      </c>
      <c r="H163" s="229" t="str">
        <f>IF(H18="","", IF($D$13="Simples",INDEX('Apoio - Notas Explicativas'!$Q:$Q,MATCH($C$162,'Apoio - Notas Explicativas'!$C:$C,0)), IFERROR(VLOOKUP(H$18,'Apoio - Posto'!$A:$AA,20,0), INDEX('Apoio - Notas Explicativas'!$Q:$Q,MATCH($C$162,'Apoio - Notas Explicativas'!$C:$C,0)) )))</f>
        <v/>
      </c>
      <c r="I163" s="229" t="str">
        <f>IF(I18="","", IF($D$13="Simples",INDEX('Apoio - Notas Explicativas'!$Q:$Q,MATCH($C$162,'Apoio - Notas Explicativas'!$C:$C,0)), IFERROR(VLOOKUP(I$18,'Apoio - Posto'!$A:$AA,20,0), INDEX('Apoio - Notas Explicativas'!$Q:$Q,MATCH($C$162,'Apoio - Notas Explicativas'!$C:$C,0)) )))</f>
        <v/>
      </c>
      <c r="J163" s="229" t="str">
        <f>IF(J18="","", IF($D$13="Simples",INDEX('Apoio - Notas Explicativas'!$Q:$Q,MATCH($C$162,'Apoio - Notas Explicativas'!$C:$C,0)), IFERROR(VLOOKUP(J$18,'Apoio - Posto'!$A:$AA,20,0), INDEX('Apoio - Notas Explicativas'!$Q:$Q,MATCH($C$162,'Apoio - Notas Explicativas'!$C:$C,0)) )))</f>
        <v/>
      </c>
      <c r="K163" s="229" t="str">
        <f>IF(K18="","", IF($D$13="Simples",INDEX('Apoio - Notas Explicativas'!$Q:$Q,MATCH($C$162,'Apoio - Notas Explicativas'!$C:$C,0)), IFERROR(VLOOKUP(K$18,'Apoio - Posto'!$A:$AA,20,0), INDEX('Apoio - Notas Explicativas'!$Q:$Q,MATCH($C$162,'Apoio - Notas Explicativas'!$C:$C,0)) )))</f>
        <v/>
      </c>
      <c r="L163" s="229" t="str">
        <f>IF(L18="","", IF($D$13="Simples",INDEX('Apoio - Notas Explicativas'!$Q:$Q,MATCH($C$162,'Apoio - Notas Explicativas'!$C:$C,0)), IFERROR(VLOOKUP(L$18,'Apoio - Posto'!$A:$AA,20,0), INDEX('Apoio - Notas Explicativas'!$Q:$Q,MATCH($C$162,'Apoio - Notas Explicativas'!$C:$C,0)) )))</f>
        <v/>
      </c>
      <c r="M163" s="229" t="str">
        <f>IF(M18="","", IF($D$13="Simples",INDEX('Apoio - Notas Explicativas'!$Q:$Q,MATCH($C$162,'Apoio - Notas Explicativas'!$C:$C,0)), IFERROR(VLOOKUP(M$18,'Apoio - Posto'!$A:$AA,20,0), INDEX('Apoio - Notas Explicativas'!$Q:$Q,MATCH($C$162,'Apoio - Notas Explicativas'!$C:$C,0)) )))</f>
        <v/>
      </c>
      <c r="N163" s="229" t="str">
        <f>IF(N18="","", IF($D$13="Simples",INDEX('Apoio - Notas Explicativas'!$Q:$Q,MATCH($C$162,'Apoio - Notas Explicativas'!$C:$C,0)), IFERROR(VLOOKUP(N$18,'Apoio - Posto'!$A:$AA,20,0), INDEX('Apoio - Notas Explicativas'!$Q:$Q,MATCH($C$162,'Apoio - Notas Explicativas'!$C:$C,0)) )))</f>
        <v/>
      </c>
      <c r="O163" s="229" t="str">
        <f>IF(O18="","", IF($D$13="Simples",INDEX('Apoio - Notas Explicativas'!$Q:$Q,MATCH($C$162,'Apoio - Notas Explicativas'!$C:$C,0)), IFERROR(VLOOKUP(O$18,'Apoio - Posto'!$A:$AA,20,0), INDEX('Apoio - Notas Explicativas'!$Q:$Q,MATCH($C$162,'Apoio - Notas Explicativas'!$C:$C,0)) )))</f>
        <v/>
      </c>
      <c r="P163" s="229" t="str">
        <f>IF(P18="","", IF($D$13="Simples",INDEX('Apoio - Notas Explicativas'!$Q:$Q,MATCH($C$162,'Apoio - Notas Explicativas'!$C:$C,0)), IFERROR(VLOOKUP(P$18,'Apoio - Posto'!$A:$AA,20,0), INDEX('Apoio - Notas Explicativas'!$Q:$Q,MATCH($C$162,'Apoio - Notas Explicativas'!$C:$C,0)) )))</f>
        <v/>
      </c>
      <c r="Q163" s="229" t="str">
        <f>IF(Q18="","", IF($D$13="Simples",INDEX('Apoio - Notas Explicativas'!$Q:$Q,MATCH($C$162,'Apoio - Notas Explicativas'!$C:$C,0)), IFERROR(VLOOKUP(Q$18,'Apoio - Posto'!$A:$AA,20,0), INDEX('Apoio - Notas Explicativas'!$Q:$Q,MATCH($C$162,'Apoio - Notas Explicativas'!$C:$C,0)) )))</f>
        <v/>
      </c>
      <c r="R163" s="229" t="str">
        <f>IF(R18="","", IF($D$13="Simples",INDEX('Apoio - Notas Explicativas'!$Q:$Q,MATCH($C$162,'Apoio - Notas Explicativas'!$C:$C,0)), IFERROR(VLOOKUP(R$18,'Apoio - Posto'!$A:$AA,20,0), INDEX('Apoio - Notas Explicativas'!$Q:$Q,MATCH($C$162,'Apoio - Notas Explicativas'!$C:$C,0)) )))</f>
        <v/>
      </c>
      <c r="S163" s="229" t="str">
        <f>IF(S18="","", IF($D$13="Simples",INDEX('Apoio - Notas Explicativas'!$Q:$Q,MATCH($C$162,'Apoio - Notas Explicativas'!$C:$C,0)), IFERROR(VLOOKUP(S$18,'Apoio - Posto'!$A:$AA,20,0), INDEX('Apoio - Notas Explicativas'!$Q:$Q,MATCH($C$162,'Apoio - Notas Explicativas'!$C:$C,0)) )))</f>
        <v/>
      </c>
      <c r="T163" s="229" t="str">
        <f>IF(T18="","", IF($D$13="Simples",INDEX('Apoio - Notas Explicativas'!$Q:$Q,MATCH($C$162,'Apoio - Notas Explicativas'!$C:$C,0)), IFERROR(VLOOKUP(T$18,'Apoio - Posto'!$A:$AA,20,0), INDEX('Apoio - Notas Explicativas'!$Q:$Q,MATCH($C$162,'Apoio - Notas Explicativas'!$C:$C,0)) )))</f>
        <v/>
      </c>
      <c r="U163" s="229" t="str">
        <f>IF(U18="","", IF($D$13="Simples",INDEX('Apoio - Notas Explicativas'!$Q:$Q,MATCH($C$162,'Apoio - Notas Explicativas'!$C:$C,0)), IFERROR(VLOOKUP(U$18,'Apoio - Posto'!$A:$AA,20,0), INDEX('Apoio - Notas Explicativas'!$Q:$Q,MATCH($C$162,'Apoio - Notas Explicativas'!$C:$C,0)) )))</f>
        <v/>
      </c>
      <c r="V163" s="229" t="str">
        <f>IF(V18="","", IF($D$13="Simples",INDEX('Apoio - Notas Explicativas'!$Q:$Q,MATCH($C$162,'Apoio - Notas Explicativas'!$C:$C,0)), IFERROR(VLOOKUP(V$18,'Apoio - Posto'!$A:$AA,20,0), INDEX('Apoio - Notas Explicativas'!$Q:$Q,MATCH($C$162,'Apoio - Notas Explicativas'!$C:$C,0)) )))</f>
        <v/>
      </c>
      <c r="W163" s="229" t="str">
        <f>IF(W18="","", IF($D$13="Simples",INDEX('Apoio - Notas Explicativas'!$Q:$Q,MATCH($C$162,'Apoio - Notas Explicativas'!$C:$C,0)), IFERROR(VLOOKUP(W$18,'Apoio - Posto'!$A:$AA,20,0), INDEX('Apoio - Notas Explicativas'!$Q:$Q,MATCH($C$162,'Apoio - Notas Explicativas'!$C:$C,0)) )))</f>
        <v/>
      </c>
      <c r="X163" s="229" t="str">
        <f>IF(X18="","", IF($D$13="Simples",INDEX('Apoio - Notas Explicativas'!$Q:$Q,MATCH($C$162,'Apoio - Notas Explicativas'!$C:$C,0)), IFERROR(VLOOKUP(X$18,'Apoio - Posto'!$A:$AA,20,0), INDEX('Apoio - Notas Explicativas'!$Q:$Q,MATCH($C$162,'Apoio - Notas Explicativas'!$C:$C,0)) )))</f>
        <v/>
      </c>
    </row>
    <row r="164" spans="1:24">
      <c r="A164" s="216"/>
      <c r="B164" s="673"/>
      <c r="C164" s="98"/>
      <c r="D164" s="230" t="s">
        <v>70</v>
      </c>
      <c r="E164" s="99">
        <f t="shared" ref="E164:X164" si="49">IF(E21="","",IFERROR(ROUND(SUM(E$157,E$61,E$114,E$123,E$145,E$150)*E163/(1-SUM($D$160:$D$165,E163)),2),""))</f>
        <v>144.6</v>
      </c>
      <c r="F164" s="99" t="str">
        <f t="shared" si="49"/>
        <v/>
      </c>
      <c r="G164" s="99" t="str">
        <f t="shared" si="49"/>
        <v/>
      </c>
      <c r="H164" s="99" t="str">
        <f t="shared" si="49"/>
        <v/>
      </c>
      <c r="I164" s="99" t="str">
        <f t="shared" si="49"/>
        <v/>
      </c>
      <c r="J164" s="99" t="str">
        <f t="shared" si="49"/>
        <v/>
      </c>
      <c r="K164" s="99" t="str">
        <f t="shared" si="49"/>
        <v/>
      </c>
      <c r="L164" s="99" t="str">
        <f t="shared" si="49"/>
        <v/>
      </c>
      <c r="M164" s="99" t="str">
        <f t="shared" si="49"/>
        <v/>
      </c>
      <c r="N164" s="99" t="str">
        <f t="shared" si="49"/>
        <v/>
      </c>
      <c r="O164" s="99" t="str">
        <f t="shared" si="49"/>
        <v/>
      </c>
      <c r="P164" s="99" t="str">
        <f t="shared" si="49"/>
        <v/>
      </c>
      <c r="Q164" s="99" t="str">
        <f t="shared" si="49"/>
        <v/>
      </c>
      <c r="R164" s="99" t="str">
        <f t="shared" si="49"/>
        <v/>
      </c>
      <c r="S164" s="99" t="str">
        <f t="shared" si="49"/>
        <v/>
      </c>
      <c r="T164" s="99" t="str">
        <f t="shared" si="49"/>
        <v/>
      </c>
      <c r="U164" s="99" t="str">
        <f t="shared" si="49"/>
        <v/>
      </c>
      <c r="V164" s="99" t="str">
        <f t="shared" si="49"/>
        <v/>
      </c>
      <c r="W164" s="99" t="str">
        <f t="shared" si="49"/>
        <v/>
      </c>
      <c r="X164" s="99" t="str">
        <f t="shared" si="49"/>
        <v/>
      </c>
    </row>
    <row r="165" spans="1:24">
      <c r="A165" s="216"/>
      <c r="B165" s="231" t="s">
        <v>9</v>
      </c>
      <c r="C165" s="143" t="s">
        <v>167</v>
      </c>
      <c r="D165" s="226">
        <v>0</v>
      </c>
      <c r="E165" s="67">
        <f t="shared" ref="E165:X165" si="50">IF(E22="","",IFERROR(ROUND(SUM(E$157,E$61,E$114,E$123,E$145,E$150)*$D165/(1-SUM($D$160:$D$165,E$163)),2),""))</f>
        <v>0</v>
      </c>
      <c r="F165" s="67" t="str">
        <f t="shared" si="50"/>
        <v/>
      </c>
      <c r="G165" s="67" t="str">
        <f t="shared" si="50"/>
        <v/>
      </c>
      <c r="H165" s="67" t="str">
        <f t="shared" si="50"/>
        <v/>
      </c>
      <c r="I165" s="67" t="str">
        <f t="shared" si="50"/>
        <v/>
      </c>
      <c r="J165" s="67" t="str">
        <f t="shared" si="50"/>
        <v/>
      </c>
      <c r="K165" s="67" t="str">
        <f t="shared" si="50"/>
        <v/>
      </c>
      <c r="L165" s="67" t="str">
        <f t="shared" si="50"/>
        <v/>
      </c>
      <c r="M165" s="67" t="str">
        <f t="shared" si="50"/>
        <v/>
      </c>
      <c r="N165" s="67" t="str">
        <f t="shared" si="50"/>
        <v/>
      </c>
      <c r="O165" s="67" t="str">
        <f t="shared" si="50"/>
        <v/>
      </c>
      <c r="P165" s="67" t="str">
        <f t="shared" si="50"/>
        <v/>
      </c>
      <c r="Q165" s="67" t="str">
        <f t="shared" si="50"/>
        <v/>
      </c>
      <c r="R165" s="67" t="str">
        <f t="shared" si="50"/>
        <v/>
      </c>
      <c r="S165" s="67" t="str">
        <f t="shared" si="50"/>
        <v/>
      </c>
      <c r="T165" s="67" t="str">
        <f t="shared" si="50"/>
        <v/>
      </c>
      <c r="U165" s="67" t="str">
        <f t="shared" si="50"/>
        <v/>
      </c>
      <c r="V165" s="67" t="str">
        <f t="shared" si="50"/>
        <v/>
      </c>
      <c r="W165" s="67" t="str">
        <f t="shared" si="50"/>
        <v/>
      </c>
      <c r="X165" s="67" t="str">
        <f t="shared" si="50"/>
        <v/>
      </c>
    </row>
    <row r="166" spans="1:24" s="129" customFormat="1">
      <c r="A166" s="146"/>
      <c r="B166" s="137"/>
      <c r="C166" s="138" t="s">
        <v>168</v>
      </c>
      <c r="D166" s="147"/>
      <c r="E166" s="206">
        <f t="shared" ref="E166:X166" si="51">IF(E18="","",SUM(E160:E161,E164:E165))</f>
        <v>355.72</v>
      </c>
      <c r="F166" s="206" t="str">
        <f t="shared" si="51"/>
        <v/>
      </c>
      <c r="G166" s="206" t="str">
        <f t="shared" si="51"/>
        <v/>
      </c>
      <c r="H166" s="206" t="str">
        <f t="shared" si="51"/>
        <v/>
      </c>
      <c r="I166" s="206" t="str">
        <f t="shared" si="51"/>
        <v/>
      </c>
      <c r="J166" s="206" t="str">
        <f t="shared" si="51"/>
        <v/>
      </c>
      <c r="K166" s="206" t="str">
        <f t="shared" si="51"/>
        <v/>
      </c>
      <c r="L166" s="206" t="str">
        <f t="shared" si="51"/>
        <v/>
      </c>
      <c r="M166" s="206" t="str">
        <f t="shared" si="51"/>
        <v/>
      </c>
      <c r="N166" s="206" t="str">
        <f t="shared" si="51"/>
        <v/>
      </c>
      <c r="O166" s="206" t="str">
        <f t="shared" si="51"/>
        <v/>
      </c>
      <c r="P166" s="206" t="str">
        <f t="shared" si="51"/>
        <v/>
      </c>
      <c r="Q166" s="206" t="str">
        <f t="shared" si="51"/>
        <v/>
      </c>
      <c r="R166" s="206" t="str">
        <f t="shared" si="51"/>
        <v/>
      </c>
      <c r="S166" s="206" t="str">
        <f t="shared" si="51"/>
        <v/>
      </c>
      <c r="T166" s="206" t="str">
        <f t="shared" si="51"/>
        <v/>
      </c>
      <c r="U166" s="206" t="str">
        <f t="shared" si="51"/>
        <v/>
      </c>
      <c r="V166" s="206" t="str">
        <f t="shared" si="51"/>
        <v/>
      </c>
      <c r="W166" s="206" t="str">
        <f t="shared" si="51"/>
        <v/>
      </c>
      <c r="X166" s="206" t="str">
        <f t="shared" si="51"/>
        <v/>
      </c>
    </row>
    <row r="167" spans="1:24" ht="3.75" customHeight="1"/>
    <row r="168" spans="1:24" s="129" customFormat="1">
      <c r="A168" s="123"/>
      <c r="B168" s="124"/>
      <c r="C168" s="15" t="s">
        <v>169</v>
      </c>
      <c r="D168" s="125"/>
      <c r="E168" s="126">
        <f t="shared" ref="E168:X168" si="52">IF(E18="","",SUM(E166,E157))</f>
        <v>1084.18</v>
      </c>
      <c r="F168" s="126" t="str">
        <f t="shared" si="52"/>
        <v/>
      </c>
      <c r="G168" s="126" t="str">
        <f t="shared" si="52"/>
        <v/>
      </c>
      <c r="H168" s="126" t="str">
        <f t="shared" si="52"/>
        <v/>
      </c>
      <c r="I168" s="126" t="str">
        <f t="shared" si="52"/>
        <v/>
      </c>
      <c r="J168" s="126" t="str">
        <f t="shared" si="52"/>
        <v/>
      </c>
      <c r="K168" s="126" t="str">
        <f t="shared" si="52"/>
        <v/>
      </c>
      <c r="L168" s="126" t="str">
        <f t="shared" si="52"/>
        <v/>
      </c>
      <c r="M168" s="126" t="str">
        <f t="shared" si="52"/>
        <v/>
      </c>
      <c r="N168" s="126" t="str">
        <f t="shared" si="52"/>
        <v/>
      </c>
      <c r="O168" s="126" t="str">
        <f t="shared" si="52"/>
        <v/>
      </c>
      <c r="P168" s="126" t="str">
        <f t="shared" si="52"/>
        <v/>
      </c>
      <c r="Q168" s="126" t="str">
        <f t="shared" si="52"/>
        <v/>
      </c>
      <c r="R168" s="126" t="str">
        <f t="shared" si="52"/>
        <v/>
      </c>
      <c r="S168" s="126" t="str">
        <f t="shared" si="52"/>
        <v/>
      </c>
      <c r="T168" s="126" t="str">
        <f t="shared" si="52"/>
        <v/>
      </c>
      <c r="U168" s="126" t="str">
        <f t="shared" si="52"/>
        <v/>
      </c>
      <c r="V168" s="126" t="str">
        <f t="shared" si="52"/>
        <v/>
      </c>
      <c r="W168" s="126" t="str">
        <f t="shared" si="52"/>
        <v/>
      </c>
      <c r="X168" s="126" t="str">
        <f t="shared" si="52"/>
        <v/>
      </c>
    </row>
    <row r="169" spans="1:24">
      <c r="F169" s="5"/>
      <c r="G169" s="5"/>
      <c r="H169" s="5"/>
      <c r="I169" s="5"/>
      <c r="J169" s="5"/>
      <c r="K169" s="5"/>
      <c r="L169" s="5"/>
      <c r="M169" s="5"/>
      <c r="N169" s="5"/>
      <c r="O169" s="5"/>
      <c r="P169" s="5"/>
      <c r="Q169" s="5"/>
      <c r="R169" s="5"/>
      <c r="S169" s="5"/>
      <c r="T169" s="5"/>
      <c r="U169" s="5"/>
      <c r="V169" s="5"/>
      <c r="W169" s="5"/>
      <c r="X169" s="5"/>
    </row>
    <row r="170" spans="1:24" s="135" customFormat="1">
      <c r="A170" s="134"/>
      <c r="B170" s="14"/>
      <c r="C170" s="15" t="s">
        <v>170</v>
      </c>
      <c r="D170" s="61"/>
      <c r="E170" s="62"/>
      <c r="F170" s="62"/>
      <c r="G170" s="62"/>
      <c r="H170" s="62"/>
      <c r="I170" s="62"/>
      <c r="J170" s="62"/>
      <c r="K170" s="62"/>
      <c r="L170" s="62"/>
      <c r="M170" s="62"/>
      <c r="N170" s="62"/>
      <c r="O170" s="62"/>
      <c r="P170" s="62"/>
      <c r="Q170" s="62"/>
      <c r="R170" s="62"/>
      <c r="S170" s="62"/>
      <c r="T170" s="62"/>
      <c r="U170" s="62"/>
      <c r="V170" s="62"/>
      <c r="W170" s="62"/>
      <c r="X170" s="62"/>
    </row>
    <row r="171" spans="1:24" ht="3.75" customHeight="1">
      <c r="A171" s="232"/>
      <c r="B171" s="233"/>
      <c r="C171" s="233"/>
      <c r="D171" s="233"/>
      <c r="E171" s="233"/>
      <c r="F171" s="233"/>
      <c r="G171" s="233"/>
      <c r="H171" s="233"/>
      <c r="I171" s="233"/>
      <c r="J171" s="233"/>
      <c r="K171" s="233"/>
      <c r="L171" s="233"/>
      <c r="M171" s="233"/>
      <c r="N171" s="233"/>
      <c r="O171" s="233"/>
      <c r="P171" s="233"/>
      <c r="Q171" s="233"/>
      <c r="R171" s="233"/>
      <c r="S171" s="233"/>
      <c r="T171" s="233"/>
      <c r="U171" s="233"/>
      <c r="V171" s="233"/>
      <c r="W171" s="233"/>
      <c r="X171" s="233"/>
    </row>
    <row r="172" spans="1:24">
      <c r="A172" s="232"/>
      <c r="B172" s="137"/>
      <c r="C172" s="138" t="s">
        <v>171</v>
      </c>
      <c r="D172" s="234"/>
      <c r="E172" s="235"/>
      <c r="F172" s="235"/>
      <c r="G172" s="235"/>
      <c r="H172" s="235"/>
      <c r="I172" s="235"/>
      <c r="J172" s="235"/>
      <c r="K172" s="235"/>
      <c r="L172" s="235"/>
      <c r="M172" s="235"/>
      <c r="N172" s="235"/>
      <c r="O172" s="235"/>
      <c r="P172" s="235"/>
      <c r="Q172" s="235"/>
      <c r="R172" s="235"/>
      <c r="S172" s="235"/>
      <c r="T172" s="235"/>
      <c r="U172" s="235"/>
      <c r="V172" s="235"/>
      <c r="W172" s="235"/>
      <c r="X172" s="235"/>
    </row>
    <row r="173" spans="1:24">
      <c r="A173" s="236"/>
      <c r="B173" s="142" t="s">
        <v>1</v>
      </c>
      <c r="C173" s="98" t="s">
        <v>172</v>
      </c>
      <c r="D173" s="237"/>
      <c r="E173" s="67">
        <f>IFERROR(IF(E18="","",ROUND(E175/SUM(E52,INDEX('Apoio - Regime de Trabalho'!$I:$I,MATCH(E26,'Apoio - Regime de Trabalho'!$A:$A,0))),2)),"")</f>
        <v>28.92</v>
      </c>
      <c r="F173" s="67" t="str">
        <f>IFERROR(IF(F18="","",ROUND(F175/SUM(F52,INDEX('Apoio - Regime de Trabalho'!$I:$I,MATCH(F26,'Apoio - Regime de Trabalho'!$A:$A,0))),2)),"")</f>
        <v/>
      </c>
      <c r="G173" s="67" t="str">
        <f>IFERROR(IF(G18="","",ROUND(G175/SUM(G52,INDEX('Apoio - Regime de Trabalho'!$I:$I,MATCH(G26,'Apoio - Regime de Trabalho'!$A:$A,0))),2)),"")</f>
        <v/>
      </c>
      <c r="H173" s="67" t="str">
        <f>IFERROR(IF(H18="","",ROUND(H175/SUM(H52,INDEX('Apoio - Regime de Trabalho'!$I:$I,MATCH(H26,'Apoio - Regime de Trabalho'!$A:$A,0))),2)),"")</f>
        <v/>
      </c>
      <c r="I173" s="67" t="str">
        <f>IFERROR(IF(I18="","",ROUND(I175/SUM(I52,INDEX('Apoio - Regime de Trabalho'!$I:$I,MATCH(I26,'Apoio - Regime de Trabalho'!$A:$A,0))),2)),"")</f>
        <v/>
      </c>
      <c r="J173" s="67" t="str">
        <f>IFERROR(IF(J18="","",ROUND(J175/SUM(J52,INDEX('Apoio - Regime de Trabalho'!$I:$I,MATCH(J26,'Apoio - Regime de Trabalho'!$A:$A,0))),2)),"")</f>
        <v/>
      </c>
      <c r="K173" s="67" t="str">
        <f>IFERROR(IF(K18="","",ROUND(K175/SUM(K52,INDEX('Apoio - Regime de Trabalho'!$I:$I,MATCH(K26,'Apoio - Regime de Trabalho'!$A:$A,0))),2)),"")</f>
        <v/>
      </c>
      <c r="L173" s="67" t="str">
        <f>IFERROR(IF(L18="","",ROUND(L175/SUM(L52,INDEX('Apoio - Regime de Trabalho'!$I:$I,MATCH(L26,'Apoio - Regime de Trabalho'!$A:$A,0))),2)),"")</f>
        <v/>
      </c>
      <c r="M173" s="67" t="str">
        <f>IFERROR(IF(M18="","",ROUND(M175/SUM(M52,INDEX('Apoio - Regime de Trabalho'!$I:$I,MATCH(M26,'Apoio - Regime de Trabalho'!$A:$A,0))),2)),"")</f>
        <v/>
      </c>
      <c r="N173" s="67" t="str">
        <f>IFERROR(IF(N18="","",ROUND(N175/SUM(N52,INDEX('Apoio - Regime de Trabalho'!$I:$I,MATCH(N26,'Apoio - Regime de Trabalho'!$A:$A,0))),2)),"")</f>
        <v/>
      </c>
      <c r="O173" s="67" t="str">
        <f>IFERROR(IF(O18="","",ROUND(O175/SUM(O52,INDEX('Apoio - Regime de Trabalho'!$I:$I,MATCH(O26,'Apoio - Regime de Trabalho'!$A:$A,0))),2)),"")</f>
        <v/>
      </c>
      <c r="P173" s="67" t="str">
        <f>IFERROR(IF(P18="","",ROUND(P175/SUM(P52,INDEX('Apoio - Regime de Trabalho'!$I:$I,MATCH(P26,'Apoio - Regime de Trabalho'!$A:$A,0))),2)),"")</f>
        <v/>
      </c>
      <c r="Q173" s="67" t="str">
        <f>IFERROR(IF(Q18="","",ROUND(Q175/SUM(Q52,INDEX('Apoio - Regime de Trabalho'!$I:$I,MATCH(Q26,'Apoio - Regime de Trabalho'!$A:$A,0))),2)),"")</f>
        <v/>
      </c>
      <c r="R173" s="67" t="str">
        <f>IFERROR(IF(R18="","",ROUND(R175/SUM(R52,INDEX('Apoio - Regime de Trabalho'!$I:$I,MATCH(R26,'Apoio - Regime de Trabalho'!$A:$A,0))),2)),"")</f>
        <v/>
      </c>
      <c r="S173" s="67" t="str">
        <f>IFERROR(IF(S18="","",ROUND(S175/SUM(S52,INDEX('Apoio - Regime de Trabalho'!$I:$I,MATCH(S26,'Apoio - Regime de Trabalho'!$A:$A,0))),2)),"")</f>
        <v/>
      </c>
      <c r="T173" s="67" t="str">
        <f>IFERROR(IF(T18="","",ROUND(T175/SUM(T52,INDEX('Apoio - Regime de Trabalho'!$I:$I,MATCH(T26,'Apoio - Regime de Trabalho'!$A:$A,0))),2)),"")</f>
        <v/>
      </c>
      <c r="U173" s="67" t="str">
        <f>IFERROR(IF(U18="","",ROUND(U175/SUM(U52,INDEX('Apoio - Regime de Trabalho'!$I:$I,MATCH(U26,'Apoio - Regime de Trabalho'!$A:$A,0))),2)),"")</f>
        <v/>
      </c>
      <c r="V173" s="67" t="str">
        <f>IFERROR(IF(V18="","",ROUND(V175/SUM(V52,INDEX('Apoio - Regime de Trabalho'!$I:$I,MATCH(V26,'Apoio - Regime de Trabalho'!$A:$A,0))),2)),"")</f>
        <v/>
      </c>
      <c r="W173" s="67" t="str">
        <f>IFERROR(IF(W18="","",ROUND(W175/SUM(W52,INDEX('Apoio - Regime de Trabalho'!$I:$I,MATCH(W26,'Apoio - Regime de Trabalho'!$A:$A,0))),2)),"")</f>
        <v/>
      </c>
      <c r="X173" s="67" t="str">
        <f>IFERROR(IF(X18="","",ROUND(X175/SUM(X52,INDEX('Apoio - Regime de Trabalho'!$I:$I,MATCH(X26,'Apoio - Regime de Trabalho'!$A:$A,0))),2)),"")</f>
        <v/>
      </c>
    </row>
    <row r="174" spans="1:24">
      <c r="A174" s="236"/>
      <c r="B174" s="142" t="s">
        <v>4</v>
      </c>
      <c r="C174" s="98" t="s">
        <v>173</v>
      </c>
      <c r="D174" s="237"/>
      <c r="E174" s="67">
        <f>IF(E18="","",ROUND(SUM(E61,E114,E123,E145,E150,E168)/INDEX('Apoio - Regime de Trabalho'!$G:$G,MATCH(E26,'Apoio - Regime de Trabalho'!$A:$A,0)),2))</f>
        <v>262.89999999999998</v>
      </c>
      <c r="F174" s="67" t="str">
        <f>IF(F18="","",ROUND(SUM(F61,F114,F123,F145,F150,F168)/INDEX('Apoio - Regime de Trabalho'!$G:$G,MATCH(F26,'Apoio - Regime de Trabalho'!$A:$A,0)),2))</f>
        <v/>
      </c>
      <c r="G174" s="67" t="str">
        <f>IF(G18="","",ROUND(SUM(G61,G114,G123,G145,G150,G168)/INDEX('Apoio - Regime de Trabalho'!$G:$G,MATCH(G26,'Apoio - Regime de Trabalho'!$A:$A,0)),2))</f>
        <v/>
      </c>
      <c r="H174" s="67" t="str">
        <f>IF(H18="","",ROUND(SUM(H61,H114,H123,H145,H150,H168)/INDEX('Apoio - Regime de Trabalho'!$G:$G,MATCH(H26,'Apoio - Regime de Trabalho'!$A:$A,0)),2))</f>
        <v/>
      </c>
      <c r="I174" s="67" t="str">
        <f>IF(I18="","",ROUND(SUM(I61,I114,I123,I145,I150,I168)/INDEX('Apoio - Regime de Trabalho'!$G:$G,MATCH(I26,'Apoio - Regime de Trabalho'!$A:$A,0)),2))</f>
        <v/>
      </c>
      <c r="J174" s="67" t="str">
        <f>IF(J18="","",ROUND(SUM(J61,J114,J123,J145,J150,J168)/INDEX('Apoio - Regime de Trabalho'!$G:$G,MATCH(J26,'Apoio - Regime de Trabalho'!$A:$A,0)),2))</f>
        <v/>
      </c>
      <c r="K174" s="67" t="str">
        <f>IF(K18="","",ROUND(SUM(K61,K114,K123,K145,K150,K168)/INDEX('Apoio - Regime de Trabalho'!$G:$G,MATCH(K26,'Apoio - Regime de Trabalho'!$A:$A,0)),2))</f>
        <v/>
      </c>
      <c r="L174" s="67" t="str">
        <f>IF(L18="","",ROUND(SUM(L61,L114,L123,L145,L150,L168)/INDEX('Apoio - Regime de Trabalho'!$G:$G,MATCH(L26,'Apoio - Regime de Trabalho'!$A:$A,0)),2))</f>
        <v/>
      </c>
      <c r="M174" s="67" t="str">
        <f>IF(M18="","",ROUND(SUM(M61,M114,M123,M145,M150,M168)/INDEX('Apoio - Regime de Trabalho'!$G:$G,MATCH(M26,'Apoio - Regime de Trabalho'!$A:$A,0)),2))</f>
        <v/>
      </c>
      <c r="N174" s="67" t="str">
        <f>IF(N18="","",ROUND(SUM(N61,N114,N123,N145,N150,N168)/INDEX('Apoio - Regime de Trabalho'!$G:$G,MATCH(N26,'Apoio - Regime de Trabalho'!$A:$A,0)),2))</f>
        <v/>
      </c>
      <c r="O174" s="67" t="str">
        <f>IF(O18="","",ROUND(SUM(O61,O114,O123,O145,O150,O168)/INDEX('Apoio - Regime de Trabalho'!$G:$G,MATCH(O26,'Apoio - Regime de Trabalho'!$A:$A,0)),2))</f>
        <v/>
      </c>
      <c r="P174" s="67" t="str">
        <f>IF(P18="","",ROUND(SUM(P61,P114,P123,P145,P150,P168)/INDEX('Apoio - Regime de Trabalho'!$G:$G,MATCH(P26,'Apoio - Regime de Trabalho'!$A:$A,0)),2))</f>
        <v/>
      </c>
      <c r="Q174" s="67" t="str">
        <f>IF(Q18="","",ROUND(SUM(Q61,Q114,Q123,Q145,Q150,Q168)/INDEX('Apoio - Regime de Trabalho'!$G:$G,MATCH(Q26,'Apoio - Regime de Trabalho'!$A:$A,0)),2))</f>
        <v/>
      </c>
      <c r="R174" s="67" t="str">
        <f>IF(R18="","",ROUND(SUM(R61,R114,R123,R145,R150,R168)/INDEX('Apoio - Regime de Trabalho'!$G:$G,MATCH(R26,'Apoio - Regime de Trabalho'!$A:$A,0)),2))</f>
        <v/>
      </c>
      <c r="S174" s="67" t="str">
        <f>IF(S18="","",ROUND(SUM(S61,S114,S123,S145,S150,S168)/INDEX('Apoio - Regime de Trabalho'!$G:$G,MATCH(S26,'Apoio - Regime de Trabalho'!$A:$A,0)),2))</f>
        <v/>
      </c>
      <c r="T174" s="67" t="str">
        <f>IF(T18="","",ROUND(SUM(T61,T114,T123,T145,T150,T168)/INDEX('Apoio - Regime de Trabalho'!$G:$G,MATCH(T26,'Apoio - Regime de Trabalho'!$A:$A,0)),2))</f>
        <v/>
      </c>
      <c r="U174" s="67" t="str">
        <f>IF(U18="","",ROUND(SUM(U61,U114,U123,U145,U150,U168)/INDEX('Apoio - Regime de Trabalho'!$G:$G,MATCH(U26,'Apoio - Regime de Trabalho'!$A:$A,0)),2))</f>
        <v/>
      </c>
      <c r="V174" s="67" t="str">
        <f>IF(V18="","",ROUND(SUM(V61,V114,V123,V145,V150,V168)/INDEX('Apoio - Regime de Trabalho'!$G:$G,MATCH(V26,'Apoio - Regime de Trabalho'!$A:$A,0)),2))</f>
        <v/>
      </c>
      <c r="W174" s="67" t="str">
        <f>IF(W18="","",ROUND(SUM(W61,W114,W123,W145,W150,W168)/INDEX('Apoio - Regime de Trabalho'!$G:$G,MATCH(W26,'Apoio - Regime de Trabalho'!$A:$A,0)),2))</f>
        <v/>
      </c>
      <c r="X174" s="67" t="str">
        <f>IF(X18="","",ROUND(SUM(X61,X114,X123,X145,X150,X168)/INDEX('Apoio - Regime de Trabalho'!$G:$G,MATCH(X26,'Apoio - Regime de Trabalho'!$A:$A,0)),2))</f>
        <v/>
      </c>
    </row>
    <row r="175" spans="1:24">
      <c r="A175" s="236"/>
      <c r="B175" s="142" t="s">
        <v>6</v>
      </c>
      <c r="C175" s="98" t="s">
        <v>174</v>
      </c>
      <c r="D175" s="237"/>
      <c r="E175" s="67">
        <f t="shared" ref="E175:X175" si="53">IF(E18="","",ROUND(SUM(E61,E114,E123,E145,E150,E168),2))</f>
        <v>5783.9</v>
      </c>
      <c r="F175" s="67" t="str">
        <f t="shared" si="53"/>
        <v/>
      </c>
      <c r="G175" s="67" t="str">
        <f t="shared" si="53"/>
        <v/>
      </c>
      <c r="H175" s="67" t="str">
        <f t="shared" si="53"/>
        <v/>
      </c>
      <c r="I175" s="67" t="str">
        <f t="shared" si="53"/>
        <v/>
      </c>
      <c r="J175" s="67" t="str">
        <f t="shared" si="53"/>
        <v/>
      </c>
      <c r="K175" s="67" t="str">
        <f t="shared" si="53"/>
        <v/>
      </c>
      <c r="L175" s="67" t="str">
        <f t="shared" si="53"/>
        <v/>
      </c>
      <c r="M175" s="67" t="str">
        <f t="shared" si="53"/>
        <v/>
      </c>
      <c r="N175" s="67" t="str">
        <f t="shared" si="53"/>
        <v/>
      </c>
      <c r="O175" s="67" t="str">
        <f t="shared" si="53"/>
        <v/>
      </c>
      <c r="P175" s="67" t="str">
        <f t="shared" si="53"/>
        <v/>
      </c>
      <c r="Q175" s="67" t="str">
        <f t="shared" si="53"/>
        <v/>
      </c>
      <c r="R175" s="67" t="str">
        <f t="shared" si="53"/>
        <v/>
      </c>
      <c r="S175" s="67" t="str">
        <f t="shared" si="53"/>
        <v/>
      </c>
      <c r="T175" s="67" t="str">
        <f t="shared" si="53"/>
        <v/>
      </c>
      <c r="U175" s="67" t="str">
        <f t="shared" si="53"/>
        <v/>
      </c>
      <c r="V175" s="67" t="str">
        <f t="shared" si="53"/>
        <v/>
      </c>
      <c r="W175" s="67" t="str">
        <f t="shared" si="53"/>
        <v/>
      </c>
      <c r="X175" s="67" t="str">
        <f t="shared" si="53"/>
        <v/>
      </c>
    </row>
    <row r="176" spans="1:24">
      <c r="A176" s="236"/>
      <c r="B176" s="142" t="s">
        <v>9</v>
      </c>
      <c r="C176" s="98" t="s">
        <v>175</v>
      </c>
      <c r="D176" s="237"/>
      <c r="E176" s="67">
        <f t="shared" ref="E176:X176" si="54">IFERROR(ROUND(E175*E28,2),"")</f>
        <v>5783.9</v>
      </c>
      <c r="F176" s="67" t="str">
        <f t="shared" si="54"/>
        <v/>
      </c>
      <c r="G176" s="67" t="str">
        <f t="shared" si="54"/>
        <v/>
      </c>
      <c r="H176" s="67" t="str">
        <f t="shared" si="54"/>
        <v/>
      </c>
      <c r="I176" s="67" t="str">
        <f t="shared" si="54"/>
        <v/>
      </c>
      <c r="J176" s="67" t="str">
        <f t="shared" si="54"/>
        <v/>
      </c>
      <c r="K176" s="67" t="str">
        <f t="shared" si="54"/>
        <v/>
      </c>
      <c r="L176" s="67" t="str">
        <f t="shared" si="54"/>
        <v/>
      </c>
      <c r="M176" s="67" t="str">
        <f t="shared" si="54"/>
        <v/>
      </c>
      <c r="N176" s="67" t="str">
        <f t="shared" si="54"/>
        <v/>
      </c>
      <c r="O176" s="67" t="str">
        <f t="shared" si="54"/>
        <v/>
      </c>
      <c r="P176" s="67" t="str">
        <f t="shared" si="54"/>
        <v/>
      </c>
      <c r="Q176" s="67" t="str">
        <f t="shared" si="54"/>
        <v/>
      </c>
      <c r="R176" s="67" t="str">
        <f t="shared" si="54"/>
        <v/>
      </c>
      <c r="S176" s="67" t="str">
        <f t="shared" si="54"/>
        <v/>
      </c>
      <c r="T176" s="67" t="str">
        <f t="shared" si="54"/>
        <v/>
      </c>
      <c r="U176" s="67" t="str">
        <f t="shared" si="54"/>
        <v/>
      </c>
      <c r="V176" s="67" t="str">
        <f t="shared" si="54"/>
        <v/>
      </c>
      <c r="W176" s="67" t="str">
        <f t="shared" si="54"/>
        <v/>
      </c>
      <c r="X176" s="67" t="str">
        <f t="shared" si="54"/>
        <v/>
      </c>
    </row>
    <row r="177" spans="1:24" ht="3.75" customHeight="1">
      <c r="A177" s="232"/>
      <c r="B177" s="233"/>
      <c r="C177" s="233"/>
      <c r="D177" s="233"/>
      <c r="E177" s="233"/>
      <c r="F177" s="233"/>
      <c r="G177" s="233"/>
      <c r="H177" s="233"/>
      <c r="I177" s="233"/>
      <c r="J177" s="233"/>
      <c r="K177" s="233"/>
      <c r="L177" s="233"/>
      <c r="M177" s="233"/>
      <c r="N177" s="233"/>
      <c r="O177" s="233"/>
      <c r="P177" s="233"/>
      <c r="Q177" s="233"/>
      <c r="R177" s="233"/>
      <c r="S177" s="233"/>
      <c r="T177" s="233"/>
      <c r="U177" s="233"/>
      <c r="V177" s="233"/>
      <c r="W177" s="233"/>
      <c r="X177" s="233"/>
    </row>
    <row r="178" spans="1:24">
      <c r="A178" s="232"/>
      <c r="B178" s="137"/>
      <c r="C178" s="138" t="s">
        <v>176</v>
      </c>
      <c r="D178" s="234"/>
      <c r="E178" s="235"/>
      <c r="F178" s="235"/>
      <c r="G178" s="235"/>
      <c r="H178" s="235"/>
      <c r="I178" s="235"/>
      <c r="J178" s="235"/>
      <c r="K178" s="235"/>
      <c r="L178" s="235"/>
      <c r="M178" s="235"/>
      <c r="N178" s="235"/>
      <c r="O178" s="235"/>
      <c r="P178" s="235"/>
      <c r="Q178" s="235"/>
      <c r="R178" s="235"/>
      <c r="S178" s="235"/>
      <c r="T178" s="235"/>
      <c r="U178" s="235"/>
      <c r="V178" s="235"/>
      <c r="W178" s="235"/>
      <c r="X178" s="235"/>
    </row>
    <row r="179" spans="1:24">
      <c r="A179" s="236"/>
      <c r="B179" s="142" t="s">
        <v>1</v>
      </c>
      <c r="C179" s="98" t="s">
        <v>177</v>
      </c>
      <c r="D179" s="237"/>
      <c r="E179" s="67">
        <f t="shared" ref="E179:X179" si="55">IFERROR(ROUND(SUM(E61,E114,E123,E145),2)*E29,"")</f>
        <v>4674.76</v>
      </c>
      <c r="F179" s="67" t="str">
        <f t="shared" si="55"/>
        <v/>
      </c>
      <c r="G179" s="67" t="str">
        <f t="shared" si="55"/>
        <v/>
      </c>
      <c r="H179" s="67" t="str">
        <f t="shared" si="55"/>
        <v/>
      </c>
      <c r="I179" s="67" t="str">
        <f t="shared" si="55"/>
        <v/>
      </c>
      <c r="J179" s="67" t="str">
        <f t="shared" si="55"/>
        <v/>
      </c>
      <c r="K179" s="67" t="str">
        <f t="shared" si="55"/>
        <v/>
      </c>
      <c r="L179" s="67" t="str">
        <f t="shared" si="55"/>
        <v/>
      </c>
      <c r="M179" s="67" t="str">
        <f t="shared" si="55"/>
        <v/>
      </c>
      <c r="N179" s="67" t="str">
        <f t="shared" si="55"/>
        <v/>
      </c>
      <c r="O179" s="67" t="str">
        <f t="shared" si="55"/>
        <v/>
      </c>
      <c r="P179" s="67" t="str">
        <f t="shared" si="55"/>
        <v/>
      </c>
      <c r="Q179" s="67" t="str">
        <f t="shared" si="55"/>
        <v/>
      </c>
      <c r="R179" s="67" t="str">
        <f t="shared" si="55"/>
        <v/>
      </c>
      <c r="S179" s="67" t="str">
        <f t="shared" si="55"/>
        <v/>
      </c>
      <c r="T179" s="67" t="str">
        <f t="shared" si="55"/>
        <v/>
      </c>
      <c r="U179" s="67" t="str">
        <f t="shared" si="55"/>
        <v/>
      </c>
      <c r="V179" s="67" t="str">
        <f t="shared" si="55"/>
        <v/>
      </c>
      <c r="W179" s="67" t="str">
        <f t="shared" si="55"/>
        <v/>
      </c>
      <c r="X179" s="67" t="str">
        <f t="shared" si="55"/>
        <v/>
      </c>
    </row>
    <row r="180" spans="1:24">
      <c r="A180" s="236"/>
      <c r="B180" s="142" t="s">
        <v>4</v>
      </c>
      <c r="C180" s="98" t="s">
        <v>178</v>
      </c>
      <c r="D180" s="237"/>
      <c r="E180" s="67">
        <f t="shared" ref="E180:X180" si="56">IFERROR(ROUND(E150*E29,2),"")</f>
        <v>24.96</v>
      </c>
      <c r="F180" s="67" t="str">
        <f t="shared" si="56"/>
        <v/>
      </c>
      <c r="G180" s="67" t="str">
        <f t="shared" si="56"/>
        <v/>
      </c>
      <c r="H180" s="67" t="str">
        <f t="shared" si="56"/>
        <v/>
      </c>
      <c r="I180" s="67" t="str">
        <f t="shared" si="56"/>
        <v/>
      </c>
      <c r="J180" s="67" t="str">
        <f t="shared" si="56"/>
        <v/>
      </c>
      <c r="K180" s="67" t="str">
        <f t="shared" si="56"/>
        <v/>
      </c>
      <c r="L180" s="67" t="str">
        <f t="shared" si="56"/>
        <v/>
      </c>
      <c r="M180" s="67" t="str">
        <f t="shared" si="56"/>
        <v/>
      </c>
      <c r="N180" s="67" t="str">
        <f t="shared" si="56"/>
        <v/>
      </c>
      <c r="O180" s="67" t="str">
        <f t="shared" si="56"/>
        <v/>
      </c>
      <c r="P180" s="67" t="str">
        <f t="shared" si="56"/>
        <v/>
      </c>
      <c r="Q180" s="67" t="str">
        <f t="shared" si="56"/>
        <v/>
      </c>
      <c r="R180" s="67" t="str">
        <f t="shared" si="56"/>
        <v/>
      </c>
      <c r="S180" s="67" t="str">
        <f t="shared" si="56"/>
        <v/>
      </c>
      <c r="T180" s="67" t="str">
        <f t="shared" si="56"/>
        <v/>
      </c>
      <c r="U180" s="67" t="str">
        <f t="shared" si="56"/>
        <v/>
      </c>
      <c r="V180" s="67" t="str">
        <f t="shared" si="56"/>
        <v/>
      </c>
      <c r="W180" s="67" t="str">
        <f t="shared" si="56"/>
        <v/>
      </c>
      <c r="X180" s="67" t="str">
        <f t="shared" si="56"/>
        <v/>
      </c>
    </row>
    <row r="181" spans="1:24">
      <c r="A181" s="238"/>
      <c r="B181" s="142" t="s">
        <v>6</v>
      </c>
      <c r="C181" s="98" t="s">
        <v>179</v>
      </c>
      <c r="D181" s="237"/>
      <c r="E181" s="67">
        <f t="shared" ref="E181:X181" si="57">IFERROR(ROUND(E168*E29,2),"")</f>
        <v>1084.18</v>
      </c>
      <c r="F181" s="67" t="str">
        <f t="shared" si="57"/>
        <v/>
      </c>
      <c r="G181" s="67" t="str">
        <f t="shared" si="57"/>
        <v/>
      </c>
      <c r="H181" s="67" t="str">
        <f t="shared" si="57"/>
        <v/>
      </c>
      <c r="I181" s="67" t="str">
        <f t="shared" si="57"/>
        <v/>
      </c>
      <c r="J181" s="67" t="str">
        <f t="shared" si="57"/>
        <v/>
      </c>
      <c r="K181" s="67" t="str">
        <f t="shared" si="57"/>
        <v/>
      </c>
      <c r="L181" s="67" t="str">
        <f t="shared" si="57"/>
        <v/>
      </c>
      <c r="M181" s="67" t="str">
        <f t="shared" si="57"/>
        <v/>
      </c>
      <c r="N181" s="67" t="str">
        <f t="shared" si="57"/>
        <v/>
      </c>
      <c r="O181" s="67" t="str">
        <f t="shared" si="57"/>
        <v/>
      </c>
      <c r="P181" s="67" t="str">
        <f t="shared" si="57"/>
        <v/>
      </c>
      <c r="Q181" s="67" t="str">
        <f t="shared" si="57"/>
        <v/>
      </c>
      <c r="R181" s="67" t="str">
        <f t="shared" si="57"/>
        <v/>
      </c>
      <c r="S181" s="67" t="str">
        <f t="shared" si="57"/>
        <v/>
      </c>
      <c r="T181" s="67" t="str">
        <f t="shared" si="57"/>
        <v/>
      </c>
      <c r="U181" s="67" t="str">
        <f t="shared" si="57"/>
        <v/>
      </c>
      <c r="V181" s="67" t="str">
        <f t="shared" si="57"/>
        <v/>
      </c>
      <c r="W181" s="67" t="str">
        <f t="shared" si="57"/>
        <v/>
      </c>
      <c r="X181" s="67" t="str">
        <f t="shared" si="57"/>
        <v/>
      </c>
    </row>
    <row r="182" spans="1:24">
      <c r="A182" s="238"/>
      <c r="B182" s="142" t="s">
        <v>9</v>
      </c>
      <c r="C182" s="98" t="s">
        <v>180</v>
      </c>
      <c r="D182" s="237"/>
      <c r="E182" s="67">
        <f t="shared" ref="E182:X182" si="58">IFERROR(ROUND((E179+E180+E181),2),"")</f>
        <v>5783.9</v>
      </c>
      <c r="F182" s="67" t="str">
        <f t="shared" si="58"/>
        <v/>
      </c>
      <c r="G182" s="67" t="str">
        <f t="shared" si="58"/>
        <v/>
      </c>
      <c r="H182" s="67" t="str">
        <f t="shared" si="58"/>
        <v/>
      </c>
      <c r="I182" s="67" t="str">
        <f t="shared" si="58"/>
        <v/>
      </c>
      <c r="J182" s="67" t="str">
        <f t="shared" si="58"/>
        <v/>
      </c>
      <c r="K182" s="67" t="str">
        <f t="shared" si="58"/>
        <v/>
      </c>
      <c r="L182" s="67" t="str">
        <f t="shared" si="58"/>
        <v/>
      </c>
      <c r="M182" s="67" t="str">
        <f t="shared" si="58"/>
        <v/>
      </c>
      <c r="N182" s="67" t="str">
        <f t="shared" si="58"/>
        <v/>
      </c>
      <c r="O182" s="67" t="str">
        <f t="shared" si="58"/>
        <v/>
      </c>
      <c r="P182" s="67" t="str">
        <f t="shared" si="58"/>
        <v/>
      </c>
      <c r="Q182" s="67" t="str">
        <f t="shared" si="58"/>
        <v/>
      </c>
      <c r="R182" s="67" t="str">
        <f t="shared" si="58"/>
        <v/>
      </c>
      <c r="S182" s="67" t="str">
        <f t="shared" si="58"/>
        <v/>
      </c>
      <c r="T182" s="67" t="str">
        <f t="shared" si="58"/>
        <v/>
      </c>
      <c r="U182" s="67" t="str">
        <f t="shared" si="58"/>
        <v/>
      </c>
      <c r="V182" s="67" t="str">
        <f t="shared" si="58"/>
        <v/>
      </c>
      <c r="W182" s="67" t="str">
        <f t="shared" si="58"/>
        <v/>
      </c>
      <c r="X182" s="67" t="str">
        <f t="shared" si="58"/>
        <v/>
      </c>
    </row>
    <row r="183" spans="1:24" ht="3.75" customHeight="1">
      <c r="A183" s="232"/>
      <c r="B183" s="233"/>
      <c r="C183" s="233"/>
      <c r="D183" s="233"/>
      <c r="E183" s="233"/>
      <c r="F183" s="233"/>
      <c r="G183" s="233"/>
      <c r="H183" s="233"/>
      <c r="I183" s="233"/>
      <c r="J183" s="233"/>
      <c r="K183" s="233"/>
      <c r="L183" s="233"/>
      <c r="M183" s="233"/>
      <c r="N183" s="233"/>
      <c r="O183" s="233"/>
      <c r="P183" s="233"/>
      <c r="Q183" s="233"/>
      <c r="R183" s="233"/>
      <c r="S183" s="233"/>
      <c r="T183" s="233"/>
      <c r="U183" s="233"/>
      <c r="V183" s="233"/>
      <c r="W183" s="233"/>
      <c r="X183" s="233"/>
    </row>
    <row r="184" spans="1:24">
      <c r="A184" s="232"/>
      <c r="B184" s="137"/>
      <c r="C184" s="138" t="s">
        <v>181</v>
      </c>
      <c r="D184" s="234"/>
      <c r="E184" s="235"/>
      <c r="F184" s="235"/>
      <c r="G184" s="235"/>
      <c r="H184" s="235"/>
      <c r="I184" s="235"/>
      <c r="J184" s="235"/>
      <c r="K184" s="235"/>
      <c r="L184" s="235"/>
      <c r="M184" s="235"/>
      <c r="N184" s="235"/>
      <c r="O184" s="235"/>
      <c r="P184" s="235"/>
      <c r="Q184" s="235"/>
      <c r="R184" s="235"/>
      <c r="S184" s="235"/>
      <c r="T184" s="235"/>
      <c r="U184" s="235"/>
      <c r="V184" s="235"/>
      <c r="W184" s="235"/>
      <c r="X184" s="235"/>
    </row>
    <row r="185" spans="1:24">
      <c r="A185" s="238"/>
      <c r="B185" s="142" t="s">
        <v>1</v>
      </c>
      <c r="C185" s="98" t="s">
        <v>177</v>
      </c>
      <c r="D185" s="237"/>
      <c r="E185" s="67">
        <f t="shared" ref="E185:X185" si="59">IFERROR(ROUND(E179*$D$12,2),"")</f>
        <v>280485.59999999998</v>
      </c>
      <c r="F185" s="67" t="str">
        <f t="shared" si="59"/>
        <v/>
      </c>
      <c r="G185" s="67" t="str">
        <f t="shared" si="59"/>
        <v/>
      </c>
      <c r="H185" s="67" t="str">
        <f t="shared" si="59"/>
        <v/>
      </c>
      <c r="I185" s="67" t="str">
        <f t="shared" si="59"/>
        <v/>
      </c>
      <c r="J185" s="67" t="str">
        <f t="shared" si="59"/>
        <v/>
      </c>
      <c r="K185" s="67" t="str">
        <f t="shared" si="59"/>
        <v/>
      </c>
      <c r="L185" s="67" t="str">
        <f t="shared" si="59"/>
        <v/>
      </c>
      <c r="M185" s="67" t="str">
        <f t="shared" si="59"/>
        <v/>
      </c>
      <c r="N185" s="67" t="str">
        <f t="shared" si="59"/>
        <v/>
      </c>
      <c r="O185" s="67" t="str">
        <f t="shared" si="59"/>
        <v/>
      </c>
      <c r="P185" s="67" t="str">
        <f t="shared" si="59"/>
        <v/>
      </c>
      <c r="Q185" s="67" t="str">
        <f t="shared" si="59"/>
        <v/>
      </c>
      <c r="R185" s="67" t="str">
        <f t="shared" si="59"/>
        <v/>
      </c>
      <c r="S185" s="67" t="str">
        <f t="shared" si="59"/>
        <v/>
      </c>
      <c r="T185" s="67" t="str">
        <f t="shared" si="59"/>
        <v/>
      </c>
      <c r="U185" s="67" t="str">
        <f t="shared" si="59"/>
        <v/>
      </c>
      <c r="V185" s="67" t="str">
        <f t="shared" si="59"/>
        <v/>
      </c>
      <c r="W185" s="67" t="str">
        <f t="shared" si="59"/>
        <v/>
      </c>
      <c r="X185" s="67" t="str">
        <f t="shared" si="59"/>
        <v/>
      </c>
    </row>
    <row r="186" spans="1:24">
      <c r="A186" s="238"/>
      <c r="B186" s="142" t="s">
        <v>4</v>
      </c>
      <c r="C186" s="98" t="s">
        <v>178</v>
      </c>
      <c r="D186" s="237"/>
      <c r="E186" s="67">
        <f t="shared" ref="E186:X186" si="60">IFERROR(ROUND(E180*$D$12,2),"")</f>
        <v>1497.6</v>
      </c>
      <c r="F186" s="67" t="str">
        <f t="shared" si="60"/>
        <v/>
      </c>
      <c r="G186" s="67" t="str">
        <f t="shared" si="60"/>
        <v/>
      </c>
      <c r="H186" s="67" t="str">
        <f t="shared" si="60"/>
        <v/>
      </c>
      <c r="I186" s="67" t="str">
        <f t="shared" si="60"/>
        <v/>
      </c>
      <c r="J186" s="67" t="str">
        <f t="shared" si="60"/>
        <v/>
      </c>
      <c r="K186" s="67" t="str">
        <f t="shared" si="60"/>
        <v/>
      </c>
      <c r="L186" s="67" t="str">
        <f t="shared" si="60"/>
        <v/>
      </c>
      <c r="M186" s="67" t="str">
        <f t="shared" si="60"/>
        <v/>
      </c>
      <c r="N186" s="67" t="str">
        <f t="shared" si="60"/>
        <v/>
      </c>
      <c r="O186" s="67" t="str">
        <f t="shared" si="60"/>
        <v/>
      </c>
      <c r="P186" s="67" t="str">
        <f t="shared" si="60"/>
        <v/>
      </c>
      <c r="Q186" s="67" t="str">
        <f t="shared" si="60"/>
        <v/>
      </c>
      <c r="R186" s="67" t="str">
        <f t="shared" si="60"/>
        <v/>
      </c>
      <c r="S186" s="67" t="str">
        <f t="shared" si="60"/>
        <v/>
      </c>
      <c r="T186" s="67" t="str">
        <f t="shared" si="60"/>
        <v/>
      </c>
      <c r="U186" s="67" t="str">
        <f t="shared" si="60"/>
        <v/>
      </c>
      <c r="V186" s="67" t="str">
        <f t="shared" si="60"/>
        <v/>
      </c>
      <c r="W186" s="67" t="str">
        <f t="shared" si="60"/>
        <v/>
      </c>
      <c r="X186" s="67" t="str">
        <f t="shared" si="60"/>
        <v/>
      </c>
    </row>
    <row r="187" spans="1:24">
      <c r="A187" s="238"/>
      <c r="B187" s="142" t="s">
        <v>6</v>
      </c>
      <c r="C187" s="98" t="s">
        <v>179</v>
      </c>
      <c r="D187" s="237"/>
      <c r="E187" s="67">
        <f t="shared" ref="E187:X187" si="61">IFERROR(ROUND(E181*$D$12,2),"")</f>
        <v>65050.8</v>
      </c>
      <c r="F187" s="67" t="str">
        <f t="shared" si="61"/>
        <v/>
      </c>
      <c r="G187" s="67" t="str">
        <f t="shared" si="61"/>
        <v/>
      </c>
      <c r="H187" s="67" t="str">
        <f t="shared" si="61"/>
        <v/>
      </c>
      <c r="I187" s="67" t="str">
        <f t="shared" si="61"/>
        <v/>
      </c>
      <c r="J187" s="67" t="str">
        <f t="shared" si="61"/>
        <v/>
      </c>
      <c r="K187" s="67" t="str">
        <f t="shared" si="61"/>
        <v/>
      </c>
      <c r="L187" s="67" t="str">
        <f t="shared" si="61"/>
        <v/>
      </c>
      <c r="M187" s="67" t="str">
        <f t="shared" si="61"/>
        <v/>
      </c>
      <c r="N187" s="67" t="str">
        <f t="shared" si="61"/>
        <v/>
      </c>
      <c r="O187" s="67" t="str">
        <f t="shared" si="61"/>
        <v/>
      </c>
      <c r="P187" s="67" t="str">
        <f t="shared" si="61"/>
        <v/>
      </c>
      <c r="Q187" s="67" t="str">
        <f t="shared" si="61"/>
        <v/>
      </c>
      <c r="R187" s="67" t="str">
        <f t="shared" si="61"/>
        <v/>
      </c>
      <c r="S187" s="67" t="str">
        <f t="shared" si="61"/>
        <v/>
      </c>
      <c r="T187" s="67" t="str">
        <f t="shared" si="61"/>
        <v/>
      </c>
      <c r="U187" s="67" t="str">
        <f t="shared" si="61"/>
        <v/>
      </c>
      <c r="V187" s="67" t="str">
        <f t="shared" si="61"/>
        <v/>
      </c>
      <c r="W187" s="67" t="str">
        <f t="shared" si="61"/>
        <v/>
      </c>
      <c r="X187" s="67" t="str">
        <f t="shared" si="61"/>
        <v/>
      </c>
    </row>
    <row r="188" spans="1:24">
      <c r="A188" s="238"/>
      <c r="B188" s="142" t="s">
        <v>9</v>
      </c>
      <c r="C188" s="98" t="s">
        <v>182</v>
      </c>
      <c r="D188" s="237"/>
      <c r="E188" s="67">
        <f t="shared" ref="E188:X188" si="62">IFERROR(ROUND(E182*$D$12,2),"")</f>
        <v>347034</v>
      </c>
      <c r="F188" s="67" t="str">
        <f t="shared" si="62"/>
        <v/>
      </c>
      <c r="G188" s="67" t="str">
        <f t="shared" si="62"/>
        <v/>
      </c>
      <c r="H188" s="67" t="str">
        <f t="shared" si="62"/>
        <v/>
      </c>
      <c r="I188" s="67" t="str">
        <f t="shared" si="62"/>
        <v/>
      </c>
      <c r="J188" s="67" t="str">
        <f t="shared" si="62"/>
        <v/>
      </c>
      <c r="K188" s="67" t="str">
        <f t="shared" si="62"/>
        <v/>
      </c>
      <c r="L188" s="67" t="str">
        <f t="shared" si="62"/>
        <v/>
      </c>
      <c r="M188" s="67" t="str">
        <f t="shared" si="62"/>
        <v/>
      </c>
      <c r="N188" s="67" t="str">
        <f t="shared" si="62"/>
        <v/>
      </c>
      <c r="O188" s="67" t="str">
        <f t="shared" si="62"/>
        <v/>
      </c>
      <c r="P188" s="67" t="str">
        <f t="shared" si="62"/>
        <v/>
      </c>
      <c r="Q188" s="67" t="str">
        <f t="shared" si="62"/>
        <v/>
      </c>
      <c r="R188" s="67" t="str">
        <f t="shared" si="62"/>
        <v/>
      </c>
      <c r="S188" s="67" t="str">
        <f t="shared" si="62"/>
        <v/>
      </c>
      <c r="T188" s="67" t="str">
        <f t="shared" si="62"/>
        <v/>
      </c>
      <c r="U188" s="67" t="str">
        <f t="shared" si="62"/>
        <v/>
      </c>
      <c r="V188" s="67" t="str">
        <f t="shared" si="62"/>
        <v/>
      </c>
      <c r="W188" s="67" t="str">
        <f t="shared" si="62"/>
        <v/>
      </c>
      <c r="X188" s="67" t="str">
        <f t="shared" si="62"/>
        <v/>
      </c>
    </row>
    <row r="189" spans="1:24">
      <c r="F189" s="5"/>
      <c r="G189" s="5"/>
      <c r="H189" s="5"/>
      <c r="I189" s="5"/>
      <c r="J189" s="5"/>
      <c r="K189" s="5"/>
      <c r="L189" s="5"/>
      <c r="M189" s="5"/>
      <c r="N189" s="5"/>
      <c r="O189" s="5"/>
      <c r="P189" s="5"/>
      <c r="Q189" s="5"/>
      <c r="R189" s="5"/>
      <c r="S189" s="5"/>
      <c r="T189" s="5"/>
      <c r="U189" s="5"/>
      <c r="V189" s="5"/>
      <c r="W189" s="5"/>
      <c r="X189" s="5"/>
    </row>
  </sheetData>
  <sheetProtection algorithmName="SHA-512" hashValue="XIdYoxCC0v+hDiC4OzAJjf4eAKUIJQbjkj3GSoHqtVjhn/SHu7OCPhUfSO91EH1uwEb1CD02HYZ/+XniqKduyA==" saltValue="6ePw9wwJ88mF37A9f0+VV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18:X27 E34:X34 E37:X38 E41:X41 E44:X45 E59:X60 E87:X90 E93:X95 E98:X99 E104:X105 E141:X141">
    <cfRule type="expression" dxfId="22" priority="2">
      <formula>$H$5=1</formula>
    </cfRule>
  </conditionalFormatting>
  <conditionalFormatting sqref="D9:D10 D13:D15 E20:X25 E34:X34 E37:X38 E41:X41 E44:X45 E59:X60 D79:D80 E88:X90 E93:X95 E98:X99 E104:X105 D128:D136 E141:X141">
    <cfRule type="expression" dxfId="21" priority="3">
      <formula>$H$5=2</formula>
    </cfRule>
  </conditionalFormatting>
  <conditionalFormatting sqref="D15 E21:X21 E24:X25 E87:X87 E93:X93 E98:X98 E101:X102 E104:X104 E107:X107 E109:X109">
    <cfRule type="expression" dxfId="20" priority="4">
      <formula>$H$5=4</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7">
      <formula>$H$5=1</formula>
    </cfRule>
    <cfRule type="expression" dxfId="16" priority="8">
      <formula>$H$5=2</formula>
    </cfRule>
  </conditionalFormatting>
  <dataValidations count="13">
    <dataValidation allowBlank="1" sqref="A19:XFD19" xr:uid="{00000000-0002-0000-0000-000000000000}">
      <formula1>0</formula1>
      <formula2>0</formula2>
    </dataValidation>
    <dataValidation type="list" allowBlank="1" sqref="E51:X51" xr:uid="{00000000-0002-0000-0000-000001000000}">
      <formula1>"0%,50%,100%"</formula1>
      <formula2>0</formula2>
    </dataValidation>
    <dataValidation type="list" sqref="E38:X38" xr:uid="{00000000-0002-0000-0000-000002000000}">
      <formula1>"0,10%,20%,40%"</formula1>
      <formula2>0</formula2>
    </dataValidation>
    <dataValidation type="list" sqref="E37:X37" xr:uid="{00000000-0002-0000-0000-000003000000}">
      <formula1>"Salário Base,Salário Mínimo,Não incide"</formula1>
      <formula2>0</formula2>
    </dataValidation>
    <dataValidation sqref="E33:X33 E36:X36 E40:X41 E43:X43 E47:X47 E50:X50 E54:X54" xr:uid="{00000000-0002-0000-0000-000004000000}">
      <formula1>0</formula1>
      <formula2>0</formula2>
    </dataValidation>
    <dataValidation type="list" sqref="E34:X34" xr:uid="{00000000-0002-0000-0000-000005000000}">
      <formula1>"0%,30%"</formula1>
      <formula2>0</formula2>
    </dataValidation>
    <dataValidation type="list" allowBlank="1" showInputMessage="1" sqref="E22:X22" xr:uid="{00000000-0002-0000-0000-000006000000}">
      <formula1>"180,200,220"</formula1>
      <formula2>0</formula2>
    </dataValidation>
    <dataValidation type="list" allowBlank="1" showInputMessage="1" sqref="D11:E11" xr:uid="{00000000-0002-0000-0000-000007000000}">
      <formula1>"Valor Global,Mês,Dia,Hora"</formula1>
      <formula2>0</formula2>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formula2>0</formula2>
    </dataValidation>
    <dataValidation type="list" allowBlank="1" showInputMessage="1" showErrorMessage="1" sqref="D56" xr:uid="{00000000-0002-0000-0000-00000A000000}">
      <formula1>"Sim,Não"</formula1>
      <formula2>0</formula2>
    </dataValidation>
    <dataValidation showInputMessage="1" sqref="D142 D164" xr:uid="{00000000-0002-0000-0000-00000B000000}">
      <formula1>0</formula1>
      <formula2>0</formula2>
    </dataValidation>
    <dataValidation type="list" showInputMessage="1" sqref="E141:X141" xr:uid="{00000000-0002-0000-0000-00000C000000}">
      <formula1>"Indenização,Rendição"</formula1>
      <formula2>0</formula2>
    </dataValidation>
  </dataValidations>
  <hyperlinks>
    <hyperlink ref="C148" location="'Mat Individual e Uniformes func'!A1" display="Material Individual e Uniformes" xr:uid="{00000000-0004-0000-0000-000000000000}"/>
    <hyperlink ref="C149" location="'Mat Coletivo e Equipamentos'!A1" display="Material Coletivo e Equipamentos" xr:uid="{00000000-0004-0000-00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xr:uid="{00000000-0002-0000-0000-00000D000000}">
          <x14:formula1>
            <xm:f>'Apoio - Posto'!$B:$B</xm:f>
          </x14:formula1>
          <x14:formula2>
            <xm:f>0</xm:f>
          </x14:formula2>
          <xm:sqref>E20:X20</xm:sqref>
        </x14:dataValidation>
        <x14:dataValidation type="list" allowBlank="1" xr:uid="{00000000-0002-0000-0000-00000E000000}">
          <x14:formula1>
            <xm:f>'Apoio - Posto'!$A:$A</xm:f>
          </x14:formula1>
          <x14:formula2>
            <xm:f>0</xm:f>
          </x14:formula2>
          <xm:sqref>E18:X18</xm:sqref>
        </x14:dataValidation>
        <x14:dataValidation type="list" xr:uid="{00000000-0002-0000-0000-00000F000000}">
          <x14:formula1>
            <xm:f>'Apoio - Posto'!$C:$C</xm:f>
          </x14:formula1>
          <x14:formula2>
            <xm:f>0</xm:f>
          </x14:formula2>
          <xm:sqref>E23:X23</xm:sqref>
        </x14:dataValidation>
        <x14:dataValidation type="list" allowBlank="1" xr:uid="{00000000-0002-0000-0000-000010000000}">
          <x14:formula1>
            <xm:f>'Apoio - Dados'!$A:$A</xm:f>
          </x14:formula1>
          <x14:formula2>
            <xm:f>0</xm:f>
          </x14:formula2>
          <xm:sqref>D5:E5</xm:sqref>
        </x14:dataValidation>
        <x14:dataValidation type="list" allowBlank="1" showInputMessage="1" showErrorMessage="1" xr:uid="{00000000-0002-0000-0000-000011000000}">
          <x14:formula1>
            <xm:f>'Apoio - Notas Explicativas'!$H$15:$K$15</xm:f>
          </x14:formula1>
          <x14:formula2>
            <xm:f>0</xm:f>
          </x14:formula2>
          <xm:sqref>D13</xm:sqref>
        </x14:dataValidation>
        <x14:dataValidation type="list" allowBlank="1" showInputMessage="1" showErrorMessage="1" xr:uid="{00000000-0002-0000-0000-000012000000}">
          <x14:formula1>
            <xm:f>'Apoio - Posto'!#REF!</xm:f>
          </x14:formula1>
          <x14:formula2>
            <xm:f>0</xm:f>
          </x14:formula2>
          <xm:sqref>G10:G11</xm:sqref>
        </x14:dataValidation>
        <x14:dataValidation type="list" allowBlank="1" showInputMessage="1" showErrorMessage="1" xr:uid="{00000000-0002-0000-0000-000013000000}">
          <x14:formula1>
            <xm:f>'Apoio - Regime de Trabalho'!$A:$A</xm:f>
          </x14:formula1>
          <x14:formula2>
            <xm:f>0</xm:f>
          </x14:formula2>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N400"/>
  <sheetViews>
    <sheetView showGridLines="0" zoomScale="90" zoomScaleNormal="90" workbookViewId="0">
      <selection activeCell="J7" sqref="J7"/>
    </sheetView>
  </sheetViews>
  <sheetFormatPr defaultRowHeight="14.4"/>
  <cols>
    <col min="1" max="1" width="1.44140625" customWidth="1"/>
    <col min="2" max="2" width="7.44140625" customWidth="1"/>
    <col min="3" max="3" width="10.6640625" style="12" customWidth="1"/>
    <col min="4" max="4" width="48.44140625" customWidth="1"/>
    <col min="5" max="5" width="14" style="239" customWidth="1"/>
    <col min="6" max="6" width="15" customWidth="1"/>
    <col min="7" max="7" width="11.6640625" customWidth="1"/>
    <col min="8" max="8" width="18.109375" customWidth="1"/>
    <col min="9" max="9" width="0.6640625" customWidth="1"/>
    <col min="10" max="10" width="12.6640625" customWidth="1"/>
    <col min="11" max="14" width="12.33203125" customWidth="1"/>
    <col min="15" max="19" width="10.5546875" style="10" hidden="1" customWidth="1"/>
    <col min="20" max="29" width="11.5546875" style="10" hidden="1"/>
    <col min="30" max="144" width="9.109375" style="10" customWidth="1"/>
    <col min="145" max="1025" width="8.6640625" customWidth="1"/>
  </cols>
  <sheetData>
    <row r="1" spans="2:29" ht="9.75" customHeight="1"/>
    <row r="2" spans="2:29">
      <c r="B2" s="686" t="s">
        <v>183</v>
      </c>
      <c r="C2" s="686"/>
      <c r="D2" s="686"/>
      <c r="E2" s="686"/>
      <c r="F2" s="686"/>
      <c r="G2" s="686"/>
      <c r="H2" s="62"/>
      <c r="J2" s="687" t="s">
        <v>184</v>
      </c>
      <c r="K2" s="687"/>
      <c r="L2" s="687"/>
      <c r="M2" s="687"/>
      <c r="N2" s="687"/>
      <c r="O2" s="687"/>
      <c r="P2" s="687"/>
      <c r="Q2" s="687"/>
      <c r="R2" s="687"/>
      <c r="S2" s="687"/>
      <c r="T2" s="687"/>
      <c r="U2" s="687"/>
      <c r="V2" s="687"/>
      <c r="W2" s="687"/>
      <c r="X2" s="687"/>
      <c r="Y2" s="687"/>
      <c r="Z2" s="687"/>
      <c r="AA2" s="687"/>
      <c r="AB2" s="687"/>
      <c r="AC2" s="687"/>
    </row>
    <row r="3" spans="2:29" ht="43.2">
      <c r="B3" s="240" t="s">
        <v>185</v>
      </c>
      <c r="C3" s="240" t="s">
        <v>186</v>
      </c>
      <c r="D3" s="240" t="s">
        <v>187</v>
      </c>
      <c r="E3" s="240" t="s">
        <v>188</v>
      </c>
      <c r="F3" s="240" t="s">
        <v>70</v>
      </c>
      <c r="G3" s="241" t="s">
        <v>189</v>
      </c>
      <c r="H3" s="241" t="s">
        <v>190</v>
      </c>
      <c r="J3" s="240" t="str">
        <f>IF(IFERROR(SUM(Produtividade!$L$193:$L$218)&gt;0,FALSE()),Produtividade!E17,'Mão de Obra'!E17)</f>
        <v>Posto A</v>
      </c>
      <c r="K3" s="240" t="str">
        <f>IF(IFERROR(SUM(Produtividade!$L$193:$L$218)&gt;0,FALSE()),Produtividade!F17,'Mão de Obra'!F17)</f>
        <v>Posto B</v>
      </c>
      <c r="L3" s="240" t="str">
        <f>IF(IFERROR(SUM(Produtividade!$L$193:$L$218)&gt;0,FALSE()),Produtividade!G17,'Mão de Obra'!G17)</f>
        <v>Posto C</v>
      </c>
      <c r="M3" s="240" t="str">
        <f>IF(IFERROR(SUM(Produtividade!$L$193:$L$218)&gt;0,FALSE()),Produtividade!H17,'Mão de Obra'!H17)</f>
        <v>Posto D</v>
      </c>
      <c r="N3" s="240" t="str">
        <f>IF(IFERROR(SUM(Produtividade!$L$193:$L$218)&gt;0,FALSE()),Produtividade!I17,'Mão de Obra'!I17)</f>
        <v>Posto E</v>
      </c>
      <c r="O3" s="240" t="str">
        <f>IF(IFERROR(SUM(Produtividade!$L$193:$L$218)&gt;0,FALSE()),Produtividade!J17,'Mão de Obra'!J17)</f>
        <v>Posto F</v>
      </c>
      <c r="P3" s="240" t="str">
        <f>IF(IFERROR(SUM(Produtividade!$L$193:$L$218)&gt;0,FALSE()),Produtividade!K17,'Mão de Obra'!K17)</f>
        <v>Posto G</v>
      </c>
      <c r="Q3" s="240" t="str">
        <f>IF(IFERROR(SUM(Produtividade!$L$193:$L$218)&gt;0,FALSE()),Produtividade!L17,'Mão de Obra'!L17)</f>
        <v>Posto H</v>
      </c>
      <c r="R3" s="240" t="str">
        <f>IF(IFERROR(SUM(Produtividade!$L$193:$L$218)&gt;0,FALSE()),Produtividade!M17,'Mão de Obra'!M17)</f>
        <v>Posto I</v>
      </c>
      <c r="S3" s="240" t="str">
        <f>IF(IFERROR(SUM(Produtividade!$L$193:$L$218)&gt;0,FALSE()),Produtividade!N17,'Mão de Obra'!N17)</f>
        <v>Posto J</v>
      </c>
      <c r="T3" s="240" t="str">
        <f>IF(IFERROR(SUM(Produtividade!$L$193:$L$218)&gt;0,FALSE()),Produtividade!O17,'Mão de Obra'!O17)</f>
        <v>Posto K</v>
      </c>
      <c r="U3" s="240" t="str">
        <f>IF(IFERROR(SUM(Produtividade!$L$193:$L$218)&gt;0,FALSE()),Produtividade!P17,'Mão de Obra'!P17)</f>
        <v>Posto L</v>
      </c>
      <c r="V3" s="240" t="str">
        <f>IF(IFERROR(SUM(Produtividade!$L$193:$L$218)&gt;0,FALSE()),Produtividade!Q17,'Mão de Obra'!Q17)</f>
        <v>Posto M</v>
      </c>
      <c r="W3" s="240" t="str">
        <f>IF(IFERROR(SUM(Produtividade!$L$193:$L$218)&gt;0,FALSE()),Produtividade!R17,'Mão de Obra'!R17)</f>
        <v>Posto N</v>
      </c>
      <c r="X3" s="240" t="str">
        <f>IF(IFERROR(SUM(Produtividade!$L$193:$L$218)&gt;0,FALSE()),Produtividade!S17,'Mão de Obra'!S17)</f>
        <v>Posto O</v>
      </c>
      <c r="Y3" s="240" t="str">
        <f>IF(IFERROR(SUM(Produtividade!$L$193:$L$218)&gt;0,FALSE()),Produtividade!T17,'Mão de Obra'!T17)</f>
        <v>Posto P</v>
      </c>
      <c r="Z3" s="240" t="str">
        <f>IF(IFERROR(SUM(Produtividade!$L$193:$L$218)&gt;0,FALSE()),Produtividade!U17,'Mão de Obra'!U17)</f>
        <v>Posto Q</v>
      </c>
      <c r="AA3" s="240" t="str">
        <f>IF(IFERROR(SUM(Produtividade!$L$193:$L$218)&gt;0,FALSE()),Produtividade!V17,'Mão de Obra'!V17)</f>
        <v>Posto R</v>
      </c>
      <c r="AB3" s="240" t="str">
        <f>IF(IFERROR(SUM(Produtividade!$L$193:$L$218)&gt;0,FALSE()),Produtividade!W17,'Mão de Obra'!W17)</f>
        <v>Posto S</v>
      </c>
      <c r="AC3" s="240" t="str">
        <f>IF(IFERROR(SUM(Produtividade!$L$193:$L$218)&gt;0,FALSE()),Produtividade!X17,'Mão de Obra'!X17)</f>
        <v>Posto T</v>
      </c>
    </row>
    <row r="4" spans="2:29" s="10" customFormat="1">
      <c r="C4" s="242"/>
      <c r="E4" s="243"/>
      <c r="F4" s="688" t="s">
        <v>191</v>
      </c>
      <c r="G4" s="688"/>
      <c r="H4" s="688"/>
      <c r="J4" s="244">
        <f t="shared" ref="J4:AC4" si="0">IFERROR(ROUND(SUMPRODUCT(J6:J1000,$H$6:$H$1000),2),"")</f>
        <v>1497.64</v>
      </c>
      <c r="K4" s="244">
        <f t="shared" si="0"/>
        <v>0</v>
      </c>
      <c r="L4" s="244">
        <f t="shared" si="0"/>
        <v>0</v>
      </c>
      <c r="M4" s="244">
        <f t="shared" si="0"/>
        <v>0</v>
      </c>
      <c r="N4" s="244">
        <f t="shared" si="0"/>
        <v>0</v>
      </c>
      <c r="O4" s="244">
        <f t="shared" si="0"/>
        <v>0</v>
      </c>
      <c r="P4" s="244">
        <f t="shared" si="0"/>
        <v>0</v>
      </c>
      <c r="Q4" s="244">
        <f t="shared" si="0"/>
        <v>0</v>
      </c>
      <c r="R4" s="244">
        <f t="shared" si="0"/>
        <v>0</v>
      </c>
      <c r="S4" s="244">
        <f t="shared" si="0"/>
        <v>0</v>
      </c>
      <c r="T4" s="244">
        <f t="shared" si="0"/>
        <v>0</v>
      </c>
      <c r="U4" s="244">
        <f t="shared" si="0"/>
        <v>0</v>
      </c>
      <c r="V4" s="244">
        <f t="shared" si="0"/>
        <v>0</v>
      </c>
      <c r="W4" s="244">
        <f t="shared" si="0"/>
        <v>0</v>
      </c>
      <c r="X4" s="244">
        <f t="shared" si="0"/>
        <v>0</v>
      </c>
      <c r="Y4" s="244">
        <f t="shared" si="0"/>
        <v>0</v>
      </c>
      <c r="Z4" s="244">
        <f t="shared" si="0"/>
        <v>0</v>
      </c>
      <c r="AA4" s="244">
        <f t="shared" si="0"/>
        <v>0</v>
      </c>
      <c r="AB4" s="244">
        <f t="shared" si="0"/>
        <v>0</v>
      </c>
      <c r="AC4" s="244">
        <f t="shared" si="0"/>
        <v>0</v>
      </c>
    </row>
    <row r="6" spans="2:29" s="10" customFormat="1">
      <c r="B6" s="245">
        <v>1</v>
      </c>
      <c r="C6" s="246"/>
      <c r="D6" s="247" t="s">
        <v>192</v>
      </c>
      <c r="E6" s="245" t="s">
        <v>193</v>
      </c>
      <c r="F6" s="248">
        <v>7.9</v>
      </c>
      <c r="G6" s="249"/>
      <c r="H6" s="248">
        <f>IFERROR(IF(ISNUMBER(G6),G6*'Mão de Obra'!$D$12/12,1)*F6,"")</f>
        <v>7.9</v>
      </c>
      <c r="J6" s="245">
        <v>1</v>
      </c>
      <c r="K6" s="245"/>
      <c r="L6" s="245"/>
      <c r="M6" s="245"/>
      <c r="N6" s="245"/>
      <c r="O6" s="245"/>
      <c r="P6" s="245"/>
      <c r="Q6" s="245"/>
      <c r="R6" s="245"/>
      <c r="S6" s="245"/>
      <c r="T6" s="245"/>
      <c r="U6" s="245"/>
      <c r="V6" s="245"/>
      <c r="W6" s="245"/>
      <c r="X6" s="245"/>
      <c r="Y6" s="245"/>
      <c r="Z6" s="245"/>
      <c r="AA6" s="245"/>
      <c r="AB6" s="245"/>
      <c r="AC6" s="245"/>
    </row>
    <row r="7" spans="2:29" s="10" customFormat="1">
      <c r="B7" s="245">
        <v>2</v>
      </c>
      <c r="C7" s="246"/>
      <c r="D7" s="247" t="s">
        <v>194</v>
      </c>
      <c r="E7" s="245" t="s">
        <v>193</v>
      </c>
      <c r="F7" s="248">
        <v>59</v>
      </c>
      <c r="G7" s="249"/>
      <c r="H7" s="248">
        <f>IFERROR(IF(ISNUMBER(G7),G7*'Mão de Obra'!$D$12/12,1)*F7,"")</f>
        <v>59</v>
      </c>
      <c r="J7" s="245">
        <v>4</v>
      </c>
      <c r="K7" s="245"/>
      <c r="L7" s="245"/>
      <c r="M7" s="245"/>
      <c r="N7" s="245"/>
      <c r="O7" s="245"/>
      <c r="P7" s="245"/>
      <c r="Q7" s="245"/>
      <c r="R7" s="245"/>
      <c r="S7" s="245"/>
      <c r="T7" s="245"/>
      <c r="U7" s="245"/>
      <c r="V7" s="245"/>
      <c r="W7" s="245"/>
      <c r="X7" s="245"/>
      <c r="Y7" s="245"/>
      <c r="Z7" s="245"/>
      <c r="AA7" s="245"/>
      <c r="AB7" s="245"/>
      <c r="AC7" s="245"/>
    </row>
    <row r="8" spans="2:29" s="10" customFormat="1">
      <c r="B8" s="245">
        <v>3</v>
      </c>
      <c r="C8" s="246"/>
      <c r="D8" s="247" t="s">
        <v>195</v>
      </c>
      <c r="E8" s="245" t="s">
        <v>193</v>
      </c>
      <c r="F8" s="248">
        <v>90</v>
      </c>
      <c r="G8" s="249"/>
      <c r="H8" s="248">
        <f>IFERROR(IF(ISNUMBER(G8),G8*'Mão de Obra'!$D$12/12,1)*F8,"")</f>
        <v>90</v>
      </c>
      <c r="J8" s="245">
        <v>4</v>
      </c>
      <c r="K8" s="245"/>
      <c r="L8" s="245"/>
      <c r="M8" s="245"/>
      <c r="N8" s="245"/>
      <c r="O8" s="245"/>
      <c r="P8" s="245"/>
      <c r="Q8" s="245"/>
      <c r="R8" s="245"/>
      <c r="S8" s="245"/>
      <c r="T8" s="245"/>
      <c r="U8" s="245"/>
      <c r="V8" s="245"/>
      <c r="W8" s="245"/>
      <c r="X8" s="245"/>
      <c r="Y8" s="245"/>
      <c r="Z8" s="245"/>
      <c r="AA8" s="245"/>
      <c r="AB8" s="245"/>
      <c r="AC8" s="245"/>
    </row>
    <row r="9" spans="2:29" s="10" customFormat="1">
      <c r="B9" s="245">
        <v>4</v>
      </c>
      <c r="C9" s="246"/>
      <c r="D9" s="247" t="s">
        <v>196</v>
      </c>
      <c r="E9" s="245" t="s">
        <v>193</v>
      </c>
      <c r="F9" s="248">
        <v>106.63</v>
      </c>
      <c r="G9" s="249"/>
      <c r="H9" s="248">
        <f>IFERROR(IF(ISNUMBER(G9),G9*'Mão de Obra'!$D$12/12,1)*F9,"")</f>
        <v>106.63</v>
      </c>
      <c r="J9" s="245">
        <v>4</v>
      </c>
      <c r="K9" s="245"/>
      <c r="L9" s="245"/>
      <c r="M9" s="245"/>
      <c r="N9" s="245"/>
      <c r="O9" s="245"/>
      <c r="P9" s="245"/>
      <c r="Q9" s="245"/>
      <c r="R9" s="245"/>
      <c r="S9" s="245"/>
      <c r="T9" s="245"/>
      <c r="U9" s="245"/>
      <c r="V9" s="245"/>
      <c r="W9" s="245"/>
      <c r="X9" s="245"/>
      <c r="Y9" s="245"/>
      <c r="Z9" s="245"/>
      <c r="AA9" s="245"/>
      <c r="AB9" s="245"/>
      <c r="AC9" s="245"/>
    </row>
    <row r="10" spans="2:29" s="10" customFormat="1">
      <c r="B10" s="245">
        <v>5</v>
      </c>
      <c r="C10" s="246"/>
      <c r="D10" s="247" t="s">
        <v>197</v>
      </c>
      <c r="E10" s="245" t="s">
        <v>193</v>
      </c>
      <c r="F10" s="248">
        <v>26.18</v>
      </c>
      <c r="G10" s="249"/>
      <c r="H10" s="248">
        <f>IFERROR(IF(ISNUMBER(G10),G10*'Mão de Obra'!$D$12/12,1)*F10,"")</f>
        <v>26.18</v>
      </c>
      <c r="J10" s="245">
        <v>1</v>
      </c>
      <c r="K10" s="245"/>
      <c r="L10" s="245"/>
      <c r="M10" s="245"/>
      <c r="N10" s="245"/>
      <c r="O10" s="245"/>
      <c r="P10" s="245"/>
      <c r="Q10" s="245"/>
      <c r="R10" s="245"/>
      <c r="S10" s="245"/>
      <c r="T10" s="245"/>
      <c r="U10" s="245"/>
      <c r="V10" s="245"/>
      <c r="W10" s="245"/>
      <c r="X10" s="245"/>
      <c r="Y10" s="245"/>
      <c r="Z10" s="245"/>
      <c r="AA10" s="245"/>
      <c r="AB10" s="245"/>
      <c r="AC10" s="245"/>
    </row>
    <row r="11" spans="2:29" s="10" customFormat="1">
      <c r="B11" s="245">
        <v>6</v>
      </c>
      <c r="C11" s="246"/>
      <c r="D11" s="247" t="s">
        <v>198</v>
      </c>
      <c r="E11" s="245" t="s">
        <v>199</v>
      </c>
      <c r="F11" s="248">
        <v>86.45</v>
      </c>
      <c r="G11" s="249"/>
      <c r="H11" s="248">
        <f>IFERROR(IF(ISNUMBER(G11),G11*'Mão de Obra'!$D$12/12,1)*F11,"")</f>
        <v>86.45</v>
      </c>
      <c r="J11" s="245">
        <v>2</v>
      </c>
      <c r="K11" s="245"/>
      <c r="L11" s="245"/>
      <c r="M11" s="245"/>
      <c r="N11" s="245"/>
      <c r="O11" s="245"/>
      <c r="P11" s="245"/>
      <c r="Q11" s="245"/>
      <c r="R11" s="245"/>
      <c r="S11" s="245"/>
      <c r="T11" s="245"/>
      <c r="U11" s="245"/>
      <c r="V11" s="245"/>
      <c r="W11" s="245"/>
      <c r="X11" s="245"/>
      <c r="Y11" s="245"/>
      <c r="Z11" s="245"/>
      <c r="AA11" s="245"/>
      <c r="AB11" s="245"/>
      <c r="AC11" s="245"/>
    </row>
    <row r="12" spans="2:29" s="10" customFormat="1">
      <c r="B12" s="245">
        <v>7</v>
      </c>
      <c r="C12" s="246"/>
      <c r="D12" s="247" t="s">
        <v>200</v>
      </c>
      <c r="E12" s="245" t="s">
        <v>199</v>
      </c>
      <c r="F12" s="248">
        <v>7.95</v>
      </c>
      <c r="G12" s="249"/>
      <c r="H12" s="248">
        <f>IFERROR(IF(ISNUMBER(G12),G12*'Mão de Obra'!$D$12/12,1)*F12,"")</f>
        <v>7.95</v>
      </c>
      <c r="J12" s="245">
        <v>4</v>
      </c>
      <c r="K12" s="245"/>
      <c r="L12" s="245"/>
      <c r="M12" s="245"/>
      <c r="N12" s="245"/>
      <c r="O12" s="245"/>
      <c r="P12" s="245"/>
      <c r="Q12" s="245"/>
      <c r="R12" s="245"/>
      <c r="S12" s="245"/>
      <c r="T12" s="245"/>
      <c r="U12" s="245"/>
      <c r="V12" s="245"/>
      <c r="W12" s="245"/>
      <c r="X12" s="245"/>
      <c r="Y12" s="245"/>
      <c r="Z12" s="245"/>
      <c r="AA12" s="245"/>
      <c r="AB12" s="245"/>
      <c r="AC12" s="245"/>
    </row>
    <row r="13" spans="2:29" s="10" customFormat="1">
      <c r="B13" s="245">
        <v>8</v>
      </c>
      <c r="C13" s="246"/>
      <c r="D13" s="247" t="s">
        <v>201</v>
      </c>
      <c r="E13" s="245" t="s">
        <v>193</v>
      </c>
      <c r="F13" s="248">
        <v>158.69999999999999</v>
      </c>
      <c r="G13" s="249"/>
      <c r="H13" s="248">
        <f>IFERROR(IF(ISNUMBER(G13),G13*'Mão de Obra'!$D$12/12,1)*F13,"")</f>
        <v>158.69999999999999</v>
      </c>
      <c r="J13" s="245">
        <v>1</v>
      </c>
      <c r="K13" s="245"/>
      <c r="L13" s="245"/>
      <c r="M13" s="245"/>
      <c r="N13" s="245"/>
      <c r="O13" s="245"/>
      <c r="P13" s="245"/>
      <c r="Q13" s="245"/>
      <c r="R13" s="245"/>
      <c r="S13" s="245"/>
      <c r="T13" s="245"/>
      <c r="U13" s="245"/>
      <c r="V13" s="245"/>
      <c r="W13" s="245"/>
      <c r="X13" s="245"/>
      <c r="Y13" s="245"/>
      <c r="Z13" s="245"/>
      <c r="AA13" s="245"/>
      <c r="AB13" s="245"/>
      <c r="AC13" s="245"/>
    </row>
    <row r="14" spans="2:29" s="10" customFormat="1">
      <c r="B14" s="245">
        <v>9</v>
      </c>
      <c r="C14" s="246"/>
      <c r="D14" s="250" t="s">
        <v>202</v>
      </c>
      <c r="E14" s="246" t="s">
        <v>203</v>
      </c>
      <c r="F14" s="2">
        <v>6.47</v>
      </c>
      <c r="G14" s="249"/>
      <c r="H14" s="248">
        <f>IFERROR(IF(ISNUMBER(G14),G14*'Mão de Obra'!$D$12/12,1)*F14,"")</f>
        <v>6.47</v>
      </c>
      <c r="J14" s="245">
        <v>12</v>
      </c>
      <c r="K14" s="245"/>
      <c r="L14" s="245"/>
      <c r="M14" s="245"/>
      <c r="N14" s="245"/>
      <c r="O14" s="245"/>
      <c r="P14" s="245"/>
      <c r="Q14" s="245"/>
      <c r="R14" s="245"/>
      <c r="S14" s="245"/>
      <c r="T14" s="245"/>
      <c r="U14" s="245"/>
      <c r="V14" s="245"/>
      <c r="W14" s="245"/>
      <c r="X14" s="245"/>
      <c r="Y14" s="245"/>
      <c r="Z14" s="245"/>
      <c r="AA14" s="245"/>
      <c r="AB14" s="245"/>
      <c r="AC14" s="245"/>
    </row>
    <row r="15" spans="2:29" s="10" customFormat="1">
      <c r="B15" s="245">
        <v>10</v>
      </c>
      <c r="C15" s="246"/>
      <c r="D15" s="247"/>
      <c r="E15" s="245"/>
      <c r="F15" s="248"/>
      <c r="G15" s="249"/>
      <c r="H15" s="248">
        <f>IFERROR(IF(ISNUMBER(G15),G15*'Mão de Obra'!$D$12/12,1)*F15,"")</f>
        <v>0</v>
      </c>
      <c r="J15" s="245"/>
      <c r="K15" s="245"/>
      <c r="L15" s="245"/>
      <c r="M15" s="245"/>
      <c r="N15" s="245"/>
      <c r="O15" s="245"/>
      <c r="P15" s="245"/>
      <c r="Q15" s="245"/>
      <c r="R15" s="245"/>
      <c r="S15" s="245"/>
      <c r="T15" s="245"/>
      <c r="U15" s="245"/>
      <c r="V15" s="245"/>
      <c r="W15" s="245"/>
      <c r="X15" s="245"/>
      <c r="Y15" s="245"/>
      <c r="Z15" s="245"/>
      <c r="AA15" s="245"/>
      <c r="AB15" s="245"/>
      <c r="AC15" s="245"/>
    </row>
    <row r="16" spans="2:29" s="10" customFormat="1">
      <c r="B16" s="245">
        <v>11</v>
      </c>
      <c r="C16" s="246"/>
      <c r="D16" s="247"/>
      <c r="E16" s="245"/>
      <c r="F16" s="248"/>
      <c r="G16" s="249"/>
      <c r="H16" s="248">
        <f>IFERROR(IF(ISNUMBER(G16),G16*'Mão de Obra'!$D$12/12,1)*F16,"")</f>
        <v>0</v>
      </c>
      <c r="J16" s="245"/>
      <c r="K16" s="245"/>
      <c r="L16" s="245"/>
      <c r="M16" s="245"/>
      <c r="N16" s="245"/>
      <c r="O16" s="245"/>
      <c r="P16" s="245"/>
      <c r="Q16" s="245"/>
      <c r="R16" s="245"/>
      <c r="S16" s="245"/>
      <c r="T16" s="245"/>
      <c r="U16" s="245"/>
      <c r="V16" s="245"/>
      <c r="W16" s="245"/>
      <c r="X16" s="245"/>
      <c r="Y16" s="245"/>
      <c r="Z16" s="245"/>
      <c r="AA16" s="245"/>
      <c r="AB16" s="245"/>
      <c r="AC16" s="245"/>
    </row>
    <row r="17" spans="2:29" s="10" customFormat="1">
      <c r="B17" s="245">
        <v>12</v>
      </c>
      <c r="C17" s="246"/>
      <c r="D17" s="247"/>
      <c r="E17" s="245"/>
      <c r="F17" s="248"/>
      <c r="G17" s="249"/>
      <c r="H17" s="248">
        <f>IFERROR(IF(ISNUMBER(G17),G17*'Mão de Obra'!$D$12/12,1)*F17,"")</f>
        <v>0</v>
      </c>
      <c r="J17" s="245"/>
      <c r="K17" s="245"/>
      <c r="L17" s="245"/>
      <c r="M17" s="245"/>
      <c r="N17" s="245"/>
      <c r="O17" s="245"/>
      <c r="P17" s="245"/>
      <c r="Q17" s="245"/>
      <c r="R17" s="245"/>
      <c r="S17" s="245"/>
      <c r="T17" s="245"/>
      <c r="U17" s="245"/>
      <c r="V17" s="245"/>
      <c r="W17" s="245"/>
      <c r="X17" s="245"/>
      <c r="Y17" s="245"/>
      <c r="Z17" s="245"/>
      <c r="AA17" s="245"/>
      <c r="AB17" s="245"/>
      <c r="AC17" s="245"/>
    </row>
    <row r="18" spans="2:29" s="10" customFormat="1">
      <c r="B18" s="245">
        <v>13</v>
      </c>
      <c r="C18" s="246"/>
      <c r="D18" s="247"/>
      <c r="E18" s="245"/>
      <c r="F18" s="248"/>
      <c r="G18" s="249"/>
      <c r="H18" s="248">
        <f>IFERROR(IF(ISNUMBER(G18),G18*'Mão de Obra'!$D$12/12,1)*F18,"")</f>
        <v>0</v>
      </c>
      <c r="J18" s="245"/>
      <c r="K18" s="245"/>
      <c r="L18" s="245"/>
      <c r="M18" s="245"/>
      <c r="N18" s="245"/>
      <c r="O18" s="245"/>
      <c r="P18" s="245"/>
      <c r="Q18" s="245"/>
      <c r="R18" s="245"/>
      <c r="S18" s="245"/>
      <c r="T18" s="245"/>
      <c r="U18" s="245"/>
      <c r="V18" s="245"/>
      <c r="W18" s="245"/>
      <c r="X18" s="245"/>
      <c r="Y18" s="245"/>
      <c r="Z18" s="245"/>
      <c r="AA18" s="245"/>
      <c r="AB18" s="245"/>
      <c r="AC18" s="245"/>
    </row>
    <row r="19" spans="2:29" s="10" customFormat="1">
      <c r="B19" s="245">
        <v>14</v>
      </c>
      <c r="C19" s="246"/>
      <c r="D19" s="247"/>
      <c r="E19" s="245"/>
      <c r="F19" s="248"/>
      <c r="G19" s="249"/>
      <c r="H19" s="248">
        <f>IFERROR(IF(ISNUMBER(G19),G19*'Mão de Obra'!$D$12/12,1)*F19,"")</f>
        <v>0</v>
      </c>
      <c r="J19" s="245"/>
      <c r="K19" s="245"/>
      <c r="L19" s="245"/>
      <c r="M19" s="245"/>
      <c r="N19" s="245"/>
      <c r="O19" s="245"/>
      <c r="P19" s="245"/>
      <c r="Q19" s="245"/>
      <c r="R19" s="245"/>
      <c r="S19" s="245"/>
      <c r="T19" s="245"/>
      <c r="U19" s="245"/>
      <c r="V19" s="245"/>
      <c r="W19" s="245"/>
      <c r="X19" s="245"/>
      <c r="Y19" s="245"/>
      <c r="Z19" s="245"/>
      <c r="AA19" s="245"/>
      <c r="AB19" s="245"/>
      <c r="AC19" s="245"/>
    </row>
    <row r="20" spans="2:29" s="10" customFormat="1">
      <c r="B20" s="245">
        <v>15</v>
      </c>
      <c r="C20" s="246"/>
      <c r="D20" s="247"/>
      <c r="E20" s="245"/>
      <c r="F20" s="248"/>
      <c r="G20" s="249"/>
      <c r="H20" s="248">
        <f>IFERROR(IF(ISNUMBER(G20),G20*'Mão de Obra'!$D$12/12,1)*F20,"")</f>
        <v>0</v>
      </c>
      <c r="J20" s="245"/>
      <c r="K20" s="245"/>
      <c r="L20" s="245"/>
      <c r="M20" s="245"/>
      <c r="N20" s="245"/>
      <c r="O20" s="245"/>
      <c r="P20" s="245"/>
      <c r="Q20" s="245"/>
      <c r="R20" s="245"/>
      <c r="S20" s="245"/>
      <c r="T20" s="245"/>
      <c r="U20" s="245"/>
      <c r="V20" s="245"/>
      <c r="W20" s="245"/>
      <c r="X20" s="245"/>
      <c r="Y20" s="245"/>
      <c r="Z20" s="245"/>
      <c r="AA20" s="245"/>
      <c r="AB20" s="245"/>
      <c r="AC20" s="245"/>
    </row>
    <row r="21" spans="2:29" s="10" customFormat="1">
      <c r="B21" s="245">
        <v>16</v>
      </c>
      <c r="C21" s="246"/>
      <c r="D21" s="247"/>
      <c r="E21" s="245"/>
      <c r="F21" s="248"/>
      <c r="G21" s="249"/>
      <c r="H21" s="248">
        <f>IFERROR(IF(ISNUMBER(G21),G21*'Mão de Obra'!$D$12/12,1)*F21,"")</f>
        <v>0</v>
      </c>
      <c r="J21" s="245"/>
      <c r="K21" s="245"/>
      <c r="L21" s="245"/>
      <c r="M21" s="245"/>
      <c r="N21" s="245"/>
      <c r="O21" s="245"/>
      <c r="P21" s="245"/>
      <c r="Q21" s="245"/>
      <c r="R21" s="245"/>
      <c r="S21" s="245"/>
      <c r="T21" s="245"/>
      <c r="U21" s="245"/>
      <c r="V21" s="245"/>
      <c r="W21" s="245"/>
      <c r="X21" s="245"/>
      <c r="Y21" s="245"/>
      <c r="Z21" s="245"/>
      <c r="AA21" s="245"/>
      <c r="AB21" s="245"/>
      <c r="AC21" s="245"/>
    </row>
    <row r="22" spans="2:29" s="10" customFormat="1">
      <c r="B22" s="245">
        <v>17</v>
      </c>
      <c r="C22" s="246"/>
      <c r="D22" s="247"/>
      <c r="E22" s="245"/>
      <c r="F22" s="248"/>
      <c r="G22" s="249"/>
      <c r="H22" s="248">
        <f>IFERROR(IF(ISNUMBER(G22),G22*'Mão de Obra'!$D$12/12,1)*F22,"")</f>
        <v>0</v>
      </c>
      <c r="J22" s="245"/>
      <c r="K22" s="245"/>
      <c r="L22" s="245"/>
      <c r="M22" s="245"/>
      <c r="N22" s="245"/>
      <c r="O22" s="245"/>
      <c r="P22" s="245"/>
      <c r="Q22" s="245"/>
      <c r="R22" s="245"/>
      <c r="S22" s="245"/>
      <c r="T22" s="245"/>
      <c r="U22" s="245"/>
      <c r="V22" s="245"/>
      <c r="W22" s="245"/>
      <c r="X22" s="245"/>
      <c r="Y22" s="245"/>
      <c r="Z22" s="245"/>
      <c r="AA22" s="245"/>
      <c r="AB22" s="245"/>
      <c r="AC22" s="245"/>
    </row>
    <row r="23" spans="2:29" s="10" customFormat="1">
      <c r="B23" s="245">
        <v>18</v>
      </c>
      <c r="C23" s="246"/>
      <c r="D23" s="247"/>
      <c r="E23" s="245"/>
      <c r="F23" s="248"/>
      <c r="G23" s="249"/>
      <c r="H23" s="248">
        <f>IFERROR(IF(ISNUMBER(G23),G23*'Mão de Obra'!$D$12/12,1)*F23,"")</f>
        <v>0</v>
      </c>
      <c r="J23" s="245"/>
      <c r="K23" s="245"/>
      <c r="L23" s="245"/>
      <c r="M23" s="245"/>
      <c r="N23" s="245"/>
      <c r="O23" s="245"/>
      <c r="P23" s="245"/>
      <c r="Q23" s="245"/>
      <c r="R23" s="245"/>
      <c r="S23" s="245"/>
      <c r="T23" s="245"/>
      <c r="U23" s="245"/>
      <c r="V23" s="245"/>
      <c r="W23" s="245"/>
      <c r="X23" s="245"/>
      <c r="Y23" s="245"/>
      <c r="Z23" s="245"/>
      <c r="AA23" s="245"/>
      <c r="AB23" s="245"/>
      <c r="AC23" s="245"/>
    </row>
    <row r="24" spans="2:29" s="10" customFormat="1">
      <c r="B24" s="245">
        <v>19</v>
      </c>
      <c r="C24" s="246"/>
      <c r="D24" s="247"/>
      <c r="E24" s="245"/>
      <c r="F24" s="248"/>
      <c r="G24" s="249"/>
      <c r="H24" s="248">
        <f>IFERROR(IF(ISNUMBER(G24),G24*'Mão de Obra'!$D$12/12,1)*F24,"")</f>
        <v>0</v>
      </c>
      <c r="J24" s="245"/>
      <c r="K24" s="245"/>
      <c r="L24" s="245"/>
      <c r="M24" s="245"/>
      <c r="N24" s="245"/>
      <c r="O24" s="245"/>
      <c r="P24" s="245"/>
      <c r="Q24" s="245"/>
      <c r="R24" s="245"/>
      <c r="S24" s="245"/>
      <c r="T24" s="245"/>
      <c r="U24" s="245"/>
      <c r="V24" s="245"/>
      <c r="W24" s="245"/>
      <c r="X24" s="245"/>
      <c r="Y24" s="245"/>
      <c r="Z24" s="245"/>
      <c r="AA24" s="245"/>
      <c r="AB24" s="245"/>
      <c r="AC24" s="245"/>
    </row>
    <row r="25" spans="2:29" s="10" customFormat="1">
      <c r="B25" s="245">
        <v>20</v>
      </c>
      <c r="C25" s="246"/>
      <c r="D25" s="247"/>
      <c r="E25" s="245"/>
      <c r="F25" s="248"/>
      <c r="G25" s="249"/>
      <c r="H25" s="248">
        <f>IFERROR(IF(ISNUMBER(G25),G25*'Mão de Obra'!$D$12/12,1)*F25,"")</f>
        <v>0</v>
      </c>
      <c r="J25" s="245"/>
      <c r="K25" s="245"/>
      <c r="L25" s="245"/>
      <c r="M25" s="245"/>
      <c r="N25" s="245"/>
      <c r="O25" s="245"/>
      <c r="P25" s="245"/>
      <c r="Q25" s="245"/>
      <c r="R25" s="245"/>
      <c r="S25" s="245"/>
      <c r="T25" s="245"/>
      <c r="U25" s="245"/>
      <c r="V25" s="245"/>
      <c r="W25" s="245"/>
      <c r="X25" s="245"/>
      <c r="Y25" s="245"/>
      <c r="Z25" s="245"/>
      <c r="AA25" s="245"/>
      <c r="AB25" s="245"/>
      <c r="AC25" s="245"/>
    </row>
    <row r="26" spans="2:29" s="10" customFormat="1">
      <c r="C26" s="242"/>
      <c r="E26" s="243"/>
    </row>
    <row r="27" spans="2:29" s="10" customFormat="1">
      <c r="C27" s="242"/>
      <c r="E27" s="243"/>
    </row>
    <row r="28" spans="2:29" s="10" customFormat="1">
      <c r="C28" s="242"/>
      <c r="E28" s="243"/>
    </row>
    <row r="29" spans="2:29" s="10" customFormat="1">
      <c r="C29" s="242"/>
      <c r="E29" s="243"/>
    </row>
    <row r="30" spans="2:29" s="10" customFormat="1">
      <c r="C30" s="242"/>
      <c r="E30" s="243"/>
    </row>
    <row r="31" spans="2:29" s="10" customFormat="1">
      <c r="C31" s="242"/>
      <c r="E31" s="243"/>
    </row>
    <row r="32" spans="2:29" s="10" customFormat="1">
      <c r="C32" s="242"/>
      <c r="E32" s="243"/>
    </row>
    <row r="33" spans="3:5" s="10" customFormat="1">
      <c r="C33" s="242"/>
      <c r="E33" s="243"/>
    </row>
    <row r="34" spans="3:5" s="10" customFormat="1">
      <c r="C34" s="242"/>
      <c r="E34" s="243"/>
    </row>
    <row r="35" spans="3:5" s="10" customFormat="1">
      <c r="C35" s="242"/>
      <c r="E35" s="243"/>
    </row>
    <row r="36" spans="3:5" s="10" customFormat="1">
      <c r="C36" s="242"/>
      <c r="E36" s="243"/>
    </row>
    <row r="37" spans="3:5" s="10" customFormat="1">
      <c r="C37" s="242"/>
      <c r="E37" s="243"/>
    </row>
    <row r="38" spans="3:5" s="10" customFormat="1">
      <c r="C38" s="242"/>
      <c r="E38" s="243"/>
    </row>
    <row r="39" spans="3:5" s="10" customFormat="1">
      <c r="C39" s="242"/>
      <c r="E39" s="243"/>
    </row>
    <row r="40" spans="3:5" s="10" customFormat="1">
      <c r="C40" s="242"/>
      <c r="E40" s="243"/>
    </row>
    <row r="41" spans="3:5" s="10" customFormat="1">
      <c r="C41" s="242"/>
      <c r="E41" s="243"/>
    </row>
    <row r="42" spans="3:5" s="10" customFormat="1">
      <c r="C42" s="242"/>
      <c r="E42" s="243"/>
    </row>
    <row r="43" spans="3:5" s="10" customFormat="1">
      <c r="C43" s="242"/>
      <c r="E43" s="243"/>
    </row>
    <row r="44" spans="3:5" s="10" customFormat="1">
      <c r="C44" s="242"/>
      <c r="E44" s="243"/>
    </row>
    <row r="45" spans="3:5" s="10" customFormat="1">
      <c r="C45" s="242"/>
      <c r="E45" s="243"/>
    </row>
    <row r="46" spans="3:5" s="10" customFormat="1">
      <c r="C46" s="242"/>
      <c r="E46" s="243"/>
    </row>
    <row r="47" spans="3:5" s="10" customFormat="1">
      <c r="C47" s="242"/>
      <c r="E47" s="243"/>
    </row>
    <row r="48" spans="3:5" s="10" customFormat="1">
      <c r="C48" s="242"/>
      <c r="E48" s="243"/>
    </row>
    <row r="49" spans="3:5" s="10" customFormat="1">
      <c r="C49" s="242"/>
      <c r="E49" s="243"/>
    </row>
    <row r="50" spans="3:5" s="10" customFormat="1">
      <c r="C50" s="242"/>
      <c r="E50" s="243"/>
    </row>
    <row r="51" spans="3:5" s="10" customFormat="1">
      <c r="C51" s="242"/>
      <c r="E51" s="243"/>
    </row>
    <row r="52" spans="3:5" s="10" customFormat="1">
      <c r="C52" s="242"/>
      <c r="E52" s="243"/>
    </row>
    <row r="53" spans="3:5" s="10" customFormat="1">
      <c r="C53" s="242"/>
      <c r="E53" s="243"/>
    </row>
    <row r="54" spans="3:5" s="10" customFormat="1">
      <c r="C54" s="242"/>
      <c r="E54" s="243"/>
    </row>
    <row r="55" spans="3:5" s="10" customFormat="1">
      <c r="C55" s="242"/>
      <c r="E55" s="243"/>
    </row>
    <row r="56" spans="3:5" s="10" customFormat="1">
      <c r="C56" s="242"/>
      <c r="E56" s="243"/>
    </row>
    <row r="57" spans="3:5" s="10" customFormat="1">
      <c r="C57" s="242"/>
      <c r="E57" s="243"/>
    </row>
    <row r="58" spans="3:5" s="10" customFormat="1">
      <c r="C58" s="242"/>
      <c r="E58" s="243"/>
    </row>
    <row r="59" spans="3:5" s="10" customFormat="1">
      <c r="C59" s="242"/>
      <c r="E59" s="243"/>
    </row>
    <row r="60" spans="3:5" s="10" customFormat="1">
      <c r="C60" s="242"/>
      <c r="E60" s="243"/>
    </row>
    <row r="61" spans="3:5" s="10" customFormat="1">
      <c r="C61" s="242"/>
      <c r="E61" s="243"/>
    </row>
    <row r="62" spans="3:5" s="10" customFormat="1">
      <c r="C62" s="242"/>
      <c r="E62" s="243"/>
    </row>
    <row r="63" spans="3:5" s="10" customFormat="1">
      <c r="C63" s="242"/>
      <c r="E63" s="243"/>
    </row>
    <row r="64" spans="3:5" s="10" customFormat="1">
      <c r="C64" s="242"/>
      <c r="E64" s="243"/>
    </row>
    <row r="65" spans="3:5" s="10" customFormat="1">
      <c r="C65" s="242"/>
      <c r="E65" s="243"/>
    </row>
    <row r="66" spans="3:5" s="10" customFormat="1">
      <c r="C66" s="242"/>
      <c r="E66" s="243"/>
    </row>
    <row r="67" spans="3:5" s="10" customFormat="1">
      <c r="C67" s="242"/>
      <c r="E67" s="243"/>
    </row>
    <row r="68" spans="3:5" s="10" customFormat="1">
      <c r="C68" s="242"/>
      <c r="E68" s="243"/>
    </row>
    <row r="69" spans="3:5" s="10" customFormat="1">
      <c r="C69" s="242"/>
      <c r="E69" s="243"/>
    </row>
    <row r="70" spans="3:5" s="10" customFormat="1">
      <c r="C70" s="242"/>
      <c r="E70" s="243"/>
    </row>
    <row r="71" spans="3:5" s="10" customFormat="1">
      <c r="C71" s="242"/>
      <c r="E71" s="243"/>
    </row>
    <row r="72" spans="3:5" s="10" customFormat="1">
      <c r="C72" s="242"/>
      <c r="E72" s="243"/>
    </row>
    <row r="73" spans="3:5" s="10" customFormat="1">
      <c r="C73" s="242"/>
      <c r="E73" s="243"/>
    </row>
    <row r="74" spans="3:5" s="10" customFormat="1">
      <c r="C74" s="242"/>
      <c r="E74" s="243"/>
    </row>
    <row r="75" spans="3:5" s="10" customFormat="1">
      <c r="C75" s="242"/>
      <c r="E75" s="243"/>
    </row>
    <row r="76" spans="3:5" s="10" customFormat="1">
      <c r="C76" s="242"/>
      <c r="E76" s="243"/>
    </row>
    <row r="77" spans="3:5" s="10" customFormat="1">
      <c r="C77" s="242"/>
      <c r="E77" s="243"/>
    </row>
    <row r="78" spans="3:5" s="10" customFormat="1">
      <c r="C78" s="242"/>
      <c r="E78" s="243"/>
    </row>
    <row r="79" spans="3:5" s="10" customFormat="1">
      <c r="C79" s="242"/>
      <c r="E79" s="243"/>
    </row>
    <row r="80" spans="3:5" s="10" customFormat="1">
      <c r="C80" s="242"/>
      <c r="E80" s="243"/>
    </row>
    <row r="81" spans="3:5" s="10" customFormat="1">
      <c r="C81" s="242"/>
      <c r="E81" s="243"/>
    </row>
    <row r="82" spans="3:5" s="10" customFormat="1">
      <c r="C82" s="242"/>
      <c r="E82" s="243"/>
    </row>
    <row r="83" spans="3:5" s="10" customFormat="1">
      <c r="C83" s="242"/>
      <c r="E83" s="243"/>
    </row>
    <row r="84" spans="3:5" s="10" customFormat="1">
      <c r="C84" s="242"/>
      <c r="E84" s="243"/>
    </row>
    <row r="85" spans="3:5" s="10" customFormat="1">
      <c r="C85" s="242"/>
      <c r="E85" s="243"/>
    </row>
    <row r="86" spans="3:5" s="10" customFormat="1">
      <c r="C86" s="242"/>
      <c r="E86" s="243"/>
    </row>
    <row r="87" spans="3:5" s="10" customFormat="1">
      <c r="C87" s="242"/>
      <c r="E87" s="243"/>
    </row>
    <row r="88" spans="3:5" s="10" customFormat="1">
      <c r="C88" s="242"/>
      <c r="E88" s="243"/>
    </row>
    <row r="89" spans="3:5" s="10" customFormat="1">
      <c r="C89" s="242"/>
      <c r="E89" s="243"/>
    </row>
    <row r="90" spans="3:5" s="10" customFormat="1">
      <c r="C90" s="242"/>
      <c r="E90" s="243"/>
    </row>
    <row r="91" spans="3:5" s="10" customFormat="1">
      <c r="C91" s="242"/>
      <c r="E91" s="243"/>
    </row>
    <row r="92" spans="3:5" s="10" customFormat="1">
      <c r="C92" s="242"/>
      <c r="E92" s="243"/>
    </row>
    <row r="93" spans="3:5" s="10" customFormat="1">
      <c r="C93" s="242"/>
      <c r="E93" s="243"/>
    </row>
    <row r="94" spans="3:5" s="10" customFormat="1">
      <c r="C94" s="242"/>
      <c r="E94" s="243"/>
    </row>
    <row r="95" spans="3:5" s="10" customFormat="1">
      <c r="C95" s="242"/>
      <c r="E95" s="243"/>
    </row>
    <row r="96" spans="3:5" s="10" customFormat="1">
      <c r="C96" s="242"/>
      <c r="E96" s="243"/>
    </row>
    <row r="97" spans="3:5" s="10" customFormat="1">
      <c r="C97" s="242"/>
      <c r="E97" s="243"/>
    </row>
    <row r="98" spans="3:5" s="10" customFormat="1">
      <c r="C98" s="242"/>
      <c r="E98" s="243"/>
    </row>
    <row r="99" spans="3:5" s="10" customFormat="1">
      <c r="C99" s="242"/>
      <c r="E99" s="243"/>
    </row>
    <row r="100" spans="3:5" s="10" customFormat="1">
      <c r="C100" s="242"/>
      <c r="E100" s="243"/>
    </row>
    <row r="101" spans="3:5" s="10" customFormat="1">
      <c r="C101" s="242"/>
      <c r="E101" s="243"/>
    </row>
    <row r="102" spans="3:5" s="10" customFormat="1">
      <c r="C102" s="242"/>
      <c r="E102" s="243"/>
    </row>
    <row r="103" spans="3:5" s="10" customFormat="1">
      <c r="C103" s="242"/>
      <c r="E103" s="243"/>
    </row>
    <row r="104" spans="3:5" s="10" customFormat="1">
      <c r="C104" s="242"/>
      <c r="E104" s="243"/>
    </row>
    <row r="105" spans="3:5" s="10" customFormat="1">
      <c r="C105" s="242"/>
      <c r="E105" s="243"/>
    </row>
    <row r="106" spans="3:5" s="10" customFormat="1">
      <c r="C106" s="242"/>
      <c r="E106" s="243"/>
    </row>
    <row r="107" spans="3:5" s="10" customFormat="1">
      <c r="C107" s="242"/>
      <c r="E107" s="243"/>
    </row>
    <row r="108" spans="3:5" s="10" customFormat="1">
      <c r="C108" s="242"/>
      <c r="E108" s="243"/>
    </row>
    <row r="109" spans="3:5" s="10" customFormat="1">
      <c r="C109" s="242"/>
      <c r="E109" s="243"/>
    </row>
    <row r="110" spans="3:5" s="10" customFormat="1">
      <c r="C110" s="242"/>
      <c r="E110" s="243"/>
    </row>
    <row r="111" spans="3:5" s="10" customFormat="1">
      <c r="C111" s="242"/>
      <c r="E111" s="243"/>
    </row>
    <row r="112" spans="3:5" s="10" customFormat="1">
      <c r="C112" s="242"/>
      <c r="E112" s="243"/>
    </row>
    <row r="113" spans="3:5" s="10" customFormat="1">
      <c r="C113" s="242"/>
      <c r="E113" s="243"/>
    </row>
    <row r="114" spans="3:5" s="10" customFormat="1">
      <c r="C114" s="242"/>
      <c r="E114" s="243"/>
    </row>
    <row r="115" spans="3:5" s="10" customFormat="1">
      <c r="C115" s="242"/>
      <c r="E115" s="243"/>
    </row>
    <row r="116" spans="3:5" s="10" customFormat="1">
      <c r="C116" s="242"/>
      <c r="E116" s="243"/>
    </row>
    <row r="117" spans="3:5" s="10" customFormat="1">
      <c r="C117" s="242"/>
      <c r="E117" s="243"/>
    </row>
    <row r="118" spans="3:5" s="10" customFormat="1">
      <c r="C118" s="242"/>
      <c r="E118" s="243"/>
    </row>
    <row r="119" spans="3:5" s="10" customFormat="1">
      <c r="C119" s="242"/>
      <c r="E119" s="243"/>
    </row>
    <row r="120" spans="3:5" s="10" customFormat="1">
      <c r="C120" s="242"/>
      <c r="E120" s="243"/>
    </row>
    <row r="121" spans="3:5" s="10" customFormat="1">
      <c r="C121" s="242"/>
      <c r="E121" s="243"/>
    </row>
    <row r="122" spans="3:5" s="10" customFormat="1">
      <c r="C122" s="242"/>
      <c r="E122" s="243"/>
    </row>
    <row r="123" spans="3:5" s="10" customFormat="1">
      <c r="C123" s="242"/>
      <c r="E123" s="243"/>
    </row>
    <row r="124" spans="3:5" s="10" customFormat="1">
      <c r="C124" s="242"/>
      <c r="E124" s="243"/>
    </row>
    <row r="125" spans="3:5" s="10" customFormat="1">
      <c r="C125" s="242"/>
      <c r="E125" s="243"/>
    </row>
    <row r="126" spans="3:5" s="10" customFormat="1">
      <c r="C126" s="242"/>
      <c r="E126" s="243"/>
    </row>
    <row r="127" spans="3:5" s="10" customFormat="1">
      <c r="C127" s="242"/>
      <c r="E127" s="243"/>
    </row>
    <row r="128" spans="3:5" s="10" customFormat="1">
      <c r="C128" s="242"/>
      <c r="E128" s="243"/>
    </row>
    <row r="129" spans="3:5" s="10" customFormat="1">
      <c r="C129" s="242"/>
      <c r="E129" s="243"/>
    </row>
    <row r="130" spans="3:5" s="10" customFormat="1">
      <c r="C130" s="242"/>
      <c r="E130" s="243"/>
    </row>
    <row r="131" spans="3:5" s="10" customFormat="1">
      <c r="C131" s="242"/>
      <c r="E131" s="243"/>
    </row>
    <row r="132" spans="3:5" s="10" customFormat="1">
      <c r="C132" s="242"/>
      <c r="E132" s="243"/>
    </row>
    <row r="133" spans="3:5" s="10" customFormat="1">
      <c r="C133" s="242"/>
      <c r="E133" s="243"/>
    </row>
    <row r="134" spans="3:5" s="10" customFormat="1">
      <c r="C134" s="242"/>
      <c r="E134" s="243"/>
    </row>
    <row r="135" spans="3:5" s="10" customFormat="1">
      <c r="C135" s="242"/>
      <c r="E135" s="243"/>
    </row>
    <row r="136" spans="3:5" s="10" customFormat="1">
      <c r="C136" s="242"/>
      <c r="E136" s="243"/>
    </row>
    <row r="137" spans="3:5" s="10" customFormat="1">
      <c r="C137" s="242"/>
      <c r="E137" s="243"/>
    </row>
    <row r="138" spans="3:5" s="10" customFormat="1">
      <c r="C138" s="242"/>
      <c r="E138" s="243"/>
    </row>
    <row r="139" spans="3:5" s="10" customFormat="1">
      <c r="C139" s="242"/>
      <c r="E139" s="243"/>
    </row>
    <row r="140" spans="3:5" s="10" customFormat="1">
      <c r="C140" s="242"/>
      <c r="E140" s="243"/>
    </row>
    <row r="141" spans="3:5" s="10" customFormat="1">
      <c r="C141" s="242"/>
      <c r="E141" s="243"/>
    </row>
    <row r="142" spans="3:5" s="10" customFormat="1">
      <c r="C142" s="242"/>
      <c r="E142" s="243"/>
    </row>
    <row r="143" spans="3:5" s="10" customFormat="1">
      <c r="C143" s="242"/>
      <c r="E143" s="243"/>
    </row>
    <row r="144" spans="3:5" s="10" customFormat="1">
      <c r="C144" s="242"/>
      <c r="E144" s="243"/>
    </row>
    <row r="145" spans="3:5" s="10" customFormat="1">
      <c r="C145" s="242"/>
      <c r="E145" s="243"/>
    </row>
    <row r="146" spans="3:5" s="10" customFormat="1">
      <c r="C146" s="242"/>
      <c r="E146" s="243"/>
    </row>
    <row r="147" spans="3:5" s="10" customFormat="1">
      <c r="C147" s="242"/>
      <c r="E147" s="243"/>
    </row>
    <row r="148" spans="3:5" s="10" customFormat="1">
      <c r="C148" s="242"/>
      <c r="E148" s="243"/>
    </row>
    <row r="149" spans="3:5" s="10" customFormat="1">
      <c r="C149" s="242"/>
      <c r="E149" s="243"/>
    </row>
    <row r="150" spans="3:5" s="10" customFormat="1">
      <c r="C150" s="242"/>
      <c r="E150" s="243"/>
    </row>
    <row r="151" spans="3:5" s="10" customFormat="1">
      <c r="C151" s="242"/>
      <c r="E151" s="243"/>
    </row>
    <row r="152" spans="3:5" s="10" customFormat="1">
      <c r="C152" s="242"/>
      <c r="E152" s="243"/>
    </row>
    <row r="153" spans="3:5" s="10" customFormat="1">
      <c r="C153" s="242"/>
      <c r="E153" s="243"/>
    </row>
    <row r="154" spans="3:5" s="10" customFormat="1">
      <c r="C154" s="242"/>
      <c r="E154" s="243"/>
    </row>
    <row r="155" spans="3:5" s="10" customFormat="1">
      <c r="C155" s="242"/>
      <c r="E155" s="243"/>
    </row>
    <row r="156" spans="3:5" s="10" customFormat="1">
      <c r="C156" s="242"/>
      <c r="E156" s="243"/>
    </row>
    <row r="157" spans="3:5" s="10" customFormat="1">
      <c r="C157" s="242"/>
      <c r="E157" s="243"/>
    </row>
    <row r="158" spans="3:5" s="10" customFormat="1">
      <c r="C158" s="242"/>
      <c r="E158" s="243"/>
    </row>
    <row r="159" spans="3:5" s="10" customFormat="1">
      <c r="C159" s="242"/>
      <c r="E159" s="243"/>
    </row>
    <row r="160" spans="3:5" s="10" customFormat="1">
      <c r="C160" s="242"/>
      <c r="E160" s="243"/>
    </row>
    <row r="161" spans="3:5" s="10" customFormat="1">
      <c r="C161" s="242"/>
      <c r="E161" s="243"/>
    </row>
    <row r="162" spans="3:5" s="10" customFormat="1">
      <c r="C162" s="242"/>
      <c r="E162" s="243"/>
    </row>
    <row r="163" spans="3:5" s="10" customFormat="1">
      <c r="C163" s="242"/>
      <c r="E163" s="243"/>
    </row>
    <row r="164" spans="3:5" s="10" customFormat="1">
      <c r="C164" s="242"/>
      <c r="E164" s="243"/>
    </row>
    <row r="165" spans="3:5" s="10" customFormat="1">
      <c r="C165" s="242"/>
      <c r="E165" s="243"/>
    </row>
    <row r="166" spans="3:5" s="10" customFormat="1">
      <c r="C166" s="242"/>
      <c r="E166" s="243"/>
    </row>
    <row r="167" spans="3:5" s="10" customFormat="1">
      <c r="C167" s="242"/>
      <c r="E167" s="243"/>
    </row>
    <row r="168" spans="3:5" s="10" customFormat="1">
      <c r="C168" s="242"/>
      <c r="E168" s="243"/>
    </row>
    <row r="169" spans="3:5" s="10" customFormat="1">
      <c r="C169" s="242"/>
      <c r="E169" s="243"/>
    </row>
    <row r="170" spans="3:5" s="10" customFormat="1">
      <c r="C170" s="242"/>
      <c r="E170" s="243"/>
    </row>
    <row r="171" spans="3:5" s="10" customFormat="1">
      <c r="C171" s="242"/>
      <c r="E171" s="243"/>
    </row>
    <row r="172" spans="3:5" s="10" customFormat="1">
      <c r="C172" s="242"/>
      <c r="E172" s="243"/>
    </row>
    <row r="173" spans="3:5" s="10" customFormat="1">
      <c r="C173" s="242"/>
      <c r="E173" s="243"/>
    </row>
    <row r="174" spans="3:5" s="10" customFormat="1">
      <c r="C174" s="242"/>
      <c r="E174" s="243"/>
    </row>
    <row r="175" spans="3:5" s="10" customFormat="1">
      <c r="C175" s="242"/>
      <c r="E175" s="243"/>
    </row>
    <row r="176" spans="3:5" s="10" customFormat="1">
      <c r="C176" s="242"/>
      <c r="E176" s="243"/>
    </row>
    <row r="177" spans="3:5" s="10" customFormat="1">
      <c r="C177" s="242"/>
      <c r="E177" s="243"/>
    </row>
    <row r="178" spans="3:5" s="10" customFormat="1">
      <c r="C178" s="242"/>
      <c r="E178" s="243"/>
    </row>
    <row r="179" spans="3:5" s="10" customFormat="1">
      <c r="C179" s="242"/>
      <c r="E179" s="243"/>
    </row>
    <row r="180" spans="3:5" s="10" customFormat="1">
      <c r="C180" s="242"/>
      <c r="E180" s="243"/>
    </row>
    <row r="181" spans="3:5" s="10" customFormat="1">
      <c r="C181" s="242"/>
      <c r="E181" s="243"/>
    </row>
    <row r="182" spans="3:5" s="10" customFormat="1">
      <c r="C182" s="242"/>
      <c r="E182" s="243"/>
    </row>
    <row r="183" spans="3:5" s="10" customFormat="1">
      <c r="C183" s="242"/>
      <c r="E183" s="243"/>
    </row>
    <row r="184" spans="3:5" s="10" customFormat="1">
      <c r="C184" s="242"/>
      <c r="E184" s="243"/>
    </row>
    <row r="185" spans="3:5" s="10" customFormat="1">
      <c r="C185" s="242"/>
      <c r="E185" s="243"/>
    </row>
    <row r="186" spans="3:5" s="10" customFormat="1">
      <c r="C186" s="242"/>
      <c r="E186" s="243"/>
    </row>
    <row r="187" spans="3:5" s="10" customFormat="1">
      <c r="C187" s="242"/>
      <c r="E187" s="243"/>
    </row>
    <row r="188" spans="3:5" s="10" customFormat="1">
      <c r="C188" s="242"/>
      <c r="E188" s="243"/>
    </row>
    <row r="189" spans="3:5" s="10" customFormat="1">
      <c r="C189" s="242"/>
      <c r="E189" s="243"/>
    </row>
    <row r="190" spans="3:5" s="10" customFormat="1">
      <c r="C190" s="242"/>
      <c r="E190" s="243"/>
    </row>
    <row r="191" spans="3:5" s="10" customFormat="1">
      <c r="C191" s="242"/>
      <c r="E191" s="243"/>
    </row>
    <row r="192" spans="3:5" s="10" customFormat="1">
      <c r="C192" s="242"/>
      <c r="E192" s="243"/>
    </row>
    <row r="193" spans="3:5" s="10" customFormat="1">
      <c r="C193" s="242"/>
      <c r="E193" s="243"/>
    </row>
    <row r="194" spans="3:5" s="10" customFormat="1">
      <c r="C194" s="242"/>
      <c r="E194" s="243"/>
    </row>
    <row r="195" spans="3:5" s="10" customFormat="1">
      <c r="C195" s="242"/>
      <c r="E195" s="243"/>
    </row>
    <row r="196" spans="3:5" s="10" customFormat="1">
      <c r="C196" s="242"/>
      <c r="E196" s="243"/>
    </row>
    <row r="197" spans="3:5" s="10" customFormat="1">
      <c r="C197" s="242"/>
      <c r="E197" s="243"/>
    </row>
    <row r="198" spans="3:5" s="10" customFormat="1">
      <c r="C198" s="242"/>
      <c r="E198" s="243"/>
    </row>
    <row r="199" spans="3:5" s="10" customFormat="1">
      <c r="C199" s="242"/>
      <c r="E199" s="243"/>
    </row>
    <row r="200" spans="3:5" s="10" customFormat="1">
      <c r="C200" s="242"/>
      <c r="E200" s="243"/>
    </row>
    <row r="201" spans="3:5" s="10" customFormat="1">
      <c r="C201" s="242"/>
      <c r="E201" s="243"/>
    </row>
    <row r="202" spans="3:5" s="10" customFormat="1">
      <c r="C202" s="242"/>
      <c r="E202" s="243"/>
    </row>
    <row r="203" spans="3:5" s="10" customFormat="1">
      <c r="C203" s="242"/>
      <c r="E203" s="243"/>
    </row>
    <row r="204" spans="3:5" s="10" customFormat="1">
      <c r="C204" s="242"/>
      <c r="E204" s="243"/>
    </row>
    <row r="205" spans="3:5" s="10" customFormat="1">
      <c r="C205" s="242"/>
      <c r="E205" s="243"/>
    </row>
    <row r="206" spans="3:5" s="10" customFormat="1">
      <c r="C206" s="242"/>
      <c r="E206" s="243"/>
    </row>
    <row r="207" spans="3:5" s="10" customFormat="1">
      <c r="C207" s="242"/>
      <c r="E207" s="243"/>
    </row>
    <row r="208" spans="3:5" s="10" customFormat="1">
      <c r="C208" s="242"/>
      <c r="E208" s="243"/>
    </row>
    <row r="209" spans="3:5" s="10" customFormat="1">
      <c r="C209" s="242"/>
      <c r="E209" s="243"/>
    </row>
    <row r="210" spans="3:5" s="10" customFormat="1">
      <c r="C210" s="242"/>
      <c r="E210" s="243"/>
    </row>
    <row r="211" spans="3:5" s="10" customFormat="1">
      <c r="C211" s="242"/>
      <c r="E211" s="243"/>
    </row>
    <row r="212" spans="3:5" s="10" customFormat="1">
      <c r="C212" s="242"/>
      <c r="E212" s="243"/>
    </row>
    <row r="213" spans="3:5" s="10" customFormat="1">
      <c r="C213" s="242"/>
      <c r="E213" s="243"/>
    </row>
    <row r="214" spans="3:5" s="10" customFormat="1">
      <c r="C214" s="242"/>
      <c r="E214" s="243"/>
    </row>
    <row r="215" spans="3:5" s="10" customFormat="1">
      <c r="C215" s="242"/>
      <c r="E215" s="243"/>
    </row>
    <row r="216" spans="3:5" s="10" customFormat="1">
      <c r="C216" s="242"/>
      <c r="E216" s="243"/>
    </row>
    <row r="217" spans="3:5" s="10" customFormat="1">
      <c r="C217" s="242"/>
      <c r="E217" s="243"/>
    </row>
    <row r="218" spans="3:5" s="10" customFormat="1">
      <c r="C218" s="242"/>
      <c r="E218" s="243"/>
    </row>
    <row r="219" spans="3:5" s="10" customFormat="1">
      <c r="C219" s="242"/>
      <c r="E219" s="243"/>
    </row>
    <row r="220" spans="3:5" s="10" customFormat="1">
      <c r="C220" s="242"/>
      <c r="E220" s="243"/>
    </row>
    <row r="221" spans="3:5" s="10" customFormat="1">
      <c r="C221" s="242"/>
      <c r="E221" s="243"/>
    </row>
    <row r="222" spans="3:5" s="10" customFormat="1">
      <c r="C222" s="242"/>
      <c r="E222" s="243"/>
    </row>
    <row r="223" spans="3:5" s="10" customFormat="1">
      <c r="C223" s="242"/>
      <c r="E223" s="243"/>
    </row>
    <row r="224" spans="3:5" s="10" customFormat="1">
      <c r="C224" s="242"/>
      <c r="E224" s="243"/>
    </row>
    <row r="225" spans="3:5" s="10" customFormat="1">
      <c r="C225" s="242"/>
      <c r="E225" s="243"/>
    </row>
    <row r="226" spans="3:5" s="10" customFormat="1">
      <c r="C226" s="242"/>
      <c r="E226" s="243"/>
    </row>
    <row r="227" spans="3:5" s="10" customFormat="1">
      <c r="C227" s="242"/>
      <c r="E227" s="243"/>
    </row>
    <row r="228" spans="3:5" s="10" customFormat="1">
      <c r="C228" s="242"/>
      <c r="E228" s="243"/>
    </row>
    <row r="229" spans="3:5" s="10" customFormat="1">
      <c r="C229" s="242"/>
      <c r="E229" s="243"/>
    </row>
    <row r="230" spans="3:5" s="10" customFormat="1">
      <c r="C230" s="242"/>
      <c r="E230" s="243"/>
    </row>
    <row r="231" spans="3:5" s="10" customFormat="1">
      <c r="C231" s="242"/>
      <c r="E231" s="243"/>
    </row>
    <row r="232" spans="3:5" s="10" customFormat="1">
      <c r="C232" s="242"/>
      <c r="E232" s="243"/>
    </row>
    <row r="233" spans="3:5" s="10" customFormat="1">
      <c r="C233" s="242"/>
      <c r="E233" s="243"/>
    </row>
    <row r="234" spans="3:5" s="10" customFormat="1">
      <c r="C234" s="242"/>
      <c r="E234" s="243"/>
    </row>
    <row r="235" spans="3:5" s="10" customFormat="1">
      <c r="C235" s="242"/>
      <c r="E235" s="243"/>
    </row>
    <row r="236" spans="3:5" s="10" customFormat="1">
      <c r="C236" s="242"/>
      <c r="E236" s="243"/>
    </row>
    <row r="237" spans="3:5" s="10" customFormat="1">
      <c r="C237" s="242"/>
      <c r="E237" s="243"/>
    </row>
    <row r="238" spans="3:5" s="10" customFormat="1">
      <c r="C238" s="242"/>
      <c r="E238" s="243"/>
    </row>
    <row r="239" spans="3:5" s="10" customFormat="1">
      <c r="C239" s="242"/>
      <c r="E239" s="243"/>
    </row>
    <row r="240" spans="3:5" s="10" customFormat="1">
      <c r="C240" s="242"/>
      <c r="E240" s="243"/>
    </row>
    <row r="241" spans="3:5" s="10" customFormat="1">
      <c r="C241" s="242"/>
      <c r="E241" s="243"/>
    </row>
    <row r="242" spans="3:5" s="10" customFormat="1">
      <c r="C242" s="242"/>
      <c r="E242" s="243"/>
    </row>
    <row r="243" spans="3:5" s="10" customFormat="1">
      <c r="C243" s="242"/>
      <c r="E243" s="243"/>
    </row>
    <row r="244" spans="3:5" s="10" customFormat="1">
      <c r="C244" s="242"/>
      <c r="E244" s="243"/>
    </row>
    <row r="245" spans="3:5" s="10" customFormat="1">
      <c r="C245" s="242"/>
      <c r="E245" s="243"/>
    </row>
    <row r="246" spans="3:5" s="10" customFormat="1">
      <c r="C246" s="242"/>
      <c r="E246" s="243"/>
    </row>
    <row r="247" spans="3:5" s="10" customFormat="1">
      <c r="C247" s="242"/>
      <c r="E247" s="243"/>
    </row>
    <row r="248" spans="3:5" s="10" customFormat="1">
      <c r="C248" s="242"/>
      <c r="E248" s="243"/>
    </row>
    <row r="249" spans="3:5" s="10" customFormat="1">
      <c r="C249" s="242"/>
      <c r="E249" s="243"/>
    </row>
    <row r="250" spans="3:5" s="10" customFormat="1">
      <c r="C250" s="242"/>
      <c r="E250" s="243"/>
    </row>
    <row r="251" spans="3:5" s="10" customFormat="1">
      <c r="C251" s="242"/>
      <c r="E251" s="243"/>
    </row>
    <row r="252" spans="3:5" s="10" customFormat="1">
      <c r="C252" s="242"/>
      <c r="E252" s="243"/>
    </row>
    <row r="253" spans="3:5" s="10" customFormat="1">
      <c r="C253" s="242"/>
      <c r="E253" s="243"/>
    </row>
    <row r="254" spans="3:5" s="10" customFormat="1">
      <c r="C254" s="242"/>
      <c r="E254" s="243"/>
    </row>
    <row r="255" spans="3:5" s="10" customFormat="1">
      <c r="C255" s="242"/>
      <c r="E255" s="243"/>
    </row>
    <row r="256" spans="3:5" s="10" customFormat="1">
      <c r="C256" s="242"/>
      <c r="E256" s="243"/>
    </row>
    <row r="257" spans="3:5" s="10" customFormat="1">
      <c r="C257" s="242"/>
      <c r="E257" s="243"/>
    </row>
    <row r="258" spans="3:5" s="10" customFormat="1">
      <c r="C258" s="242"/>
      <c r="E258" s="243"/>
    </row>
    <row r="259" spans="3:5" s="10" customFormat="1">
      <c r="C259" s="242"/>
      <c r="E259" s="243"/>
    </row>
    <row r="260" spans="3:5" s="10" customFormat="1">
      <c r="C260" s="242"/>
      <c r="E260" s="243"/>
    </row>
    <row r="261" spans="3:5" s="10" customFormat="1">
      <c r="C261" s="242"/>
      <c r="E261" s="243"/>
    </row>
    <row r="262" spans="3:5" s="10" customFormat="1">
      <c r="C262" s="242"/>
      <c r="E262" s="243"/>
    </row>
    <row r="263" spans="3:5" s="10" customFormat="1">
      <c r="C263" s="242"/>
      <c r="E263" s="243"/>
    </row>
    <row r="264" spans="3:5" s="10" customFormat="1">
      <c r="C264" s="242"/>
      <c r="E264" s="243"/>
    </row>
    <row r="265" spans="3:5" s="10" customFormat="1">
      <c r="C265" s="242"/>
      <c r="E265" s="243"/>
    </row>
    <row r="266" spans="3:5" s="10" customFormat="1">
      <c r="C266" s="242"/>
      <c r="E266" s="243"/>
    </row>
    <row r="267" spans="3:5" s="10" customFormat="1">
      <c r="C267" s="242"/>
      <c r="E267" s="243"/>
    </row>
    <row r="268" spans="3:5" s="10" customFormat="1">
      <c r="C268" s="242"/>
      <c r="E268" s="243"/>
    </row>
    <row r="269" spans="3:5" s="10" customFormat="1">
      <c r="C269" s="242"/>
      <c r="E269" s="243"/>
    </row>
    <row r="270" spans="3:5" s="10" customFormat="1">
      <c r="C270" s="242"/>
      <c r="E270" s="243"/>
    </row>
    <row r="271" spans="3:5" s="10" customFormat="1">
      <c r="C271" s="242"/>
      <c r="E271" s="243"/>
    </row>
    <row r="272" spans="3:5" s="10" customFormat="1">
      <c r="C272" s="242"/>
      <c r="E272" s="243"/>
    </row>
    <row r="273" spans="3:5" s="10" customFormat="1">
      <c r="C273" s="242"/>
      <c r="E273" s="243"/>
    </row>
    <row r="274" spans="3:5" s="10" customFormat="1">
      <c r="C274" s="242"/>
      <c r="E274" s="243"/>
    </row>
    <row r="275" spans="3:5" s="10" customFormat="1">
      <c r="C275" s="242"/>
      <c r="E275" s="243"/>
    </row>
    <row r="276" spans="3:5" s="10" customFormat="1">
      <c r="C276" s="242"/>
      <c r="E276" s="243"/>
    </row>
    <row r="277" spans="3:5" s="10" customFormat="1">
      <c r="C277" s="242"/>
      <c r="E277" s="243"/>
    </row>
    <row r="278" spans="3:5" s="10" customFormat="1">
      <c r="C278" s="242"/>
      <c r="E278" s="243"/>
    </row>
    <row r="279" spans="3:5" s="10" customFormat="1">
      <c r="C279" s="242"/>
      <c r="E279" s="243"/>
    </row>
    <row r="280" spans="3:5" s="10" customFormat="1">
      <c r="C280" s="242"/>
      <c r="E280" s="243"/>
    </row>
    <row r="281" spans="3:5" s="10" customFormat="1">
      <c r="C281" s="242"/>
      <c r="E281" s="243"/>
    </row>
    <row r="282" spans="3:5" s="10" customFormat="1">
      <c r="C282" s="242"/>
      <c r="E282" s="243"/>
    </row>
    <row r="283" spans="3:5" s="10" customFormat="1">
      <c r="C283" s="242"/>
      <c r="E283" s="243"/>
    </row>
    <row r="284" spans="3:5" s="10" customFormat="1">
      <c r="C284" s="242"/>
      <c r="E284" s="243"/>
    </row>
    <row r="285" spans="3:5" s="10" customFormat="1">
      <c r="C285" s="242"/>
      <c r="E285" s="243"/>
    </row>
    <row r="286" spans="3:5" s="10" customFormat="1">
      <c r="C286" s="242"/>
      <c r="E286" s="243"/>
    </row>
    <row r="287" spans="3:5" s="10" customFormat="1">
      <c r="C287" s="242"/>
      <c r="E287" s="243"/>
    </row>
    <row r="288" spans="3:5" s="10" customFormat="1">
      <c r="C288" s="242"/>
      <c r="E288" s="243"/>
    </row>
    <row r="289" spans="3:5" s="10" customFormat="1">
      <c r="C289" s="242"/>
      <c r="E289" s="243"/>
    </row>
    <row r="290" spans="3:5" s="10" customFormat="1">
      <c r="C290" s="242"/>
      <c r="E290" s="243"/>
    </row>
    <row r="291" spans="3:5" s="10" customFormat="1">
      <c r="C291" s="242"/>
      <c r="E291" s="243"/>
    </row>
    <row r="292" spans="3:5" s="10" customFormat="1">
      <c r="C292" s="242"/>
      <c r="E292" s="243"/>
    </row>
    <row r="293" spans="3:5" s="10" customFormat="1">
      <c r="C293" s="242"/>
      <c r="E293" s="243"/>
    </row>
    <row r="294" spans="3:5" s="10" customFormat="1">
      <c r="C294" s="242"/>
      <c r="E294" s="243"/>
    </row>
    <row r="295" spans="3:5" s="10" customFormat="1">
      <c r="C295" s="242"/>
      <c r="E295" s="243"/>
    </row>
    <row r="296" spans="3:5" s="10" customFormat="1">
      <c r="C296" s="242"/>
      <c r="E296" s="243"/>
    </row>
    <row r="297" spans="3:5" s="10" customFormat="1">
      <c r="C297" s="242"/>
      <c r="E297" s="243"/>
    </row>
    <row r="298" spans="3:5" s="10" customFormat="1">
      <c r="C298" s="242"/>
      <c r="E298" s="243"/>
    </row>
    <row r="299" spans="3:5" s="10" customFormat="1">
      <c r="C299" s="242"/>
      <c r="E299" s="243"/>
    </row>
    <row r="300" spans="3:5" s="10" customFormat="1">
      <c r="C300" s="242"/>
      <c r="E300" s="243"/>
    </row>
    <row r="301" spans="3:5" s="10" customFormat="1">
      <c r="C301" s="242"/>
      <c r="E301" s="243"/>
    </row>
    <row r="302" spans="3:5" s="10" customFormat="1">
      <c r="C302" s="242"/>
      <c r="E302" s="243"/>
    </row>
    <row r="303" spans="3:5" s="10" customFormat="1">
      <c r="C303" s="242"/>
      <c r="E303" s="243"/>
    </row>
    <row r="304" spans="3:5" s="10" customFormat="1">
      <c r="C304" s="242"/>
      <c r="E304" s="243"/>
    </row>
    <row r="305" spans="3:5" s="10" customFormat="1">
      <c r="C305" s="242"/>
      <c r="E305" s="243"/>
    </row>
    <row r="306" spans="3:5" s="10" customFormat="1">
      <c r="C306" s="242"/>
      <c r="E306" s="243"/>
    </row>
    <row r="307" spans="3:5" s="10" customFormat="1">
      <c r="C307" s="242"/>
      <c r="E307" s="243"/>
    </row>
    <row r="308" spans="3:5" s="10" customFormat="1">
      <c r="C308" s="242"/>
      <c r="E308" s="243"/>
    </row>
    <row r="309" spans="3:5" s="10" customFormat="1">
      <c r="C309" s="242"/>
      <c r="E309" s="243"/>
    </row>
    <row r="310" spans="3:5" s="10" customFormat="1">
      <c r="C310" s="242"/>
      <c r="E310" s="243"/>
    </row>
    <row r="311" spans="3:5" s="10" customFormat="1">
      <c r="C311" s="242"/>
      <c r="E311" s="243"/>
    </row>
    <row r="312" spans="3:5" s="10" customFormat="1">
      <c r="C312" s="242"/>
      <c r="E312" s="243"/>
    </row>
    <row r="313" spans="3:5" s="10" customFormat="1">
      <c r="C313" s="242"/>
      <c r="E313" s="243"/>
    </row>
    <row r="314" spans="3:5" s="10" customFormat="1">
      <c r="C314" s="242"/>
      <c r="E314" s="243"/>
    </row>
    <row r="315" spans="3:5" s="10" customFormat="1">
      <c r="C315" s="242"/>
      <c r="E315" s="243"/>
    </row>
    <row r="316" spans="3:5" s="10" customFormat="1">
      <c r="C316" s="242"/>
      <c r="E316" s="243"/>
    </row>
    <row r="317" spans="3:5" s="10" customFormat="1">
      <c r="C317" s="242"/>
      <c r="E317" s="243"/>
    </row>
    <row r="318" spans="3:5" s="10" customFormat="1">
      <c r="C318" s="242"/>
      <c r="E318" s="243"/>
    </row>
    <row r="319" spans="3:5" s="10" customFormat="1">
      <c r="C319" s="242"/>
      <c r="E319" s="243"/>
    </row>
    <row r="320" spans="3:5" s="10" customFormat="1">
      <c r="C320" s="242"/>
      <c r="E320" s="243"/>
    </row>
    <row r="321" spans="3:5" s="10" customFormat="1">
      <c r="C321" s="242"/>
      <c r="E321" s="243"/>
    </row>
    <row r="322" spans="3:5" s="10" customFormat="1">
      <c r="C322" s="242"/>
      <c r="E322" s="243"/>
    </row>
    <row r="323" spans="3:5" s="10" customFormat="1">
      <c r="C323" s="242"/>
      <c r="E323" s="243"/>
    </row>
    <row r="324" spans="3:5" s="10" customFormat="1">
      <c r="C324" s="242"/>
      <c r="E324" s="243"/>
    </row>
    <row r="325" spans="3:5" s="10" customFormat="1">
      <c r="C325" s="242"/>
      <c r="E325" s="243"/>
    </row>
    <row r="326" spans="3:5" s="10" customFormat="1">
      <c r="C326" s="242"/>
      <c r="E326" s="243"/>
    </row>
    <row r="327" spans="3:5" s="10" customFormat="1">
      <c r="C327" s="242"/>
      <c r="E327" s="243"/>
    </row>
    <row r="328" spans="3:5" s="10" customFormat="1">
      <c r="C328" s="242"/>
      <c r="E328" s="243"/>
    </row>
    <row r="329" spans="3:5" s="10" customFormat="1">
      <c r="C329" s="242"/>
      <c r="E329" s="243"/>
    </row>
    <row r="330" spans="3:5" s="10" customFormat="1">
      <c r="C330" s="242"/>
      <c r="E330" s="243"/>
    </row>
    <row r="331" spans="3:5" s="10" customFormat="1">
      <c r="C331" s="242"/>
      <c r="E331" s="243"/>
    </row>
    <row r="332" spans="3:5" s="10" customFormat="1">
      <c r="C332" s="242"/>
      <c r="E332" s="243"/>
    </row>
    <row r="333" spans="3:5" s="10" customFormat="1">
      <c r="C333" s="242"/>
      <c r="E333" s="243"/>
    </row>
    <row r="334" spans="3:5" s="10" customFormat="1">
      <c r="C334" s="242"/>
      <c r="E334" s="243"/>
    </row>
    <row r="335" spans="3:5" s="10" customFormat="1">
      <c r="C335" s="242"/>
      <c r="E335" s="243"/>
    </row>
    <row r="336" spans="3:5" s="10" customFormat="1">
      <c r="C336" s="242"/>
      <c r="E336" s="243"/>
    </row>
    <row r="337" spans="3:5" s="10" customFormat="1">
      <c r="C337" s="242"/>
      <c r="E337" s="243"/>
    </row>
    <row r="338" spans="3:5" s="10" customFormat="1">
      <c r="C338" s="242"/>
      <c r="E338" s="243"/>
    </row>
    <row r="339" spans="3:5" s="10" customFormat="1">
      <c r="C339" s="242"/>
      <c r="E339" s="243"/>
    </row>
    <row r="340" spans="3:5" s="10" customFormat="1">
      <c r="C340" s="242"/>
      <c r="E340" s="243"/>
    </row>
    <row r="341" spans="3:5" s="10" customFormat="1">
      <c r="C341" s="242"/>
      <c r="E341" s="243"/>
    </row>
    <row r="342" spans="3:5" s="10" customFormat="1">
      <c r="C342" s="242"/>
      <c r="E342" s="243"/>
    </row>
    <row r="343" spans="3:5" s="10" customFormat="1">
      <c r="C343" s="242"/>
      <c r="E343" s="243"/>
    </row>
    <row r="344" spans="3:5" s="10" customFormat="1">
      <c r="C344" s="242"/>
      <c r="E344" s="243"/>
    </row>
    <row r="345" spans="3:5" s="10" customFormat="1">
      <c r="C345" s="242"/>
      <c r="E345" s="243"/>
    </row>
    <row r="346" spans="3:5" s="10" customFormat="1">
      <c r="C346" s="242"/>
      <c r="E346" s="243"/>
    </row>
    <row r="347" spans="3:5" s="10" customFormat="1">
      <c r="C347" s="242"/>
      <c r="E347" s="243"/>
    </row>
    <row r="348" spans="3:5" s="10" customFormat="1">
      <c r="C348" s="242"/>
      <c r="E348" s="243"/>
    </row>
    <row r="349" spans="3:5" s="10" customFormat="1">
      <c r="C349" s="242"/>
      <c r="E349" s="243"/>
    </row>
    <row r="350" spans="3:5" s="10" customFormat="1">
      <c r="C350" s="242"/>
      <c r="E350" s="243"/>
    </row>
    <row r="351" spans="3:5" s="10" customFormat="1">
      <c r="C351" s="242"/>
      <c r="E351" s="243"/>
    </row>
    <row r="352" spans="3:5" s="10" customFormat="1">
      <c r="C352" s="242"/>
      <c r="E352" s="243"/>
    </row>
    <row r="353" spans="3:5" s="10" customFormat="1">
      <c r="C353" s="242"/>
      <c r="E353" s="243"/>
    </row>
    <row r="354" spans="3:5" s="10" customFormat="1">
      <c r="C354" s="242"/>
      <c r="E354" s="243"/>
    </row>
    <row r="355" spans="3:5" s="10" customFormat="1">
      <c r="C355" s="242"/>
      <c r="E355" s="243"/>
    </row>
    <row r="356" spans="3:5" s="10" customFormat="1">
      <c r="C356" s="242"/>
      <c r="E356" s="243"/>
    </row>
    <row r="357" spans="3:5" s="10" customFormat="1">
      <c r="C357" s="242"/>
      <c r="E357" s="243"/>
    </row>
    <row r="358" spans="3:5" s="10" customFormat="1">
      <c r="C358" s="242"/>
      <c r="E358" s="243"/>
    </row>
    <row r="359" spans="3:5" s="10" customFormat="1">
      <c r="C359" s="242"/>
      <c r="E359" s="243"/>
    </row>
    <row r="360" spans="3:5" s="10" customFormat="1">
      <c r="C360" s="242"/>
      <c r="E360" s="243"/>
    </row>
    <row r="361" spans="3:5" s="10" customFormat="1">
      <c r="C361" s="242"/>
      <c r="E361" s="243"/>
    </row>
    <row r="362" spans="3:5" s="10" customFormat="1">
      <c r="C362" s="242"/>
      <c r="E362" s="243"/>
    </row>
    <row r="363" spans="3:5" s="10" customFormat="1">
      <c r="C363" s="242"/>
      <c r="E363" s="243"/>
    </row>
    <row r="364" spans="3:5" s="10" customFormat="1">
      <c r="C364" s="242"/>
      <c r="E364" s="243"/>
    </row>
    <row r="365" spans="3:5" s="10" customFormat="1">
      <c r="C365" s="242"/>
      <c r="E365" s="243"/>
    </row>
    <row r="366" spans="3:5" s="10" customFormat="1">
      <c r="C366" s="242"/>
      <c r="E366" s="243"/>
    </row>
    <row r="367" spans="3:5" s="10" customFormat="1">
      <c r="C367" s="242"/>
      <c r="E367" s="243"/>
    </row>
    <row r="368" spans="3:5" s="10" customFormat="1">
      <c r="C368" s="242"/>
      <c r="E368" s="243"/>
    </row>
    <row r="369" spans="3:5" s="10" customFormat="1">
      <c r="C369" s="242"/>
      <c r="E369" s="243"/>
    </row>
    <row r="370" spans="3:5" s="10" customFormat="1">
      <c r="C370" s="242"/>
      <c r="E370" s="243"/>
    </row>
    <row r="371" spans="3:5" s="10" customFormat="1">
      <c r="C371" s="242"/>
      <c r="E371" s="243"/>
    </row>
    <row r="372" spans="3:5" s="10" customFormat="1">
      <c r="C372" s="242"/>
      <c r="E372" s="243"/>
    </row>
    <row r="373" spans="3:5" s="10" customFormat="1">
      <c r="C373" s="242"/>
      <c r="E373" s="243"/>
    </row>
    <row r="374" spans="3:5" s="10" customFormat="1">
      <c r="C374" s="242"/>
      <c r="E374" s="243"/>
    </row>
    <row r="375" spans="3:5" s="10" customFormat="1">
      <c r="C375" s="242"/>
      <c r="E375" s="243"/>
    </row>
    <row r="376" spans="3:5" s="10" customFormat="1">
      <c r="C376" s="242"/>
      <c r="E376" s="243"/>
    </row>
    <row r="377" spans="3:5" s="10" customFormat="1">
      <c r="C377" s="242"/>
      <c r="E377" s="243"/>
    </row>
    <row r="378" spans="3:5" s="10" customFormat="1">
      <c r="C378" s="242"/>
      <c r="E378" s="243"/>
    </row>
    <row r="379" spans="3:5" s="10" customFormat="1">
      <c r="C379" s="242"/>
      <c r="E379" s="243"/>
    </row>
    <row r="380" spans="3:5" s="10" customFormat="1">
      <c r="C380" s="242"/>
      <c r="E380" s="243"/>
    </row>
    <row r="381" spans="3:5" s="10" customFormat="1">
      <c r="C381" s="242"/>
      <c r="E381" s="243"/>
    </row>
    <row r="382" spans="3:5" s="10" customFormat="1">
      <c r="C382" s="242"/>
      <c r="E382" s="243"/>
    </row>
    <row r="383" spans="3:5" s="10" customFormat="1">
      <c r="C383" s="242"/>
      <c r="E383" s="243"/>
    </row>
    <row r="384" spans="3:5" s="10" customFormat="1">
      <c r="C384" s="242"/>
      <c r="E384" s="243"/>
    </row>
    <row r="385" spans="3:5" s="10" customFormat="1">
      <c r="C385" s="242"/>
      <c r="E385" s="243"/>
    </row>
    <row r="386" spans="3:5" s="10" customFormat="1">
      <c r="C386" s="242"/>
      <c r="E386" s="243"/>
    </row>
    <row r="387" spans="3:5" s="10" customFormat="1">
      <c r="C387" s="242"/>
      <c r="E387" s="243"/>
    </row>
    <row r="388" spans="3:5" s="10" customFormat="1">
      <c r="C388" s="242"/>
      <c r="E388" s="243"/>
    </row>
    <row r="389" spans="3:5" s="10" customFormat="1">
      <c r="C389" s="242"/>
      <c r="E389" s="243"/>
    </row>
    <row r="390" spans="3:5" s="10" customFormat="1">
      <c r="C390" s="242"/>
      <c r="E390" s="243"/>
    </row>
    <row r="391" spans="3:5" s="10" customFormat="1">
      <c r="C391" s="242"/>
      <c r="E391" s="243"/>
    </row>
    <row r="392" spans="3:5" s="10" customFormat="1">
      <c r="C392" s="242"/>
      <c r="E392" s="243"/>
    </row>
    <row r="393" spans="3:5" s="10" customFormat="1">
      <c r="C393" s="242"/>
      <c r="E393" s="243"/>
    </row>
    <row r="394" spans="3:5" s="10" customFormat="1">
      <c r="C394" s="242"/>
      <c r="E394" s="243"/>
    </row>
    <row r="395" spans="3:5" s="10" customFormat="1">
      <c r="C395" s="242"/>
      <c r="E395" s="243"/>
    </row>
    <row r="396" spans="3:5" s="10" customFormat="1">
      <c r="C396" s="242"/>
      <c r="E396" s="243"/>
    </row>
    <row r="397" spans="3:5" s="10" customFormat="1">
      <c r="C397" s="242"/>
      <c r="E397" s="243"/>
    </row>
    <row r="398" spans="3:5" s="10" customFormat="1">
      <c r="C398" s="242"/>
      <c r="E398" s="243"/>
    </row>
    <row r="399" spans="3:5" s="10" customFormat="1">
      <c r="C399" s="242"/>
      <c r="E399" s="243"/>
    </row>
    <row r="400" spans="3:5" s="10" customFormat="1">
      <c r="C400" s="242"/>
      <c r="E400" s="243"/>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B2:G2"/>
    <mergeCell ref="J2:AC2"/>
    <mergeCell ref="F4:H4"/>
  </mergeCell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205"/>
  <sheetViews>
    <sheetView showGridLines="0" zoomScale="90" zoomScaleNormal="90" workbookViewId="0">
      <selection activeCell="K14" sqref="K14"/>
    </sheetView>
  </sheetViews>
  <sheetFormatPr defaultRowHeight="14.4"/>
  <cols>
    <col min="1" max="1" width="1.88671875" customWidth="1"/>
    <col min="2" max="2" width="7.6640625" customWidth="1"/>
    <col min="3" max="3" width="10.44140625" style="12" customWidth="1"/>
    <col min="4" max="4" width="49.5546875" customWidth="1"/>
    <col min="5" max="6" width="14.21875" customWidth="1"/>
    <col min="7" max="7" width="14.21875" style="251" customWidth="1"/>
    <col min="8" max="8" width="14.88671875" style="10" customWidth="1"/>
    <col min="9" max="9" width="16.33203125" style="251" customWidth="1"/>
    <col min="10" max="10" width="20.33203125" style="251" customWidth="1"/>
    <col min="11" max="13" width="16" customWidth="1"/>
    <col min="14" max="1025" width="8.6640625" customWidth="1"/>
  </cols>
  <sheetData>
    <row r="1" spans="2:10" ht="9" customHeight="1"/>
    <row r="2" spans="2:10">
      <c r="B2" s="689" t="s">
        <v>204</v>
      </c>
      <c r="C2" s="689"/>
      <c r="D2" s="689"/>
      <c r="E2" s="689"/>
      <c r="F2" s="689"/>
      <c r="G2" s="689"/>
      <c r="H2" s="689"/>
      <c r="I2" s="689"/>
      <c r="J2" s="689"/>
    </row>
    <row r="3" spans="2:10" ht="43.2">
      <c r="B3" s="240" t="s">
        <v>185</v>
      </c>
      <c r="C3" s="240" t="s">
        <v>186</v>
      </c>
      <c r="D3" s="240" t="s">
        <v>187</v>
      </c>
      <c r="E3" s="240" t="s">
        <v>188</v>
      </c>
      <c r="F3" s="240" t="s">
        <v>205</v>
      </c>
      <c r="G3" s="240" t="s">
        <v>70</v>
      </c>
      <c r="H3" s="241" t="s">
        <v>189</v>
      </c>
      <c r="I3" s="252" t="s">
        <v>206</v>
      </c>
      <c r="J3" s="240" t="s">
        <v>207</v>
      </c>
    </row>
    <row r="4" spans="2:10">
      <c r="I4" s="253">
        <f>SUM(I5:I251)</f>
        <v>65.483833333333337</v>
      </c>
      <c r="J4" s="253">
        <f>SUM(J5:J251)</f>
        <v>3929.0299999999997</v>
      </c>
    </row>
    <row r="5" spans="2:10" ht="3.75" customHeight="1"/>
    <row r="6" spans="2:10">
      <c r="B6" s="246">
        <v>1</v>
      </c>
      <c r="C6" s="246"/>
      <c r="D6" s="250" t="s">
        <v>208</v>
      </c>
      <c r="E6" s="246" t="s">
        <v>193</v>
      </c>
      <c r="F6" s="254">
        <v>1</v>
      </c>
      <c r="G6" s="255">
        <v>631.42999999999995</v>
      </c>
      <c r="H6" s="256">
        <v>0.2</v>
      </c>
      <c r="I6" s="257">
        <f>IFERROR(J6/'Mão de Obra'!$D$12,"")</f>
        <v>10.523833333333332</v>
      </c>
      <c r="J6" s="257">
        <f>IFERROR(IF(ISNUMBER(H6),H6*'Mão de Obra'!$D$12/12,1)*G6*F6,"")</f>
        <v>631.42999999999995</v>
      </c>
    </row>
    <row r="7" spans="2:10">
      <c r="B7" s="246">
        <v>2</v>
      </c>
      <c r="C7" s="246"/>
      <c r="D7" s="250" t="s">
        <v>209</v>
      </c>
      <c r="E7" s="246" t="s">
        <v>210</v>
      </c>
      <c r="F7" s="254">
        <v>60</v>
      </c>
      <c r="G7" s="255">
        <v>54.96</v>
      </c>
      <c r="H7" s="256"/>
      <c r="I7" s="257">
        <f>IFERROR(J7/'Mão de Obra'!$D$12,"")</f>
        <v>54.96</v>
      </c>
      <c r="J7" s="257">
        <f>IFERROR(IF(ISNUMBER(H7),H7*'Mão de Obra'!$D$12/12,1)*G7*F7,"")</f>
        <v>3297.6</v>
      </c>
    </row>
    <row r="8" spans="2:10">
      <c r="B8" s="246">
        <v>3</v>
      </c>
      <c r="C8" s="246"/>
      <c r="D8" s="250"/>
      <c r="E8" s="246"/>
      <c r="F8" s="254"/>
      <c r="G8" s="255"/>
      <c r="H8" s="256"/>
      <c r="I8" s="257">
        <f>IFERROR(J8/'Mão de Obra'!$D$12,"")</f>
        <v>0</v>
      </c>
      <c r="J8" s="257">
        <f>IFERROR(IF(ISNUMBER(H8),H8*'Mão de Obra'!$D$12/12,1)*G8*F8,"")</f>
        <v>0</v>
      </c>
    </row>
    <row r="9" spans="2:10">
      <c r="B9" s="246">
        <v>4</v>
      </c>
      <c r="C9" s="246"/>
      <c r="D9" s="250"/>
      <c r="E9" s="246"/>
      <c r="F9" s="254"/>
      <c r="G9" s="255"/>
      <c r="H9" s="256"/>
      <c r="I9" s="257">
        <f>IFERROR(J9/'Mão de Obra'!$D$12,"")</f>
        <v>0</v>
      </c>
      <c r="J9" s="257">
        <f>IFERROR(IF(ISNUMBER(H9),H9*'Mão de Obra'!$D$12/12,1)*G9*F9,"")</f>
        <v>0</v>
      </c>
    </row>
    <row r="10" spans="2:10">
      <c r="B10" s="246">
        <v>5</v>
      </c>
      <c r="C10" s="246"/>
      <c r="D10" s="250"/>
      <c r="E10" s="246"/>
      <c r="F10" s="254"/>
      <c r="G10" s="255"/>
      <c r="H10" s="256"/>
      <c r="I10" s="257">
        <f>IFERROR(J10/'Mão de Obra'!$D$12,"")</f>
        <v>0</v>
      </c>
      <c r="J10" s="257">
        <f>IFERROR(IF(ISNUMBER(H10),H10*'Mão de Obra'!$D$12/12,1)*G10*F10,"")</f>
        <v>0</v>
      </c>
    </row>
    <row r="11" spans="2:10">
      <c r="B11" s="246">
        <v>6</v>
      </c>
      <c r="C11" s="246"/>
      <c r="D11" s="250"/>
      <c r="E11" s="246"/>
      <c r="F11" s="254"/>
      <c r="G11" s="255"/>
      <c r="H11" s="256"/>
      <c r="I11" s="257">
        <f>IFERROR(J11/'Mão de Obra'!$D$12,"")</f>
        <v>0</v>
      </c>
      <c r="J11" s="257">
        <f>IFERROR(IF(ISNUMBER(H11),H11*'Mão de Obra'!$D$12/12,1)*G11*F11,"")</f>
        <v>0</v>
      </c>
    </row>
    <row r="12" spans="2:10">
      <c r="B12" s="246">
        <v>7</v>
      </c>
      <c r="C12" s="246"/>
      <c r="D12" s="250"/>
      <c r="E12" s="246"/>
      <c r="F12" s="254"/>
      <c r="G12" s="255"/>
      <c r="H12" s="256"/>
      <c r="I12" s="257">
        <f>IFERROR(J12/'Mão de Obra'!$D$12,"")</f>
        <v>0</v>
      </c>
      <c r="J12" s="257">
        <f>IFERROR(IF(ISNUMBER(H12),H12*'Mão de Obra'!$D$12/12,1)*G12*F12,"")</f>
        <v>0</v>
      </c>
    </row>
    <row r="13" spans="2:10">
      <c r="B13" s="246">
        <v>8</v>
      </c>
      <c r="C13" s="246"/>
      <c r="D13" s="250"/>
      <c r="E13" s="246"/>
      <c r="F13" s="254"/>
      <c r="G13" s="255"/>
      <c r="H13" s="256"/>
      <c r="I13" s="257">
        <f>IFERROR(J13/'Mão de Obra'!$D$12,"")</f>
        <v>0</v>
      </c>
      <c r="J13" s="257">
        <f>IFERROR(IF(ISNUMBER(H13),H13*'Mão de Obra'!$D$12/12,1)*G13*F13,"")</f>
        <v>0</v>
      </c>
    </row>
    <row r="14" spans="2:10">
      <c r="B14" s="246">
        <v>9</v>
      </c>
      <c r="C14" s="246"/>
      <c r="D14" s="250"/>
      <c r="E14" s="246"/>
      <c r="F14" s="254"/>
      <c r="G14" s="255"/>
      <c r="H14" s="256"/>
      <c r="I14" s="257">
        <f>IFERROR(J14/'Mão de Obra'!$D$12,"")</f>
        <v>0</v>
      </c>
      <c r="J14" s="257">
        <f>IFERROR(IF(ISNUMBER(H14),H14*'Mão de Obra'!$D$12/12,1)*G14*F14,"")</f>
        <v>0</v>
      </c>
    </row>
    <row r="15" spans="2:10">
      <c r="B15" s="246">
        <v>10</v>
      </c>
      <c r="C15" s="246"/>
      <c r="D15" s="250"/>
      <c r="E15" s="246"/>
      <c r="F15" s="254"/>
      <c r="G15" s="255"/>
      <c r="H15" s="256"/>
      <c r="I15" s="257">
        <f>IFERROR(J15/'Mão de Obra'!$D$12,"")</f>
        <v>0</v>
      </c>
      <c r="J15" s="257">
        <f>IFERROR(IF(ISNUMBER(H15),H15*'Mão de Obra'!$D$12/12,1)*G15*F15,"")</f>
        <v>0</v>
      </c>
    </row>
    <row r="16" spans="2:10">
      <c r="B16" s="246">
        <v>11</v>
      </c>
      <c r="C16" s="246"/>
      <c r="D16" s="250"/>
      <c r="E16" s="246"/>
      <c r="F16" s="254"/>
      <c r="G16" s="255"/>
      <c r="H16" s="256"/>
      <c r="I16" s="257">
        <f>IFERROR(J16/'Mão de Obra'!$D$12,"")</f>
        <v>0</v>
      </c>
      <c r="J16" s="257">
        <f>IFERROR(IF(ISNUMBER(H16),H16*'Mão de Obra'!$D$12/12,1)*G16*F16,"")</f>
        <v>0</v>
      </c>
    </row>
    <row r="17" spans="2:10">
      <c r="B17" s="246">
        <v>12</v>
      </c>
      <c r="C17" s="246"/>
      <c r="D17" s="250"/>
      <c r="E17" s="246"/>
      <c r="F17" s="254"/>
      <c r="G17" s="255"/>
      <c r="H17" s="256"/>
      <c r="I17" s="257">
        <f>IFERROR(J17/'Mão de Obra'!$D$12,"")</f>
        <v>0</v>
      </c>
      <c r="J17" s="257">
        <f>IFERROR(IF(ISNUMBER(H17),H17*'Mão de Obra'!$D$12/12,1)*G17*F17,"")</f>
        <v>0</v>
      </c>
    </row>
    <row r="18" spans="2:10">
      <c r="B18" s="246">
        <v>13</v>
      </c>
      <c r="C18" s="246"/>
      <c r="D18" s="250"/>
      <c r="E18" s="246"/>
      <c r="F18" s="254"/>
      <c r="G18" s="255"/>
      <c r="H18" s="256"/>
      <c r="I18" s="257">
        <f>IFERROR(J18/'Mão de Obra'!$D$12,"")</f>
        <v>0</v>
      </c>
      <c r="J18" s="257">
        <f>IFERROR(IF(ISNUMBER(H18),H18*'Mão de Obra'!$D$12/12,1)*G18*F18,"")</f>
        <v>0</v>
      </c>
    </row>
    <row r="19" spans="2:10">
      <c r="B19" s="246">
        <v>14</v>
      </c>
      <c r="C19" s="246"/>
      <c r="D19" s="250"/>
      <c r="E19" s="246"/>
      <c r="F19" s="254"/>
      <c r="G19" s="255"/>
      <c r="H19" s="256"/>
      <c r="I19" s="257">
        <f>IFERROR(J19/'Mão de Obra'!$D$12,"")</f>
        <v>0</v>
      </c>
      <c r="J19" s="257">
        <f>IFERROR(IF(ISNUMBER(H19),H19*'Mão de Obra'!$D$12/12,1)*G19*F19,"")</f>
        <v>0</v>
      </c>
    </row>
    <row r="20" spans="2:10">
      <c r="B20" s="246">
        <v>15</v>
      </c>
      <c r="C20" s="246"/>
      <c r="D20" s="250"/>
      <c r="E20" s="246"/>
      <c r="F20" s="254"/>
      <c r="G20" s="255"/>
      <c r="H20" s="256"/>
      <c r="I20" s="257">
        <f>IFERROR(J20/'Mão de Obra'!$D$12,"")</f>
        <v>0</v>
      </c>
      <c r="J20" s="257">
        <f>IFERROR(IF(ISNUMBER(H20),H20*'Mão de Obra'!$D$12/12,1)*G20*F20,"")</f>
        <v>0</v>
      </c>
    </row>
    <row r="21" spans="2:10">
      <c r="B21" s="246">
        <v>16</v>
      </c>
      <c r="C21" s="246"/>
      <c r="D21" s="250"/>
      <c r="E21" s="246"/>
      <c r="F21" s="254"/>
      <c r="G21" s="255"/>
      <c r="H21" s="256"/>
      <c r="I21" s="257">
        <f>IFERROR(J21/'Mão de Obra'!$D$12,"")</f>
        <v>0</v>
      </c>
      <c r="J21" s="257">
        <f>IFERROR(IF(ISNUMBER(H21),H21*'Mão de Obra'!$D$12/12,1)*G21*F21,"")</f>
        <v>0</v>
      </c>
    </row>
    <row r="22" spans="2:10">
      <c r="B22" s="246">
        <v>17</v>
      </c>
      <c r="C22" s="246"/>
      <c r="D22" s="250"/>
      <c r="E22" s="246"/>
      <c r="F22" s="254"/>
      <c r="G22" s="255"/>
      <c r="H22" s="256"/>
      <c r="I22" s="257">
        <f>IFERROR(J22/'Mão de Obra'!$D$12,"")</f>
        <v>0</v>
      </c>
      <c r="J22" s="257">
        <f>IFERROR(IF(ISNUMBER(H22),H22*'Mão de Obra'!$D$12/12,1)*G22*F22,"")</f>
        <v>0</v>
      </c>
    </row>
    <row r="23" spans="2:10">
      <c r="B23" s="246">
        <v>18</v>
      </c>
      <c r="C23" s="246"/>
      <c r="D23" s="250"/>
      <c r="E23" s="246"/>
      <c r="F23" s="254"/>
      <c r="G23" s="255"/>
      <c r="H23" s="256"/>
      <c r="I23" s="257">
        <f>IFERROR(J23/'Mão de Obra'!$D$12,"")</f>
        <v>0</v>
      </c>
      <c r="J23" s="257">
        <f>IFERROR(IF(ISNUMBER(H23),H23*'Mão de Obra'!$D$12/12,1)*G23*F23,"")</f>
        <v>0</v>
      </c>
    </row>
    <row r="24" spans="2:10">
      <c r="B24" s="246">
        <v>19</v>
      </c>
      <c r="C24" s="246"/>
      <c r="D24" s="250"/>
      <c r="E24" s="246"/>
      <c r="F24" s="254"/>
      <c r="G24" s="255"/>
      <c r="H24" s="256"/>
      <c r="I24" s="257">
        <f>IFERROR(J24/'Mão de Obra'!$D$12,"")</f>
        <v>0</v>
      </c>
      <c r="J24" s="257">
        <f>IFERROR(IF(ISNUMBER(H24),H24*'Mão de Obra'!$D$12/12,1)*G24*F24,"")</f>
        <v>0</v>
      </c>
    </row>
    <row r="25" spans="2:10">
      <c r="B25" s="246">
        <v>20</v>
      </c>
      <c r="C25" s="246"/>
      <c r="D25" s="250"/>
      <c r="E25" s="246"/>
      <c r="F25" s="254"/>
      <c r="G25" s="255"/>
      <c r="H25" s="256"/>
      <c r="I25" s="257">
        <f>IFERROR(J25/'Mão de Obra'!$D$12,"")</f>
        <v>0</v>
      </c>
      <c r="J25" s="257">
        <f>IFERROR(IF(ISNUMBER(H25),H25*'Mão de Obra'!$D$12/12,1)*G25*F25,"")</f>
        <v>0</v>
      </c>
    </row>
    <row r="26" spans="2:10">
      <c r="B26" s="246">
        <v>21</v>
      </c>
      <c r="C26" s="246"/>
      <c r="D26" s="250"/>
      <c r="E26" s="246"/>
      <c r="F26" s="254"/>
      <c r="G26" s="255"/>
      <c r="H26" s="256"/>
      <c r="I26" s="257">
        <f>IFERROR(J26/'Mão de Obra'!$D$12,"")</f>
        <v>0</v>
      </c>
      <c r="J26" s="257">
        <f>IFERROR(IF(ISNUMBER(H26),H26*'Mão de Obra'!$D$12/12,1)*G26*F26,"")</f>
        <v>0</v>
      </c>
    </row>
    <row r="27" spans="2:10" s="10" customFormat="1">
      <c r="B27" s="246">
        <v>22</v>
      </c>
      <c r="C27" s="246"/>
      <c r="D27" s="250"/>
      <c r="E27" s="246"/>
      <c r="F27" s="254"/>
      <c r="G27" s="255"/>
      <c r="H27" s="256"/>
      <c r="I27" s="257">
        <f>IFERROR(J27/'Mão de Obra'!$D$12,"")</f>
        <v>0</v>
      </c>
      <c r="J27" s="257">
        <f>IFERROR(IF(ISNUMBER(H27),H27*'Mão de Obra'!$D$12/12,1)*G27*F27,"")</f>
        <v>0</v>
      </c>
    </row>
    <row r="28" spans="2:10" s="10" customFormat="1">
      <c r="B28" s="246">
        <v>23</v>
      </c>
      <c r="C28" s="246"/>
      <c r="D28" s="250"/>
      <c r="E28" s="246"/>
      <c r="F28" s="254"/>
      <c r="G28" s="255"/>
      <c r="H28" s="256"/>
      <c r="I28" s="257">
        <f>IFERROR(J28/'Mão de Obra'!$D$12,"")</f>
        <v>0</v>
      </c>
      <c r="J28" s="257">
        <f>IFERROR(IF(ISNUMBER(H28),H28*'Mão de Obra'!$D$12/12,1)*G28*F28,"")</f>
        <v>0</v>
      </c>
    </row>
    <row r="29" spans="2:10" s="10" customFormat="1">
      <c r="B29" s="246">
        <v>24</v>
      </c>
      <c r="C29" s="246"/>
      <c r="D29" s="250"/>
      <c r="E29" s="246"/>
      <c r="F29" s="254"/>
      <c r="G29" s="255"/>
      <c r="H29" s="256"/>
      <c r="I29" s="257">
        <f>IFERROR(J29/'Mão de Obra'!$D$12,"")</f>
        <v>0</v>
      </c>
      <c r="J29" s="257">
        <f>IFERROR(IF(ISNUMBER(H29),H29*'Mão de Obra'!$D$12/12,1)*G29*F29,"")</f>
        <v>0</v>
      </c>
    </row>
    <row r="30" spans="2:10" s="10" customFormat="1">
      <c r="B30" s="246">
        <v>25</v>
      </c>
      <c r="C30" s="246"/>
      <c r="D30" s="250"/>
      <c r="E30" s="246"/>
      <c r="F30" s="254"/>
      <c r="G30" s="255"/>
      <c r="H30" s="256"/>
      <c r="I30" s="257">
        <f>IFERROR(J30/'Mão de Obra'!$D$12,"")</f>
        <v>0</v>
      </c>
      <c r="J30" s="257">
        <f>IFERROR(IF(ISNUMBER(H30),H30*'Mão de Obra'!$D$12/12,1)*G30*F30,"")</f>
        <v>0</v>
      </c>
    </row>
    <row r="31" spans="2:10" s="10" customFormat="1">
      <c r="B31" s="246">
        <v>26</v>
      </c>
      <c r="C31" s="246"/>
      <c r="D31" s="250"/>
      <c r="E31" s="246"/>
      <c r="F31" s="254"/>
      <c r="G31" s="255"/>
      <c r="H31" s="256"/>
      <c r="I31" s="257">
        <f>IFERROR(J31/'Mão de Obra'!$D$12,"")</f>
        <v>0</v>
      </c>
      <c r="J31" s="257">
        <f>IFERROR(IF(ISNUMBER(H31),H31*'Mão de Obra'!$D$12/12,1)*G31*F31,"")</f>
        <v>0</v>
      </c>
    </row>
    <row r="32" spans="2:10" s="10" customFormat="1">
      <c r="B32" s="246">
        <v>27</v>
      </c>
      <c r="C32" s="246"/>
      <c r="D32" s="250"/>
      <c r="E32" s="246"/>
      <c r="F32" s="254"/>
      <c r="G32" s="255"/>
      <c r="H32" s="256"/>
      <c r="I32" s="257">
        <f>IFERROR(J32/'Mão de Obra'!$D$12,"")</f>
        <v>0</v>
      </c>
      <c r="J32" s="257">
        <f>IFERROR(IF(ISNUMBER(H32),H32*'Mão de Obra'!$D$12/12,1)*G32*F32,"")</f>
        <v>0</v>
      </c>
    </row>
    <row r="33" spans="2:10" s="10" customFormat="1">
      <c r="B33" s="246">
        <v>28</v>
      </c>
      <c r="C33" s="246"/>
      <c r="D33" s="250"/>
      <c r="E33" s="246"/>
      <c r="F33" s="254"/>
      <c r="G33" s="255"/>
      <c r="H33" s="256"/>
      <c r="I33" s="257">
        <f>IFERROR(J33/'Mão de Obra'!$D$12,"")</f>
        <v>0</v>
      </c>
      <c r="J33" s="257">
        <f>IFERROR(IF(ISNUMBER(H33),H33*'Mão de Obra'!$D$12/12,1)*G33*F33,"")</f>
        <v>0</v>
      </c>
    </row>
    <row r="34" spans="2:10" s="10" customFormat="1">
      <c r="B34" s="246">
        <v>29</v>
      </c>
      <c r="C34" s="246"/>
      <c r="D34" s="250"/>
      <c r="E34" s="246"/>
      <c r="F34" s="254"/>
      <c r="G34" s="255"/>
      <c r="H34" s="256"/>
      <c r="I34" s="257">
        <f>IFERROR(J34/'Mão de Obra'!$D$12,"")</f>
        <v>0</v>
      </c>
      <c r="J34" s="257">
        <f>IFERROR(IF(ISNUMBER(H34),H34*'Mão de Obra'!$D$12/12,1)*G34*F34,"")</f>
        <v>0</v>
      </c>
    </row>
    <row r="35" spans="2:10" s="10" customFormat="1">
      <c r="B35" s="246">
        <v>30</v>
      </c>
      <c r="C35" s="246"/>
      <c r="D35" s="250"/>
      <c r="E35" s="246"/>
      <c r="F35" s="254"/>
      <c r="G35" s="255"/>
      <c r="H35" s="256"/>
      <c r="I35" s="257">
        <f>IFERROR(J35/'Mão de Obra'!$D$12,"")</f>
        <v>0</v>
      </c>
      <c r="J35" s="257">
        <f>IFERROR(IF(ISNUMBER(H35),H35*'Mão de Obra'!$D$12/12,1)*G35*F35,"")</f>
        <v>0</v>
      </c>
    </row>
    <row r="36" spans="2:10" s="10" customFormat="1">
      <c r="B36" s="246">
        <v>31</v>
      </c>
      <c r="C36" s="246"/>
      <c r="D36" s="250"/>
      <c r="E36" s="246"/>
      <c r="F36" s="254"/>
      <c r="G36" s="255"/>
      <c r="H36" s="256"/>
      <c r="I36" s="257">
        <f>IFERROR(J36/'Mão de Obra'!$D$12,"")</f>
        <v>0</v>
      </c>
      <c r="J36" s="257">
        <f>IFERROR(IF(ISNUMBER(H36),H36*'Mão de Obra'!$D$12/12,1)*G36*F36,"")</f>
        <v>0</v>
      </c>
    </row>
    <row r="37" spans="2:10" s="10" customFormat="1">
      <c r="B37" s="246">
        <v>32</v>
      </c>
      <c r="C37" s="246"/>
      <c r="D37" s="250"/>
      <c r="E37" s="246"/>
      <c r="F37" s="254"/>
      <c r="G37" s="255"/>
      <c r="H37" s="256"/>
      <c r="I37" s="257">
        <f>IFERROR(J37/'Mão de Obra'!$D$12,"")</f>
        <v>0</v>
      </c>
      <c r="J37" s="257">
        <f>IFERROR(IF(ISNUMBER(H37),H37*'Mão de Obra'!$D$12/12,1)*G37*F37,"")</f>
        <v>0</v>
      </c>
    </row>
    <row r="38" spans="2:10" s="10" customFormat="1">
      <c r="B38" s="246">
        <v>33</v>
      </c>
      <c r="C38" s="246"/>
      <c r="D38" s="250"/>
      <c r="E38" s="246"/>
      <c r="F38" s="254"/>
      <c r="G38" s="255"/>
      <c r="H38" s="256"/>
      <c r="I38" s="257">
        <f>IFERROR(J38/'Mão de Obra'!$D$12,"")</f>
        <v>0</v>
      </c>
      <c r="J38" s="257">
        <f>IFERROR(IF(ISNUMBER(H38),H38*'Mão de Obra'!$D$12/12,1)*G38*F38,"")</f>
        <v>0</v>
      </c>
    </row>
    <row r="39" spans="2:10" s="10" customFormat="1">
      <c r="B39" s="246">
        <v>34</v>
      </c>
      <c r="C39" s="246"/>
      <c r="D39" s="250"/>
      <c r="E39" s="246"/>
      <c r="F39" s="254"/>
      <c r="G39" s="255"/>
      <c r="H39" s="256"/>
      <c r="I39" s="257">
        <f>IFERROR(J39/'Mão de Obra'!$D$12,"")</f>
        <v>0</v>
      </c>
      <c r="J39" s="257">
        <f>IFERROR(IF(ISNUMBER(H39),H39*'Mão de Obra'!$D$12/12,1)*G39*F39,"")</f>
        <v>0</v>
      </c>
    </row>
    <row r="40" spans="2:10" s="10" customFormat="1">
      <c r="B40" s="246">
        <v>35</v>
      </c>
      <c r="C40" s="246"/>
      <c r="D40" s="250"/>
      <c r="E40" s="246"/>
      <c r="F40" s="254"/>
      <c r="G40" s="255"/>
      <c r="H40" s="256"/>
      <c r="I40" s="257">
        <f>IFERROR(J40/'Mão de Obra'!$D$12,"")</f>
        <v>0</v>
      </c>
      <c r="J40" s="257">
        <f>IFERROR(IF(ISNUMBER(H40),H40*'Mão de Obra'!$D$12/12,1)*G40*F40,"")</f>
        <v>0</v>
      </c>
    </row>
    <row r="41" spans="2:10" s="10" customFormat="1">
      <c r="B41" s="246">
        <v>36</v>
      </c>
      <c r="C41" s="246"/>
      <c r="D41" s="250"/>
      <c r="E41" s="246"/>
      <c r="F41" s="254"/>
      <c r="G41" s="255"/>
      <c r="H41" s="256"/>
      <c r="I41" s="257">
        <f>IFERROR(J41/'Mão de Obra'!$D$12,"")</f>
        <v>0</v>
      </c>
      <c r="J41" s="257">
        <f>IFERROR(IF(ISNUMBER(H41),H41*'Mão de Obra'!$D$12/12,1)*G41*F41,"")</f>
        <v>0</v>
      </c>
    </row>
    <row r="42" spans="2:10" s="10" customFormat="1">
      <c r="B42" s="246">
        <v>37</v>
      </c>
      <c r="C42" s="246"/>
      <c r="D42" s="250"/>
      <c r="E42" s="246"/>
      <c r="F42" s="254"/>
      <c r="G42" s="255"/>
      <c r="H42" s="256"/>
      <c r="I42" s="257">
        <f>IFERROR(J42/'Mão de Obra'!$D$12,"")</f>
        <v>0</v>
      </c>
      <c r="J42" s="257">
        <f>IFERROR(IF(ISNUMBER(H42),H42*'Mão de Obra'!$D$12/12,1)*G42*F42,"")</f>
        <v>0</v>
      </c>
    </row>
    <row r="43" spans="2:10" s="10" customFormat="1">
      <c r="B43" s="246">
        <v>38</v>
      </c>
      <c r="C43" s="246"/>
      <c r="D43" s="250"/>
      <c r="E43" s="246"/>
      <c r="F43" s="254"/>
      <c r="G43" s="255"/>
      <c r="H43" s="256"/>
      <c r="I43" s="257">
        <f>IFERROR(J43/'Mão de Obra'!$D$12,"")</f>
        <v>0</v>
      </c>
      <c r="J43" s="257">
        <f>IFERROR(IF(ISNUMBER(H43),H43*'Mão de Obra'!$D$12/12,1)*G43*F43,"")</f>
        <v>0</v>
      </c>
    </row>
    <row r="44" spans="2:10" s="10" customFormat="1">
      <c r="B44" s="246">
        <v>39</v>
      </c>
      <c r="C44" s="246"/>
      <c r="D44" s="250"/>
      <c r="E44" s="246"/>
      <c r="F44" s="254"/>
      <c r="G44" s="255"/>
      <c r="H44" s="256"/>
      <c r="I44" s="257">
        <f>IFERROR(J44/'Mão de Obra'!$D$12,"")</f>
        <v>0</v>
      </c>
      <c r="J44" s="257">
        <f>IFERROR(IF(ISNUMBER(H44),H44*'Mão de Obra'!$D$12/12,1)*G44*F44,"")</f>
        <v>0</v>
      </c>
    </row>
    <row r="45" spans="2:10" s="10" customFormat="1">
      <c r="B45" s="246">
        <v>40</v>
      </c>
      <c r="C45" s="246"/>
      <c r="D45" s="250"/>
      <c r="E45" s="246"/>
      <c r="F45" s="254"/>
      <c r="G45" s="255"/>
      <c r="H45" s="256"/>
      <c r="I45" s="257">
        <f>IFERROR(J45/'Mão de Obra'!$D$12,"")</f>
        <v>0</v>
      </c>
      <c r="J45" s="257">
        <f>IFERROR(IF(ISNUMBER(H45),H45*'Mão de Obra'!$D$12/12,1)*G45*F45,"")</f>
        <v>0</v>
      </c>
    </row>
    <row r="46" spans="2:10" s="10" customFormat="1">
      <c r="B46" s="246">
        <v>41</v>
      </c>
      <c r="C46" s="246"/>
      <c r="D46" s="250"/>
      <c r="E46" s="246"/>
      <c r="F46" s="254"/>
      <c r="G46" s="255"/>
      <c r="H46" s="256"/>
      <c r="I46" s="257">
        <f>IFERROR(J46/'Mão de Obra'!$D$12,"")</f>
        <v>0</v>
      </c>
      <c r="J46" s="257">
        <f>IFERROR(IF(ISNUMBER(H46),H46*'Mão de Obra'!$D$12/12,1)*G46*F46,"")</f>
        <v>0</v>
      </c>
    </row>
    <row r="47" spans="2:10" s="10" customFormat="1">
      <c r="B47" s="246">
        <v>42</v>
      </c>
      <c r="C47" s="246"/>
      <c r="D47" s="250"/>
      <c r="E47" s="246"/>
      <c r="F47" s="254"/>
      <c r="G47" s="255"/>
      <c r="H47" s="256"/>
      <c r="I47" s="257">
        <f>IFERROR(J47/'Mão de Obra'!$D$12,"")</f>
        <v>0</v>
      </c>
      <c r="J47" s="257">
        <f>IFERROR(IF(ISNUMBER(H47),H47*'Mão de Obra'!$D$12/12,1)*G47*F47,"")</f>
        <v>0</v>
      </c>
    </row>
    <row r="48" spans="2:10" s="10" customFormat="1">
      <c r="B48" s="246">
        <v>43</v>
      </c>
      <c r="C48" s="246"/>
      <c r="D48" s="250"/>
      <c r="E48" s="246"/>
      <c r="F48" s="254"/>
      <c r="G48" s="255"/>
      <c r="H48" s="256"/>
      <c r="I48" s="257">
        <f>IFERROR(J48/'Mão de Obra'!$D$12,"")</f>
        <v>0</v>
      </c>
      <c r="J48" s="257">
        <f>IFERROR(IF(ISNUMBER(H48),H48*'Mão de Obra'!$D$12/12,1)*G48*F48,"")</f>
        <v>0</v>
      </c>
    </row>
    <row r="49" spans="2:10" s="10" customFormat="1">
      <c r="B49" s="246">
        <v>44</v>
      </c>
      <c r="C49" s="246"/>
      <c r="D49" s="250"/>
      <c r="E49" s="246"/>
      <c r="F49" s="254"/>
      <c r="G49" s="255"/>
      <c r="H49" s="256"/>
      <c r="I49" s="257">
        <f>IFERROR(J49/'Mão de Obra'!$D$12,"")</f>
        <v>0</v>
      </c>
      <c r="J49" s="257">
        <f>IFERROR(IF(ISNUMBER(H49),H49*'Mão de Obra'!$D$12/12,1)*G49*F49,"")</f>
        <v>0</v>
      </c>
    </row>
    <row r="50" spans="2:10" s="10" customFormat="1">
      <c r="B50" s="246">
        <v>45</v>
      </c>
      <c r="C50" s="246"/>
      <c r="D50" s="250"/>
      <c r="E50" s="246"/>
      <c r="F50" s="254"/>
      <c r="G50" s="255"/>
      <c r="H50" s="256"/>
      <c r="I50" s="257">
        <f>IFERROR(J50/'Mão de Obra'!$D$12,"")</f>
        <v>0</v>
      </c>
      <c r="J50" s="257">
        <f>IFERROR(IF(ISNUMBER(H50),H50*'Mão de Obra'!$D$12/12,1)*G50*F50,"")</f>
        <v>0</v>
      </c>
    </row>
    <row r="51" spans="2:10" s="10" customFormat="1">
      <c r="B51" s="246">
        <v>46</v>
      </c>
      <c r="C51" s="246"/>
      <c r="D51" s="250"/>
      <c r="E51" s="246"/>
      <c r="F51" s="254"/>
      <c r="G51" s="255"/>
      <c r="H51" s="256"/>
      <c r="I51" s="257">
        <f>IFERROR(J51/'Mão de Obra'!$D$12,"")</f>
        <v>0</v>
      </c>
      <c r="J51" s="257">
        <f>IFERROR(IF(ISNUMBER(H51),H51*'Mão de Obra'!$D$12/12,1)*G51*F51,"")</f>
        <v>0</v>
      </c>
    </row>
    <row r="52" spans="2:10" s="10" customFormat="1">
      <c r="B52" s="246">
        <v>47</v>
      </c>
      <c r="C52" s="246"/>
      <c r="D52" s="250"/>
      <c r="E52" s="246"/>
      <c r="F52" s="254"/>
      <c r="G52" s="255"/>
      <c r="H52" s="256"/>
      <c r="I52" s="257">
        <f>IFERROR(J52/'Mão de Obra'!$D$12,"")</f>
        <v>0</v>
      </c>
      <c r="J52" s="257">
        <f>IFERROR(IF(ISNUMBER(H52),H52*'Mão de Obra'!$D$12/12,1)*G52*F52,"")</f>
        <v>0</v>
      </c>
    </row>
    <row r="53" spans="2:10" s="10" customFormat="1">
      <c r="B53" s="246">
        <v>48</v>
      </c>
      <c r="C53" s="246"/>
      <c r="D53" s="250"/>
      <c r="E53" s="246"/>
      <c r="F53" s="254"/>
      <c r="G53" s="255"/>
      <c r="H53" s="256"/>
      <c r="I53" s="257">
        <f>IFERROR(J53/'Mão de Obra'!$D$12,"")</f>
        <v>0</v>
      </c>
      <c r="J53" s="257">
        <f>IFERROR(IF(ISNUMBER(H53),H53*'Mão de Obra'!$D$12/12,1)*G53*F53,"")</f>
        <v>0</v>
      </c>
    </row>
    <row r="54" spans="2:10" s="10" customFormat="1">
      <c r="B54" s="246">
        <v>49</v>
      </c>
      <c r="C54" s="246"/>
      <c r="D54" s="250"/>
      <c r="E54" s="246"/>
      <c r="F54" s="254"/>
      <c r="G54" s="255"/>
      <c r="H54" s="256"/>
      <c r="I54" s="257">
        <f>IFERROR(J54/'Mão de Obra'!$D$12,"")</f>
        <v>0</v>
      </c>
      <c r="J54" s="257">
        <f>IFERROR(IF(ISNUMBER(H54),H54*'Mão de Obra'!$D$12/12,1)*G54*F54,"")</f>
        <v>0</v>
      </c>
    </row>
    <row r="55" spans="2:10" s="10" customFormat="1">
      <c r="B55" s="246">
        <v>50</v>
      </c>
      <c r="C55" s="246"/>
      <c r="D55" s="250"/>
      <c r="E55" s="246"/>
      <c r="F55" s="254"/>
      <c r="G55" s="255"/>
      <c r="H55" s="256"/>
      <c r="I55" s="257">
        <f>IFERROR(J55/'Mão de Obra'!$D$12,"")</f>
        <v>0</v>
      </c>
      <c r="J55" s="257">
        <f>IFERROR(IF(ISNUMBER(H55),H55*'Mão de Obra'!$D$12/12,1)*G55*F55,"")</f>
        <v>0</v>
      </c>
    </row>
    <row r="56" spans="2:10" s="10" customFormat="1">
      <c r="B56" s="246">
        <v>51</v>
      </c>
      <c r="C56" s="246"/>
      <c r="D56" s="250"/>
      <c r="E56" s="246"/>
      <c r="F56" s="254"/>
      <c r="G56" s="255"/>
      <c r="H56" s="256"/>
      <c r="I56" s="257">
        <f>IFERROR(J56/'Mão de Obra'!$D$12,"")</f>
        <v>0</v>
      </c>
      <c r="J56" s="257">
        <f>IFERROR(IF(ISNUMBER(H56),H56*'Mão de Obra'!$D$12/12,1)*G56*F56,"")</f>
        <v>0</v>
      </c>
    </row>
    <row r="57" spans="2:10" s="10" customFormat="1">
      <c r="B57" s="246">
        <v>52</v>
      </c>
      <c r="C57" s="246"/>
      <c r="D57" s="250"/>
      <c r="E57" s="246"/>
      <c r="F57" s="254"/>
      <c r="G57" s="255"/>
      <c r="H57" s="256"/>
      <c r="I57" s="257">
        <f>IFERROR(J57/'Mão de Obra'!$D$12,"")</f>
        <v>0</v>
      </c>
      <c r="J57" s="257">
        <f>IFERROR(IF(ISNUMBER(H57),H57*'Mão de Obra'!$D$12/12,1)*G57*F57,"")</f>
        <v>0</v>
      </c>
    </row>
    <row r="58" spans="2:10" s="10" customFormat="1">
      <c r="B58" s="246">
        <v>53</v>
      </c>
      <c r="C58" s="246"/>
      <c r="D58" s="250"/>
      <c r="E58" s="246"/>
      <c r="F58" s="254"/>
      <c r="G58" s="255"/>
      <c r="H58" s="256"/>
      <c r="I58" s="257">
        <f>IFERROR(J58/'Mão de Obra'!$D$12,"")</f>
        <v>0</v>
      </c>
      <c r="J58" s="257">
        <f>IFERROR(IF(ISNUMBER(H58),H58*'Mão de Obra'!$D$12/12,1)*G58*F58,"")</f>
        <v>0</v>
      </c>
    </row>
    <row r="59" spans="2:10" s="10" customFormat="1">
      <c r="B59" s="246">
        <v>54</v>
      </c>
      <c r="C59" s="246"/>
      <c r="D59" s="250"/>
      <c r="E59" s="246"/>
      <c r="F59" s="254"/>
      <c r="G59" s="255"/>
      <c r="H59" s="256"/>
      <c r="I59" s="257">
        <f>IFERROR(J59/'Mão de Obra'!$D$12,"")</f>
        <v>0</v>
      </c>
      <c r="J59" s="257">
        <f>IFERROR(IF(ISNUMBER(H59),H59*'Mão de Obra'!$D$12/12,1)*G59*F59,"")</f>
        <v>0</v>
      </c>
    </row>
    <row r="60" spans="2:10" s="10" customFormat="1">
      <c r="B60" s="246">
        <v>55</v>
      </c>
      <c r="C60" s="246"/>
      <c r="D60" s="250"/>
      <c r="E60" s="246"/>
      <c r="F60" s="254"/>
      <c r="G60" s="255"/>
      <c r="H60" s="256"/>
      <c r="I60" s="257">
        <f>IFERROR(J60/'Mão de Obra'!$D$12,"")</f>
        <v>0</v>
      </c>
      <c r="J60" s="257">
        <f>IFERROR(IF(ISNUMBER(H60),H60*'Mão de Obra'!$D$12/12,1)*G60*F60,"")</f>
        <v>0</v>
      </c>
    </row>
    <row r="61" spans="2:10" s="10" customFormat="1">
      <c r="B61" s="246">
        <v>56</v>
      </c>
      <c r="C61" s="246"/>
      <c r="D61" s="250"/>
      <c r="E61" s="246"/>
      <c r="F61" s="254"/>
      <c r="G61" s="255"/>
      <c r="H61" s="256"/>
      <c r="I61" s="257">
        <f>IFERROR(J61/'Mão de Obra'!$D$12,"")</f>
        <v>0</v>
      </c>
      <c r="J61" s="257">
        <f>IFERROR(IF(ISNUMBER(H61),H61*'Mão de Obra'!$D$12/12,1)*G61*F61,"")</f>
        <v>0</v>
      </c>
    </row>
    <row r="62" spans="2:10" s="10" customFormat="1">
      <c r="B62" s="246">
        <v>57</v>
      </c>
      <c r="C62" s="246"/>
      <c r="D62" s="250"/>
      <c r="E62" s="246"/>
      <c r="F62" s="254"/>
      <c r="G62" s="255"/>
      <c r="H62" s="256"/>
      <c r="I62" s="257">
        <f>IFERROR(J62/'Mão de Obra'!$D$12,"")</f>
        <v>0</v>
      </c>
      <c r="J62" s="257">
        <f>IFERROR(IF(ISNUMBER(H62),H62*'Mão de Obra'!$D$12/12,1)*G62*F62,"")</f>
        <v>0</v>
      </c>
    </row>
    <row r="63" spans="2:10" s="10" customFormat="1">
      <c r="B63" s="246">
        <v>58</v>
      </c>
      <c r="C63" s="246"/>
      <c r="D63" s="250"/>
      <c r="E63" s="246"/>
      <c r="F63" s="254"/>
      <c r="G63" s="255"/>
      <c r="H63" s="256"/>
      <c r="I63" s="257">
        <f>IFERROR(J63/'Mão de Obra'!$D$12,"")</f>
        <v>0</v>
      </c>
      <c r="J63" s="257">
        <f>IFERROR(IF(ISNUMBER(H63),H63*'Mão de Obra'!$D$12/12,1)*G63*F63,"")</f>
        <v>0</v>
      </c>
    </row>
    <row r="64" spans="2:10" s="10" customFormat="1">
      <c r="B64" s="246">
        <v>59</v>
      </c>
      <c r="C64" s="246"/>
      <c r="D64" s="250"/>
      <c r="E64" s="246"/>
      <c r="F64" s="254"/>
      <c r="G64" s="255"/>
      <c r="H64" s="256"/>
      <c r="I64" s="257">
        <f>IFERROR(J64/'Mão de Obra'!$D$12,"")</f>
        <v>0</v>
      </c>
      <c r="J64" s="257">
        <f>IFERROR(IF(ISNUMBER(H64),H64*'Mão de Obra'!$D$12/12,1)*G64*F64,"")</f>
        <v>0</v>
      </c>
    </row>
    <row r="65" spans="2:10" s="10" customFormat="1">
      <c r="B65" s="246">
        <v>60</v>
      </c>
      <c r="C65" s="246"/>
      <c r="D65" s="250"/>
      <c r="E65" s="246"/>
      <c r="F65" s="254"/>
      <c r="G65" s="255"/>
      <c r="H65" s="256"/>
      <c r="I65" s="257">
        <f>IFERROR(J65/'Mão de Obra'!$D$12,"")</f>
        <v>0</v>
      </c>
      <c r="J65" s="257">
        <f>IFERROR(IF(ISNUMBER(H65),H65*'Mão de Obra'!$D$12/12,1)*G65*F65,"")</f>
        <v>0</v>
      </c>
    </row>
    <row r="66" spans="2:10" s="10" customFormat="1">
      <c r="B66" s="246">
        <v>61</v>
      </c>
      <c r="C66" s="246"/>
      <c r="D66" s="250"/>
      <c r="E66" s="246"/>
      <c r="F66" s="254"/>
      <c r="G66" s="255"/>
      <c r="H66" s="256"/>
      <c r="I66" s="257">
        <f>IFERROR(J66/'Mão de Obra'!$D$12,"")</f>
        <v>0</v>
      </c>
      <c r="J66" s="257">
        <f>IFERROR(IF(ISNUMBER(H66),H66*'Mão de Obra'!$D$12/12,1)*G66*F66,"")</f>
        <v>0</v>
      </c>
    </row>
    <row r="67" spans="2:10" s="10" customFormat="1">
      <c r="B67" s="246">
        <v>62</v>
      </c>
      <c r="C67" s="246"/>
      <c r="D67" s="250"/>
      <c r="E67" s="246"/>
      <c r="F67" s="254"/>
      <c r="G67" s="255"/>
      <c r="H67" s="256"/>
      <c r="I67" s="257">
        <f>IFERROR(J67/'Mão de Obra'!$D$12,"")</f>
        <v>0</v>
      </c>
      <c r="J67" s="257">
        <f>IFERROR(IF(ISNUMBER(H67),H67*'Mão de Obra'!$D$12/12,1)*G67*F67,"")</f>
        <v>0</v>
      </c>
    </row>
    <row r="68" spans="2:10" s="10" customFormat="1">
      <c r="B68" s="246">
        <v>63</v>
      </c>
      <c r="C68" s="246"/>
      <c r="D68" s="250"/>
      <c r="E68" s="246"/>
      <c r="F68" s="254"/>
      <c r="G68" s="255"/>
      <c r="H68" s="256"/>
      <c r="I68" s="257">
        <f>IFERROR(J68/'Mão de Obra'!$D$12,"")</f>
        <v>0</v>
      </c>
      <c r="J68" s="257">
        <f>IFERROR(IF(ISNUMBER(H68),H68*'Mão de Obra'!$D$12/12,1)*G68*F68,"")</f>
        <v>0</v>
      </c>
    </row>
    <row r="69" spans="2:10" s="10" customFormat="1">
      <c r="B69" s="246">
        <v>64</v>
      </c>
      <c r="C69" s="246"/>
      <c r="D69" s="250"/>
      <c r="E69" s="246"/>
      <c r="F69" s="254"/>
      <c r="G69" s="255"/>
      <c r="H69" s="256"/>
      <c r="I69" s="257">
        <f>IFERROR(J69/'Mão de Obra'!$D$12,"")</f>
        <v>0</v>
      </c>
      <c r="J69" s="257">
        <f>IFERROR(IF(ISNUMBER(H69),H69*'Mão de Obra'!$D$12/12,1)*G69*F69,"")</f>
        <v>0</v>
      </c>
    </row>
    <row r="70" spans="2:10" s="10" customFormat="1">
      <c r="B70" s="246">
        <v>65</v>
      </c>
      <c r="C70" s="246"/>
      <c r="D70" s="250"/>
      <c r="E70" s="246"/>
      <c r="F70" s="254"/>
      <c r="G70" s="255"/>
      <c r="H70" s="256"/>
      <c r="I70" s="257">
        <f>IFERROR(J70/'Mão de Obra'!$D$12,"")</f>
        <v>0</v>
      </c>
      <c r="J70" s="257">
        <f>IFERROR(IF(ISNUMBER(H70),H70*'Mão de Obra'!$D$12/12,1)*G70*F70,"")</f>
        <v>0</v>
      </c>
    </row>
    <row r="71" spans="2:10" s="10" customFormat="1">
      <c r="B71" s="246">
        <v>66</v>
      </c>
      <c r="C71" s="246"/>
      <c r="D71" s="250"/>
      <c r="E71" s="246"/>
      <c r="F71" s="254"/>
      <c r="G71" s="255"/>
      <c r="H71" s="256"/>
      <c r="I71" s="257">
        <f>IFERROR(J71/'Mão de Obra'!$D$12,"")</f>
        <v>0</v>
      </c>
      <c r="J71" s="257">
        <f>IFERROR(IF(ISNUMBER(H71),H71*'Mão de Obra'!$D$12/12,1)*G71*F71,"")</f>
        <v>0</v>
      </c>
    </row>
    <row r="72" spans="2:10" s="10" customFormat="1">
      <c r="B72" s="246">
        <v>67</v>
      </c>
      <c r="C72" s="246"/>
      <c r="D72" s="250"/>
      <c r="E72" s="246"/>
      <c r="F72" s="254"/>
      <c r="G72" s="255"/>
      <c r="H72" s="256"/>
      <c r="I72" s="257">
        <f>IFERROR(J72/'Mão de Obra'!$D$12,"")</f>
        <v>0</v>
      </c>
      <c r="J72" s="257">
        <f>IFERROR(IF(ISNUMBER(H72),H72*'Mão de Obra'!$D$12/12,1)*G72*F72,"")</f>
        <v>0</v>
      </c>
    </row>
    <row r="73" spans="2:10" s="10" customFormat="1">
      <c r="B73" s="246">
        <v>68</v>
      </c>
      <c r="C73" s="246"/>
      <c r="D73" s="250"/>
      <c r="E73" s="246"/>
      <c r="F73" s="254"/>
      <c r="G73" s="255"/>
      <c r="H73" s="256"/>
      <c r="I73" s="257">
        <f>IFERROR(J73/'Mão de Obra'!$D$12,"")</f>
        <v>0</v>
      </c>
      <c r="J73" s="257">
        <f>IFERROR(IF(ISNUMBER(H73),H73*'Mão de Obra'!$D$12/12,1)*G73*F73,"")</f>
        <v>0</v>
      </c>
    </row>
    <row r="74" spans="2:10" s="10" customFormat="1">
      <c r="B74" s="246">
        <v>69</v>
      </c>
      <c r="C74" s="246"/>
      <c r="D74" s="250"/>
      <c r="E74" s="246"/>
      <c r="F74" s="254"/>
      <c r="G74" s="255"/>
      <c r="H74" s="256"/>
      <c r="I74" s="257">
        <f>IFERROR(J74/'Mão de Obra'!$D$12,"")</f>
        <v>0</v>
      </c>
      <c r="J74" s="257">
        <f>IFERROR(IF(ISNUMBER(H74),H74*'Mão de Obra'!$D$12/12,1)*G74*F74,"")</f>
        <v>0</v>
      </c>
    </row>
    <row r="75" spans="2:10" s="10" customFormat="1">
      <c r="B75" s="246">
        <v>70</v>
      </c>
      <c r="C75" s="246"/>
      <c r="D75" s="250"/>
      <c r="E75" s="246"/>
      <c r="F75" s="254"/>
      <c r="G75" s="255"/>
      <c r="H75" s="256"/>
      <c r="I75" s="257">
        <f>IFERROR(J75/'Mão de Obra'!$D$12,"")</f>
        <v>0</v>
      </c>
      <c r="J75" s="257">
        <f>IFERROR(IF(ISNUMBER(H75),H75*'Mão de Obra'!$D$12/12,1)*G75*F75,"")</f>
        <v>0</v>
      </c>
    </row>
    <row r="76" spans="2:10" s="10" customFormat="1">
      <c r="B76" s="246">
        <v>71</v>
      </c>
      <c r="C76" s="246"/>
      <c r="D76" s="250"/>
      <c r="E76" s="246"/>
      <c r="F76" s="254"/>
      <c r="G76" s="255"/>
      <c r="H76" s="256"/>
      <c r="I76" s="257">
        <f>IFERROR(J76/'Mão de Obra'!$D$12,"")</f>
        <v>0</v>
      </c>
      <c r="J76" s="257">
        <f>IFERROR(IF(ISNUMBER(H76),H76*'Mão de Obra'!$D$12/12,1)*G76*F76,"")</f>
        <v>0</v>
      </c>
    </row>
    <row r="77" spans="2:10" s="10" customFormat="1">
      <c r="B77" s="246">
        <v>72</v>
      </c>
      <c r="C77" s="246"/>
      <c r="D77" s="250"/>
      <c r="E77" s="246"/>
      <c r="F77" s="254"/>
      <c r="G77" s="255"/>
      <c r="H77" s="256"/>
      <c r="I77" s="257">
        <f>IFERROR(J77/'Mão de Obra'!$D$12,"")</f>
        <v>0</v>
      </c>
      <c r="J77" s="257">
        <f>IFERROR(IF(ISNUMBER(H77),H77*'Mão de Obra'!$D$12/12,1)*G77*F77,"")</f>
        <v>0</v>
      </c>
    </row>
    <row r="78" spans="2:10" s="10" customFormat="1">
      <c r="B78" s="246">
        <v>73</v>
      </c>
      <c r="C78" s="246"/>
      <c r="D78" s="250"/>
      <c r="E78" s="246"/>
      <c r="F78" s="254"/>
      <c r="G78" s="255"/>
      <c r="H78" s="256"/>
      <c r="I78" s="257">
        <f>IFERROR(J78/'Mão de Obra'!$D$12,"")</f>
        <v>0</v>
      </c>
      <c r="J78" s="257">
        <f>IFERROR(IF(ISNUMBER(H78),H78*'Mão de Obra'!$D$12/12,1)*G78*F78,"")</f>
        <v>0</v>
      </c>
    </row>
    <row r="79" spans="2:10" s="10" customFormat="1">
      <c r="B79" s="246">
        <v>74</v>
      </c>
      <c r="C79" s="246"/>
      <c r="D79" s="250"/>
      <c r="E79" s="246"/>
      <c r="F79" s="254"/>
      <c r="G79" s="255"/>
      <c r="H79" s="256"/>
      <c r="I79" s="257">
        <f>IFERROR(J79/'Mão de Obra'!$D$12,"")</f>
        <v>0</v>
      </c>
      <c r="J79" s="257">
        <f>IFERROR(IF(ISNUMBER(H79),H79*'Mão de Obra'!$D$12/12,1)*G79*F79,"")</f>
        <v>0</v>
      </c>
    </row>
    <row r="80" spans="2:10" s="10" customFormat="1">
      <c r="B80" s="246">
        <v>75</v>
      </c>
      <c r="C80" s="246"/>
      <c r="D80" s="250"/>
      <c r="E80" s="246"/>
      <c r="F80" s="254"/>
      <c r="G80" s="255"/>
      <c r="H80" s="256"/>
      <c r="I80" s="257">
        <f>IFERROR(J80/'Mão de Obra'!$D$12,"")</f>
        <v>0</v>
      </c>
      <c r="J80" s="257">
        <f>IFERROR(IF(ISNUMBER(H80),H80*'Mão de Obra'!$D$12/12,1)*G80*F80,"")</f>
        <v>0</v>
      </c>
    </row>
    <row r="81" spans="2:10" s="10" customFormat="1">
      <c r="B81" s="246">
        <v>76</v>
      </c>
      <c r="C81" s="246"/>
      <c r="D81" s="250"/>
      <c r="E81" s="246"/>
      <c r="F81" s="254"/>
      <c r="G81" s="255"/>
      <c r="H81" s="256"/>
      <c r="I81" s="257">
        <f>IFERROR(J81/'Mão de Obra'!$D$12,"")</f>
        <v>0</v>
      </c>
      <c r="J81" s="257">
        <f>IFERROR(IF(ISNUMBER(H81),H81*'Mão de Obra'!$D$12/12,1)*G81*F81,"")</f>
        <v>0</v>
      </c>
    </row>
    <row r="82" spans="2:10" s="10" customFormat="1">
      <c r="B82" s="246">
        <v>77</v>
      </c>
      <c r="C82" s="246"/>
      <c r="D82" s="250"/>
      <c r="E82" s="246"/>
      <c r="F82" s="254"/>
      <c r="G82" s="255"/>
      <c r="H82" s="256"/>
      <c r="I82" s="257">
        <f>IFERROR(J82/'Mão de Obra'!$D$12,"")</f>
        <v>0</v>
      </c>
      <c r="J82" s="257">
        <f>IFERROR(IF(ISNUMBER(H82),H82*'Mão de Obra'!$D$12/12,1)*G82*F82,"")</f>
        <v>0</v>
      </c>
    </row>
    <row r="83" spans="2:10" s="10" customFormat="1">
      <c r="B83" s="246">
        <v>78</v>
      </c>
      <c r="C83" s="246"/>
      <c r="D83" s="250"/>
      <c r="E83" s="246"/>
      <c r="F83" s="254"/>
      <c r="G83" s="255"/>
      <c r="H83" s="256"/>
      <c r="I83" s="257">
        <f>IFERROR(J83/'Mão de Obra'!$D$12,"")</f>
        <v>0</v>
      </c>
      <c r="J83" s="257">
        <f>IFERROR(IF(ISNUMBER(H83),H83*'Mão de Obra'!$D$12/12,1)*G83*F83,"")</f>
        <v>0</v>
      </c>
    </row>
    <row r="84" spans="2:10" s="10" customFormat="1">
      <c r="B84" s="246">
        <v>79</v>
      </c>
      <c r="C84" s="246"/>
      <c r="D84" s="250"/>
      <c r="E84" s="246"/>
      <c r="F84" s="254"/>
      <c r="G84" s="255"/>
      <c r="H84" s="256"/>
      <c r="I84" s="257">
        <f>IFERROR(J84/'Mão de Obra'!$D$12,"")</f>
        <v>0</v>
      </c>
      <c r="J84" s="257">
        <f>IFERROR(IF(ISNUMBER(H84),H84*'Mão de Obra'!$D$12/12,1)*G84*F84,"")</f>
        <v>0</v>
      </c>
    </row>
    <row r="85" spans="2:10" s="10" customFormat="1">
      <c r="B85" s="246">
        <v>80</v>
      </c>
      <c r="C85" s="246"/>
      <c r="D85" s="250"/>
      <c r="E85" s="246"/>
      <c r="F85" s="254"/>
      <c r="G85" s="255"/>
      <c r="H85" s="256"/>
      <c r="I85" s="257">
        <f>IFERROR(J85/'Mão de Obra'!$D$12,"")</f>
        <v>0</v>
      </c>
      <c r="J85" s="257">
        <f>IFERROR(IF(ISNUMBER(H85),H85*'Mão de Obra'!$D$12/12,1)*G85*F85,"")</f>
        <v>0</v>
      </c>
    </row>
    <row r="86" spans="2:10" s="10" customFormat="1">
      <c r="B86" s="246">
        <v>81</v>
      </c>
      <c r="C86" s="246"/>
      <c r="D86" s="250"/>
      <c r="E86" s="246"/>
      <c r="F86" s="254"/>
      <c r="G86" s="255"/>
      <c r="H86" s="256"/>
      <c r="I86" s="257">
        <f>IFERROR(J86/'Mão de Obra'!$D$12,"")</f>
        <v>0</v>
      </c>
      <c r="J86" s="257">
        <f>IFERROR(IF(ISNUMBER(H86),H86*'Mão de Obra'!$D$12/12,1)*G86*F86,"")</f>
        <v>0</v>
      </c>
    </row>
    <row r="87" spans="2:10" s="10" customFormat="1">
      <c r="B87" s="246">
        <v>82</v>
      </c>
      <c r="C87" s="246"/>
      <c r="D87" s="250"/>
      <c r="E87" s="246"/>
      <c r="F87" s="254"/>
      <c r="G87" s="255"/>
      <c r="H87" s="256"/>
      <c r="I87" s="257">
        <f>IFERROR(J87/'Mão de Obra'!$D$12,"")</f>
        <v>0</v>
      </c>
      <c r="J87" s="257">
        <f>IFERROR(IF(ISNUMBER(H87),H87*'Mão de Obra'!$D$12/12,1)*G87*F87,"")</f>
        <v>0</v>
      </c>
    </row>
    <row r="88" spans="2:10" s="10" customFormat="1">
      <c r="B88" s="246">
        <v>83</v>
      </c>
      <c r="C88" s="246"/>
      <c r="D88" s="250"/>
      <c r="E88" s="246"/>
      <c r="F88" s="254"/>
      <c r="G88" s="255"/>
      <c r="H88" s="256"/>
      <c r="I88" s="257">
        <f>IFERROR(J88/'Mão de Obra'!$D$12,"")</f>
        <v>0</v>
      </c>
      <c r="J88" s="257">
        <f>IFERROR(IF(ISNUMBER(H88),H88*'Mão de Obra'!$D$12/12,1)*G88*F88,"")</f>
        <v>0</v>
      </c>
    </row>
    <row r="89" spans="2:10" s="10" customFormat="1">
      <c r="B89" s="246">
        <v>84</v>
      </c>
      <c r="C89" s="246"/>
      <c r="D89" s="250"/>
      <c r="E89" s="246"/>
      <c r="F89" s="254"/>
      <c r="G89" s="255"/>
      <c r="H89" s="256"/>
      <c r="I89" s="257">
        <f>IFERROR(J89/'Mão de Obra'!$D$12,"")</f>
        <v>0</v>
      </c>
      <c r="J89" s="257">
        <f>IFERROR(IF(ISNUMBER(H89),H89*'Mão de Obra'!$D$12/12,1)*G89*F89,"")</f>
        <v>0</v>
      </c>
    </row>
    <row r="90" spans="2:10" s="10" customFormat="1">
      <c r="B90" s="246">
        <v>85</v>
      </c>
      <c r="C90" s="246"/>
      <c r="D90" s="250"/>
      <c r="E90" s="246"/>
      <c r="F90" s="254"/>
      <c r="G90" s="255"/>
      <c r="H90" s="256"/>
      <c r="I90" s="257">
        <f>IFERROR(J90/'Mão de Obra'!$D$12,"")</f>
        <v>0</v>
      </c>
      <c r="J90" s="257">
        <f>IFERROR(IF(ISNUMBER(H90),H90*'Mão de Obra'!$D$12/12,1)*G90*F90,"")</f>
        <v>0</v>
      </c>
    </row>
    <row r="91" spans="2:10" s="10" customFormat="1">
      <c r="B91" s="246">
        <v>86</v>
      </c>
      <c r="C91" s="246"/>
      <c r="D91" s="250"/>
      <c r="E91" s="246"/>
      <c r="F91" s="254"/>
      <c r="G91" s="255"/>
      <c r="H91" s="256"/>
      <c r="I91" s="257">
        <f>IFERROR(J91/'Mão de Obra'!$D$12,"")</f>
        <v>0</v>
      </c>
      <c r="J91" s="257">
        <f>IFERROR(IF(ISNUMBER(H91),H91*'Mão de Obra'!$D$12/12,1)*G91*F91,"")</f>
        <v>0</v>
      </c>
    </row>
    <row r="92" spans="2:10" s="10" customFormat="1">
      <c r="B92" s="246">
        <v>87</v>
      </c>
      <c r="C92" s="246"/>
      <c r="D92" s="250"/>
      <c r="E92" s="246"/>
      <c r="F92" s="254"/>
      <c r="G92" s="255"/>
      <c r="H92" s="256"/>
      <c r="I92" s="257">
        <f>IFERROR(J92/'Mão de Obra'!$D$12,"")</f>
        <v>0</v>
      </c>
      <c r="J92" s="257">
        <f>IFERROR(IF(ISNUMBER(H92),H92*'Mão de Obra'!$D$12/12,1)*G92*F92,"")</f>
        <v>0</v>
      </c>
    </row>
    <row r="93" spans="2:10" s="10" customFormat="1">
      <c r="B93" s="246">
        <v>88</v>
      </c>
      <c r="C93" s="246"/>
      <c r="D93" s="250"/>
      <c r="E93" s="246"/>
      <c r="F93" s="254"/>
      <c r="G93" s="255"/>
      <c r="H93" s="256"/>
      <c r="I93" s="257">
        <f>IFERROR(J93/'Mão de Obra'!$D$12,"")</f>
        <v>0</v>
      </c>
      <c r="J93" s="257">
        <f>IFERROR(IF(ISNUMBER(H93),H93*'Mão de Obra'!$D$12/12,1)*G93*F93,"")</f>
        <v>0</v>
      </c>
    </row>
    <row r="94" spans="2:10" s="10" customFormat="1">
      <c r="B94" s="246">
        <v>89</v>
      </c>
      <c r="C94" s="246"/>
      <c r="D94" s="250"/>
      <c r="E94" s="246"/>
      <c r="F94" s="254"/>
      <c r="G94" s="255"/>
      <c r="H94" s="256"/>
      <c r="I94" s="257">
        <f>IFERROR(J94/'Mão de Obra'!$D$12,"")</f>
        <v>0</v>
      </c>
      <c r="J94" s="257">
        <f>IFERROR(IF(ISNUMBER(H94),H94*'Mão de Obra'!$D$12/12,1)*G94*F94,"")</f>
        <v>0</v>
      </c>
    </row>
    <row r="95" spans="2:10" s="10" customFormat="1">
      <c r="B95" s="246">
        <v>90</v>
      </c>
      <c r="C95" s="246"/>
      <c r="D95" s="250"/>
      <c r="E95" s="246"/>
      <c r="F95" s="254"/>
      <c r="G95" s="255"/>
      <c r="H95" s="256"/>
      <c r="I95" s="257">
        <f>IFERROR(J95/'Mão de Obra'!$D$12,"")</f>
        <v>0</v>
      </c>
      <c r="J95" s="257">
        <f>IFERROR(IF(ISNUMBER(H95),H95*'Mão de Obra'!$D$12/12,1)*G95*F95,"")</f>
        <v>0</v>
      </c>
    </row>
    <row r="96" spans="2:10" s="10" customFormat="1">
      <c r="B96" s="246">
        <v>91</v>
      </c>
      <c r="C96" s="246"/>
      <c r="D96" s="250"/>
      <c r="E96" s="246"/>
      <c r="F96" s="254"/>
      <c r="G96" s="255"/>
      <c r="H96" s="256"/>
      <c r="I96" s="257">
        <f>IFERROR(J96/'Mão de Obra'!$D$12,"")</f>
        <v>0</v>
      </c>
      <c r="J96" s="257">
        <f>IFERROR(IF(ISNUMBER(H96),H96*'Mão de Obra'!$D$12/12,1)*G96*F96,"")</f>
        <v>0</v>
      </c>
    </row>
    <row r="97" spans="2:10" s="10" customFormat="1">
      <c r="B97" s="246">
        <v>92</v>
      </c>
      <c r="C97" s="246"/>
      <c r="D97" s="250"/>
      <c r="E97" s="246"/>
      <c r="F97" s="254"/>
      <c r="G97" s="255"/>
      <c r="H97" s="256"/>
      <c r="I97" s="257">
        <f>IFERROR(J97/'Mão de Obra'!$D$12,"")</f>
        <v>0</v>
      </c>
      <c r="J97" s="257">
        <f>IFERROR(IF(ISNUMBER(H97),H97*'Mão de Obra'!$D$12/12,1)*G97*F97,"")</f>
        <v>0</v>
      </c>
    </row>
    <row r="98" spans="2:10" s="10" customFormat="1">
      <c r="B98" s="246">
        <v>93</v>
      </c>
      <c r="C98" s="246"/>
      <c r="D98" s="250"/>
      <c r="E98" s="246"/>
      <c r="F98" s="254"/>
      <c r="G98" s="255"/>
      <c r="H98" s="256"/>
      <c r="I98" s="257">
        <f>IFERROR(J98/'Mão de Obra'!$D$12,"")</f>
        <v>0</v>
      </c>
      <c r="J98" s="257">
        <f>IFERROR(IF(ISNUMBER(H98),H98*'Mão de Obra'!$D$12/12,1)*G98*F98,"")</f>
        <v>0</v>
      </c>
    </row>
    <row r="99" spans="2:10" s="10" customFormat="1">
      <c r="B99" s="246">
        <v>94</v>
      </c>
      <c r="C99" s="246"/>
      <c r="D99" s="250"/>
      <c r="E99" s="246"/>
      <c r="F99" s="254"/>
      <c r="G99" s="255"/>
      <c r="H99" s="256"/>
      <c r="I99" s="257">
        <f>IFERROR(J99/'Mão de Obra'!$D$12,"")</f>
        <v>0</v>
      </c>
      <c r="J99" s="257">
        <f>IFERROR(IF(ISNUMBER(H99),H99*'Mão de Obra'!$D$12/12,1)*G99*F99,"")</f>
        <v>0</v>
      </c>
    </row>
    <row r="100" spans="2:10" s="10" customFormat="1">
      <c r="B100" s="246">
        <v>95</v>
      </c>
      <c r="C100" s="246"/>
      <c r="D100" s="250"/>
      <c r="E100" s="246"/>
      <c r="F100" s="254"/>
      <c r="G100" s="255"/>
      <c r="H100" s="256"/>
      <c r="I100" s="257">
        <f>IFERROR(J100/'Mão de Obra'!$D$12,"")</f>
        <v>0</v>
      </c>
      <c r="J100" s="257">
        <f>IFERROR(IF(ISNUMBER(H100),H100*'Mão de Obra'!$D$12/12,1)*G100*F100,"")</f>
        <v>0</v>
      </c>
    </row>
    <row r="101" spans="2:10" s="10" customFormat="1">
      <c r="B101" s="246">
        <v>96</v>
      </c>
      <c r="C101" s="246"/>
      <c r="D101" s="250"/>
      <c r="E101" s="246"/>
      <c r="F101" s="254"/>
      <c r="G101" s="255"/>
      <c r="H101" s="256"/>
      <c r="I101" s="257">
        <f>IFERROR(J101/'Mão de Obra'!$D$12,"")</f>
        <v>0</v>
      </c>
      <c r="J101" s="257">
        <f>IFERROR(IF(ISNUMBER(H101),H101*'Mão de Obra'!$D$12/12,1)*G101*F101,"")</f>
        <v>0</v>
      </c>
    </row>
    <row r="102" spans="2:10" s="10" customFormat="1">
      <c r="B102" s="246">
        <v>97</v>
      </c>
      <c r="C102" s="246"/>
      <c r="D102" s="250"/>
      <c r="E102" s="246"/>
      <c r="F102" s="254"/>
      <c r="G102" s="255"/>
      <c r="H102" s="256"/>
      <c r="I102" s="257">
        <f>IFERROR(J102/'Mão de Obra'!$D$12,"")</f>
        <v>0</v>
      </c>
      <c r="J102" s="257">
        <f>IFERROR(IF(ISNUMBER(H102),H102*'Mão de Obra'!$D$12/12,1)*G102*F102,"")</f>
        <v>0</v>
      </c>
    </row>
    <row r="103" spans="2:10" s="10" customFormat="1">
      <c r="B103" s="246">
        <v>98</v>
      </c>
      <c r="C103" s="246"/>
      <c r="D103" s="250"/>
      <c r="E103" s="246"/>
      <c r="F103" s="254"/>
      <c r="G103" s="255"/>
      <c r="H103" s="256"/>
      <c r="I103" s="257">
        <f>IFERROR(J103/'Mão de Obra'!$D$12,"")</f>
        <v>0</v>
      </c>
      <c r="J103" s="257">
        <f>IFERROR(IF(ISNUMBER(H103),H103*'Mão de Obra'!$D$12/12,1)*G103*F103,"")</f>
        <v>0</v>
      </c>
    </row>
    <row r="104" spans="2:10" s="10" customFormat="1">
      <c r="B104" s="246">
        <v>99</v>
      </c>
      <c r="C104" s="246"/>
      <c r="D104" s="250"/>
      <c r="E104" s="246"/>
      <c r="F104" s="254"/>
      <c r="G104" s="255"/>
      <c r="H104" s="256"/>
      <c r="I104" s="257">
        <f>IFERROR(J104/'Mão de Obra'!$D$12,"")</f>
        <v>0</v>
      </c>
      <c r="J104" s="257">
        <f>IFERROR(IF(ISNUMBER(H104),H104*'Mão de Obra'!$D$12/12,1)*G104*F104,"")</f>
        <v>0</v>
      </c>
    </row>
    <row r="105" spans="2:10" s="10" customFormat="1">
      <c r="B105" s="246">
        <v>100</v>
      </c>
      <c r="C105" s="246"/>
      <c r="D105" s="250"/>
      <c r="E105" s="246"/>
      <c r="F105" s="254"/>
      <c r="G105" s="255"/>
      <c r="H105" s="256"/>
      <c r="I105" s="257">
        <f>IFERROR(J105/'Mão de Obra'!$D$12,"")</f>
        <v>0</v>
      </c>
      <c r="J105" s="257">
        <f>IFERROR(IF(ISNUMBER(H105),H105*'Mão de Obra'!$D$12/12,1)*G105*F105,"")</f>
        <v>0</v>
      </c>
    </row>
    <row r="106" spans="2:10" s="10" customFormat="1">
      <c r="B106" s="246">
        <v>101</v>
      </c>
      <c r="C106" s="246"/>
      <c r="D106" s="250"/>
      <c r="E106" s="246"/>
      <c r="F106" s="254"/>
      <c r="G106" s="255"/>
      <c r="H106" s="256"/>
      <c r="I106" s="257">
        <f>IFERROR(J106/'Mão de Obra'!$D$12,"")</f>
        <v>0</v>
      </c>
      <c r="J106" s="257">
        <f>IFERROR(IF(ISNUMBER(H106),H106*'Mão de Obra'!$D$12/12,1)*G106*F106,"")</f>
        <v>0</v>
      </c>
    </row>
    <row r="107" spans="2:10" s="10" customFormat="1">
      <c r="B107" s="246">
        <v>102</v>
      </c>
      <c r="C107" s="246"/>
      <c r="D107" s="250"/>
      <c r="E107" s="246"/>
      <c r="F107" s="254"/>
      <c r="G107" s="255"/>
      <c r="H107" s="256"/>
      <c r="I107" s="257">
        <f>IFERROR(J107/'Mão de Obra'!$D$12,"")</f>
        <v>0</v>
      </c>
      <c r="J107" s="257">
        <f>IFERROR(IF(ISNUMBER(H107),H107*'Mão de Obra'!$D$12/12,1)*G107*F107,"")</f>
        <v>0</v>
      </c>
    </row>
    <row r="108" spans="2:10" s="10" customFormat="1">
      <c r="B108" s="246">
        <v>103</v>
      </c>
      <c r="C108" s="246"/>
      <c r="D108" s="250"/>
      <c r="E108" s="246"/>
      <c r="F108" s="254"/>
      <c r="G108" s="255"/>
      <c r="H108" s="256"/>
      <c r="I108" s="257">
        <f>IFERROR(J108/'Mão de Obra'!$D$12,"")</f>
        <v>0</v>
      </c>
      <c r="J108" s="257">
        <f>IFERROR(IF(ISNUMBER(H108),H108*'Mão de Obra'!$D$12/12,1)*G108*F108,"")</f>
        <v>0</v>
      </c>
    </row>
    <row r="109" spans="2:10" s="10" customFormat="1">
      <c r="B109" s="246">
        <v>104</v>
      </c>
      <c r="C109" s="246"/>
      <c r="D109" s="250"/>
      <c r="E109" s="246"/>
      <c r="F109" s="254"/>
      <c r="G109" s="255"/>
      <c r="H109" s="256"/>
      <c r="I109" s="257">
        <f>IFERROR(J109/'Mão de Obra'!$D$12,"")</f>
        <v>0</v>
      </c>
      <c r="J109" s="257">
        <f>IFERROR(IF(ISNUMBER(H109),H109*'Mão de Obra'!$D$12/12,1)*G109*F109,"")</f>
        <v>0</v>
      </c>
    </row>
    <row r="110" spans="2:10" s="10" customFormat="1">
      <c r="B110" s="246">
        <v>105</v>
      </c>
      <c r="C110" s="246"/>
      <c r="D110" s="250"/>
      <c r="E110" s="246"/>
      <c r="F110" s="254"/>
      <c r="G110" s="255"/>
      <c r="H110" s="256"/>
      <c r="I110" s="257">
        <f>IFERROR(J110/'Mão de Obra'!$D$12,"")</f>
        <v>0</v>
      </c>
      <c r="J110" s="257">
        <f>IFERROR(IF(ISNUMBER(H110),H110*'Mão de Obra'!$D$12/12,1)*G110*F110,"")</f>
        <v>0</v>
      </c>
    </row>
    <row r="111" spans="2:10" s="10" customFormat="1">
      <c r="B111" s="246">
        <v>106</v>
      </c>
      <c r="C111" s="246"/>
      <c r="D111" s="250"/>
      <c r="E111" s="246"/>
      <c r="F111" s="254"/>
      <c r="G111" s="255"/>
      <c r="H111" s="256"/>
      <c r="I111" s="257">
        <f>IFERROR(J111/'Mão de Obra'!$D$12,"")</f>
        <v>0</v>
      </c>
      <c r="J111" s="257">
        <f>IFERROR(IF(ISNUMBER(H111),H111*'Mão de Obra'!$D$12/12,1)*G111*F111,"")</f>
        <v>0</v>
      </c>
    </row>
    <row r="112" spans="2:10" s="10" customFormat="1">
      <c r="B112" s="246">
        <v>107</v>
      </c>
      <c r="C112" s="246"/>
      <c r="D112" s="250"/>
      <c r="E112" s="246"/>
      <c r="F112" s="254"/>
      <c r="G112" s="255"/>
      <c r="H112" s="256"/>
      <c r="I112" s="257">
        <f>IFERROR(J112/'Mão de Obra'!$D$12,"")</f>
        <v>0</v>
      </c>
      <c r="J112" s="257">
        <f>IFERROR(IF(ISNUMBER(H112),H112*'Mão de Obra'!$D$12/12,1)*G112*F112,"")</f>
        <v>0</v>
      </c>
    </row>
    <row r="113" spans="2:10" s="10" customFormat="1">
      <c r="B113" s="246">
        <v>108</v>
      </c>
      <c r="C113" s="246"/>
      <c r="D113" s="250"/>
      <c r="E113" s="246"/>
      <c r="F113" s="254"/>
      <c r="G113" s="255"/>
      <c r="H113" s="256"/>
      <c r="I113" s="257">
        <f>IFERROR(J113/'Mão de Obra'!$D$12,"")</f>
        <v>0</v>
      </c>
      <c r="J113" s="257">
        <f>IFERROR(IF(ISNUMBER(H113),H113*'Mão de Obra'!$D$12/12,1)*G113*F113,"")</f>
        <v>0</v>
      </c>
    </row>
    <row r="114" spans="2:10" s="10" customFormat="1">
      <c r="B114" s="246">
        <v>109</v>
      </c>
      <c r="C114" s="246"/>
      <c r="D114" s="250"/>
      <c r="E114" s="246"/>
      <c r="F114" s="254"/>
      <c r="G114" s="255"/>
      <c r="H114" s="256"/>
      <c r="I114" s="257">
        <f>IFERROR(J114/'Mão de Obra'!$D$12,"")</f>
        <v>0</v>
      </c>
      <c r="J114" s="257">
        <f>IFERROR(IF(ISNUMBER(H114),H114*'Mão de Obra'!$D$12/12,1)*G114*F114,"")</f>
        <v>0</v>
      </c>
    </row>
    <row r="115" spans="2:10" s="10" customFormat="1">
      <c r="B115" s="246">
        <v>110</v>
      </c>
      <c r="C115" s="246"/>
      <c r="D115" s="250"/>
      <c r="E115" s="246"/>
      <c r="F115" s="254"/>
      <c r="G115" s="255"/>
      <c r="H115" s="256"/>
      <c r="I115" s="257">
        <f>IFERROR(J115/'Mão de Obra'!$D$12,"")</f>
        <v>0</v>
      </c>
      <c r="J115" s="257">
        <f>IFERROR(IF(ISNUMBER(H115),H115*'Mão de Obra'!$D$12/12,1)*G115*F115,"")</f>
        <v>0</v>
      </c>
    </row>
    <row r="116" spans="2:10" s="10" customFormat="1">
      <c r="B116" s="246">
        <v>111</v>
      </c>
      <c r="C116" s="246"/>
      <c r="D116" s="250"/>
      <c r="E116" s="246"/>
      <c r="F116" s="254"/>
      <c r="G116" s="255"/>
      <c r="H116" s="256"/>
      <c r="I116" s="257">
        <f>IFERROR(J116/'Mão de Obra'!$D$12,"")</f>
        <v>0</v>
      </c>
      <c r="J116" s="257">
        <f>IFERROR(IF(ISNUMBER(H116),H116*'Mão de Obra'!$D$12/12,1)*G116*F116,"")</f>
        <v>0</v>
      </c>
    </row>
    <row r="117" spans="2:10" s="10" customFormat="1">
      <c r="B117" s="246">
        <v>112</v>
      </c>
      <c r="C117" s="246"/>
      <c r="D117" s="250"/>
      <c r="E117" s="246"/>
      <c r="F117" s="254"/>
      <c r="G117" s="255"/>
      <c r="H117" s="256"/>
      <c r="I117" s="257">
        <f>IFERROR(J117/'Mão de Obra'!$D$12,"")</f>
        <v>0</v>
      </c>
      <c r="J117" s="257">
        <f>IFERROR(IF(ISNUMBER(H117),H117*'Mão de Obra'!$D$12/12,1)*G117*F117,"")</f>
        <v>0</v>
      </c>
    </row>
    <row r="118" spans="2:10" s="10" customFormat="1">
      <c r="B118" s="246">
        <v>113</v>
      </c>
      <c r="C118" s="246"/>
      <c r="D118" s="250"/>
      <c r="E118" s="246"/>
      <c r="F118" s="254"/>
      <c r="G118" s="255"/>
      <c r="H118" s="256"/>
      <c r="I118" s="257">
        <f>IFERROR(J118/'Mão de Obra'!$D$12,"")</f>
        <v>0</v>
      </c>
      <c r="J118" s="257">
        <f>IFERROR(IF(ISNUMBER(H118),H118*'Mão de Obra'!$D$12/12,1)*G118*F118,"")</f>
        <v>0</v>
      </c>
    </row>
    <row r="119" spans="2:10" s="10" customFormat="1">
      <c r="B119" s="246">
        <v>114</v>
      </c>
      <c r="C119" s="246"/>
      <c r="D119" s="250"/>
      <c r="E119" s="246"/>
      <c r="F119" s="254"/>
      <c r="G119" s="255"/>
      <c r="H119" s="256"/>
      <c r="I119" s="257">
        <f>IFERROR(J119/'Mão de Obra'!$D$12,"")</f>
        <v>0</v>
      </c>
      <c r="J119" s="257">
        <f>IFERROR(IF(ISNUMBER(H119),H119*'Mão de Obra'!$D$12/12,1)*G119*F119,"")</f>
        <v>0</v>
      </c>
    </row>
    <row r="120" spans="2:10" s="10" customFormat="1">
      <c r="B120" s="246">
        <v>115</v>
      </c>
      <c r="C120" s="246"/>
      <c r="D120" s="250"/>
      <c r="E120" s="246"/>
      <c r="F120" s="254"/>
      <c r="G120" s="255"/>
      <c r="H120" s="256"/>
      <c r="I120" s="257">
        <f>IFERROR(J120/'Mão de Obra'!$D$12,"")</f>
        <v>0</v>
      </c>
      <c r="J120" s="257">
        <f>IFERROR(IF(ISNUMBER(H120),H120*'Mão de Obra'!$D$12/12,1)*G120*F120,"")</f>
        <v>0</v>
      </c>
    </row>
    <row r="121" spans="2:10" s="10" customFormat="1">
      <c r="B121" s="246">
        <v>116</v>
      </c>
      <c r="C121" s="246"/>
      <c r="D121" s="250"/>
      <c r="E121" s="246"/>
      <c r="F121" s="254"/>
      <c r="G121" s="255"/>
      <c r="H121" s="256"/>
      <c r="I121" s="257">
        <f>IFERROR(J121/'Mão de Obra'!$D$12,"")</f>
        <v>0</v>
      </c>
      <c r="J121" s="257">
        <f>IFERROR(IF(ISNUMBER(H121),H121*'Mão de Obra'!$D$12/12,1)*G121*F121,"")</f>
        <v>0</v>
      </c>
    </row>
    <row r="122" spans="2:10" s="10" customFormat="1">
      <c r="B122" s="246">
        <v>117</v>
      </c>
      <c r="C122" s="246"/>
      <c r="D122" s="250"/>
      <c r="E122" s="246"/>
      <c r="F122" s="254"/>
      <c r="G122" s="255"/>
      <c r="H122" s="256"/>
      <c r="I122" s="257">
        <f>IFERROR(J122/'Mão de Obra'!$D$12,"")</f>
        <v>0</v>
      </c>
      <c r="J122" s="257">
        <f>IFERROR(IF(ISNUMBER(H122),H122*'Mão de Obra'!$D$12/12,1)*G122*F122,"")</f>
        <v>0</v>
      </c>
    </row>
    <row r="123" spans="2:10" s="10" customFormat="1">
      <c r="B123" s="246">
        <v>118</v>
      </c>
      <c r="C123" s="246"/>
      <c r="D123" s="250"/>
      <c r="E123" s="246"/>
      <c r="F123" s="254"/>
      <c r="G123" s="255"/>
      <c r="H123" s="256"/>
      <c r="I123" s="257">
        <f>IFERROR(J123/'Mão de Obra'!$D$12,"")</f>
        <v>0</v>
      </c>
      <c r="J123" s="257">
        <f>IFERROR(IF(ISNUMBER(H123),H123*'Mão de Obra'!$D$12/12,1)*G123*F123,"")</f>
        <v>0</v>
      </c>
    </row>
    <row r="124" spans="2:10" s="10" customFormat="1">
      <c r="B124" s="246">
        <v>119</v>
      </c>
      <c r="C124" s="246"/>
      <c r="D124" s="250"/>
      <c r="E124" s="246"/>
      <c r="F124" s="254"/>
      <c r="G124" s="255"/>
      <c r="H124" s="256"/>
      <c r="I124" s="257">
        <f>IFERROR(J124/'Mão de Obra'!$D$12,"")</f>
        <v>0</v>
      </c>
      <c r="J124" s="257">
        <f>IFERROR(IF(ISNUMBER(H124),H124*'Mão de Obra'!$D$12/12,1)*G124*F124,"")</f>
        <v>0</v>
      </c>
    </row>
    <row r="125" spans="2:10" s="10" customFormat="1">
      <c r="B125" s="246">
        <v>120</v>
      </c>
      <c r="C125" s="246"/>
      <c r="D125" s="250"/>
      <c r="E125" s="246"/>
      <c r="F125" s="254"/>
      <c r="G125" s="255"/>
      <c r="H125" s="256"/>
      <c r="I125" s="257">
        <f>IFERROR(J125/'Mão de Obra'!$D$12,"")</f>
        <v>0</v>
      </c>
      <c r="J125" s="257">
        <f>IFERROR(IF(ISNUMBER(H125),H125*'Mão de Obra'!$D$12/12,1)*G125*F125,"")</f>
        <v>0</v>
      </c>
    </row>
    <row r="126" spans="2:10" s="10" customFormat="1">
      <c r="B126" s="246">
        <v>121</v>
      </c>
      <c r="C126" s="246"/>
      <c r="D126" s="250"/>
      <c r="E126" s="246"/>
      <c r="F126" s="254"/>
      <c r="G126" s="255"/>
      <c r="H126" s="256"/>
      <c r="I126" s="257">
        <f>IFERROR(J126/'Mão de Obra'!$D$12,"")</f>
        <v>0</v>
      </c>
      <c r="J126" s="257">
        <f>IFERROR(IF(ISNUMBER(H126),H126*'Mão de Obra'!$D$12/12,1)*G126*F126,"")</f>
        <v>0</v>
      </c>
    </row>
    <row r="127" spans="2:10" s="10" customFormat="1">
      <c r="B127" s="246">
        <v>122</v>
      </c>
      <c r="C127" s="246"/>
      <c r="D127" s="250"/>
      <c r="E127" s="246"/>
      <c r="F127" s="254"/>
      <c r="G127" s="255"/>
      <c r="H127" s="256"/>
      <c r="I127" s="257">
        <f>IFERROR(J127/'Mão de Obra'!$D$12,"")</f>
        <v>0</v>
      </c>
      <c r="J127" s="257">
        <f>IFERROR(IF(ISNUMBER(H127),H127*'Mão de Obra'!$D$12/12,1)*G127*F127,"")</f>
        <v>0</v>
      </c>
    </row>
    <row r="128" spans="2:10" s="10" customFormat="1">
      <c r="B128" s="246">
        <v>123</v>
      </c>
      <c r="C128" s="246"/>
      <c r="D128" s="250"/>
      <c r="E128" s="246"/>
      <c r="F128" s="254"/>
      <c r="G128" s="255"/>
      <c r="H128" s="256"/>
      <c r="I128" s="257">
        <f>IFERROR(J128/'Mão de Obra'!$D$12,"")</f>
        <v>0</v>
      </c>
      <c r="J128" s="257">
        <f>IFERROR(IF(ISNUMBER(H128),H128*'Mão de Obra'!$D$12/12,1)*G128*F128,"")</f>
        <v>0</v>
      </c>
    </row>
    <row r="129" spans="2:10" s="10" customFormat="1">
      <c r="B129" s="246">
        <v>124</v>
      </c>
      <c r="C129" s="246"/>
      <c r="D129" s="250"/>
      <c r="E129" s="246"/>
      <c r="F129" s="254"/>
      <c r="G129" s="255"/>
      <c r="H129" s="256"/>
      <c r="I129" s="257">
        <f>IFERROR(J129/'Mão de Obra'!$D$12,"")</f>
        <v>0</v>
      </c>
      <c r="J129" s="257">
        <f>IFERROR(IF(ISNUMBER(H129),H129*'Mão de Obra'!$D$12/12,1)*G129*F129,"")</f>
        <v>0</v>
      </c>
    </row>
    <row r="130" spans="2:10" s="10" customFormat="1">
      <c r="B130" s="246">
        <v>125</v>
      </c>
      <c r="C130" s="246"/>
      <c r="D130" s="250"/>
      <c r="E130" s="246"/>
      <c r="F130" s="254"/>
      <c r="G130" s="255"/>
      <c r="H130" s="256"/>
      <c r="I130" s="257">
        <f>IFERROR(J130/'Mão de Obra'!$D$12,"")</f>
        <v>0</v>
      </c>
      <c r="J130" s="257">
        <f>IFERROR(IF(ISNUMBER(H130),H130*'Mão de Obra'!$D$12/12,1)*G130*F130,"")</f>
        <v>0</v>
      </c>
    </row>
    <row r="131" spans="2:10" s="10" customFormat="1">
      <c r="B131" s="246">
        <v>126</v>
      </c>
      <c r="C131" s="246"/>
      <c r="D131" s="250"/>
      <c r="E131" s="246"/>
      <c r="F131" s="254"/>
      <c r="G131" s="255"/>
      <c r="H131" s="256"/>
      <c r="I131" s="257">
        <f>IFERROR(J131/'Mão de Obra'!$D$12,"")</f>
        <v>0</v>
      </c>
      <c r="J131" s="257">
        <f>IFERROR(IF(ISNUMBER(H131),H131*'Mão de Obra'!$D$12/12,1)*G131*F131,"")</f>
        <v>0</v>
      </c>
    </row>
    <row r="132" spans="2:10" s="10" customFormat="1">
      <c r="B132" s="246">
        <v>127</v>
      </c>
      <c r="C132" s="246"/>
      <c r="D132" s="250"/>
      <c r="E132" s="246"/>
      <c r="F132" s="254"/>
      <c r="G132" s="255"/>
      <c r="H132" s="256"/>
      <c r="I132" s="257">
        <f>IFERROR(J132/'Mão de Obra'!$D$12,"")</f>
        <v>0</v>
      </c>
      <c r="J132" s="257">
        <f>IFERROR(IF(ISNUMBER(H132),H132*'Mão de Obra'!$D$12/12,1)*G132*F132,"")</f>
        <v>0</v>
      </c>
    </row>
    <row r="133" spans="2:10" s="10" customFormat="1">
      <c r="B133" s="246">
        <v>128</v>
      </c>
      <c r="C133" s="246"/>
      <c r="D133" s="250"/>
      <c r="E133" s="246"/>
      <c r="F133" s="254"/>
      <c r="G133" s="255"/>
      <c r="H133" s="256"/>
      <c r="I133" s="257">
        <f>IFERROR(J133/'Mão de Obra'!$D$12,"")</f>
        <v>0</v>
      </c>
      <c r="J133" s="257">
        <f>IFERROR(IF(ISNUMBER(H133),H133*'Mão de Obra'!$D$12/12,1)*G133*F133,"")</f>
        <v>0</v>
      </c>
    </row>
    <row r="134" spans="2:10" s="10" customFormat="1">
      <c r="B134" s="246">
        <v>129</v>
      </c>
      <c r="C134" s="246"/>
      <c r="D134" s="250"/>
      <c r="E134" s="246"/>
      <c r="F134" s="254"/>
      <c r="G134" s="255"/>
      <c r="H134" s="256"/>
      <c r="I134" s="257">
        <f>IFERROR(J134/'Mão de Obra'!$D$12,"")</f>
        <v>0</v>
      </c>
      <c r="J134" s="257">
        <f>IFERROR(IF(ISNUMBER(H134),H134*'Mão de Obra'!$D$12/12,1)*G134*F134,"")</f>
        <v>0</v>
      </c>
    </row>
    <row r="135" spans="2:10" s="10" customFormat="1">
      <c r="B135" s="246">
        <v>130</v>
      </c>
      <c r="C135" s="246"/>
      <c r="D135" s="250"/>
      <c r="E135" s="246"/>
      <c r="F135" s="254"/>
      <c r="G135" s="255"/>
      <c r="H135" s="256"/>
      <c r="I135" s="257">
        <f>IFERROR(J135/'Mão de Obra'!$D$12,"")</f>
        <v>0</v>
      </c>
      <c r="J135" s="257">
        <f>IFERROR(IF(ISNUMBER(H135),H135*'Mão de Obra'!$D$12/12,1)*G135*F135,"")</f>
        <v>0</v>
      </c>
    </row>
    <row r="136" spans="2:10" s="10" customFormat="1">
      <c r="B136" s="246">
        <v>131</v>
      </c>
      <c r="C136" s="246"/>
      <c r="D136" s="250"/>
      <c r="E136" s="246"/>
      <c r="F136" s="254"/>
      <c r="G136" s="255"/>
      <c r="H136" s="256"/>
      <c r="I136" s="257">
        <f>IFERROR(J136/'Mão de Obra'!$D$12,"")</f>
        <v>0</v>
      </c>
      <c r="J136" s="257">
        <f>IFERROR(IF(ISNUMBER(H136),H136*'Mão de Obra'!$D$12/12,1)*G136*F136,"")</f>
        <v>0</v>
      </c>
    </row>
    <row r="137" spans="2:10" s="10" customFormat="1">
      <c r="B137" s="246">
        <v>132</v>
      </c>
      <c r="C137" s="246"/>
      <c r="D137" s="250"/>
      <c r="E137" s="246"/>
      <c r="F137" s="254"/>
      <c r="G137" s="255"/>
      <c r="H137" s="256"/>
      <c r="I137" s="257">
        <f>IFERROR(J137/'Mão de Obra'!$D$12,"")</f>
        <v>0</v>
      </c>
      <c r="J137" s="257">
        <f>IFERROR(IF(ISNUMBER(H137),H137*'Mão de Obra'!$D$12/12,1)*G137*F137,"")</f>
        <v>0</v>
      </c>
    </row>
    <row r="138" spans="2:10" s="10" customFormat="1">
      <c r="B138" s="246">
        <v>133</v>
      </c>
      <c r="C138" s="246"/>
      <c r="D138" s="250"/>
      <c r="E138" s="246"/>
      <c r="F138" s="254"/>
      <c r="G138" s="255"/>
      <c r="H138" s="256"/>
      <c r="I138" s="257">
        <f>IFERROR(J138/'Mão de Obra'!$D$12,"")</f>
        <v>0</v>
      </c>
      <c r="J138" s="257">
        <f>IFERROR(IF(ISNUMBER(H138),H138*'Mão de Obra'!$D$12/12,1)*G138*F138,"")</f>
        <v>0</v>
      </c>
    </row>
    <row r="139" spans="2:10" s="10" customFormat="1">
      <c r="B139" s="246">
        <v>134</v>
      </c>
      <c r="C139" s="246"/>
      <c r="D139" s="250"/>
      <c r="E139" s="246"/>
      <c r="F139" s="254"/>
      <c r="G139" s="255"/>
      <c r="H139" s="256"/>
      <c r="I139" s="257">
        <f>IFERROR(J139/'Mão de Obra'!$D$12,"")</f>
        <v>0</v>
      </c>
      <c r="J139" s="257">
        <f>IFERROR(IF(ISNUMBER(H139),H139*'Mão de Obra'!$D$12/12,1)*G139*F139,"")</f>
        <v>0</v>
      </c>
    </row>
    <row r="140" spans="2:10" s="10" customFormat="1">
      <c r="B140" s="246">
        <v>135</v>
      </c>
      <c r="C140" s="246"/>
      <c r="D140" s="250"/>
      <c r="E140" s="246"/>
      <c r="F140" s="254"/>
      <c r="G140" s="255"/>
      <c r="H140" s="256"/>
      <c r="I140" s="257">
        <f>IFERROR(J140/'Mão de Obra'!$D$12,"")</f>
        <v>0</v>
      </c>
      <c r="J140" s="257">
        <f>IFERROR(IF(ISNUMBER(H140),H140*'Mão de Obra'!$D$12/12,1)*G140*F140,"")</f>
        <v>0</v>
      </c>
    </row>
    <row r="141" spans="2:10" s="10" customFormat="1">
      <c r="B141" s="246">
        <v>136</v>
      </c>
      <c r="C141" s="246"/>
      <c r="D141" s="250"/>
      <c r="E141" s="246"/>
      <c r="F141" s="254"/>
      <c r="G141" s="255"/>
      <c r="H141" s="256"/>
      <c r="I141" s="257">
        <f>IFERROR(J141/'Mão de Obra'!$D$12,"")</f>
        <v>0</v>
      </c>
      <c r="J141" s="257">
        <f>IFERROR(IF(ISNUMBER(H141),H141*'Mão de Obra'!$D$12/12,1)*G141*F141,"")</f>
        <v>0</v>
      </c>
    </row>
    <row r="142" spans="2:10" s="10" customFormat="1">
      <c r="B142" s="246">
        <v>137</v>
      </c>
      <c r="C142" s="246"/>
      <c r="D142" s="250"/>
      <c r="E142" s="246"/>
      <c r="F142" s="254"/>
      <c r="G142" s="255"/>
      <c r="H142" s="256"/>
      <c r="I142" s="257">
        <f>IFERROR(J142/'Mão de Obra'!$D$12,"")</f>
        <v>0</v>
      </c>
      <c r="J142" s="257">
        <f>IFERROR(IF(ISNUMBER(H142),H142*'Mão de Obra'!$D$12/12,1)*G142*F142,"")</f>
        <v>0</v>
      </c>
    </row>
    <row r="143" spans="2:10" s="10" customFormat="1">
      <c r="B143" s="246">
        <v>138</v>
      </c>
      <c r="C143" s="246"/>
      <c r="D143" s="250"/>
      <c r="E143" s="246"/>
      <c r="F143" s="254"/>
      <c r="G143" s="255"/>
      <c r="H143" s="256"/>
      <c r="I143" s="257">
        <f>IFERROR(J143/'Mão de Obra'!$D$12,"")</f>
        <v>0</v>
      </c>
      <c r="J143" s="257">
        <f>IFERROR(IF(ISNUMBER(H143),H143*'Mão de Obra'!$D$12/12,1)*G143*F143,"")</f>
        <v>0</v>
      </c>
    </row>
    <row r="144" spans="2:10" s="10" customFormat="1">
      <c r="B144" s="246">
        <v>139</v>
      </c>
      <c r="C144" s="246"/>
      <c r="D144" s="250"/>
      <c r="E144" s="246"/>
      <c r="F144" s="254"/>
      <c r="G144" s="255"/>
      <c r="H144" s="256"/>
      <c r="I144" s="257">
        <f>IFERROR(J144/'Mão de Obra'!$D$12,"")</f>
        <v>0</v>
      </c>
      <c r="J144" s="257">
        <f>IFERROR(IF(ISNUMBER(H144),H144*'Mão de Obra'!$D$12/12,1)*G144*F144,"")</f>
        <v>0</v>
      </c>
    </row>
    <row r="145" spans="2:10">
      <c r="B145" s="246">
        <v>140</v>
      </c>
      <c r="C145" s="246"/>
      <c r="D145" s="250"/>
      <c r="E145" s="246"/>
      <c r="F145" s="254"/>
      <c r="G145" s="255"/>
      <c r="H145" s="256"/>
      <c r="I145" s="257">
        <f>IFERROR(J145/'Mão de Obra'!$D$12,"")</f>
        <v>0</v>
      </c>
      <c r="J145" s="257">
        <f>IFERROR(IF(ISNUMBER(H145),H145*'Mão de Obra'!$D$12/12,1)*G145*F145,"")</f>
        <v>0</v>
      </c>
    </row>
    <row r="146" spans="2:10">
      <c r="B146" s="246">
        <v>141</v>
      </c>
      <c r="C146" s="246"/>
      <c r="D146" s="250"/>
      <c r="E146" s="246"/>
      <c r="F146" s="254"/>
      <c r="G146" s="255"/>
      <c r="H146" s="256"/>
      <c r="I146" s="257">
        <f>IFERROR(J146/'Mão de Obra'!$D$12,"")</f>
        <v>0</v>
      </c>
      <c r="J146" s="257">
        <f>IFERROR(IF(ISNUMBER(H146),H146*'Mão de Obra'!$D$12/12,1)*G146*F146,"")</f>
        <v>0</v>
      </c>
    </row>
    <row r="147" spans="2:10">
      <c r="B147" s="246">
        <v>142</v>
      </c>
      <c r="C147" s="246"/>
      <c r="D147" s="250"/>
      <c r="E147" s="246"/>
      <c r="F147" s="254"/>
      <c r="G147" s="255"/>
      <c r="H147" s="256"/>
      <c r="I147" s="257">
        <f>IFERROR(J147/'Mão de Obra'!$D$12,"")</f>
        <v>0</v>
      </c>
      <c r="J147" s="257">
        <f>IFERROR(IF(ISNUMBER(H147),H147*'Mão de Obra'!$D$12/12,1)*G147*F147,"")</f>
        <v>0</v>
      </c>
    </row>
    <row r="148" spans="2:10">
      <c r="B148" s="246">
        <v>143</v>
      </c>
      <c r="C148" s="246"/>
      <c r="D148" s="250"/>
      <c r="E148" s="246"/>
      <c r="F148" s="254"/>
      <c r="G148" s="255"/>
      <c r="H148" s="256"/>
      <c r="I148" s="257">
        <f>IFERROR(J148/'Mão de Obra'!$D$12,"")</f>
        <v>0</v>
      </c>
      <c r="J148" s="257">
        <f>IFERROR(IF(ISNUMBER(H148),H148*'Mão de Obra'!$D$12/12,1)*G148*F148,"")</f>
        <v>0</v>
      </c>
    </row>
    <row r="149" spans="2:10">
      <c r="B149" s="246">
        <v>144</v>
      </c>
      <c r="C149" s="246"/>
      <c r="D149" s="250"/>
      <c r="E149" s="246"/>
      <c r="F149" s="254"/>
      <c r="G149" s="255"/>
      <c r="H149" s="256"/>
      <c r="I149" s="257">
        <f>IFERROR(J149/'Mão de Obra'!$D$12,"")</f>
        <v>0</v>
      </c>
      <c r="J149" s="257">
        <f>IFERROR(IF(ISNUMBER(H149),H149*'Mão de Obra'!$D$12/12,1)*G149*F149,"")</f>
        <v>0</v>
      </c>
    </row>
    <row r="150" spans="2:10">
      <c r="B150" s="246">
        <v>145</v>
      </c>
      <c r="C150" s="246"/>
      <c r="D150" s="250"/>
      <c r="E150" s="246"/>
      <c r="F150" s="254"/>
      <c r="G150" s="255"/>
      <c r="H150" s="256"/>
      <c r="I150" s="257">
        <f>IFERROR(J150/'Mão de Obra'!$D$12,"")</f>
        <v>0</v>
      </c>
      <c r="J150" s="257">
        <f>IFERROR(IF(ISNUMBER(H150),H150*'Mão de Obra'!$D$12/12,1)*G150*F150,"")</f>
        <v>0</v>
      </c>
    </row>
    <row r="151" spans="2:10">
      <c r="B151" s="246">
        <v>146</v>
      </c>
      <c r="C151" s="246"/>
      <c r="D151" s="250"/>
      <c r="E151" s="246"/>
      <c r="F151" s="254"/>
      <c r="G151" s="255"/>
      <c r="H151" s="256"/>
      <c r="I151" s="257">
        <f>IFERROR(J151/'Mão de Obra'!$D$12,"")</f>
        <v>0</v>
      </c>
      <c r="J151" s="257">
        <f>IFERROR(IF(ISNUMBER(H151),H151*'Mão de Obra'!$D$12/12,1)*G151*F151,"")</f>
        <v>0</v>
      </c>
    </row>
    <row r="152" spans="2:10">
      <c r="B152" s="246">
        <v>147</v>
      </c>
      <c r="C152" s="246"/>
      <c r="D152" s="250"/>
      <c r="E152" s="246"/>
      <c r="F152" s="254"/>
      <c r="G152" s="255"/>
      <c r="H152" s="256"/>
      <c r="I152" s="257">
        <f>IFERROR(J152/'Mão de Obra'!$D$12,"")</f>
        <v>0</v>
      </c>
      <c r="J152" s="257">
        <f>IFERROR(IF(ISNUMBER(H152),H152*'Mão de Obra'!$D$12/12,1)*G152*F152,"")</f>
        <v>0</v>
      </c>
    </row>
    <row r="153" spans="2:10">
      <c r="B153" s="246">
        <v>148</v>
      </c>
      <c r="C153" s="246"/>
      <c r="D153" s="250"/>
      <c r="E153" s="246"/>
      <c r="F153" s="254"/>
      <c r="G153" s="255"/>
      <c r="H153" s="256"/>
      <c r="I153" s="257">
        <f>IFERROR(J153/'Mão de Obra'!$D$12,"")</f>
        <v>0</v>
      </c>
      <c r="J153" s="257">
        <f>IFERROR(IF(ISNUMBER(H153),H153*'Mão de Obra'!$D$12/12,1)*G153*F153,"")</f>
        <v>0</v>
      </c>
    </row>
    <row r="154" spans="2:10">
      <c r="B154" s="246">
        <v>149</v>
      </c>
      <c r="C154" s="246"/>
      <c r="D154" s="250"/>
      <c r="E154" s="246"/>
      <c r="F154" s="254"/>
      <c r="G154" s="255"/>
      <c r="H154" s="256"/>
      <c r="I154" s="257">
        <f>IFERROR(J154/'Mão de Obra'!$D$12,"")</f>
        <v>0</v>
      </c>
      <c r="J154" s="257">
        <f>IFERROR(IF(ISNUMBER(H154),H154*'Mão de Obra'!$D$12/12,1)*G154*F154,"")</f>
        <v>0</v>
      </c>
    </row>
    <row r="155" spans="2:10">
      <c r="B155" s="246">
        <v>150</v>
      </c>
      <c r="C155" s="246"/>
      <c r="D155" s="250"/>
      <c r="E155" s="246"/>
      <c r="F155" s="254"/>
      <c r="G155" s="255"/>
      <c r="H155" s="256"/>
      <c r="I155" s="257">
        <f>IFERROR(J155/'Mão de Obra'!$D$12,"")</f>
        <v>0</v>
      </c>
      <c r="J155" s="257">
        <f>IFERROR(IF(ISNUMBER(H155),H155*'Mão de Obra'!$D$12/12,1)*G155*F155,"")</f>
        <v>0</v>
      </c>
    </row>
    <row r="156" spans="2:10">
      <c r="B156" s="246">
        <v>151</v>
      </c>
      <c r="C156" s="246"/>
      <c r="D156" s="250"/>
      <c r="E156" s="246"/>
      <c r="F156" s="254"/>
      <c r="G156" s="255"/>
      <c r="H156" s="256"/>
      <c r="I156" s="257">
        <f>IFERROR(J156/'Mão de Obra'!$D$12,"")</f>
        <v>0</v>
      </c>
      <c r="J156" s="257">
        <f>IFERROR(IF(ISNUMBER(H156),H156*'Mão de Obra'!$D$12/12,1)*G156*F156,"")</f>
        <v>0</v>
      </c>
    </row>
    <row r="157" spans="2:10">
      <c r="B157" s="246">
        <v>152</v>
      </c>
      <c r="C157" s="246"/>
      <c r="D157" s="250"/>
      <c r="E157" s="246"/>
      <c r="F157" s="254"/>
      <c r="G157" s="255"/>
      <c r="H157" s="256"/>
      <c r="I157" s="257">
        <f>IFERROR(J157/'Mão de Obra'!$D$12,"")</f>
        <v>0</v>
      </c>
      <c r="J157" s="257">
        <f>IFERROR(IF(ISNUMBER(H157),H157*'Mão de Obra'!$D$12/12,1)*G157*F157,"")</f>
        <v>0</v>
      </c>
    </row>
    <row r="158" spans="2:10">
      <c r="B158" s="246">
        <v>153</v>
      </c>
      <c r="C158" s="246"/>
      <c r="D158" s="250"/>
      <c r="E158" s="246"/>
      <c r="F158" s="254"/>
      <c r="G158" s="255"/>
      <c r="H158" s="256"/>
      <c r="I158" s="257">
        <f>IFERROR(J158/'Mão de Obra'!$D$12,"")</f>
        <v>0</v>
      </c>
      <c r="J158" s="257">
        <f>IFERROR(IF(ISNUMBER(H158),H158*'Mão de Obra'!$D$12/12,1)*G158*F158,"")</f>
        <v>0</v>
      </c>
    </row>
    <row r="159" spans="2:10">
      <c r="B159" s="246">
        <v>154</v>
      </c>
      <c r="C159" s="246"/>
      <c r="D159" s="250"/>
      <c r="E159" s="246"/>
      <c r="F159" s="254"/>
      <c r="G159" s="255"/>
      <c r="H159" s="256"/>
      <c r="I159" s="257">
        <f>IFERROR(J159/'Mão de Obra'!$D$12,"")</f>
        <v>0</v>
      </c>
      <c r="J159" s="257">
        <f>IFERROR(IF(ISNUMBER(H159),H159*'Mão de Obra'!$D$12/12,1)*G159*F159,"")</f>
        <v>0</v>
      </c>
    </row>
    <row r="160" spans="2:10">
      <c r="B160" s="246">
        <v>155</v>
      </c>
      <c r="C160" s="246"/>
      <c r="D160" s="250"/>
      <c r="E160" s="246"/>
      <c r="F160" s="254"/>
      <c r="G160" s="255"/>
      <c r="H160" s="256"/>
      <c r="I160" s="257">
        <f>IFERROR(J160/'Mão de Obra'!$D$12,"")</f>
        <v>0</v>
      </c>
      <c r="J160" s="257">
        <f>IFERROR(IF(ISNUMBER(H160),H160*'Mão de Obra'!$D$12/12,1)*G160*F160,"")</f>
        <v>0</v>
      </c>
    </row>
    <row r="161" spans="2:10">
      <c r="B161" s="246">
        <v>156</v>
      </c>
      <c r="C161" s="246"/>
      <c r="D161" s="250"/>
      <c r="E161" s="246"/>
      <c r="F161" s="254"/>
      <c r="G161" s="255"/>
      <c r="H161" s="256"/>
      <c r="I161" s="257">
        <f>IFERROR(J161/'Mão de Obra'!$D$12,"")</f>
        <v>0</v>
      </c>
      <c r="J161" s="257">
        <f>IFERROR(IF(ISNUMBER(H161),H161*'Mão de Obra'!$D$12/12,1)*G161*F161,"")</f>
        <v>0</v>
      </c>
    </row>
    <row r="162" spans="2:10">
      <c r="B162" s="246">
        <v>157</v>
      </c>
      <c r="C162" s="246"/>
      <c r="D162" s="250"/>
      <c r="E162" s="246"/>
      <c r="F162" s="254"/>
      <c r="G162" s="255"/>
      <c r="H162" s="256"/>
      <c r="I162" s="257">
        <f>IFERROR(J162/'Mão de Obra'!$D$12,"")</f>
        <v>0</v>
      </c>
      <c r="J162" s="257">
        <f>IFERROR(IF(ISNUMBER(H162),H162*'Mão de Obra'!$D$12/12,1)*G162*F162,"")</f>
        <v>0</v>
      </c>
    </row>
    <row r="163" spans="2:10">
      <c r="B163" s="246">
        <v>158</v>
      </c>
      <c r="C163" s="246"/>
      <c r="D163" s="250"/>
      <c r="E163" s="246"/>
      <c r="F163" s="254"/>
      <c r="G163" s="255"/>
      <c r="H163" s="256"/>
      <c r="I163" s="257">
        <f>IFERROR(J163/'Mão de Obra'!$D$12,"")</f>
        <v>0</v>
      </c>
      <c r="J163" s="257">
        <f>IFERROR(IF(ISNUMBER(H163),H163*'Mão de Obra'!$D$12/12,1)*G163*F163,"")</f>
        <v>0</v>
      </c>
    </row>
    <row r="164" spans="2:10">
      <c r="B164" s="246">
        <v>159</v>
      </c>
      <c r="C164" s="246"/>
      <c r="D164" s="250"/>
      <c r="E164" s="246"/>
      <c r="F164" s="254"/>
      <c r="G164" s="255"/>
      <c r="H164" s="256"/>
      <c r="I164" s="257">
        <f>IFERROR(J164/'Mão de Obra'!$D$12,"")</f>
        <v>0</v>
      </c>
      <c r="J164" s="257">
        <f>IFERROR(IF(ISNUMBER(H164),H164*'Mão de Obra'!$D$12/12,1)*G164*F164,"")</f>
        <v>0</v>
      </c>
    </row>
    <row r="165" spans="2:10">
      <c r="B165" s="246">
        <v>160</v>
      </c>
      <c r="C165" s="246"/>
      <c r="D165" s="250"/>
      <c r="E165" s="246"/>
      <c r="F165" s="254"/>
      <c r="G165" s="255"/>
      <c r="H165" s="256"/>
      <c r="I165" s="257">
        <f>IFERROR(J165/'Mão de Obra'!$D$12,"")</f>
        <v>0</v>
      </c>
      <c r="J165" s="257">
        <f>IFERROR(IF(ISNUMBER(H165),H165*'Mão de Obra'!$D$12/12,1)*G165*F165,"")</f>
        <v>0</v>
      </c>
    </row>
    <row r="166" spans="2:10">
      <c r="B166" s="246">
        <v>161</v>
      </c>
      <c r="C166" s="246"/>
      <c r="D166" s="250"/>
      <c r="E166" s="246"/>
      <c r="F166" s="254"/>
      <c r="G166" s="255"/>
      <c r="H166" s="256"/>
      <c r="I166" s="257">
        <f>IFERROR(J166/'Mão de Obra'!$D$12,"")</f>
        <v>0</v>
      </c>
      <c r="J166" s="257">
        <f>IFERROR(IF(ISNUMBER(H166),H166*'Mão de Obra'!$D$12/12,1)*G166*F166,"")</f>
        <v>0</v>
      </c>
    </row>
    <row r="167" spans="2:10">
      <c r="B167" s="246">
        <v>162</v>
      </c>
      <c r="C167" s="246"/>
      <c r="D167" s="250"/>
      <c r="E167" s="246"/>
      <c r="F167" s="254"/>
      <c r="G167" s="255"/>
      <c r="H167" s="256"/>
      <c r="I167" s="257">
        <f>IFERROR(J167/'Mão de Obra'!$D$12,"")</f>
        <v>0</v>
      </c>
      <c r="J167" s="257">
        <f>IFERROR(IF(ISNUMBER(H167),H167*'Mão de Obra'!$D$12/12,1)*G167*F167,"")</f>
        <v>0</v>
      </c>
    </row>
    <row r="168" spans="2:10">
      <c r="B168" s="246">
        <v>163</v>
      </c>
      <c r="C168" s="246"/>
      <c r="D168" s="250"/>
      <c r="E168" s="246"/>
      <c r="F168" s="254"/>
      <c r="G168" s="255"/>
      <c r="H168" s="256"/>
      <c r="I168" s="257">
        <f>IFERROR(J168/'Mão de Obra'!$D$12,"")</f>
        <v>0</v>
      </c>
      <c r="J168" s="257">
        <f>IFERROR(IF(ISNUMBER(H168),H168*'Mão de Obra'!$D$12/12,1)*G168*F168,"")</f>
        <v>0</v>
      </c>
    </row>
    <row r="169" spans="2:10">
      <c r="B169" s="246">
        <v>164</v>
      </c>
      <c r="C169" s="246"/>
      <c r="D169" s="250"/>
      <c r="E169" s="246"/>
      <c r="F169" s="254"/>
      <c r="G169" s="255"/>
      <c r="H169" s="256"/>
      <c r="I169" s="257">
        <f>IFERROR(J169/'Mão de Obra'!$D$12,"")</f>
        <v>0</v>
      </c>
      <c r="J169" s="257">
        <f>IFERROR(IF(ISNUMBER(H169),H169*'Mão de Obra'!$D$12/12,1)*G169*F169,"")</f>
        <v>0</v>
      </c>
    </row>
    <row r="170" spans="2:10">
      <c r="B170" s="246">
        <v>165</v>
      </c>
      <c r="C170" s="246"/>
      <c r="D170" s="250"/>
      <c r="E170" s="246"/>
      <c r="F170" s="254"/>
      <c r="G170" s="255"/>
      <c r="H170" s="256"/>
      <c r="I170" s="257">
        <f>IFERROR(J170/'Mão de Obra'!$D$12,"")</f>
        <v>0</v>
      </c>
      <c r="J170" s="257">
        <f>IFERROR(IF(ISNUMBER(H170),H170*'Mão de Obra'!$D$12/12,1)*G170*F170,"")</f>
        <v>0</v>
      </c>
    </row>
    <row r="171" spans="2:10">
      <c r="B171" s="246">
        <v>166</v>
      </c>
      <c r="C171" s="246"/>
      <c r="D171" s="250"/>
      <c r="E171" s="246"/>
      <c r="F171" s="254"/>
      <c r="G171" s="255"/>
      <c r="H171" s="256"/>
      <c r="I171" s="257">
        <f>IFERROR(J171/'Mão de Obra'!$D$12,"")</f>
        <v>0</v>
      </c>
      <c r="J171" s="257">
        <f>IFERROR(IF(ISNUMBER(H171),H171*'Mão de Obra'!$D$12/12,1)*G171*F171,"")</f>
        <v>0</v>
      </c>
    </row>
    <row r="172" spans="2:10">
      <c r="B172" s="246">
        <v>167</v>
      </c>
      <c r="C172" s="246"/>
      <c r="D172" s="250"/>
      <c r="E172" s="246"/>
      <c r="F172" s="254"/>
      <c r="G172" s="255"/>
      <c r="H172" s="256"/>
      <c r="I172" s="257">
        <f>IFERROR(J172/'Mão de Obra'!$D$12,"")</f>
        <v>0</v>
      </c>
      <c r="J172" s="257">
        <f>IFERROR(IF(ISNUMBER(H172),H172*'Mão de Obra'!$D$12/12,1)*G172*F172,"")</f>
        <v>0</v>
      </c>
    </row>
    <row r="173" spans="2:10">
      <c r="B173" s="246">
        <v>168</v>
      </c>
      <c r="C173" s="246"/>
      <c r="D173" s="250"/>
      <c r="E173" s="246"/>
      <c r="F173" s="254"/>
      <c r="G173" s="255"/>
      <c r="H173" s="256"/>
      <c r="I173" s="257">
        <f>IFERROR(J173/'Mão de Obra'!$D$12,"")</f>
        <v>0</v>
      </c>
      <c r="J173" s="257">
        <f>IFERROR(IF(ISNUMBER(H173),H173*'Mão de Obra'!$D$12/12,1)*G173*F173,"")</f>
        <v>0</v>
      </c>
    </row>
    <row r="174" spans="2:10">
      <c r="B174" s="246">
        <v>169</v>
      </c>
      <c r="C174" s="246"/>
      <c r="D174" s="250"/>
      <c r="E174" s="246"/>
      <c r="F174" s="254"/>
      <c r="G174" s="255"/>
      <c r="H174" s="256"/>
      <c r="I174" s="257">
        <f>IFERROR(J174/'Mão de Obra'!$D$12,"")</f>
        <v>0</v>
      </c>
      <c r="J174" s="257">
        <f>IFERROR(IF(ISNUMBER(H174),H174*'Mão de Obra'!$D$12/12,1)*G174*F174,"")</f>
        <v>0</v>
      </c>
    </row>
    <row r="175" spans="2:10">
      <c r="B175" s="246">
        <v>170</v>
      </c>
      <c r="C175" s="246"/>
      <c r="D175" s="250"/>
      <c r="E175" s="246"/>
      <c r="F175" s="254"/>
      <c r="G175" s="255"/>
      <c r="H175" s="256"/>
      <c r="I175" s="257">
        <f>IFERROR(J175/'Mão de Obra'!$D$12,"")</f>
        <v>0</v>
      </c>
      <c r="J175" s="257">
        <f>IFERROR(IF(ISNUMBER(H175),H175*'Mão de Obra'!$D$12/12,1)*G175*F175,"")</f>
        <v>0</v>
      </c>
    </row>
    <row r="176" spans="2:10">
      <c r="B176" s="246">
        <v>171</v>
      </c>
      <c r="C176" s="246"/>
      <c r="D176" s="250"/>
      <c r="E176" s="246"/>
      <c r="F176" s="254"/>
      <c r="G176" s="255"/>
      <c r="H176" s="256"/>
      <c r="I176" s="257">
        <f>IFERROR(J176/'Mão de Obra'!$D$12,"")</f>
        <v>0</v>
      </c>
      <c r="J176" s="257">
        <f>IFERROR(IF(ISNUMBER(H176),H176*'Mão de Obra'!$D$12/12,1)*G176*F176,"")</f>
        <v>0</v>
      </c>
    </row>
    <row r="177" spans="2:10">
      <c r="B177" s="246">
        <v>172</v>
      </c>
      <c r="C177" s="246"/>
      <c r="D177" s="250"/>
      <c r="E177" s="246"/>
      <c r="F177" s="254"/>
      <c r="G177" s="255"/>
      <c r="H177" s="256"/>
      <c r="I177" s="257">
        <f>IFERROR(J177/'Mão de Obra'!$D$12,"")</f>
        <v>0</v>
      </c>
      <c r="J177" s="257">
        <f>IFERROR(IF(ISNUMBER(H177),H177*'Mão de Obra'!$D$12/12,1)*G177*F177,"")</f>
        <v>0</v>
      </c>
    </row>
    <row r="178" spans="2:10">
      <c r="B178" s="246">
        <v>173</v>
      </c>
      <c r="C178" s="246"/>
      <c r="D178" s="250"/>
      <c r="E178" s="246"/>
      <c r="F178" s="254"/>
      <c r="G178" s="255"/>
      <c r="H178" s="256"/>
      <c r="I178" s="257">
        <f>IFERROR(J178/'Mão de Obra'!$D$12,"")</f>
        <v>0</v>
      </c>
      <c r="J178" s="257">
        <f>IFERROR(IF(ISNUMBER(H178),H178*'Mão de Obra'!$D$12/12,1)*G178*F178,"")</f>
        <v>0</v>
      </c>
    </row>
    <row r="179" spans="2:10">
      <c r="B179" s="246">
        <v>174</v>
      </c>
      <c r="C179" s="246"/>
      <c r="D179" s="250"/>
      <c r="E179" s="246"/>
      <c r="F179" s="254"/>
      <c r="G179" s="255"/>
      <c r="H179" s="256"/>
      <c r="I179" s="257">
        <f>IFERROR(J179/'Mão de Obra'!$D$12,"")</f>
        <v>0</v>
      </c>
      <c r="J179" s="257">
        <f>IFERROR(IF(ISNUMBER(H179),H179*'Mão de Obra'!$D$12/12,1)*G179*F179,"")</f>
        <v>0</v>
      </c>
    </row>
    <row r="180" spans="2:10">
      <c r="B180" s="246">
        <v>175</v>
      </c>
      <c r="C180" s="246"/>
      <c r="D180" s="250"/>
      <c r="E180" s="246"/>
      <c r="F180" s="254"/>
      <c r="G180" s="255"/>
      <c r="H180" s="256"/>
      <c r="I180" s="257">
        <f>IFERROR(J180/'Mão de Obra'!$D$12,"")</f>
        <v>0</v>
      </c>
      <c r="J180" s="257">
        <f>IFERROR(IF(ISNUMBER(H180),H180*'Mão de Obra'!$D$12/12,1)*G180*F180,"")</f>
        <v>0</v>
      </c>
    </row>
    <row r="181" spans="2:10">
      <c r="B181" s="246">
        <v>176</v>
      </c>
      <c r="C181" s="246"/>
      <c r="D181" s="250"/>
      <c r="E181" s="246"/>
      <c r="F181" s="254"/>
      <c r="G181" s="255"/>
      <c r="H181" s="256"/>
      <c r="I181" s="257">
        <f>IFERROR(J181/'Mão de Obra'!$D$12,"")</f>
        <v>0</v>
      </c>
      <c r="J181" s="257">
        <f>IFERROR(IF(ISNUMBER(H181),H181*'Mão de Obra'!$D$12/12,1)*G181*F181,"")</f>
        <v>0</v>
      </c>
    </row>
    <row r="182" spans="2:10">
      <c r="B182" s="246">
        <v>177</v>
      </c>
      <c r="C182" s="246"/>
      <c r="D182" s="250"/>
      <c r="E182" s="246"/>
      <c r="F182" s="254"/>
      <c r="G182" s="255"/>
      <c r="H182" s="256"/>
      <c r="I182" s="257">
        <f>IFERROR(J182/'Mão de Obra'!$D$12,"")</f>
        <v>0</v>
      </c>
      <c r="J182" s="257">
        <f>IFERROR(IF(ISNUMBER(H182),H182*'Mão de Obra'!$D$12/12,1)*G182*F182,"")</f>
        <v>0</v>
      </c>
    </row>
    <row r="183" spans="2:10">
      <c r="B183" s="246">
        <v>178</v>
      </c>
      <c r="C183" s="246"/>
      <c r="D183" s="250"/>
      <c r="E183" s="246"/>
      <c r="F183" s="254"/>
      <c r="G183" s="255"/>
      <c r="H183" s="256"/>
      <c r="I183" s="257">
        <f>IFERROR(J183/'Mão de Obra'!$D$12,"")</f>
        <v>0</v>
      </c>
      <c r="J183" s="257">
        <f>IFERROR(IF(ISNUMBER(H183),H183*'Mão de Obra'!$D$12/12,1)*G183*F183,"")</f>
        <v>0</v>
      </c>
    </row>
    <row r="184" spans="2:10">
      <c r="B184" s="246">
        <v>179</v>
      </c>
      <c r="C184" s="246"/>
      <c r="D184" s="250"/>
      <c r="E184" s="246"/>
      <c r="F184" s="254"/>
      <c r="G184" s="255"/>
      <c r="H184" s="256"/>
      <c r="I184" s="257">
        <f>IFERROR(J184/'Mão de Obra'!$D$12,"")</f>
        <v>0</v>
      </c>
      <c r="J184" s="257">
        <f>IFERROR(IF(ISNUMBER(H184),H184*'Mão de Obra'!$D$12/12,1)*G184*F184,"")</f>
        <v>0</v>
      </c>
    </row>
    <row r="185" spans="2:10">
      <c r="B185" s="246">
        <v>180</v>
      </c>
      <c r="C185" s="246"/>
      <c r="D185" s="250"/>
      <c r="E185" s="246"/>
      <c r="F185" s="254"/>
      <c r="G185" s="255"/>
      <c r="H185" s="256"/>
      <c r="I185" s="257">
        <f>IFERROR(J185/'Mão de Obra'!$D$12,"")</f>
        <v>0</v>
      </c>
      <c r="J185" s="257">
        <f>IFERROR(IF(ISNUMBER(H185),H185*'Mão de Obra'!$D$12/12,1)*G185*F185,"")</f>
        <v>0</v>
      </c>
    </row>
    <row r="186" spans="2:10">
      <c r="B186" s="246">
        <v>181</v>
      </c>
      <c r="C186" s="246"/>
      <c r="D186" s="250"/>
      <c r="E186" s="246"/>
      <c r="F186" s="254"/>
      <c r="G186" s="255"/>
      <c r="H186" s="256"/>
      <c r="I186" s="257">
        <f>IFERROR(J186/'Mão de Obra'!$D$12,"")</f>
        <v>0</v>
      </c>
      <c r="J186" s="257">
        <f>IFERROR(IF(ISNUMBER(H186),H186*'Mão de Obra'!$D$12/12,1)*G186*F186,"")</f>
        <v>0</v>
      </c>
    </row>
    <row r="187" spans="2:10">
      <c r="B187" s="246">
        <v>182</v>
      </c>
      <c r="C187" s="246"/>
      <c r="D187" s="250"/>
      <c r="E187" s="246"/>
      <c r="F187" s="254"/>
      <c r="G187" s="255"/>
      <c r="H187" s="256"/>
      <c r="I187" s="257">
        <f>IFERROR(J187/'Mão de Obra'!$D$12,"")</f>
        <v>0</v>
      </c>
      <c r="J187" s="257">
        <f>IFERROR(IF(ISNUMBER(H187),H187*'Mão de Obra'!$D$12/12,1)*G187*F187,"")</f>
        <v>0</v>
      </c>
    </row>
    <row r="188" spans="2:10">
      <c r="B188" s="246">
        <v>183</v>
      </c>
      <c r="C188" s="246"/>
      <c r="D188" s="250"/>
      <c r="E188" s="246"/>
      <c r="F188" s="254"/>
      <c r="G188" s="255"/>
      <c r="H188" s="256"/>
      <c r="I188" s="257">
        <f>IFERROR(J188/'Mão de Obra'!$D$12,"")</f>
        <v>0</v>
      </c>
      <c r="J188" s="257">
        <f>IFERROR(IF(ISNUMBER(H188),H188*'Mão de Obra'!$D$12/12,1)*G188*F188,"")</f>
        <v>0</v>
      </c>
    </row>
    <row r="189" spans="2:10">
      <c r="B189" s="246">
        <v>184</v>
      </c>
      <c r="C189" s="246"/>
      <c r="D189" s="250"/>
      <c r="E189" s="246"/>
      <c r="F189" s="254"/>
      <c r="G189" s="255"/>
      <c r="H189" s="256"/>
      <c r="I189" s="257">
        <f>IFERROR(J189/'Mão de Obra'!$D$12,"")</f>
        <v>0</v>
      </c>
      <c r="J189" s="257">
        <f>IFERROR(IF(ISNUMBER(H189),H189*'Mão de Obra'!$D$12/12,1)*G189*F189,"")</f>
        <v>0</v>
      </c>
    </row>
    <row r="190" spans="2:10">
      <c r="B190" s="246">
        <v>185</v>
      </c>
      <c r="C190" s="246"/>
      <c r="D190" s="250"/>
      <c r="E190" s="246"/>
      <c r="F190" s="254"/>
      <c r="G190" s="255"/>
      <c r="H190" s="256"/>
      <c r="I190" s="257">
        <f>IFERROR(J190/'Mão de Obra'!$D$12,"")</f>
        <v>0</v>
      </c>
      <c r="J190" s="257">
        <f>IFERROR(IF(ISNUMBER(H190),H190*'Mão de Obra'!$D$12/12,1)*G190*F190,"")</f>
        <v>0</v>
      </c>
    </row>
    <row r="191" spans="2:10">
      <c r="B191" s="246">
        <v>186</v>
      </c>
      <c r="C191" s="246"/>
      <c r="D191" s="250"/>
      <c r="E191" s="246"/>
      <c r="F191" s="254"/>
      <c r="G191" s="255"/>
      <c r="H191" s="256"/>
      <c r="I191" s="257">
        <f>IFERROR(J191/'Mão de Obra'!$D$12,"")</f>
        <v>0</v>
      </c>
      <c r="J191" s="257">
        <f>IFERROR(IF(ISNUMBER(H191),H191*'Mão de Obra'!$D$12/12,1)*G191*F191,"")</f>
        <v>0</v>
      </c>
    </row>
    <row r="192" spans="2:10">
      <c r="B192" s="246">
        <v>187</v>
      </c>
      <c r="C192" s="246"/>
      <c r="D192" s="250"/>
      <c r="E192" s="246"/>
      <c r="F192" s="254"/>
      <c r="G192" s="255"/>
      <c r="H192" s="256"/>
      <c r="I192" s="257">
        <f>IFERROR(J192/'Mão de Obra'!$D$12,"")</f>
        <v>0</v>
      </c>
      <c r="J192" s="257">
        <f>IFERROR(IF(ISNUMBER(H192),H192*'Mão de Obra'!$D$12/12,1)*G192*F192,"")</f>
        <v>0</v>
      </c>
    </row>
    <row r="193" spans="2:10">
      <c r="B193" s="246">
        <v>188</v>
      </c>
      <c r="C193" s="246"/>
      <c r="D193" s="250"/>
      <c r="E193" s="246"/>
      <c r="F193" s="254"/>
      <c r="G193" s="255"/>
      <c r="H193" s="256"/>
      <c r="I193" s="257">
        <f>IFERROR(J193/'Mão de Obra'!$D$12,"")</f>
        <v>0</v>
      </c>
      <c r="J193" s="257">
        <f>IFERROR(IF(ISNUMBER(H193),H193*'Mão de Obra'!$D$12/12,1)*G193*F193,"")</f>
        <v>0</v>
      </c>
    </row>
    <row r="194" spans="2:10">
      <c r="B194" s="246">
        <v>189</v>
      </c>
      <c r="C194" s="246"/>
      <c r="D194" s="250"/>
      <c r="E194" s="246"/>
      <c r="F194" s="254"/>
      <c r="G194" s="255"/>
      <c r="H194" s="256"/>
      <c r="I194" s="257">
        <f>IFERROR(J194/'Mão de Obra'!$D$12,"")</f>
        <v>0</v>
      </c>
      <c r="J194" s="257">
        <f>IFERROR(IF(ISNUMBER(H194),H194*'Mão de Obra'!$D$12/12,1)*G194*F194,"")</f>
        <v>0</v>
      </c>
    </row>
    <row r="195" spans="2:10">
      <c r="B195" s="246">
        <v>190</v>
      </c>
      <c r="C195" s="246"/>
      <c r="D195" s="250"/>
      <c r="E195" s="246"/>
      <c r="F195" s="254"/>
      <c r="G195" s="255"/>
      <c r="H195" s="256"/>
      <c r="I195" s="257">
        <f>IFERROR(J195/'Mão de Obra'!$D$12,"")</f>
        <v>0</v>
      </c>
      <c r="J195" s="257">
        <f>IFERROR(IF(ISNUMBER(H195),H195*'Mão de Obra'!$D$12/12,1)*G195*F195,"")</f>
        <v>0</v>
      </c>
    </row>
    <row r="196" spans="2:10">
      <c r="B196" s="246">
        <v>191</v>
      </c>
      <c r="C196" s="246"/>
      <c r="D196" s="250"/>
      <c r="E196" s="246"/>
      <c r="F196" s="254"/>
      <c r="G196" s="255"/>
      <c r="H196" s="256"/>
      <c r="I196" s="257">
        <f>IFERROR(J196/'Mão de Obra'!$D$12,"")</f>
        <v>0</v>
      </c>
      <c r="J196" s="257">
        <f>IFERROR(IF(ISNUMBER(H196),H196*'Mão de Obra'!$D$12/12,1)*G196*F196,"")</f>
        <v>0</v>
      </c>
    </row>
    <row r="197" spans="2:10">
      <c r="B197" s="246">
        <v>192</v>
      </c>
      <c r="C197" s="246"/>
      <c r="D197" s="250"/>
      <c r="E197" s="246"/>
      <c r="F197" s="254"/>
      <c r="G197" s="255"/>
      <c r="H197" s="256"/>
      <c r="I197" s="257">
        <f>IFERROR(J197/'Mão de Obra'!$D$12,"")</f>
        <v>0</v>
      </c>
      <c r="J197" s="257">
        <f>IFERROR(IF(ISNUMBER(H197),H197*'Mão de Obra'!$D$12/12,1)*G197*F197,"")</f>
        <v>0</v>
      </c>
    </row>
    <row r="198" spans="2:10">
      <c r="B198" s="246">
        <v>193</v>
      </c>
      <c r="C198" s="246"/>
      <c r="D198" s="250"/>
      <c r="E198" s="246"/>
      <c r="F198" s="254"/>
      <c r="G198" s="255"/>
      <c r="H198" s="256"/>
      <c r="I198" s="257">
        <f>IFERROR(J198/'Mão de Obra'!$D$12,"")</f>
        <v>0</v>
      </c>
      <c r="J198" s="257">
        <f>IFERROR(IF(ISNUMBER(H198),H198*'Mão de Obra'!$D$12/12,1)*G198*F198,"")</f>
        <v>0</v>
      </c>
    </row>
    <row r="199" spans="2:10">
      <c r="B199" s="246">
        <v>194</v>
      </c>
      <c r="C199" s="246"/>
      <c r="D199" s="250"/>
      <c r="E199" s="246"/>
      <c r="F199" s="254"/>
      <c r="G199" s="255"/>
      <c r="H199" s="256"/>
      <c r="I199" s="257">
        <f>IFERROR(J199/'Mão de Obra'!$D$12,"")</f>
        <v>0</v>
      </c>
      <c r="J199" s="257">
        <f>IFERROR(IF(ISNUMBER(H199),H199*'Mão de Obra'!$D$12/12,1)*G199*F199,"")</f>
        <v>0</v>
      </c>
    </row>
    <row r="200" spans="2:10">
      <c r="B200" s="246">
        <v>195</v>
      </c>
      <c r="C200" s="246"/>
      <c r="D200" s="250"/>
      <c r="E200" s="246"/>
      <c r="F200" s="254"/>
      <c r="G200" s="255"/>
      <c r="H200" s="256"/>
      <c r="I200" s="257">
        <f>IFERROR(J200/'Mão de Obra'!$D$12,"")</f>
        <v>0</v>
      </c>
      <c r="J200" s="257">
        <f>IFERROR(IF(ISNUMBER(H200),H200*'Mão de Obra'!$D$12/12,1)*G200*F200,"")</f>
        <v>0</v>
      </c>
    </row>
    <row r="201" spans="2:10">
      <c r="B201" s="246">
        <v>196</v>
      </c>
      <c r="C201" s="246"/>
      <c r="D201" s="250"/>
      <c r="E201" s="246"/>
      <c r="F201" s="254"/>
      <c r="G201" s="255"/>
      <c r="H201" s="256"/>
      <c r="I201" s="257">
        <f>IFERROR(J201/'Mão de Obra'!$D$12,"")</f>
        <v>0</v>
      </c>
      <c r="J201" s="257">
        <f>IFERROR(IF(ISNUMBER(H201),H201*'Mão de Obra'!$D$12/12,1)*G201*F201,"")</f>
        <v>0</v>
      </c>
    </row>
    <row r="202" spans="2:10">
      <c r="B202" s="246">
        <v>197</v>
      </c>
      <c r="C202" s="246"/>
      <c r="D202" s="250"/>
      <c r="E202" s="246"/>
      <c r="F202" s="254"/>
      <c r="G202" s="255"/>
      <c r="H202" s="256"/>
      <c r="I202" s="257">
        <f>IFERROR(J202/'Mão de Obra'!$D$12,"")</f>
        <v>0</v>
      </c>
      <c r="J202" s="257">
        <f>IFERROR(IF(ISNUMBER(H202),H202*'Mão de Obra'!$D$12/12,1)*G202*F202,"")</f>
        <v>0</v>
      </c>
    </row>
    <row r="203" spans="2:10">
      <c r="B203" s="246">
        <v>198</v>
      </c>
      <c r="C203" s="246"/>
      <c r="D203" s="250"/>
      <c r="E203" s="246"/>
      <c r="F203" s="254"/>
      <c r="G203" s="255"/>
      <c r="H203" s="256"/>
      <c r="I203" s="257">
        <f>IFERROR(J203/'Mão de Obra'!$D$12,"")</f>
        <v>0</v>
      </c>
      <c r="J203" s="257">
        <f>IFERROR(IF(ISNUMBER(H203),H203*'Mão de Obra'!$D$12/12,1)*G203*F203,"")</f>
        <v>0</v>
      </c>
    </row>
    <row r="204" spans="2:10">
      <c r="B204" s="246">
        <v>199</v>
      </c>
      <c r="C204" s="246"/>
      <c r="D204" s="250"/>
      <c r="E204" s="246"/>
      <c r="F204" s="254"/>
      <c r="G204" s="255"/>
      <c r="H204" s="256"/>
      <c r="I204" s="257">
        <f>IFERROR(J204/'Mão de Obra'!$D$12,"")</f>
        <v>0</v>
      </c>
      <c r="J204" s="257">
        <f>IFERROR(IF(ISNUMBER(H204),H204*'Mão de Obra'!$D$12/12,1)*G204*F204,"")</f>
        <v>0</v>
      </c>
    </row>
    <row r="205" spans="2:10">
      <c r="B205" s="246">
        <v>200</v>
      </c>
      <c r="C205" s="246"/>
      <c r="D205" s="250"/>
      <c r="E205" s="246"/>
      <c r="F205" s="254"/>
      <c r="G205" s="255"/>
      <c r="H205" s="256"/>
      <c r="I205" s="257">
        <f>IFERROR(J205/'Mão de Obra'!$D$12,"")</f>
        <v>0</v>
      </c>
      <c r="J205" s="257">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96"/>
  <sheetViews>
    <sheetView showGridLines="0" topLeftCell="A73" zoomScale="90" zoomScaleNormal="90" workbookViewId="0">
      <selection activeCell="E6" sqref="E6"/>
    </sheetView>
  </sheetViews>
  <sheetFormatPr defaultRowHeight="14.4"/>
  <cols>
    <col min="1" max="1" width="1.88671875" customWidth="1"/>
    <col min="2" max="2" width="4.88671875" style="258" customWidth="1"/>
    <col min="3" max="3" width="49" style="259" customWidth="1"/>
    <col min="4" max="4" width="21.33203125" style="259" customWidth="1"/>
    <col min="5" max="5" width="22.44140625" style="260" customWidth="1"/>
    <col min="6" max="6" width="19.6640625" style="260" customWidth="1"/>
    <col min="7" max="9" width="19.6640625" customWidth="1"/>
    <col min="10" max="10" width="8.6640625" customWidth="1"/>
    <col min="11" max="11" width="12.109375" customWidth="1"/>
    <col min="12" max="1025" width="8.6640625" customWidth="1"/>
  </cols>
  <sheetData>
    <row r="1" spans="1:27" ht="9.75" customHeight="1">
      <c r="B1" s="261"/>
      <c r="C1" s="262"/>
      <c r="D1" s="262"/>
      <c r="E1" s="263"/>
      <c r="F1" s="263"/>
    </row>
    <row r="2" spans="1:27" s="12" customFormat="1">
      <c r="A2" s="60"/>
      <c r="B2" s="14"/>
      <c r="C2" s="15" t="s">
        <v>0</v>
      </c>
      <c r="D2" s="61"/>
      <c r="E2" s="126" t="s">
        <v>211</v>
      </c>
      <c r="F2" s="126" t="s">
        <v>212</v>
      </c>
      <c r="G2" s="126" t="s">
        <v>213</v>
      </c>
      <c r="H2" s="126" t="s">
        <v>214</v>
      </c>
      <c r="I2" s="126" t="s">
        <v>215</v>
      </c>
      <c r="J2" s="242"/>
      <c r="K2" s="242"/>
      <c r="L2" s="242"/>
      <c r="M2" s="242"/>
      <c r="N2" s="242"/>
      <c r="O2" s="242"/>
      <c r="P2" s="242"/>
      <c r="Q2" s="242"/>
      <c r="R2" s="242"/>
      <c r="S2" s="242"/>
      <c r="T2" s="242"/>
      <c r="U2" s="242"/>
      <c r="V2" s="242"/>
      <c r="W2" s="242"/>
      <c r="X2" s="242"/>
      <c r="Y2" s="242"/>
      <c r="Z2" s="242"/>
      <c r="AA2" s="242"/>
    </row>
    <row r="3" spans="1:27" s="233" customFormat="1">
      <c r="B3" s="264"/>
      <c r="C3" s="265" t="s">
        <v>216</v>
      </c>
      <c r="D3" s="266"/>
      <c r="E3" s="267" t="s">
        <v>217</v>
      </c>
      <c r="F3" s="268"/>
      <c r="G3" s="268"/>
      <c r="H3" s="268"/>
      <c r="I3" s="268"/>
      <c r="J3" s="269"/>
      <c r="K3" s="269"/>
      <c r="L3" s="269"/>
      <c r="M3" s="269"/>
      <c r="N3" s="269"/>
      <c r="O3" s="269"/>
      <c r="P3" s="269"/>
      <c r="Q3" s="269"/>
      <c r="R3" s="269"/>
      <c r="S3" s="269"/>
      <c r="T3" s="269"/>
      <c r="U3" s="269"/>
      <c r="V3" s="269"/>
      <c r="W3" s="269"/>
      <c r="X3" s="269"/>
      <c r="Y3" s="269"/>
      <c r="Z3" s="269"/>
      <c r="AA3" s="269"/>
    </row>
    <row r="4" spans="1:27">
      <c r="B4" s="270"/>
      <c r="C4" s="271" t="s">
        <v>218</v>
      </c>
      <c r="D4" s="49"/>
      <c r="E4" s="47">
        <v>1</v>
      </c>
      <c r="F4" s="47"/>
      <c r="G4" s="47"/>
      <c r="H4" s="47"/>
      <c r="I4" s="47"/>
      <c r="J4" s="10"/>
      <c r="K4" s="10"/>
      <c r="L4" s="10"/>
      <c r="M4" s="10"/>
      <c r="N4" s="10"/>
      <c r="O4" s="10"/>
      <c r="P4" s="10"/>
      <c r="Q4" s="10"/>
      <c r="R4" s="10"/>
      <c r="S4" s="10"/>
      <c r="T4" s="10"/>
      <c r="U4" s="10"/>
      <c r="V4" s="10"/>
      <c r="W4" s="10"/>
      <c r="X4" s="10"/>
      <c r="Y4" s="10"/>
      <c r="Z4" s="10"/>
      <c r="AA4" s="10"/>
    </row>
    <row r="5" spans="1:27">
      <c r="B5" s="272"/>
      <c r="C5" s="273" t="s">
        <v>219</v>
      </c>
      <c r="D5" s="274"/>
      <c r="E5" s="275">
        <v>2600</v>
      </c>
      <c r="F5" s="276"/>
      <c r="G5" s="276"/>
      <c r="H5" s="276"/>
      <c r="I5" s="276"/>
      <c r="J5" s="10"/>
      <c r="K5" s="10"/>
      <c r="L5" s="10"/>
      <c r="M5" s="10"/>
      <c r="N5" s="10"/>
      <c r="O5" s="10"/>
      <c r="P5" s="10"/>
      <c r="Q5" s="10"/>
      <c r="R5" s="10"/>
      <c r="S5" s="10"/>
      <c r="T5" s="10"/>
      <c r="U5" s="10"/>
      <c r="V5" s="10"/>
      <c r="W5" s="10"/>
      <c r="X5" s="10"/>
      <c r="Y5" s="10"/>
      <c r="Z5" s="10"/>
      <c r="AA5" s="10"/>
    </row>
    <row r="6" spans="1:27">
      <c r="A6" s="277"/>
      <c r="C6" s="262"/>
      <c r="G6" s="260"/>
      <c r="H6" s="260"/>
      <c r="I6" s="260"/>
      <c r="J6" s="10"/>
      <c r="K6" s="10"/>
      <c r="L6" s="10"/>
      <c r="M6" s="10"/>
      <c r="N6" s="10"/>
      <c r="O6" s="10"/>
      <c r="P6" s="10"/>
      <c r="Q6" s="10"/>
      <c r="R6" s="10"/>
      <c r="S6" s="10"/>
      <c r="T6" s="10"/>
      <c r="U6" s="10"/>
      <c r="V6" s="10"/>
      <c r="W6" s="10"/>
      <c r="X6" s="10"/>
      <c r="Y6" s="10"/>
      <c r="Z6" s="10"/>
      <c r="AA6" s="10"/>
    </row>
    <row r="7" spans="1:27" s="12" customFormat="1">
      <c r="A7" s="60"/>
      <c r="B7" s="14"/>
      <c r="C7" s="15" t="s">
        <v>220</v>
      </c>
      <c r="D7" s="61"/>
      <c r="E7" s="62"/>
      <c r="F7" s="62"/>
      <c r="G7" s="62"/>
      <c r="H7" s="62"/>
      <c r="I7" s="62"/>
      <c r="J7" s="242"/>
      <c r="K7" s="242"/>
      <c r="L7" s="242"/>
      <c r="M7" s="242"/>
      <c r="N7" s="242"/>
      <c r="O7" s="242"/>
      <c r="P7" s="242"/>
      <c r="Q7" s="242"/>
      <c r="R7" s="242"/>
      <c r="S7" s="242"/>
      <c r="T7" s="242"/>
      <c r="U7" s="242"/>
      <c r="V7" s="242"/>
      <c r="W7" s="242"/>
      <c r="X7" s="242"/>
      <c r="Y7" s="242"/>
      <c r="Z7" s="242"/>
      <c r="AA7" s="242"/>
    </row>
    <row r="8" spans="1:27">
      <c r="B8" s="692" t="s">
        <v>1</v>
      </c>
      <c r="C8" s="278" t="s">
        <v>221</v>
      </c>
      <c r="D8" s="279"/>
      <c r="E8" s="280"/>
      <c r="F8" s="280"/>
      <c r="G8" s="280"/>
      <c r="H8" s="280"/>
      <c r="I8" s="280"/>
      <c r="J8" s="10"/>
      <c r="K8" s="10"/>
      <c r="L8" s="10"/>
      <c r="M8" s="10"/>
      <c r="N8" s="10"/>
      <c r="O8" s="10"/>
      <c r="P8" s="10"/>
      <c r="Q8" s="10"/>
      <c r="R8" s="10"/>
      <c r="S8" s="10"/>
      <c r="T8" s="10"/>
      <c r="U8" s="10"/>
      <c r="V8" s="10"/>
      <c r="W8" s="10"/>
      <c r="X8" s="10"/>
      <c r="Y8" s="10"/>
      <c r="Z8" s="10"/>
      <c r="AA8" s="10"/>
    </row>
    <row r="9" spans="1:27">
      <c r="B9" s="692"/>
      <c r="C9" s="281" t="s">
        <v>222</v>
      </c>
      <c r="D9" s="282"/>
      <c r="E9" s="283">
        <v>8</v>
      </c>
      <c r="F9" s="283"/>
      <c r="G9" s="283"/>
      <c r="H9" s="283"/>
      <c r="I9" s="283"/>
      <c r="J9" s="10"/>
      <c r="K9" s="10"/>
      <c r="L9" s="10"/>
      <c r="M9" s="10"/>
      <c r="N9" s="10"/>
      <c r="O9" s="10"/>
      <c r="P9" s="10"/>
      <c r="Q9" s="10"/>
      <c r="R9" s="10"/>
      <c r="S9" s="10"/>
      <c r="T9" s="10"/>
      <c r="U9" s="10"/>
      <c r="V9" s="10"/>
      <c r="W9" s="10"/>
      <c r="X9" s="10"/>
      <c r="Y9" s="10"/>
      <c r="Z9" s="10"/>
      <c r="AA9" s="10"/>
    </row>
    <row r="10" spans="1:27">
      <c r="B10" s="692"/>
      <c r="C10" s="284" t="s">
        <v>223</v>
      </c>
      <c r="D10" s="285"/>
      <c r="E10" s="286" t="s">
        <v>224</v>
      </c>
      <c r="F10" s="286"/>
      <c r="G10" s="286"/>
      <c r="H10" s="286"/>
      <c r="I10" s="286"/>
      <c r="J10" s="10"/>
      <c r="K10" s="10"/>
      <c r="L10" s="10"/>
      <c r="M10" s="10"/>
      <c r="N10" s="10"/>
      <c r="O10" s="10"/>
      <c r="P10" s="10"/>
      <c r="Q10" s="10"/>
      <c r="R10" s="10"/>
      <c r="S10" s="10"/>
      <c r="T10" s="10"/>
      <c r="U10" s="10"/>
      <c r="V10" s="10"/>
      <c r="W10" s="10"/>
      <c r="X10" s="10"/>
      <c r="Y10" s="10"/>
      <c r="Z10" s="10"/>
      <c r="AA10" s="10"/>
    </row>
    <row r="11" spans="1:27">
      <c r="B11" s="692"/>
      <c r="C11" s="284" t="s">
        <v>225</v>
      </c>
      <c r="D11" s="285"/>
      <c r="E11" s="287">
        <v>6.16</v>
      </c>
      <c r="F11" s="287"/>
      <c r="G11" s="287"/>
      <c r="H11" s="287"/>
      <c r="I11" s="287"/>
      <c r="J11" s="10"/>
      <c r="K11" s="10"/>
      <c r="L11" s="10"/>
      <c r="M11" s="10"/>
      <c r="N11" s="10"/>
      <c r="O11" s="10"/>
      <c r="P11" s="10"/>
      <c r="Q11" s="10"/>
      <c r="R11" s="10"/>
      <c r="S11" s="10"/>
      <c r="T11" s="10"/>
      <c r="U11" s="10"/>
      <c r="V11" s="10"/>
      <c r="W11" s="10"/>
      <c r="X11" s="10"/>
      <c r="Y11" s="10"/>
      <c r="Z11" s="10"/>
      <c r="AA11" s="10"/>
    </row>
    <row r="12" spans="1:27">
      <c r="B12" s="692"/>
      <c r="C12" s="288"/>
      <c r="D12" s="288" t="s">
        <v>70</v>
      </c>
      <c r="E12" s="289">
        <f>IFERROR(E5*E11/E9,"")</f>
        <v>2002</v>
      </c>
      <c r="F12" s="289" t="str">
        <f>IFERROR(F5*F11/F9,"")</f>
        <v/>
      </c>
      <c r="G12" s="289" t="str">
        <f>IFERROR(G5*G11/G9,"")</f>
        <v/>
      </c>
      <c r="H12" s="289" t="str">
        <f>IFERROR(H5*H11/H9,"")</f>
        <v/>
      </c>
      <c r="I12" s="289" t="str">
        <f>IFERROR(I5*I11/I9,"")</f>
        <v/>
      </c>
      <c r="J12" s="10"/>
      <c r="K12" s="10"/>
      <c r="L12" s="10"/>
      <c r="M12" s="10"/>
      <c r="N12" s="10"/>
      <c r="O12" s="10"/>
      <c r="P12" s="10"/>
      <c r="Q12" s="10"/>
      <c r="R12" s="10"/>
      <c r="S12" s="10"/>
      <c r="T12" s="10"/>
      <c r="U12" s="10"/>
      <c r="V12" s="10"/>
      <c r="W12" s="10"/>
      <c r="X12" s="10"/>
      <c r="Y12" s="10"/>
      <c r="Z12" s="10"/>
      <c r="AA12" s="10"/>
    </row>
    <row r="13" spans="1:27">
      <c r="B13" s="693" t="s">
        <v>4</v>
      </c>
      <c r="C13" s="291" t="s">
        <v>226</v>
      </c>
      <c r="D13" s="292"/>
      <c r="E13" s="293"/>
      <c r="F13" s="293"/>
      <c r="G13" s="293"/>
      <c r="H13" s="293"/>
      <c r="I13" s="293"/>
      <c r="J13" s="10"/>
      <c r="K13" s="10"/>
      <c r="L13" s="10"/>
      <c r="M13" s="10"/>
      <c r="N13" s="10"/>
      <c r="O13" s="10"/>
      <c r="P13" s="10"/>
      <c r="Q13" s="10"/>
      <c r="R13" s="10"/>
      <c r="S13" s="10"/>
      <c r="T13" s="10"/>
      <c r="U13" s="10"/>
      <c r="V13" s="10"/>
      <c r="W13" s="10"/>
      <c r="X13" s="10"/>
      <c r="Y13" s="10"/>
      <c r="Z13" s="10"/>
      <c r="AA13" s="10"/>
    </row>
    <row r="14" spans="1:27">
      <c r="B14" s="693"/>
      <c r="C14" s="294" t="s">
        <v>227</v>
      </c>
      <c r="D14" s="295"/>
      <c r="E14" s="296">
        <v>12</v>
      </c>
      <c r="F14" s="296"/>
      <c r="G14" s="296"/>
      <c r="H14" s="296"/>
      <c r="I14" s="296"/>
      <c r="J14" s="10"/>
      <c r="K14" s="10"/>
      <c r="L14" s="10"/>
      <c r="M14" s="10"/>
      <c r="N14" s="10"/>
      <c r="O14" s="10"/>
      <c r="P14" s="10"/>
      <c r="Q14" s="10"/>
      <c r="R14" s="10"/>
      <c r="S14" s="10"/>
      <c r="T14" s="10"/>
      <c r="U14" s="10"/>
      <c r="V14" s="10"/>
      <c r="W14" s="10"/>
      <c r="X14" s="10"/>
      <c r="Y14" s="10"/>
      <c r="Z14" s="10"/>
      <c r="AA14" s="10"/>
    </row>
    <row r="15" spans="1:27">
      <c r="B15" s="693"/>
      <c r="C15" s="297" t="s">
        <v>228</v>
      </c>
      <c r="D15" s="298"/>
      <c r="E15" s="299">
        <v>10000</v>
      </c>
      <c r="F15" s="299"/>
      <c r="G15" s="299"/>
      <c r="H15" s="299"/>
      <c r="I15" s="299"/>
      <c r="J15" s="10"/>
      <c r="K15" s="10"/>
      <c r="L15" s="10"/>
      <c r="M15" s="10"/>
      <c r="N15" s="10"/>
      <c r="O15" s="10"/>
      <c r="P15" s="10"/>
      <c r="Q15" s="10"/>
      <c r="R15" s="10"/>
      <c r="S15" s="10"/>
      <c r="T15" s="10"/>
      <c r="U15" s="10"/>
      <c r="V15" s="10"/>
      <c r="W15" s="10"/>
      <c r="X15" s="10"/>
      <c r="Y15" s="10"/>
      <c r="Z15" s="10"/>
      <c r="AA15" s="10"/>
    </row>
    <row r="16" spans="1:27">
      <c r="B16" s="693"/>
      <c r="C16" s="297" t="s">
        <v>229</v>
      </c>
      <c r="D16" s="300"/>
      <c r="E16" s="301">
        <v>40</v>
      </c>
      <c r="F16" s="301"/>
      <c r="G16" s="301"/>
      <c r="H16" s="301"/>
      <c r="I16" s="301"/>
      <c r="J16" s="10"/>
      <c r="K16" s="10"/>
      <c r="L16" s="10"/>
      <c r="M16" s="10"/>
      <c r="N16" s="10"/>
      <c r="O16" s="10"/>
      <c r="P16" s="10"/>
      <c r="Q16" s="10"/>
      <c r="R16" s="10"/>
      <c r="S16" s="10"/>
      <c r="T16" s="10"/>
      <c r="U16" s="10"/>
      <c r="V16" s="10"/>
      <c r="W16" s="10"/>
      <c r="X16" s="10"/>
      <c r="Y16" s="10"/>
      <c r="Z16" s="10"/>
      <c r="AA16" s="10"/>
    </row>
    <row r="17" spans="2:27">
      <c r="B17" s="693"/>
      <c r="C17" s="288"/>
      <c r="D17" s="288" t="s">
        <v>70</v>
      </c>
      <c r="E17" s="302">
        <f>IFERROR(IF(E3="","",E16*E14*E5/E15),"")</f>
        <v>124.8</v>
      </c>
      <c r="F17" s="302" t="str">
        <f>IFERROR(IF(F3="","",F16*F14*F5/F15),"")</f>
        <v/>
      </c>
      <c r="G17" s="302" t="str">
        <f>IFERROR(IF(G3="","",G16*G14*G5/G15),"")</f>
        <v/>
      </c>
      <c r="H17" s="302" t="str">
        <f>IFERROR(IF(H3="","",H16*H14*H5/H15),"")</f>
        <v/>
      </c>
      <c r="I17" s="302" t="str">
        <f>IFERROR(IF(I3="","",I16*I14*I5/I15),"")</f>
        <v/>
      </c>
      <c r="J17" s="10"/>
      <c r="K17" s="10"/>
      <c r="L17" s="10"/>
      <c r="M17" s="10"/>
      <c r="N17" s="10"/>
      <c r="O17" s="10"/>
      <c r="P17" s="10"/>
      <c r="Q17" s="10"/>
      <c r="R17" s="10"/>
      <c r="S17" s="10"/>
      <c r="T17" s="10"/>
      <c r="U17" s="10"/>
      <c r="V17" s="10"/>
      <c r="W17" s="10"/>
      <c r="X17" s="10"/>
      <c r="Y17" s="10"/>
      <c r="Z17" s="10"/>
      <c r="AA17" s="10"/>
    </row>
    <row r="18" spans="2:27">
      <c r="B18" s="694" t="s">
        <v>6</v>
      </c>
      <c r="C18" s="303" t="s">
        <v>230</v>
      </c>
      <c r="D18" s="304"/>
      <c r="E18" s="305"/>
      <c r="F18" s="305"/>
      <c r="G18" s="305"/>
      <c r="H18" s="305"/>
      <c r="I18" s="305"/>
      <c r="J18" s="10"/>
      <c r="K18" s="10"/>
      <c r="L18" s="10"/>
      <c r="M18" s="10"/>
      <c r="N18" s="10"/>
      <c r="O18" s="10"/>
      <c r="P18" s="10"/>
      <c r="Q18" s="10"/>
      <c r="R18" s="10"/>
      <c r="S18" s="10"/>
      <c r="T18" s="10"/>
      <c r="U18" s="10"/>
      <c r="V18" s="10"/>
      <c r="W18" s="10"/>
      <c r="X18" s="10"/>
      <c r="Y18" s="10"/>
      <c r="Z18" s="10"/>
      <c r="AA18" s="10"/>
    </row>
    <row r="19" spans="2:27">
      <c r="B19" s="694"/>
      <c r="C19" s="297" t="s">
        <v>228</v>
      </c>
      <c r="D19" s="306"/>
      <c r="E19" s="299">
        <v>10000</v>
      </c>
      <c r="F19" s="299"/>
      <c r="G19" s="299"/>
      <c r="H19" s="299"/>
      <c r="I19" s="299"/>
      <c r="J19" s="10"/>
      <c r="K19" s="10"/>
      <c r="L19" s="10"/>
      <c r="M19" s="10"/>
      <c r="N19" s="10"/>
      <c r="O19" s="10"/>
      <c r="P19" s="10"/>
      <c r="Q19" s="10"/>
      <c r="R19" s="10"/>
      <c r="S19" s="10"/>
      <c r="T19" s="10"/>
      <c r="U19" s="10"/>
      <c r="V19" s="10"/>
      <c r="W19" s="10"/>
      <c r="X19" s="10"/>
      <c r="Y19" s="10"/>
      <c r="Z19" s="10"/>
      <c r="AA19" s="10"/>
    </row>
    <row r="20" spans="2:27">
      <c r="B20" s="694"/>
      <c r="C20" s="297" t="s">
        <v>231</v>
      </c>
      <c r="D20" s="300"/>
      <c r="E20" s="301">
        <v>30</v>
      </c>
      <c r="F20" s="301"/>
      <c r="G20" s="301"/>
      <c r="H20" s="301"/>
      <c r="I20" s="301"/>
      <c r="J20" s="10"/>
      <c r="K20" s="10"/>
      <c r="L20" s="10"/>
      <c r="M20" s="10"/>
      <c r="N20" s="10"/>
      <c r="O20" s="10"/>
      <c r="P20" s="10"/>
      <c r="Q20" s="10"/>
      <c r="R20" s="10"/>
      <c r="S20" s="10"/>
      <c r="T20" s="10"/>
      <c r="U20" s="10"/>
      <c r="V20" s="10"/>
      <c r="W20" s="10"/>
      <c r="X20" s="10"/>
      <c r="Y20" s="10"/>
      <c r="Z20" s="10"/>
      <c r="AA20" s="10"/>
    </row>
    <row r="21" spans="2:27">
      <c r="B21" s="694"/>
      <c r="C21" s="288"/>
      <c r="D21" s="288" t="s">
        <v>70</v>
      </c>
      <c r="E21" s="302">
        <f>IFERROR(IF(E3="","",E20*E5/E19),"")</f>
        <v>7.8</v>
      </c>
      <c r="F21" s="302" t="str">
        <f>IFERROR(IF(F3="","",F20*F5/F19),"")</f>
        <v/>
      </c>
      <c r="G21" s="302" t="str">
        <f>IFERROR(IF(G3="","",G20*G5/G19),"")</f>
        <v/>
      </c>
      <c r="H21" s="302" t="str">
        <f>IFERROR(IF(H3="","",H20*H5/H19),"")</f>
        <v/>
      </c>
      <c r="I21" s="302" t="str">
        <f>IFERROR(IF(I3="","",I20*I5/I19),"")</f>
        <v/>
      </c>
      <c r="J21" s="10"/>
      <c r="K21" s="10"/>
      <c r="L21" s="10"/>
      <c r="M21" s="10"/>
      <c r="N21" s="10"/>
      <c r="O21" s="10"/>
      <c r="P21" s="10"/>
      <c r="Q21" s="10"/>
      <c r="R21" s="10"/>
      <c r="S21" s="10"/>
      <c r="T21" s="10"/>
      <c r="U21" s="10"/>
      <c r="V21" s="10"/>
      <c r="W21" s="10"/>
      <c r="X21" s="10"/>
      <c r="Y21" s="10"/>
      <c r="Z21" s="10"/>
      <c r="AA21" s="10"/>
    </row>
    <row r="22" spans="2:27">
      <c r="B22" s="695" t="s">
        <v>9</v>
      </c>
      <c r="C22" s="303" t="s">
        <v>232</v>
      </c>
      <c r="D22" s="304"/>
      <c r="E22" s="305"/>
      <c r="F22" s="305"/>
      <c r="G22" s="305"/>
      <c r="H22" s="305"/>
      <c r="I22" s="305"/>
      <c r="J22" s="10"/>
      <c r="K22" s="10"/>
      <c r="L22" s="10"/>
      <c r="M22" s="10"/>
      <c r="N22" s="10"/>
      <c r="O22" s="10"/>
      <c r="P22" s="10"/>
      <c r="Q22" s="10"/>
      <c r="R22" s="10"/>
      <c r="S22" s="10"/>
      <c r="T22" s="10"/>
      <c r="U22" s="10"/>
      <c r="V22" s="10"/>
      <c r="W22" s="10"/>
      <c r="X22" s="10"/>
      <c r="Y22" s="10"/>
      <c r="Z22" s="10"/>
      <c r="AA22" s="10"/>
    </row>
    <row r="23" spans="2:27">
      <c r="B23" s="695"/>
      <c r="C23" s="308" t="s">
        <v>233</v>
      </c>
      <c r="D23" s="309"/>
      <c r="E23" s="310">
        <v>1000</v>
      </c>
      <c r="F23" s="310"/>
      <c r="G23" s="310"/>
      <c r="H23" s="310"/>
      <c r="I23" s="310"/>
      <c r="J23" s="10"/>
      <c r="K23" s="10"/>
      <c r="L23" s="10"/>
      <c r="M23" s="10"/>
      <c r="N23" s="10"/>
      <c r="O23" s="10"/>
      <c r="P23" s="10"/>
      <c r="Q23" s="10"/>
      <c r="R23" s="10"/>
      <c r="S23" s="10"/>
      <c r="T23" s="10"/>
      <c r="U23" s="10"/>
      <c r="V23" s="10"/>
      <c r="W23" s="10"/>
      <c r="X23" s="10"/>
      <c r="Y23" s="10"/>
      <c r="Z23" s="10"/>
      <c r="AA23" s="10"/>
    </row>
    <row r="24" spans="2:27">
      <c r="B24" s="695"/>
      <c r="C24" s="311" t="s">
        <v>234</v>
      </c>
      <c r="D24" s="312"/>
      <c r="E24" s="313">
        <v>4</v>
      </c>
      <c r="F24" s="313"/>
      <c r="G24" s="313"/>
      <c r="H24" s="313"/>
      <c r="I24" s="313"/>
      <c r="J24" s="10"/>
      <c r="K24" s="10"/>
      <c r="L24" s="10"/>
      <c r="M24" s="10"/>
      <c r="N24" s="10"/>
      <c r="O24" s="10"/>
      <c r="P24" s="10"/>
      <c r="Q24" s="10"/>
      <c r="R24" s="10"/>
      <c r="S24" s="10"/>
      <c r="T24" s="10"/>
      <c r="U24" s="10"/>
      <c r="V24" s="10"/>
      <c r="W24" s="10"/>
      <c r="X24" s="10"/>
      <c r="Y24" s="10"/>
      <c r="Z24" s="10"/>
      <c r="AA24" s="10"/>
    </row>
    <row r="25" spans="2:27">
      <c r="B25" s="695"/>
      <c r="C25" s="297" t="s">
        <v>235</v>
      </c>
      <c r="D25" s="300"/>
      <c r="E25" s="299">
        <v>50000</v>
      </c>
      <c r="F25" s="299"/>
      <c r="G25" s="299"/>
      <c r="H25" s="299"/>
      <c r="I25" s="299"/>
      <c r="J25" s="10"/>
      <c r="K25" s="10"/>
      <c r="L25" s="10"/>
      <c r="M25" s="10"/>
      <c r="N25" s="10"/>
      <c r="O25" s="10"/>
      <c r="P25" s="10"/>
      <c r="Q25" s="10"/>
      <c r="R25" s="10"/>
      <c r="S25" s="10"/>
      <c r="T25" s="10"/>
      <c r="U25" s="10"/>
      <c r="V25" s="10"/>
      <c r="W25" s="10"/>
      <c r="X25" s="10"/>
      <c r="Y25" s="10"/>
      <c r="Z25" s="10"/>
      <c r="AA25" s="10"/>
    </row>
    <row r="26" spans="2:27">
      <c r="B26" s="695"/>
      <c r="C26" s="288"/>
      <c r="D26" s="288" t="s">
        <v>70</v>
      </c>
      <c r="E26" s="302">
        <f>IFERROR((E23*E24*E5/E25),"")</f>
        <v>208</v>
      </c>
      <c r="F26" s="302" t="str">
        <f>IFERROR((F23*F24*F5/F25),"")</f>
        <v/>
      </c>
      <c r="G26" s="302" t="str">
        <f>IFERROR((G23*G24*G5/G25),"")</f>
        <v/>
      </c>
      <c r="H26" s="302" t="str">
        <f>IFERROR((H23*H24*H5/H25),"")</f>
        <v/>
      </c>
      <c r="I26" s="302" t="str">
        <f>IFERROR((I23*I24*I5/I25),"")</f>
        <v/>
      </c>
      <c r="J26" s="10"/>
      <c r="K26" s="10"/>
      <c r="L26" s="10"/>
      <c r="M26" s="10"/>
      <c r="N26" s="10"/>
      <c r="O26" s="10"/>
      <c r="P26" s="10"/>
      <c r="Q26" s="10"/>
      <c r="R26" s="10"/>
      <c r="S26" s="10"/>
      <c r="T26" s="10"/>
      <c r="U26" s="10"/>
      <c r="V26" s="10"/>
      <c r="W26" s="10"/>
      <c r="X26" s="10"/>
      <c r="Y26" s="10"/>
      <c r="Z26" s="10"/>
      <c r="AA26" s="10"/>
    </row>
    <row r="27" spans="2:27">
      <c r="B27" s="695" t="s">
        <v>12</v>
      </c>
      <c r="C27" s="278" t="s">
        <v>236</v>
      </c>
      <c r="D27" s="314"/>
      <c r="E27" s="280"/>
      <c r="F27" s="280"/>
      <c r="G27" s="280"/>
      <c r="H27" s="280"/>
      <c r="I27" s="280"/>
      <c r="J27" s="10"/>
      <c r="K27" s="10"/>
      <c r="L27" s="10"/>
      <c r="M27" s="10"/>
      <c r="N27" s="10"/>
      <c r="O27" s="10"/>
      <c r="P27" s="10"/>
      <c r="Q27" s="10"/>
      <c r="R27" s="10"/>
      <c r="S27" s="10"/>
      <c r="T27" s="10"/>
      <c r="U27" s="10"/>
      <c r="V27" s="10"/>
      <c r="W27" s="10"/>
      <c r="X27" s="10"/>
      <c r="Y27" s="10"/>
      <c r="Z27" s="10"/>
      <c r="AA27" s="10"/>
    </row>
    <row r="28" spans="2:27">
      <c r="B28" s="695"/>
      <c r="C28" s="281" t="s">
        <v>237</v>
      </c>
      <c r="D28" s="315"/>
      <c r="E28" s="316">
        <v>0.03</v>
      </c>
      <c r="F28" s="316"/>
      <c r="G28" s="316"/>
      <c r="H28" s="316"/>
      <c r="I28" s="316"/>
      <c r="J28" s="10"/>
      <c r="K28" s="10"/>
      <c r="L28" s="10"/>
      <c r="M28" s="10"/>
      <c r="N28" s="10"/>
      <c r="O28" s="10"/>
      <c r="P28" s="10"/>
      <c r="Q28" s="10"/>
      <c r="R28" s="10"/>
      <c r="S28" s="10"/>
      <c r="T28" s="10"/>
      <c r="U28" s="10"/>
      <c r="V28" s="10"/>
      <c r="W28" s="10"/>
      <c r="X28" s="10"/>
      <c r="Y28" s="10"/>
      <c r="Z28" s="10"/>
      <c r="AA28" s="10"/>
    </row>
    <row r="29" spans="2:27">
      <c r="B29" s="695"/>
      <c r="C29" s="317" t="s">
        <v>238</v>
      </c>
      <c r="D29" s="318"/>
      <c r="E29" s="319">
        <v>204542.33</v>
      </c>
      <c r="F29" s="319"/>
      <c r="G29" s="319"/>
      <c r="H29" s="319"/>
      <c r="I29" s="319"/>
      <c r="J29" s="10"/>
      <c r="K29" s="10"/>
      <c r="L29" s="10"/>
      <c r="M29" s="10"/>
      <c r="N29" s="10"/>
      <c r="O29" s="10"/>
      <c r="P29" s="10"/>
      <c r="Q29" s="10"/>
      <c r="R29" s="10"/>
      <c r="S29" s="10"/>
      <c r="T29" s="10"/>
      <c r="U29" s="10"/>
      <c r="V29" s="10"/>
      <c r="W29" s="10"/>
      <c r="X29" s="10"/>
      <c r="Y29" s="10"/>
      <c r="Z29" s="10"/>
      <c r="AA29" s="10"/>
    </row>
    <row r="30" spans="2:27">
      <c r="B30" s="695"/>
      <c r="C30" s="320" t="s">
        <v>239</v>
      </c>
      <c r="D30" s="321"/>
      <c r="E30" s="322"/>
      <c r="F30" s="322"/>
      <c r="G30" s="322"/>
      <c r="H30" s="322"/>
      <c r="I30" s="322"/>
      <c r="J30" s="10"/>
      <c r="K30" s="10"/>
      <c r="L30" s="10"/>
      <c r="M30" s="10"/>
      <c r="N30" s="10"/>
      <c r="O30" s="10"/>
      <c r="P30" s="10"/>
      <c r="Q30" s="10"/>
      <c r="R30" s="10"/>
      <c r="S30" s="10"/>
      <c r="T30" s="10"/>
      <c r="U30" s="10"/>
      <c r="V30" s="10"/>
      <c r="W30" s="10"/>
      <c r="X30" s="10"/>
      <c r="Y30" s="10"/>
      <c r="Z30" s="10"/>
      <c r="AA30" s="10"/>
    </row>
    <row r="31" spans="2:27">
      <c r="B31" s="695"/>
      <c r="C31" s="320" t="s">
        <v>239</v>
      </c>
      <c r="D31" s="323"/>
      <c r="E31" s="286"/>
      <c r="F31" s="286"/>
      <c r="G31" s="286"/>
      <c r="H31" s="286"/>
      <c r="I31" s="286"/>
      <c r="J31" s="10"/>
      <c r="K31" s="10"/>
      <c r="L31" s="10"/>
      <c r="M31" s="10"/>
      <c r="N31" s="10"/>
      <c r="O31" s="10"/>
      <c r="P31" s="10"/>
      <c r="Q31" s="10"/>
      <c r="R31" s="10"/>
      <c r="S31" s="10"/>
      <c r="T31" s="10"/>
      <c r="U31" s="10"/>
      <c r="V31" s="10"/>
      <c r="W31" s="10"/>
      <c r="X31" s="10"/>
      <c r="Y31" s="10"/>
      <c r="Z31" s="10"/>
      <c r="AA31" s="10"/>
    </row>
    <row r="32" spans="2:27">
      <c r="B32" s="695"/>
      <c r="C32" s="324" t="s">
        <v>240</v>
      </c>
      <c r="D32" s="325"/>
      <c r="E32" s="286">
        <f>IF(E3="","",SUM(E29:E31))</f>
        <v>204542.33</v>
      </c>
      <c r="F32" s="286" t="str">
        <f>IF(F3="","",SUM(F29:F31))</f>
        <v/>
      </c>
      <c r="G32" s="286" t="str">
        <f>IF(G3="","",SUM(G29:G31))</f>
        <v/>
      </c>
      <c r="H32" s="286" t="str">
        <f>IF(H3="","",SUM(H29:H31))</f>
        <v/>
      </c>
      <c r="I32" s="286" t="str">
        <f>IF(I3="","",SUM(I29:I31))</f>
        <v/>
      </c>
      <c r="J32" s="10"/>
      <c r="K32" s="10"/>
      <c r="L32" s="10"/>
      <c r="M32" s="10"/>
      <c r="N32" s="10"/>
      <c r="O32" s="10"/>
      <c r="P32" s="10"/>
      <c r="Q32" s="10"/>
      <c r="R32" s="10"/>
      <c r="S32" s="10"/>
      <c r="T32" s="10"/>
      <c r="U32" s="10"/>
      <c r="V32" s="10"/>
      <c r="W32" s="10"/>
      <c r="X32" s="10"/>
      <c r="Y32" s="10"/>
      <c r="Z32" s="10"/>
      <c r="AA32" s="10"/>
    </row>
    <row r="33" spans="1:27">
      <c r="B33" s="695"/>
      <c r="C33" s="288"/>
      <c r="D33" s="288" t="s">
        <v>70</v>
      </c>
      <c r="E33" s="326">
        <f>IF(E3="","",E28*E32/12)</f>
        <v>511.35582499999992</v>
      </c>
      <c r="F33" s="326" t="str">
        <f>IF(F3="","",F28*F32/12)</f>
        <v/>
      </c>
      <c r="G33" s="326" t="str">
        <f>IF(G3="","",G28*G32/12)</f>
        <v/>
      </c>
      <c r="H33" s="326" t="str">
        <f>IF(H3="","",H28*H32/12)</f>
        <v/>
      </c>
      <c r="I33" s="326" t="str">
        <f>IF(I3="","",I28*I32/12)</f>
        <v/>
      </c>
      <c r="J33" s="10"/>
      <c r="K33" s="10"/>
      <c r="L33" s="10"/>
      <c r="M33" s="10"/>
      <c r="N33" s="10"/>
      <c r="O33" s="10"/>
      <c r="P33" s="10"/>
      <c r="Q33" s="10"/>
      <c r="R33" s="10"/>
      <c r="S33" s="10"/>
      <c r="T33" s="10"/>
      <c r="U33" s="10"/>
      <c r="V33" s="10"/>
      <c r="W33" s="10"/>
      <c r="X33" s="10"/>
      <c r="Y33" s="10"/>
      <c r="Z33" s="10"/>
      <c r="AA33" s="10"/>
    </row>
    <row r="34" spans="1:27" s="12" customFormat="1">
      <c r="A34" s="60"/>
      <c r="B34" s="14"/>
      <c r="C34" s="61" t="s">
        <v>241</v>
      </c>
      <c r="D34" s="61"/>
      <c r="E34" s="62">
        <f>IF(E3="","",SUM(E12,E17,E21,E26,E33))</f>
        <v>2853.9558250000005</v>
      </c>
      <c r="F34" s="62" t="str">
        <f>IF(F3="","",SUM(F12,F17,F21,F26,F33))</f>
        <v/>
      </c>
      <c r="G34" s="62" t="str">
        <f>IF(G3="","",SUM(G12,G17,G21,G26,G33))</f>
        <v/>
      </c>
      <c r="H34" s="62" t="str">
        <f>IF(H3="","",SUM(H12,H17,H21,H26,H33))</f>
        <v/>
      </c>
      <c r="I34" s="62" t="str">
        <f>IF(I3="","",SUM(I12,I17,I21,I26,I33))</f>
        <v/>
      </c>
      <c r="J34" s="242"/>
      <c r="K34" s="242"/>
      <c r="L34" s="242"/>
      <c r="M34" s="242"/>
      <c r="N34" s="242"/>
      <c r="O34" s="242"/>
      <c r="P34" s="242"/>
      <c r="Q34" s="242"/>
      <c r="R34" s="242"/>
      <c r="S34" s="242"/>
      <c r="T34" s="242"/>
      <c r="U34" s="242"/>
      <c r="V34" s="242"/>
      <c r="W34" s="242"/>
      <c r="X34" s="242"/>
      <c r="Y34" s="242"/>
      <c r="Z34" s="242"/>
      <c r="AA34" s="242"/>
    </row>
    <row r="35" spans="1:27">
      <c r="A35" s="277"/>
      <c r="C35" s="327"/>
      <c r="D35" s="328"/>
      <c r="G35" s="260"/>
      <c r="H35" s="260"/>
      <c r="I35" s="260"/>
      <c r="J35" s="10"/>
      <c r="K35" s="10"/>
      <c r="L35" s="10"/>
      <c r="M35" s="10"/>
      <c r="N35" s="10"/>
      <c r="O35" s="10"/>
      <c r="P35" s="10"/>
      <c r="Q35" s="10"/>
      <c r="R35" s="10"/>
      <c r="S35" s="10"/>
      <c r="T35" s="10"/>
      <c r="U35" s="10"/>
      <c r="V35" s="10"/>
      <c r="W35" s="10"/>
      <c r="X35" s="10"/>
      <c r="Y35" s="10"/>
      <c r="Z35" s="10"/>
      <c r="AA35" s="10"/>
    </row>
    <row r="36" spans="1:27" s="12" customFormat="1">
      <c r="A36" s="60"/>
      <c r="B36" s="14"/>
      <c r="C36" s="15" t="s">
        <v>242</v>
      </c>
      <c r="D36" s="61"/>
      <c r="E36" s="62"/>
      <c r="F36" s="62"/>
      <c r="G36" s="62"/>
      <c r="H36" s="62"/>
      <c r="I36" s="62"/>
      <c r="J36" s="242"/>
      <c r="K36" s="242"/>
      <c r="L36" s="242"/>
      <c r="M36" s="242"/>
      <c r="N36" s="242"/>
      <c r="O36" s="242"/>
      <c r="P36" s="242"/>
      <c r="Q36" s="242"/>
      <c r="R36" s="242"/>
      <c r="S36" s="242"/>
      <c r="T36" s="242"/>
      <c r="U36" s="242"/>
      <c r="V36" s="242"/>
      <c r="W36" s="242"/>
      <c r="X36" s="242"/>
      <c r="Y36" s="242"/>
      <c r="Z36" s="242"/>
      <c r="AA36" s="242"/>
    </row>
    <row r="37" spans="1:27">
      <c r="B37" s="329" t="s">
        <v>1</v>
      </c>
      <c r="C37" s="330" t="s">
        <v>243</v>
      </c>
      <c r="D37" s="331">
        <v>0.01</v>
      </c>
      <c r="E37" s="332">
        <f>IF(E3="","",E29*$D$37/Proposta!$J$6)</f>
        <v>34.09038833333333</v>
      </c>
      <c r="F37" s="332" t="str">
        <f>IF(F3="","",F29*$D$37/Proposta!$J$6)</f>
        <v/>
      </c>
      <c r="G37" s="332" t="str">
        <f>IF(G3="","",G29*$D$37/Proposta!$J$6)</f>
        <v/>
      </c>
      <c r="H37" s="332" t="str">
        <f>IF(H3="","",H29*$D$37/Proposta!$J$6)</f>
        <v/>
      </c>
      <c r="I37" s="332" t="str">
        <f>IF(I3="","",I29*$D$37/Proposta!$J$6)</f>
        <v/>
      </c>
      <c r="J37" s="10"/>
      <c r="K37" s="10"/>
      <c r="L37" s="10"/>
      <c r="M37" s="10"/>
      <c r="N37" s="10"/>
      <c r="O37" s="10"/>
      <c r="P37" s="10"/>
      <c r="Q37" s="10"/>
      <c r="R37" s="10"/>
      <c r="S37" s="10"/>
      <c r="T37" s="10"/>
      <c r="U37" s="10"/>
      <c r="V37" s="10"/>
      <c r="W37" s="10"/>
      <c r="X37" s="10"/>
      <c r="Y37" s="10"/>
      <c r="Z37" s="10"/>
      <c r="AA37" s="10"/>
    </row>
    <row r="38" spans="1:27">
      <c r="B38" s="329" t="s">
        <v>4</v>
      </c>
      <c r="C38" s="330" t="s">
        <v>244</v>
      </c>
      <c r="D38" s="333">
        <v>286.94</v>
      </c>
      <c r="E38" s="332">
        <f>IF(E$3="","",$D$38/Proposta!$J$6)</f>
        <v>4.7823333333333329</v>
      </c>
      <c r="F38" s="332" t="str">
        <f>IF(F$3="","",$D$38/Proposta!$J$6)</f>
        <v/>
      </c>
      <c r="G38" s="332" t="str">
        <f>IF(G$3="","",$D$38/Proposta!$J$6)</f>
        <v/>
      </c>
      <c r="H38" s="332" t="str">
        <f>IF(H$3="","",$D$38/Proposta!$J$6)</f>
        <v/>
      </c>
      <c r="I38" s="332" t="str">
        <f>IF(I$3="","",$D$38/Proposta!$J$6)</f>
        <v/>
      </c>
      <c r="J38" s="10"/>
      <c r="K38" s="10"/>
      <c r="L38" s="10"/>
      <c r="M38" s="10"/>
      <c r="N38" s="10"/>
      <c r="O38" s="10"/>
      <c r="P38" s="10"/>
      <c r="Q38" s="10"/>
      <c r="R38" s="10"/>
      <c r="S38" s="10"/>
      <c r="T38" s="10"/>
      <c r="U38" s="10"/>
      <c r="V38" s="10"/>
      <c r="W38" s="10"/>
      <c r="X38" s="10"/>
      <c r="Y38" s="10"/>
      <c r="Z38" s="10"/>
      <c r="AA38" s="10"/>
    </row>
    <row r="39" spans="1:27">
      <c r="B39" s="690" t="s">
        <v>6</v>
      </c>
      <c r="C39" s="278" t="s">
        <v>245</v>
      </c>
      <c r="D39" s="335"/>
      <c r="E39" s="280"/>
      <c r="F39" s="280"/>
      <c r="G39" s="280"/>
      <c r="H39" s="280"/>
      <c r="I39" s="280"/>
      <c r="J39" s="10"/>
      <c r="K39" s="10"/>
      <c r="L39" s="10"/>
      <c r="M39" s="10"/>
      <c r="N39" s="10"/>
      <c r="O39" s="10"/>
      <c r="P39" s="10"/>
      <c r="Q39" s="10"/>
      <c r="R39" s="10"/>
      <c r="S39" s="10"/>
      <c r="T39" s="10"/>
      <c r="U39" s="10"/>
      <c r="V39" s="10"/>
      <c r="W39" s="10"/>
      <c r="X39" s="10"/>
      <c r="Y39" s="10"/>
      <c r="Z39" s="10"/>
      <c r="AA39" s="10"/>
    </row>
    <row r="40" spans="1:27">
      <c r="B40" s="690"/>
      <c r="C40" s="308" t="s">
        <v>246</v>
      </c>
      <c r="D40" s="336"/>
      <c r="E40" s="337">
        <v>2</v>
      </c>
      <c r="F40" s="337"/>
      <c r="G40" s="337"/>
      <c r="H40" s="337"/>
      <c r="I40" s="337"/>
      <c r="J40" s="10"/>
      <c r="K40" s="10"/>
      <c r="L40" s="10"/>
      <c r="M40" s="10"/>
      <c r="N40" s="10"/>
      <c r="O40" s="10"/>
      <c r="P40" s="10"/>
      <c r="Q40" s="10"/>
      <c r="R40" s="10"/>
      <c r="S40" s="10"/>
      <c r="T40" s="10"/>
      <c r="U40" s="10"/>
      <c r="V40" s="10"/>
      <c r="W40" s="10"/>
      <c r="X40" s="10"/>
      <c r="Y40" s="10"/>
      <c r="Z40" s="10"/>
      <c r="AA40" s="10"/>
    </row>
    <row r="41" spans="1:27">
      <c r="B41" s="690"/>
      <c r="C41" s="324" t="s">
        <v>247</v>
      </c>
      <c r="D41" s="338"/>
      <c r="E41" s="286">
        <f>IF(E3="","",77.88)</f>
        <v>77.88</v>
      </c>
      <c r="F41" s="286" t="str">
        <f>IF(F3="","",77.88)</f>
        <v/>
      </c>
      <c r="G41" s="286" t="str">
        <f>IF(G3="","",77.88)</f>
        <v/>
      </c>
      <c r="H41" s="286" t="str">
        <f>IF(H3="","",77.88)</f>
        <v/>
      </c>
      <c r="I41" s="286" t="str">
        <f>IF(I3="","",77.88)</f>
        <v/>
      </c>
      <c r="J41" s="10"/>
      <c r="K41" s="10"/>
      <c r="L41" s="10"/>
      <c r="M41" s="10"/>
      <c r="N41" s="10"/>
      <c r="O41" s="10"/>
      <c r="P41" s="10"/>
      <c r="Q41" s="10"/>
      <c r="R41" s="10"/>
      <c r="S41" s="10"/>
      <c r="T41" s="10"/>
      <c r="U41" s="10"/>
      <c r="V41" s="10"/>
      <c r="W41" s="10"/>
      <c r="X41" s="10"/>
      <c r="Y41" s="10"/>
      <c r="Z41" s="10"/>
      <c r="AA41" s="10"/>
    </row>
    <row r="42" spans="1:27">
      <c r="B42" s="690"/>
      <c r="C42" s="288"/>
      <c r="D42" s="288" t="s">
        <v>70</v>
      </c>
      <c r="E42" s="326">
        <f>IF(E$3="","",E40*E41/Proposta!$J$6)</f>
        <v>2.5959999999999996</v>
      </c>
      <c r="F42" s="326" t="str">
        <f>IF(F$3="","",F40*F41/Proposta!$J$6)</f>
        <v/>
      </c>
      <c r="G42" s="326" t="str">
        <f>IF(G$3="","",G40*G41/Proposta!$J$6)</f>
        <v/>
      </c>
      <c r="H42" s="326" t="str">
        <f>IF(H$3="","",H40*H41/Proposta!$J$6)</f>
        <v/>
      </c>
      <c r="I42" s="326" t="str">
        <f>IF(I$3="","",I40*I41/Proposta!$J$6)</f>
        <v/>
      </c>
      <c r="J42" s="10"/>
      <c r="K42" s="10"/>
      <c r="L42" s="10"/>
      <c r="M42" s="10"/>
      <c r="N42" s="10"/>
      <c r="O42" s="10"/>
      <c r="P42" s="10"/>
      <c r="Q42" s="10"/>
      <c r="R42" s="10"/>
      <c r="S42" s="10"/>
      <c r="T42" s="10"/>
      <c r="U42" s="10"/>
      <c r="V42" s="10"/>
      <c r="W42" s="10"/>
      <c r="X42" s="10"/>
      <c r="Y42" s="10"/>
      <c r="Z42" s="10"/>
      <c r="AA42" s="10"/>
    </row>
    <row r="43" spans="1:27">
      <c r="B43" s="329" t="s">
        <v>9</v>
      </c>
      <c r="C43" s="330" t="s">
        <v>248</v>
      </c>
      <c r="D43" s="331">
        <v>0.02</v>
      </c>
      <c r="E43" s="332">
        <f>IF(E3="","",E32*$D$43/Proposta!$J$6)</f>
        <v>68.180776666666659</v>
      </c>
      <c r="F43" s="332" t="str">
        <f>IF(F3="","",F32*$D$43/Proposta!$J$6)</f>
        <v/>
      </c>
      <c r="G43" s="332" t="str">
        <f>IF(G3="","",G32*$D$43/Proposta!$J$6)</f>
        <v/>
      </c>
      <c r="H43" s="332" t="str">
        <f>IF(H3="","",H32*$D$43/Proposta!$J$6)</f>
        <v/>
      </c>
      <c r="I43" s="332" t="str">
        <f>IF(I3="","",I32*$D$43/Proposta!$J$6)</f>
        <v/>
      </c>
      <c r="J43" s="10"/>
      <c r="K43" s="10"/>
      <c r="L43" s="10"/>
      <c r="M43" s="10"/>
      <c r="N43" s="10"/>
      <c r="O43" s="10"/>
      <c r="P43" s="10"/>
      <c r="Q43" s="10"/>
      <c r="R43" s="10"/>
      <c r="S43" s="10"/>
      <c r="T43" s="10"/>
      <c r="U43" s="10"/>
      <c r="V43" s="10"/>
      <c r="W43" s="10"/>
      <c r="X43" s="10"/>
      <c r="Y43" s="10"/>
      <c r="Z43" s="10"/>
      <c r="AA43" s="10"/>
    </row>
    <row r="44" spans="1:27">
      <c r="B44" s="690" t="s">
        <v>12</v>
      </c>
      <c r="C44" s="278" t="s">
        <v>249</v>
      </c>
      <c r="D44" s="335"/>
      <c r="E44" s="280"/>
      <c r="F44" s="280"/>
      <c r="G44" s="280"/>
      <c r="H44" s="280"/>
      <c r="I44" s="280"/>
      <c r="J44" s="10"/>
      <c r="K44" s="10"/>
      <c r="L44" s="10"/>
      <c r="M44" s="10"/>
      <c r="N44" s="10"/>
      <c r="O44" s="10"/>
      <c r="P44" s="10"/>
      <c r="Q44" s="10"/>
      <c r="R44" s="10"/>
      <c r="S44" s="10"/>
      <c r="T44" s="10"/>
      <c r="U44" s="10"/>
      <c r="V44" s="10"/>
      <c r="W44" s="10"/>
      <c r="X44" s="10"/>
      <c r="Y44" s="10"/>
      <c r="Z44" s="10"/>
      <c r="AA44" s="10"/>
    </row>
    <row r="45" spans="1:27">
      <c r="B45" s="690"/>
      <c r="C45" s="308" t="s">
        <v>250</v>
      </c>
      <c r="D45" s="336"/>
      <c r="E45" s="339">
        <v>290</v>
      </c>
      <c r="F45" s="339"/>
      <c r="G45" s="339"/>
      <c r="H45" s="339"/>
      <c r="I45" s="339"/>
      <c r="J45" s="10"/>
      <c r="K45" s="10"/>
      <c r="L45" s="10"/>
      <c r="M45" s="10"/>
      <c r="N45" s="10"/>
      <c r="O45" s="10"/>
      <c r="P45" s="10"/>
      <c r="Q45" s="10"/>
      <c r="R45" s="10"/>
      <c r="S45" s="10"/>
      <c r="T45" s="10"/>
      <c r="U45" s="10"/>
      <c r="V45" s="10"/>
      <c r="W45" s="10"/>
      <c r="X45" s="10"/>
      <c r="Y45" s="10"/>
      <c r="Z45" s="10"/>
      <c r="AA45" s="10"/>
    </row>
    <row r="46" spans="1:27">
      <c r="B46" s="690"/>
      <c r="C46" s="324" t="s">
        <v>251</v>
      </c>
      <c r="D46" s="340"/>
      <c r="E46" s="286">
        <v>139</v>
      </c>
      <c r="F46" s="286"/>
      <c r="G46" s="286"/>
      <c r="H46" s="286"/>
      <c r="I46" s="286"/>
      <c r="J46" s="10"/>
      <c r="K46" s="10"/>
      <c r="L46" s="10"/>
      <c r="M46" s="10"/>
      <c r="N46" s="10"/>
      <c r="O46" s="10"/>
      <c r="P46" s="10"/>
      <c r="Q46" s="10"/>
      <c r="R46" s="10"/>
      <c r="S46" s="10"/>
      <c r="T46" s="10"/>
      <c r="U46" s="10"/>
      <c r="V46" s="10"/>
      <c r="W46" s="10"/>
      <c r="X46" s="10"/>
      <c r="Y46" s="10"/>
      <c r="Z46" s="10"/>
      <c r="AA46" s="10"/>
    </row>
    <row r="47" spans="1:27">
      <c r="B47" s="690"/>
      <c r="C47" s="288"/>
      <c r="D47" s="288" t="s">
        <v>70</v>
      </c>
      <c r="E47" s="326">
        <f>IF(E3="","",IFERROR((E45/Proposta!$J$6)+E46,0))</f>
        <v>143.83333333333334</v>
      </c>
      <c r="F47" s="326" t="str">
        <f>IF(F3="","",IFERROR((F45/Proposta!$J$6)+F46,0))</f>
        <v/>
      </c>
      <c r="G47" s="326" t="str">
        <f>IF(G3="","",IFERROR((G45/Proposta!$J$6)+G46,0))</f>
        <v/>
      </c>
      <c r="H47" s="326" t="str">
        <f>IF(H3="","",IFERROR((H45/Proposta!$J$6)+H46,0))</f>
        <v/>
      </c>
      <c r="I47" s="326" t="str">
        <f>IF(I3="","",IFERROR((I45/Proposta!$J$6)+I46,0))</f>
        <v/>
      </c>
      <c r="J47" s="10"/>
      <c r="K47" s="10"/>
      <c r="L47" s="10"/>
      <c r="M47" s="10"/>
      <c r="N47" s="10"/>
      <c r="O47" s="10"/>
      <c r="P47" s="10"/>
      <c r="Q47" s="10"/>
      <c r="R47" s="10"/>
      <c r="S47" s="10"/>
      <c r="T47" s="10"/>
      <c r="U47" s="10"/>
      <c r="V47" s="10"/>
      <c r="W47" s="10"/>
      <c r="X47" s="10"/>
      <c r="Y47" s="10"/>
      <c r="Z47" s="10"/>
      <c r="AA47" s="10"/>
    </row>
    <row r="48" spans="1:27" s="12" customFormat="1">
      <c r="A48" s="60"/>
      <c r="B48" s="14"/>
      <c r="C48" s="61" t="s">
        <v>252</v>
      </c>
      <c r="D48" s="61"/>
      <c r="E48" s="62">
        <f>IF(E3="","",SUM(E37,E38,E42,E43,E47))</f>
        <v>253.48283166666667</v>
      </c>
      <c r="F48" s="62" t="str">
        <f>IF(F3="","",SUM(F37,F38,F42,F43,F47))</f>
        <v/>
      </c>
      <c r="G48" s="62" t="str">
        <f>IF(G3="","",SUM(G37,G38,G42,G43,G47))</f>
        <v/>
      </c>
      <c r="H48" s="62" t="str">
        <f>IF(H3="","",SUM(H37,H38,H42,H43,H47))</f>
        <v/>
      </c>
      <c r="I48" s="62" t="str">
        <f>IF(I3="","",SUM(I37,I38,I42,I43,I47))</f>
        <v/>
      </c>
      <c r="J48" s="242"/>
      <c r="K48" s="242"/>
      <c r="L48" s="242"/>
      <c r="M48" s="242"/>
      <c r="N48" s="242"/>
      <c r="O48" s="242"/>
      <c r="P48" s="242"/>
      <c r="Q48" s="242"/>
      <c r="R48" s="242"/>
      <c r="S48" s="242"/>
      <c r="T48" s="242"/>
      <c r="U48" s="242"/>
      <c r="V48" s="242"/>
      <c r="W48" s="242"/>
      <c r="X48" s="242"/>
      <c r="Y48" s="242"/>
      <c r="Z48" s="242"/>
      <c r="AA48" s="242"/>
    </row>
    <row r="49" spans="1:27">
      <c r="A49" s="277"/>
      <c r="C49" s="327"/>
      <c r="D49" s="328"/>
      <c r="G49" s="260"/>
      <c r="H49" s="260"/>
      <c r="I49" s="260"/>
      <c r="J49" s="10"/>
      <c r="K49" s="10"/>
      <c r="L49" s="10"/>
      <c r="M49" s="10"/>
      <c r="N49" s="10"/>
      <c r="O49" s="10"/>
      <c r="P49" s="10"/>
      <c r="Q49" s="10"/>
      <c r="R49" s="10"/>
      <c r="S49" s="10"/>
      <c r="T49" s="10"/>
      <c r="U49" s="10"/>
      <c r="V49" s="10"/>
      <c r="W49" s="10"/>
      <c r="X49" s="10"/>
      <c r="Y49" s="10"/>
      <c r="Z49" s="10"/>
      <c r="AA49" s="10"/>
    </row>
    <row r="50" spans="1:27" s="12" customFormat="1">
      <c r="A50" s="60"/>
      <c r="B50" s="14"/>
      <c r="C50" s="15" t="s">
        <v>253</v>
      </c>
      <c r="D50" s="61"/>
      <c r="E50" s="62"/>
      <c r="F50" s="62"/>
      <c r="G50" s="62"/>
      <c r="H50" s="62"/>
      <c r="I50" s="62"/>
      <c r="J50" s="242"/>
      <c r="K50" s="242"/>
      <c r="L50" s="242"/>
      <c r="M50" s="242"/>
      <c r="N50" s="242"/>
      <c r="O50" s="242"/>
      <c r="P50" s="242"/>
      <c r="Q50" s="242"/>
      <c r="R50" s="242"/>
      <c r="S50" s="242"/>
      <c r="T50" s="242"/>
      <c r="U50" s="242"/>
      <c r="V50" s="242"/>
      <c r="W50" s="242"/>
      <c r="X50" s="242"/>
      <c r="Y50" s="242"/>
      <c r="Z50" s="242"/>
      <c r="AA50" s="242"/>
    </row>
    <row r="51" spans="1:27">
      <c r="B51" s="691" t="s">
        <v>1</v>
      </c>
      <c r="C51" s="278" t="s">
        <v>254</v>
      </c>
      <c r="D51" s="341">
        <f>IFERROR(($D$53)/D52,"")</f>
        <v>3.3333333333333335E-3</v>
      </c>
      <c r="E51" s="280"/>
      <c r="F51" s="280"/>
      <c r="G51" s="280"/>
      <c r="H51" s="280"/>
      <c r="I51" s="280"/>
      <c r="J51" s="10"/>
      <c r="K51" s="10"/>
      <c r="L51" s="10"/>
      <c r="M51" s="10"/>
      <c r="N51" s="10"/>
      <c r="O51" s="10"/>
      <c r="P51" s="10"/>
      <c r="Q51" s="10"/>
      <c r="R51" s="10"/>
      <c r="S51" s="10"/>
      <c r="T51" s="10"/>
      <c r="U51" s="10"/>
      <c r="V51" s="10"/>
      <c r="W51" s="10"/>
      <c r="X51" s="10"/>
      <c r="Y51" s="10"/>
      <c r="Z51" s="10"/>
      <c r="AA51" s="10"/>
    </row>
    <row r="52" spans="1:27">
      <c r="B52" s="691"/>
      <c r="C52" s="308" t="s">
        <v>255</v>
      </c>
      <c r="D52" s="342">
        <v>120</v>
      </c>
      <c r="E52" s="339"/>
      <c r="F52" s="339"/>
      <c r="G52" s="339"/>
      <c r="H52" s="339"/>
      <c r="I52" s="339"/>
      <c r="J52" s="10"/>
      <c r="K52" s="10"/>
      <c r="L52" s="10"/>
      <c r="M52" s="10"/>
      <c r="N52" s="10"/>
      <c r="O52" s="10"/>
      <c r="P52" s="10"/>
      <c r="Q52" s="10"/>
      <c r="R52" s="10"/>
      <c r="S52" s="10"/>
      <c r="T52" s="10"/>
      <c r="U52" s="10"/>
      <c r="V52" s="10"/>
      <c r="W52" s="10"/>
      <c r="X52" s="10"/>
      <c r="Y52" s="10"/>
      <c r="Z52" s="10"/>
      <c r="AA52" s="10"/>
    </row>
    <row r="53" spans="1:27">
      <c r="B53" s="691"/>
      <c r="C53" s="324" t="s">
        <v>256</v>
      </c>
      <c r="D53" s="343">
        <v>0.4</v>
      </c>
      <c r="E53" s="286">
        <f>IF(E3="","",IFERROR(E32*$D$53,""))</f>
        <v>81816.932000000001</v>
      </c>
      <c r="F53" s="286" t="str">
        <f>IF(F3="","",IFERROR(F32*$D$53,""))</f>
        <v/>
      </c>
      <c r="G53" s="286" t="str">
        <f>IF(G3="","",IFERROR(G32*$D$53,""))</f>
        <v/>
      </c>
      <c r="H53" s="286" t="str">
        <f>IF(H3="","",IFERROR(H32*$D$53,""))</f>
        <v/>
      </c>
      <c r="I53" s="286" t="str">
        <f>IF(I3="","",IFERROR(I32*$D$53,""))</f>
        <v/>
      </c>
      <c r="J53" s="10"/>
      <c r="K53" s="10"/>
      <c r="L53" s="10"/>
      <c r="M53" s="10"/>
      <c r="N53" s="10"/>
      <c r="O53" s="10"/>
      <c r="P53" s="10"/>
      <c r="Q53" s="10"/>
      <c r="R53" s="10"/>
      <c r="S53" s="10"/>
      <c r="T53" s="10"/>
      <c r="U53" s="10"/>
      <c r="V53" s="10"/>
      <c r="W53" s="10"/>
      <c r="X53" s="10"/>
      <c r="Y53" s="10"/>
      <c r="Z53" s="10"/>
      <c r="AA53" s="10"/>
    </row>
    <row r="54" spans="1:27">
      <c r="B54" s="691"/>
      <c r="C54" s="288"/>
      <c r="D54" s="344" t="s">
        <v>70</v>
      </c>
      <c r="E54" s="326">
        <f>IF(E3="","",IFERROR(E32*$D$51,""))</f>
        <v>681.80776666666668</v>
      </c>
      <c r="F54" s="326" t="str">
        <f>IF(F3="","",IFERROR(F32*$D$51,""))</f>
        <v/>
      </c>
      <c r="G54" s="326" t="str">
        <f>IF(G3="","",IFERROR(G32*$D$51,""))</f>
        <v/>
      </c>
      <c r="H54" s="326" t="str">
        <f>IF(H3="","",IFERROR(H32*$D$51,""))</f>
        <v/>
      </c>
      <c r="I54" s="326" t="str">
        <f>IF(I3="","",IFERROR(I32*$D$51,""))</f>
        <v/>
      </c>
      <c r="J54" s="10"/>
      <c r="K54" s="10"/>
      <c r="L54" s="10"/>
      <c r="M54" s="10"/>
      <c r="N54" s="10"/>
      <c r="O54" s="10"/>
      <c r="P54" s="10"/>
      <c r="Q54" s="10"/>
      <c r="R54" s="10"/>
      <c r="S54" s="10"/>
      <c r="T54" s="10"/>
      <c r="U54" s="10"/>
      <c r="V54" s="10"/>
      <c r="W54" s="10"/>
      <c r="X54" s="10"/>
      <c r="Y54" s="10"/>
      <c r="Z54" s="10"/>
      <c r="AA54" s="10"/>
    </row>
    <row r="55" spans="1:27">
      <c r="B55" s="691" t="s">
        <v>4</v>
      </c>
      <c r="C55" s="278" t="s">
        <v>257</v>
      </c>
      <c r="D55" s="341"/>
      <c r="E55" s="280"/>
      <c r="F55" s="280"/>
      <c r="G55" s="280"/>
      <c r="H55" s="280"/>
      <c r="I55" s="280"/>
      <c r="J55" s="10"/>
      <c r="K55" s="10"/>
      <c r="L55" s="10"/>
      <c r="M55" s="10"/>
      <c r="N55" s="10"/>
      <c r="O55" s="10"/>
      <c r="P55" s="10"/>
      <c r="Q55" s="10"/>
      <c r="R55" s="10"/>
      <c r="S55" s="10"/>
      <c r="T55" s="10"/>
      <c r="U55" s="10"/>
      <c r="V55" s="10"/>
      <c r="W55" s="10"/>
      <c r="X55" s="10"/>
      <c r="Y55" s="10"/>
      <c r="Z55" s="10"/>
      <c r="AA55" s="10"/>
    </row>
    <row r="56" spans="1:27">
      <c r="B56" s="691"/>
      <c r="C56" s="308" t="s">
        <v>258</v>
      </c>
      <c r="D56" s="345">
        <v>0.14249999999999999</v>
      </c>
      <c r="E56" s="339"/>
      <c r="F56" s="339"/>
      <c r="G56" s="339"/>
      <c r="H56" s="339"/>
      <c r="I56" s="339"/>
      <c r="J56" s="10"/>
      <c r="K56" s="10"/>
      <c r="L56" s="10"/>
      <c r="M56" s="10"/>
      <c r="N56" s="10"/>
      <c r="O56" s="10"/>
      <c r="P56" s="10"/>
      <c r="Q56" s="10"/>
      <c r="R56" s="10"/>
      <c r="S56" s="10"/>
      <c r="T56" s="10"/>
      <c r="U56" s="10"/>
      <c r="V56" s="10"/>
      <c r="W56" s="10"/>
      <c r="X56" s="10"/>
      <c r="Y56" s="10"/>
      <c r="Z56" s="10"/>
      <c r="AA56" s="10"/>
    </row>
    <row r="57" spans="1:27">
      <c r="B57" s="691"/>
      <c r="C57" s="324" t="s">
        <v>259</v>
      </c>
      <c r="D57" s="343">
        <f>ROUND(POWER((100%+D56),1/12)-100%,4)</f>
        <v>1.12E-2</v>
      </c>
      <c r="E57" s="286"/>
      <c r="F57" s="286"/>
      <c r="G57" s="286"/>
      <c r="H57" s="286"/>
      <c r="I57" s="286"/>
      <c r="J57" s="10"/>
      <c r="K57" s="10"/>
      <c r="L57" s="10"/>
      <c r="M57" s="10"/>
      <c r="N57" s="10"/>
      <c r="O57" s="10"/>
      <c r="P57" s="10"/>
      <c r="Q57" s="10"/>
      <c r="R57" s="10"/>
      <c r="S57" s="10"/>
      <c r="T57" s="10"/>
      <c r="U57" s="10"/>
      <c r="V57" s="10"/>
      <c r="W57" s="10"/>
      <c r="X57" s="10"/>
      <c r="Y57" s="10"/>
      <c r="Z57" s="10"/>
      <c r="AA57" s="10"/>
    </row>
    <row r="58" spans="1:27">
      <c r="B58" s="691"/>
      <c r="C58" s="288"/>
      <c r="D58" s="344" t="s">
        <v>70</v>
      </c>
      <c r="E58" s="326">
        <f>IF(E3="","",IFERROR(E32*$D$57,""))</f>
        <v>2290.874096</v>
      </c>
      <c r="F58" s="326" t="str">
        <f>IF(F3="","",IFERROR(F32*$D$57,""))</f>
        <v/>
      </c>
      <c r="G58" s="326" t="str">
        <f>IF(G3="","",IFERROR(G32*$D$57,""))</f>
        <v/>
      </c>
      <c r="H58" s="326" t="str">
        <f>IF(H3="","",IFERROR(H32*$D$57,""))</f>
        <v/>
      </c>
      <c r="I58" s="326" t="str">
        <f>IF(I3="","",IFERROR(I32*$D$57,""))</f>
        <v/>
      </c>
      <c r="J58" s="10"/>
      <c r="K58" s="10"/>
      <c r="L58" s="10"/>
      <c r="M58" s="10"/>
      <c r="N58" s="10"/>
      <c r="O58" s="10"/>
      <c r="P58" s="10"/>
      <c r="Q58" s="10"/>
      <c r="R58" s="10"/>
      <c r="S58" s="10"/>
      <c r="T58" s="10"/>
      <c r="U58" s="10"/>
      <c r="V58" s="10"/>
      <c r="W58" s="10"/>
      <c r="X58" s="10"/>
      <c r="Y58" s="10"/>
      <c r="Z58" s="10"/>
      <c r="AA58" s="10"/>
    </row>
    <row r="59" spans="1:27" s="12" customFormat="1">
      <c r="A59" s="60"/>
      <c r="B59" s="14"/>
      <c r="C59" s="61" t="s">
        <v>260</v>
      </c>
      <c r="D59" s="61"/>
      <c r="E59" s="62">
        <f>IF(E3="","",SUM(E58,E54))</f>
        <v>2972.6818626666668</v>
      </c>
      <c r="F59" s="62" t="str">
        <f>IF(F3="","",SUM(F58,F54))</f>
        <v/>
      </c>
      <c r="G59" s="62" t="str">
        <f>IF(G3="","",SUM(G58,G54))</f>
        <v/>
      </c>
      <c r="H59" s="62" t="str">
        <f>IF(H3="","",SUM(H58,H54))</f>
        <v/>
      </c>
      <c r="I59" s="62" t="str">
        <f>IF(I3="","",SUM(I58,I54))</f>
        <v/>
      </c>
      <c r="J59" s="242"/>
      <c r="K59" s="242"/>
      <c r="L59" s="242"/>
      <c r="M59" s="242"/>
      <c r="N59" s="242"/>
      <c r="O59" s="242"/>
      <c r="P59" s="242"/>
      <c r="Q59" s="242"/>
      <c r="R59" s="242"/>
      <c r="S59" s="242"/>
      <c r="T59" s="242"/>
      <c r="U59" s="242"/>
      <c r="V59" s="242"/>
      <c r="W59" s="242"/>
      <c r="X59" s="242"/>
      <c r="Y59" s="242"/>
      <c r="Z59" s="242"/>
      <c r="AA59" s="242"/>
    </row>
    <row r="60" spans="1:27">
      <c r="J60" s="10"/>
      <c r="K60" s="10"/>
      <c r="L60" s="10"/>
      <c r="M60" s="10"/>
      <c r="N60" s="10"/>
      <c r="O60" s="10"/>
      <c r="P60" s="10"/>
      <c r="Q60" s="10"/>
      <c r="R60" s="10"/>
      <c r="S60" s="10"/>
      <c r="T60" s="10"/>
      <c r="U60" s="10"/>
      <c r="V60" s="10"/>
      <c r="W60" s="10"/>
      <c r="X60" s="10"/>
      <c r="Y60" s="10"/>
      <c r="Z60" s="10"/>
      <c r="AA60" s="10"/>
    </row>
    <row r="61" spans="1:27">
      <c r="B61" s="14"/>
      <c r="C61" s="15" t="s">
        <v>261</v>
      </c>
      <c r="D61" s="61"/>
      <c r="E61" s="62"/>
      <c r="F61" s="62"/>
      <c r="G61" s="62"/>
      <c r="H61" s="62"/>
      <c r="I61" s="62"/>
      <c r="J61" s="10"/>
      <c r="K61" s="10"/>
      <c r="L61" s="10"/>
      <c r="M61" s="10"/>
      <c r="N61" s="10"/>
      <c r="O61" s="10"/>
      <c r="P61" s="10"/>
      <c r="Q61" s="10"/>
      <c r="R61" s="10"/>
      <c r="S61" s="10"/>
      <c r="T61" s="10"/>
      <c r="U61" s="10"/>
      <c r="V61" s="10"/>
      <c r="W61" s="10"/>
      <c r="X61" s="10"/>
      <c r="Y61" s="10"/>
      <c r="Z61" s="10"/>
      <c r="AA61" s="10"/>
    </row>
    <row r="62" spans="1:27" ht="3.75" customHeight="1">
      <c r="J62" s="10"/>
      <c r="K62" s="10"/>
      <c r="L62" s="10"/>
      <c r="M62" s="10"/>
      <c r="N62" s="10"/>
      <c r="O62" s="10"/>
      <c r="P62" s="10"/>
      <c r="Q62" s="10"/>
      <c r="R62" s="10"/>
      <c r="S62" s="10"/>
      <c r="T62" s="10"/>
      <c r="U62" s="10"/>
      <c r="V62" s="10"/>
      <c r="W62" s="10"/>
      <c r="X62" s="10"/>
      <c r="Y62" s="10"/>
      <c r="Z62" s="10"/>
      <c r="AA62" s="10"/>
    </row>
    <row r="63" spans="1:27">
      <c r="B63" s="137"/>
      <c r="C63" s="138" t="s">
        <v>262</v>
      </c>
      <c r="D63" s="139"/>
      <c r="E63" s="140"/>
      <c r="F63" s="140"/>
      <c r="G63" s="140"/>
      <c r="H63" s="140"/>
      <c r="I63" s="140"/>
      <c r="J63" s="10"/>
      <c r="K63" s="10"/>
      <c r="L63" s="10"/>
      <c r="M63" s="10"/>
      <c r="N63" s="10"/>
      <c r="O63" s="10"/>
      <c r="P63" s="10"/>
      <c r="Q63" s="10"/>
      <c r="R63" s="10"/>
      <c r="S63" s="10"/>
      <c r="T63" s="10"/>
      <c r="U63" s="10"/>
      <c r="V63" s="10"/>
      <c r="W63" s="10"/>
      <c r="X63" s="10"/>
      <c r="Y63" s="10"/>
      <c r="Z63" s="10"/>
      <c r="AA63" s="10"/>
    </row>
    <row r="64" spans="1:27">
      <c r="B64" s="142" t="s">
        <v>1</v>
      </c>
      <c r="C64" s="98" t="s">
        <v>159</v>
      </c>
      <c r="D64" s="144">
        <f>'Mão de Obra'!D155</f>
        <v>0.05</v>
      </c>
      <c r="E64" s="67">
        <f>IF(E3="","",IFERROR(ROUND($D64*E$88,2),""))</f>
        <v>304.01</v>
      </c>
      <c r="F64" s="67" t="str">
        <f>IF(F3="","",IFERROR(ROUND($D64*F$88,2),""))</f>
        <v/>
      </c>
      <c r="G64" s="67" t="str">
        <f>IF(G3="","",IFERROR(ROUND($D64*G$88,2),""))</f>
        <v/>
      </c>
      <c r="H64" s="67" t="str">
        <f>IF(H3="","",IFERROR(ROUND($D64*H$88,2),""))</f>
        <v/>
      </c>
      <c r="I64" s="67" t="str">
        <f>IF(I3="","",IFERROR(ROUND($D64*I$88,2),""))</f>
        <v/>
      </c>
      <c r="J64" s="10"/>
      <c r="K64" s="346"/>
      <c r="L64" s="10"/>
      <c r="M64" s="10"/>
      <c r="N64" s="10"/>
      <c r="O64" s="10"/>
      <c r="P64" s="10"/>
      <c r="Q64" s="10"/>
      <c r="R64" s="10"/>
      <c r="S64" s="10"/>
      <c r="T64" s="10"/>
      <c r="U64" s="10"/>
      <c r="V64" s="10"/>
      <c r="W64" s="10"/>
      <c r="X64" s="10"/>
      <c r="Y64" s="10"/>
      <c r="Z64" s="10"/>
      <c r="AA64" s="10"/>
    </row>
    <row r="65" spans="2:27">
      <c r="B65" s="142" t="s">
        <v>4</v>
      </c>
      <c r="C65" s="98" t="s">
        <v>160</v>
      </c>
      <c r="D65" s="144">
        <f>'Mão de Obra'!D156</f>
        <v>0.1</v>
      </c>
      <c r="E65" s="67">
        <f>IF(E4="","",IFERROR(ROUND($D65*SUM(E$64,E$88),2),""))</f>
        <v>638.41</v>
      </c>
      <c r="F65" s="67" t="str">
        <f>IF(F4="","",IFERROR(ROUND($D65*SUM(F$64,F$88),2),""))</f>
        <v/>
      </c>
      <c r="G65" s="67" t="str">
        <f>IF(G4="","",IFERROR(ROUND($D65*SUM(G$64,G$88),2),""))</f>
        <v/>
      </c>
      <c r="H65" s="67" t="str">
        <f>IF(H4="","",IFERROR(ROUND($D65*SUM(H$64,H$88),2),""))</f>
        <v/>
      </c>
      <c r="I65" s="67" t="str">
        <f>IF(I4="","",IFERROR(ROUND($D65*SUM(I$64,I$88),2),""))</f>
        <v/>
      </c>
      <c r="J65" s="10"/>
      <c r="K65" s="10"/>
      <c r="L65" s="10"/>
      <c r="M65" s="10"/>
      <c r="N65" s="10"/>
      <c r="O65" s="10"/>
      <c r="P65" s="10"/>
      <c r="Q65" s="10"/>
      <c r="R65" s="10"/>
      <c r="S65" s="10"/>
      <c r="T65" s="10"/>
      <c r="U65" s="10"/>
      <c r="V65" s="10"/>
      <c r="W65" s="10"/>
      <c r="X65" s="10"/>
      <c r="Y65" s="10"/>
      <c r="Z65" s="10"/>
      <c r="AA65" s="10"/>
    </row>
    <row r="66" spans="2:27">
      <c r="B66" s="137"/>
      <c r="C66" s="138" t="s">
        <v>147</v>
      </c>
      <c r="D66" s="147"/>
      <c r="E66" s="140">
        <f>IF(E3="","",SUM(E64:E65))</f>
        <v>942.42</v>
      </c>
      <c r="F66" s="140" t="str">
        <f>IF(F3="","",SUM(F64:F65))</f>
        <v/>
      </c>
      <c r="G66" s="140" t="str">
        <f>IF(G3="","",SUM(G64:G65))</f>
        <v/>
      </c>
      <c r="H66" s="140" t="str">
        <f>IF(H3="","",SUM(H64:H65))</f>
        <v/>
      </c>
      <c r="I66" s="140" t="str">
        <f>IF(I3="","",SUM(I64:I65))</f>
        <v/>
      </c>
      <c r="J66" s="10"/>
      <c r="K66" s="10"/>
      <c r="L66" s="10"/>
      <c r="M66" s="10"/>
      <c r="N66" s="10"/>
      <c r="O66" s="10"/>
      <c r="P66" s="10"/>
      <c r="Q66" s="10"/>
      <c r="R66" s="10"/>
      <c r="S66" s="10"/>
      <c r="T66" s="10"/>
      <c r="U66" s="10"/>
      <c r="V66" s="10"/>
      <c r="W66" s="10"/>
      <c r="X66" s="10"/>
      <c r="Y66" s="10"/>
      <c r="Z66" s="10"/>
      <c r="AA66" s="10"/>
    </row>
    <row r="67" spans="2:27" ht="3.75" customHeight="1">
      <c r="J67" s="10"/>
      <c r="K67" s="10"/>
      <c r="L67" s="10"/>
      <c r="M67" s="10"/>
      <c r="N67" s="10"/>
      <c r="O67" s="10"/>
      <c r="P67" s="10"/>
      <c r="Q67" s="10"/>
      <c r="R67" s="10"/>
      <c r="S67" s="10"/>
      <c r="T67" s="10"/>
      <c r="U67" s="10"/>
      <c r="V67" s="10"/>
      <c r="W67" s="10"/>
      <c r="X67" s="10"/>
      <c r="Y67" s="10"/>
      <c r="Z67" s="10"/>
      <c r="AA67" s="10"/>
    </row>
    <row r="68" spans="2:27">
      <c r="B68" s="137"/>
      <c r="C68" s="138" t="s">
        <v>263</v>
      </c>
      <c r="D68" s="139"/>
      <c r="E68" s="140"/>
      <c r="F68" s="140"/>
      <c r="G68" s="140"/>
      <c r="H68" s="140"/>
      <c r="I68" s="140"/>
      <c r="J68" s="10"/>
      <c r="K68" s="10"/>
      <c r="L68" s="10"/>
      <c r="M68" s="10"/>
      <c r="N68" s="10"/>
      <c r="O68" s="10"/>
      <c r="P68" s="10"/>
      <c r="Q68" s="10"/>
      <c r="R68" s="10"/>
      <c r="S68" s="10"/>
      <c r="T68" s="10"/>
      <c r="U68" s="10"/>
      <c r="V68" s="10"/>
      <c r="W68" s="10"/>
      <c r="X68" s="10"/>
      <c r="Y68" s="10"/>
      <c r="Z68" s="10"/>
      <c r="AA68" s="10"/>
    </row>
    <row r="69" spans="2:27">
      <c r="B69" s="142" t="s">
        <v>1</v>
      </c>
      <c r="C69" s="98" t="s">
        <v>163</v>
      </c>
      <c r="D69" s="144">
        <f>'Mão de Obra'!D160</f>
        <v>0.03</v>
      </c>
      <c r="E69" s="67">
        <f t="shared" ref="E69:I70" si="0">IF(E$3="","",IFERROR(ROUND(SUM(E$88,E$66)*$D69/(1-SUM($D$69:$D$74,E$72)),2),""))</f>
        <v>224.48</v>
      </c>
      <c r="F69" s="67" t="str">
        <f t="shared" si="0"/>
        <v/>
      </c>
      <c r="G69" s="67" t="str">
        <f t="shared" si="0"/>
        <v/>
      </c>
      <c r="H69" s="67" t="str">
        <f t="shared" si="0"/>
        <v/>
      </c>
      <c r="I69" s="67" t="str">
        <f t="shared" si="0"/>
        <v/>
      </c>
      <c r="J69" s="10"/>
      <c r="K69" s="10"/>
      <c r="L69" s="10"/>
      <c r="M69" s="10"/>
      <c r="N69" s="10"/>
      <c r="O69" s="10"/>
      <c r="P69" s="10"/>
      <c r="Q69" s="10"/>
      <c r="R69" s="10"/>
      <c r="S69" s="10"/>
      <c r="T69" s="10"/>
      <c r="U69" s="10"/>
      <c r="V69" s="10"/>
      <c r="W69" s="10"/>
      <c r="X69" s="10"/>
      <c r="Y69" s="10"/>
      <c r="Z69" s="10"/>
      <c r="AA69" s="10"/>
    </row>
    <row r="70" spans="2:27">
      <c r="B70" s="142" t="s">
        <v>4</v>
      </c>
      <c r="C70" s="98" t="s">
        <v>164</v>
      </c>
      <c r="D70" s="144">
        <f>'Mão de Obra'!D161</f>
        <v>6.4999999999999997E-3</v>
      </c>
      <c r="E70" s="67">
        <f t="shared" si="0"/>
        <v>48.64</v>
      </c>
      <c r="F70" s="67" t="str">
        <f t="shared" si="0"/>
        <v/>
      </c>
      <c r="G70" s="67" t="str">
        <f t="shared" si="0"/>
        <v/>
      </c>
      <c r="H70" s="67" t="str">
        <f t="shared" si="0"/>
        <v/>
      </c>
      <c r="I70" s="67" t="str">
        <f t="shared" si="0"/>
        <v/>
      </c>
      <c r="J70" s="10"/>
      <c r="K70" s="10"/>
      <c r="L70" s="10"/>
      <c r="M70" s="10"/>
      <c r="N70" s="10"/>
      <c r="O70" s="10"/>
      <c r="P70" s="10"/>
      <c r="Q70" s="10"/>
      <c r="R70" s="10"/>
      <c r="S70" s="10"/>
      <c r="T70" s="10"/>
      <c r="U70" s="10"/>
      <c r="V70" s="10"/>
      <c r="W70" s="10"/>
      <c r="X70" s="10"/>
      <c r="Y70" s="10"/>
      <c r="Z70" s="10"/>
      <c r="AA70" s="10"/>
    </row>
    <row r="71" spans="2:27">
      <c r="B71" s="673" t="s">
        <v>6</v>
      </c>
      <c r="C71" s="106" t="s">
        <v>165</v>
      </c>
      <c r="D71" s="227"/>
      <c r="E71" s="101"/>
      <c r="F71" s="101"/>
      <c r="G71" s="101"/>
      <c r="H71" s="101"/>
      <c r="I71" s="101"/>
      <c r="J71" s="10"/>
      <c r="K71" s="10"/>
      <c r="L71" s="10"/>
      <c r="M71" s="10"/>
      <c r="N71" s="10"/>
      <c r="O71" s="10"/>
      <c r="P71" s="10"/>
      <c r="Q71" s="10"/>
      <c r="R71" s="10"/>
      <c r="S71" s="10"/>
      <c r="T71" s="10"/>
      <c r="U71" s="10"/>
      <c r="V71" s="10"/>
      <c r="W71" s="10"/>
      <c r="X71" s="10"/>
      <c r="Y71" s="10"/>
      <c r="Z71" s="10"/>
      <c r="AA71" s="10"/>
    </row>
    <row r="72" spans="2:27">
      <c r="B72" s="673"/>
      <c r="C72" s="324" t="s">
        <v>166</v>
      </c>
      <c r="D72" s="343"/>
      <c r="E72" s="347">
        <v>2.5000000000000001E-2</v>
      </c>
      <c r="F72" s="347">
        <v>2.5000000000000001E-2</v>
      </c>
      <c r="G72" s="347">
        <v>2.5000000000000001E-2</v>
      </c>
      <c r="H72" s="347">
        <v>2.5000000000000001E-2</v>
      </c>
      <c r="I72" s="347">
        <v>2.5000000000000001E-2</v>
      </c>
      <c r="J72" s="10"/>
      <c r="K72" s="10"/>
      <c r="L72" s="10"/>
      <c r="M72" s="10"/>
      <c r="N72" s="10"/>
      <c r="O72" s="10"/>
      <c r="P72" s="10"/>
      <c r="Q72" s="10"/>
      <c r="R72" s="10"/>
      <c r="S72" s="10"/>
      <c r="T72" s="10"/>
      <c r="U72" s="10"/>
      <c r="V72" s="10"/>
      <c r="W72" s="10"/>
      <c r="X72" s="10"/>
      <c r="Y72" s="10"/>
      <c r="Z72" s="10"/>
      <c r="AA72" s="10"/>
    </row>
    <row r="73" spans="2:27">
      <c r="B73" s="673"/>
      <c r="C73" s="288"/>
      <c r="D73" s="344" t="s">
        <v>70</v>
      </c>
      <c r="E73" s="326">
        <f>IF(E$3="","",IFERROR(ROUND(SUM(E$88,E$66)*$E72/(1-SUM($D$69:$D$74,E$72)),2),""))</f>
        <v>187.07</v>
      </c>
      <c r="F73" s="326" t="str">
        <f>IF(F$3="","",IFERROR(ROUND(SUM(F$88,F$66)*$E72/(1-SUM($D$69:$D$74,F$72)),2),""))</f>
        <v/>
      </c>
      <c r="G73" s="326" t="str">
        <f>IF(G$3="","",IFERROR(ROUND(SUM(G$88,G$66)*$E72/(1-SUM($D$69:$D$74,G$72)),2),""))</f>
        <v/>
      </c>
      <c r="H73" s="326" t="str">
        <f>IF(H$3="","",IFERROR(ROUND(SUM(H$88,H$66)*$E72/(1-SUM($D$69:$D$74,H$72)),2),""))</f>
        <v/>
      </c>
      <c r="I73" s="326" t="str">
        <f>IF(I$3="","",IFERROR(ROUND(SUM(I$88,I$66)*$E72/(1-SUM($D$69:$D$74,I$72)),2),""))</f>
        <v/>
      </c>
      <c r="J73" s="10"/>
      <c r="K73" s="10"/>
      <c r="L73" s="10"/>
      <c r="M73" s="10"/>
      <c r="N73" s="10"/>
      <c r="O73" s="10"/>
      <c r="P73" s="10"/>
      <c r="Q73" s="10"/>
      <c r="R73" s="10"/>
      <c r="S73" s="10"/>
      <c r="T73" s="10"/>
      <c r="U73" s="10"/>
      <c r="V73" s="10"/>
      <c r="W73" s="10"/>
      <c r="X73" s="10"/>
      <c r="Y73" s="10"/>
      <c r="Z73" s="10"/>
      <c r="AA73" s="10"/>
    </row>
    <row r="74" spans="2:27">
      <c r="B74" s="231" t="s">
        <v>9</v>
      </c>
      <c r="C74" s="143" t="s">
        <v>167</v>
      </c>
      <c r="D74" s="144">
        <f>'Mão de Obra'!D165</f>
        <v>0</v>
      </c>
      <c r="E74" s="67">
        <f>IF(E$3="","",IFERROR(ROUND(SUM(E$88,E$66)*$D74/(1-SUM($D$69:$D$74,E$72)),2),""))</f>
        <v>0</v>
      </c>
      <c r="F74" s="67" t="str">
        <f>IF(F$3="","",IFERROR(ROUND(SUM(F$88,F$66)*$D74/(1-SUM($D$69:$D$74,F$72)),2),""))</f>
        <v/>
      </c>
      <c r="G74" s="67" t="str">
        <f>IF(G$3="","",IFERROR(ROUND(SUM(G$88,G$66)*$D74/(1-SUM($D$69:$D$74,G$72)),2),""))</f>
        <v/>
      </c>
      <c r="H74" s="67" t="str">
        <f>IF(H$3="","",IFERROR(ROUND(SUM(H$88,H$66)*$D74/(1-SUM($D$69:$D$74,H$72)),2),""))</f>
        <v/>
      </c>
      <c r="I74" s="67" t="str">
        <f>IF(I$3="","",IFERROR(ROUND(SUM(I$88,I$66)*$D74/(1-SUM($D$69:$D$74,I$72)),2),""))</f>
        <v/>
      </c>
      <c r="J74" s="10"/>
      <c r="K74" s="10"/>
      <c r="L74" s="10"/>
      <c r="M74" s="10"/>
      <c r="N74" s="10"/>
      <c r="O74" s="10"/>
      <c r="P74" s="10"/>
      <c r="Q74" s="10"/>
      <c r="R74" s="10"/>
      <c r="S74" s="10"/>
      <c r="T74" s="10"/>
      <c r="U74" s="10"/>
      <c r="V74" s="10"/>
      <c r="W74" s="10"/>
      <c r="X74" s="10"/>
      <c r="Y74" s="10"/>
      <c r="Z74" s="10"/>
      <c r="AA74" s="10"/>
    </row>
    <row r="75" spans="2:27">
      <c r="B75" s="137"/>
      <c r="C75" s="138" t="s">
        <v>151</v>
      </c>
      <c r="D75" s="147"/>
      <c r="E75" s="206">
        <f>IF(E4="","",SUM(E69:E70,E73:E74))</f>
        <v>460.19</v>
      </c>
      <c r="F75" s="206" t="str">
        <f>IF(F4="","",SUM(F69:F70,F73:F74))</f>
        <v/>
      </c>
      <c r="G75" s="206" t="str">
        <f>IF(G4="","",SUM(G69:G70,G73:G74))</f>
        <v/>
      </c>
      <c r="H75" s="206" t="str">
        <f>IF(H4="","",SUM(H69:H70,H73:H74))</f>
        <v/>
      </c>
      <c r="I75" s="206" t="str">
        <f>IF(I4="","",SUM(I69:I70,I73:I74))</f>
        <v/>
      </c>
      <c r="J75" s="10"/>
      <c r="K75" s="10"/>
      <c r="L75" s="10"/>
      <c r="M75" s="10"/>
      <c r="N75" s="10"/>
      <c r="O75" s="10"/>
      <c r="P75" s="10"/>
      <c r="Q75" s="10"/>
      <c r="R75" s="10"/>
      <c r="S75" s="10"/>
      <c r="T75" s="10"/>
      <c r="U75" s="10"/>
      <c r="V75" s="10"/>
      <c r="W75" s="10"/>
      <c r="X75" s="10"/>
      <c r="Y75" s="10"/>
      <c r="Z75" s="10"/>
      <c r="AA75" s="10"/>
    </row>
    <row r="76" spans="2:27" ht="3.75" customHeight="1">
      <c r="J76" s="10"/>
      <c r="K76" s="10"/>
      <c r="L76" s="10"/>
      <c r="M76" s="10"/>
      <c r="N76" s="10"/>
      <c r="O76" s="10"/>
      <c r="P76" s="10"/>
      <c r="Q76" s="10"/>
      <c r="R76" s="10"/>
      <c r="S76" s="10"/>
      <c r="T76" s="10"/>
      <c r="U76" s="10"/>
      <c r="V76" s="10"/>
      <c r="W76" s="10"/>
      <c r="X76" s="10"/>
      <c r="Y76" s="10"/>
      <c r="Z76" s="10"/>
      <c r="AA76" s="10"/>
    </row>
    <row r="77" spans="2:27">
      <c r="B77" s="124"/>
      <c r="C77" s="15" t="s">
        <v>152</v>
      </c>
      <c r="D77" s="125"/>
      <c r="E77" s="126">
        <f>IF(E$3="","",SUM(E75,E66))</f>
        <v>1402.61</v>
      </c>
      <c r="F77" s="126" t="str">
        <f>IF(F$3="","",SUM(F75,F66))</f>
        <v/>
      </c>
      <c r="G77" s="126" t="str">
        <f>IF(G$3="","",SUM(G75,G66))</f>
        <v/>
      </c>
      <c r="H77" s="126" t="str">
        <f>IF(H$3="","",SUM(H75,H66))</f>
        <v/>
      </c>
      <c r="I77" s="126" t="str">
        <f>IF(I$3="","",SUM(I75,I66))</f>
        <v/>
      </c>
      <c r="J77" s="10"/>
      <c r="K77" s="10"/>
      <c r="L77" s="10"/>
      <c r="M77" s="10"/>
      <c r="N77" s="10"/>
      <c r="O77" s="10"/>
      <c r="P77" s="10"/>
      <c r="Q77" s="10"/>
      <c r="R77" s="10"/>
      <c r="S77" s="10"/>
      <c r="T77" s="10"/>
      <c r="U77" s="10"/>
      <c r="V77" s="10"/>
      <c r="W77" s="10"/>
      <c r="X77" s="10"/>
      <c r="Y77" s="10"/>
      <c r="Z77" s="10"/>
      <c r="AA77" s="10"/>
    </row>
    <row r="78" spans="2:27">
      <c r="J78" s="10"/>
      <c r="K78" s="10"/>
      <c r="L78" s="10"/>
      <c r="M78" s="10"/>
      <c r="N78" s="10"/>
      <c r="O78" s="10"/>
      <c r="P78" s="10"/>
      <c r="Q78" s="10"/>
      <c r="R78" s="10"/>
      <c r="S78" s="10"/>
      <c r="T78" s="10"/>
      <c r="U78" s="10"/>
      <c r="V78" s="10"/>
      <c r="W78" s="10"/>
      <c r="X78" s="10"/>
      <c r="Y78" s="10"/>
      <c r="Z78" s="10"/>
      <c r="AA78" s="10"/>
    </row>
    <row r="79" spans="2:27">
      <c r="B79" s="14"/>
      <c r="C79" s="15" t="s">
        <v>264</v>
      </c>
      <c r="D79" s="61"/>
      <c r="E79" s="62"/>
      <c r="F79" s="62"/>
      <c r="G79" s="62"/>
      <c r="H79" s="62"/>
      <c r="I79" s="62"/>
      <c r="J79" s="10"/>
      <c r="K79" s="10"/>
      <c r="L79" s="10"/>
      <c r="M79" s="10"/>
      <c r="N79" s="10"/>
      <c r="O79" s="10"/>
      <c r="P79" s="10"/>
      <c r="Q79" s="10"/>
      <c r="R79" s="10"/>
      <c r="S79" s="10"/>
      <c r="T79" s="10"/>
      <c r="U79" s="10"/>
      <c r="V79" s="10"/>
      <c r="W79" s="10"/>
      <c r="X79" s="10"/>
      <c r="Y79" s="10"/>
      <c r="Z79" s="10"/>
      <c r="AA79" s="10"/>
    </row>
    <row r="80" spans="2:27" ht="3.75" customHeight="1">
      <c r="B80" s="233"/>
      <c r="C80" s="233"/>
      <c r="D80" s="233"/>
      <c r="E80" s="233"/>
      <c r="F80" s="233"/>
      <c r="G80" s="233"/>
      <c r="H80" s="233"/>
      <c r="I80" s="233"/>
      <c r="J80" s="10"/>
      <c r="K80" s="10"/>
      <c r="L80" s="10"/>
      <c r="M80" s="10"/>
      <c r="N80" s="10"/>
      <c r="O80" s="10"/>
      <c r="P80" s="10"/>
      <c r="Q80" s="10"/>
      <c r="R80" s="10"/>
      <c r="S80" s="10"/>
      <c r="T80" s="10"/>
      <c r="U80" s="10"/>
      <c r="V80" s="10"/>
      <c r="W80" s="10"/>
      <c r="X80" s="10"/>
      <c r="Y80" s="10"/>
      <c r="Z80" s="10"/>
      <c r="AA80" s="10"/>
    </row>
    <row r="81" spans="2:27">
      <c r="B81" s="137"/>
      <c r="C81" s="138" t="s">
        <v>265</v>
      </c>
      <c r="D81" s="234"/>
      <c r="E81" s="235"/>
      <c r="F81" s="235"/>
      <c r="G81" s="235"/>
      <c r="H81" s="235"/>
      <c r="I81" s="235"/>
      <c r="J81" s="10"/>
      <c r="K81" s="10"/>
      <c r="L81" s="10"/>
      <c r="M81" s="10"/>
      <c r="N81" s="10"/>
      <c r="O81" s="10"/>
      <c r="P81" s="10"/>
      <c r="Q81" s="10"/>
      <c r="R81" s="10"/>
      <c r="S81" s="10"/>
      <c r="T81" s="10"/>
      <c r="U81" s="10"/>
      <c r="V81" s="10"/>
      <c r="W81" s="10"/>
      <c r="X81" s="10"/>
      <c r="Y81" s="10"/>
      <c r="Z81" s="10"/>
      <c r="AA81" s="10"/>
    </row>
    <row r="82" spans="2:27">
      <c r="B82" s="142" t="s">
        <v>1</v>
      </c>
      <c r="C82" s="98" t="s">
        <v>266</v>
      </c>
      <c r="D82" s="237"/>
      <c r="E82" s="67">
        <f>IFERROR(ROUND(E34*(1+E89/E88),2)/E5,"")</f>
        <v>1.3508961538461539</v>
      </c>
      <c r="F82" s="67" t="str">
        <f>IFERROR(ROUND(F34*(1+F89/F88),2)/F5,"")</f>
        <v/>
      </c>
      <c r="G82" s="67" t="str">
        <f>IFERROR(ROUND(G34*(1+G89/G88),2)/G5,"")</f>
        <v/>
      </c>
      <c r="H82" s="67" t="str">
        <f>IFERROR(ROUND(H34*(1+H89/H88),2)/H5,"")</f>
        <v/>
      </c>
      <c r="I82" s="67" t="str">
        <f>IFERROR(ROUND(I34*(1+I89/I88),2)/I5,"")</f>
        <v/>
      </c>
      <c r="J82" s="10"/>
      <c r="K82" s="10"/>
      <c r="L82" s="10"/>
      <c r="M82" s="10"/>
      <c r="N82" s="10"/>
      <c r="O82" s="10"/>
      <c r="P82" s="10"/>
      <c r="Q82" s="10"/>
      <c r="R82" s="10"/>
      <c r="S82" s="10"/>
      <c r="T82" s="10"/>
      <c r="U82" s="10"/>
      <c r="V82" s="10"/>
      <c r="W82" s="10"/>
      <c r="X82" s="10"/>
      <c r="Y82" s="10"/>
      <c r="Z82" s="10"/>
      <c r="AA82" s="10"/>
    </row>
    <row r="83" spans="2:27">
      <c r="B83" s="673" t="s">
        <v>4</v>
      </c>
      <c r="C83" s="106" t="s">
        <v>172</v>
      </c>
      <c r="D83" s="227"/>
      <c r="E83" s="101"/>
      <c r="F83" s="101"/>
      <c r="G83" s="101"/>
      <c r="H83" s="101"/>
      <c r="I83" s="101"/>
      <c r="J83" s="10"/>
      <c r="K83" s="10"/>
      <c r="L83" s="10"/>
      <c r="M83" s="10"/>
      <c r="N83" s="10"/>
      <c r="O83" s="10"/>
      <c r="P83" s="10"/>
      <c r="Q83" s="10"/>
      <c r="R83" s="10"/>
      <c r="S83" s="10"/>
      <c r="T83" s="10"/>
      <c r="U83" s="10"/>
      <c r="V83" s="10"/>
      <c r="W83" s="10"/>
      <c r="X83" s="10"/>
      <c r="Y83" s="10"/>
      <c r="Z83" s="10"/>
      <c r="AA83" s="10"/>
    </row>
    <row r="84" spans="2:27">
      <c r="B84" s="673"/>
      <c r="C84" s="324" t="s">
        <v>267</v>
      </c>
      <c r="D84" s="343"/>
      <c r="E84" s="34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4" s="34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4" s="34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4" s="34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4" s="34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4" s="10"/>
      <c r="K84" s="10"/>
      <c r="L84" s="10"/>
      <c r="M84" s="10"/>
      <c r="N84" s="10"/>
      <c r="O84" s="10"/>
      <c r="P84" s="10"/>
      <c r="Q84" s="10"/>
      <c r="R84" s="10"/>
      <c r="S84" s="10"/>
      <c r="T84" s="10"/>
      <c r="U84" s="10"/>
      <c r="V84" s="10"/>
      <c r="W84" s="10"/>
      <c r="X84" s="10"/>
      <c r="Y84" s="10"/>
      <c r="Z84" s="10"/>
      <c r="AA84" s="10"/>
    </row>
    <row r="85" spans="2:27">
      <c r="B85" s="673"/>
      <c r="C85" s="288"/>
      <c r="D85" s="344" t="s">
        <v>70</v>
      </c>
      <c r="E85" s="349">
        <f>IFERROR(ROUND(SUM(E48,E59)*(1+E89/E88),2)/E84,"")</f>
        <v>19.852</v>
      </c>
      <c r="F85" s="349" t="str">
        <f>IFERROR(ROUND(SUM(F48,F59)*(1+F89/F88),2)/F84,"")</f>
        <v/>
      </c>
      <c r="G85" s="349" t="str">
        <f>IFERROR(ROUND(SUM(G48,G59)*(1+G89/G88),2)/G84,"")</f>
        <v/>
      </c>
      <c r="H85" s="349" t="str">
        <f>IFERROR(ROUND(SUM(H48,H59)*(1+H89/H88),2)/H84,"")</f>
        <v/>
      </c>
      <c r="I85" s="349" t="str">
        <f>IFERROR(ROUND(SUM(I48,I59)*(1+I89/I88),2)/I84,"")</f>
        <v/>
      </c>
      <c r="J85" s="10"/>
      <c r="K85" s="10"/>
      <c r="L85" s="10"/>
      <c r="M85" s="10"/>
      <c r="N85" s="10"/>
      <c r="O85" s="10"/>
      <c r="P85" s="10"/>
      <c r="Q85" s="10"/>
      <c r="R85" s="10"/>
      <c r="S85" s="10"/>
      <c r="T85" s="10"/>
      <c r="U85" s="10"/>
      <c r="V85" s="10"/>
      <c r="W85" s="10"/>
      <c r="X85" s="10"/>
      <c r="Y85" s="10"/>
      <c r="Z85" s="10"/>
      <c r="AA85" s="10"/>
    </row>
    <row r="86" spans="2:27" ht="3.75" customHeight="1">
      <c r="B86" s="233"/>
      <c r="C86" s="233"/>
      <c r="D86" s="233"/>
      <c r="E86" s="233"/>
      <c r="F86" s="233"/>
      <c r="G86" s="233"/>
      <c r="H86" s="233"/>
      <c r="I86" s="233"/>
      <c r="J86" s="10"/>
      <c r="K86" s="10"/>
      <c r="L86" s="10"/>
      <c r="M86" s="10"/>
      <c r="N86" s="10"/>
      <c r="O86" s="10"/>
      <c r="P86" s="10"/>
      <c r="Q86" s="10"/>
      <c r="R86" s="10"/>
      <c r="S86" s="10"/>
      <c r="T86" s="10"/>
      <c r="U86" s="10"/>
      <c r="V86" s="10"/>
      <c r="W86" s="10"/>
      <c r="X86" s="10"/>
      <c r="Y86" s="10"/>
      <c r="Z86" s="10"/>
      <c r="AA86" s="10"/>
    </row>
    <row r="87" spans="2:27">
      <c r="B87" s="137"/>
      <c r="C87" s="138" t="s">
        <v>268</v>
      </c>
      <c r="D87" s="234"/>
      <c r="E87" s="235"/>
      <c r="F87" s="235"/>
      <c r="G87" s="235"/>
      <c r="H87" s="235"/>
      <c r="I87" s="235"/>
      <c r="J87" s="10"/>
      <c r="K87" s="10"/>
      <c r="L87" s="10"/>
      <c r="M87" s="10"/>
      <c r="N87" s="10"/>
      <c r="O87" s="10"/>
      <c r="P87" s="10"/>
      <c r="Q87" s="10"/>
      <c r="R87" s="10"/>
      <c r="S87" s="10"/>
      <c r="T87" s="10"/>
      <c r="U87" s="10"/>
      <c r="V87" s="10"/>
      <c r="W87" s="10"/>
      <c r="X87" s="10"/>
      <c r="Y87" s="10"/>
      <c r="Z87" s="10"/>
      <c r="AA87" s="10"/>
    </row>
    <row r="88" spans="2:27">
      <c r="B88" s="142" t="s">
        <v>1</v>
      </c>
      <c r="C88" s="98" t="s">
        <v>269</v>
      </c>
      <c r="D88" s="237"/>
      <c r="E88" s="67">
        <f>IF(E3="","",ROUND(SUM(E59,E48,E34),2))</f>
        <v>6080.12</v>
      </c>
      <c r="F88" s="67" t="str">
        <f>IF(F3="","",ROUND(SUM(F59,F48,F34),2))</f>
        <v/>
      </c>
      <c r="G88" s="67" t="str">
        <f>IF(G3="","",ROUND(SUM(G59,G48,G34),2))</f>
        <v/>
      </c>
      <c r="H88" s="67" t="str">
        <f>IF(H3="","",ROUND(SUM(H59,H48,H34),2))</f>
        <v/>
      </c>
      <c r="I88" s="67" t="str">
        <f>IF(I3="","",ROUND(SUM(I59,I48,I34),2))</f>
        <v/>
      </c>
      <c r="J88" s="10"/>
      <c r="K88" s="10"/>
      <c r="L88" s="10"/>
      <c r="M88" s="10"/>
      <c r="N88" s="10"/>
      <c r="O88" s="10"/>
      <c r="P88" s="10"/>
      <c r="Q88" s="10"/>
      <c r="R88" s="10"/>
      <c r="S88" s="10"/>
      <c r="T88" s="10"/>
      <c r="U88" s="10"/>
      <c r="V88" s="10"/>
      <c r="W88" s="10"/>
      <c r="X88" s="10"/>
      <c r="Y88" s="10"/>
      <c r="Z88" s="10"/>
      <c r="AA88" s="10"/>
    </row>
    <row r="89" spans="2:27">
      <c r="B89" s="142" t="s">
        <v>4</v>
      </c>
      <c r="C89" s="98" t="s">
        <v>270</v>
      </c>
      <c r="D89" s="237"/>
      <c r="E89" s="67">
        <f>IFERROR(ROUND(E77,2),"")</f>
        <v>1402.61</v>
      </c>
      <c r="F89" s="67" t="str">
        <f>IFERROR(ROUND(F77,2),"")</f>
        <v/>
      </c>
      <c r="G89" s="67" t="str">
        <f>IFERROR(ROUND(G77,2),"")</f>
        <v/>
      </c>
      <c r="H89" s="67" t="str">
        <f>IFERROR(ROUND(H77,2),"")</f>
        <v/>
      </c>
      <c r="I89" s="67" t="str">
        <f>IFERROR(ROUND(I77,2),"")</f>
        <v/>
      </c>
      <c r="J89" s="10"/>
      <c r="K89" s="10"/>
      <c r="L89" s="10"/>
      <c r="M89" s="10"/>
      <c r="N89" s="10"/>
      <c r="O89" s="10"/>
      <c r="P89" s="10"/>
      <c r="Q89" s="10"/>
      <c r="R89" s="10"/>
      <c r="S89" s="10"/>
      <c r="T89" s="10"/>
      <c r="U89" s="10"/>
      <c r="V89" s="10"/>
      <c r="W89" s="10"/>
      <c r="X89" s="10"/>
      <c r="Y89" s="10"/>
      <c r="Z89" s="10"/>
      <c r="AA89" s="10"/>
    </row>
    <row r="90" spans="2:27">
      <c r="B90" s="142" t="s">
        <v>6</v>
      </c>
      <c r="C90" s="98" t="s">
        <v>271</v>
      </c>
      <c r="D90" s="237"/>
      <c r="E90" s="67">
        <f>IF(E3="","",IFERROR(SUM(E88:E89),2))</f>
        <v>7482.73</v>
      </c>
      <c r="F90" s="67" t="str">
        <f>IF(F3="","",IFERROR(SUM(F88:F89),2))</f>
        <v/>
      </c>
      <c r="G90" s="67" t="str">
        <f>IF(G3="","",IFERROR(SUM(G88:G89),2))</f>
        <v/>
      </c>
      <c r="H90" s="67" t="str">
        <f>IF(H3="","",IFERROR(SUM(H88:H89),2))</f>
        <v/>
      </c>
      <c r="I90" s="67" t="str">
        <f>IF(I3="","",IFERROR(SUM(I88:I89),2))</f>
        <v/>
      </c>
      <c r="J90" s="10"/>
      <c r="K90" s="10"/>
      <c r="L90" s="10"/>
      <c r="M90" s="10"/>
      <c r="N90" s="10"/>
      <c r="O90" s="10"/>
      <c r="P90" s="10"/>
      <c r="Q90" s="10"/>
      <c r="R90" s="10"/>
      <c r="S90" s="10"/>
      <c r="T90" s="10"/>
      <c r="U90" s="10"/>
      <c r="V90" s="10"/>
      <c r="W90" s="10"/>
      <c r="X90" s="10"/>
      <c r="Y90" s="10"/>
      <c r="Z90" s="10"/>
      <c r="AA90" s="10"/>
    </row>
    <row r="91" spans="2:27" ht="3.75" customHeight="1">
      <c r="B91" s="233"/>
      <c r="C91" s="233"/>
      <c r="D91" s="233"/>
      <c r="E91" s="233"/>
      <c r="F91" s="233"/>
      <c r="G91" s="233"/>
      <c r="H91" s="233"/>
      <c r="I91" s="233"/>
      <c r="J91" s="10"/>
      <c r="K91" s="10"/>
      <c r="L91" s="10"/>
      <c r="M91" s="10"/>
      <c r="N91" s="10"/>
      <c r="O91" s="10"/>
      <c r="P91" s="10"/>
      <c r="Q91" s="10"/>
      <c r="R91" s="10"/>
      <c r="S91" s="10"/>
      <c r="T91" s="10"/>
      <c r="U91" s="10"/>
      <c r="V91" s="10"/>
      <c r="W91" s="10"/>
      <c r="X91" s="10"/>
      <c r="Y91" s="10"/>
      <c r="Z91" s="10"/>
      <c r="AA91" s="10"/>
    </row>
    <row r="92" spans="2:27">
      <c r="B92" s="137"/>
      <c r="C92" s="138" t="s">
        <v>272</v>
      </c>
      <c r="D92" s="234"/>
      <c r="E92" s="235"/>
      <c r="F92" s="235"/>
      <c r="G92" s="235"/>
      <c r="H92" s="235"/>
      <c r="I92" s="235"/>
      <c r="J92" s="10"/>
      <c r="K92" s="10"/>
      <c r="L92" s="10"/>
      <c r="M92" s="10"/>
      <c r="N92" s="10"/>
      <c r="O92" s="10"/>
      <c r="P92" s="10"/>
      <c r="Q92" s="10"/>
      <c r="R92" s="10"/>
      <c r="S92" s="10"/>
      <c r="T92" s="10"/>
      <c r="U92" s="10"/>
      <c r="V92" s="10"/>
      <c r="W92" s="10"/>
      <c r="X92" s="10"/>
      <c r="Y92" s="10"/>
      <c r="Z92" s="10"/>
      <c r="AA92" s="10"/>
    </row>
    <row r="93" spans="2:27">
      <c r="B93" s="142" t="s">
        <v>1</v>
      </c>
      <c r="C93" s="98" t="s">
        <v>269</v>
      </c>
      <c r="D93" s="237"/>
      <c r="E93" s="67">
        <f t="shared" ref="E93:I95" si="1">IF(E$3="","",ROUND(E88*E$4,2))</f>
        <v>6080.12</v>
      </c>
      <c r="F93" s="67" t="str">
        <f t="shared" si="1"/>
        <v/>
      </c>
      <c r="G93" s="67" t="str">
        <f t="shared" si="1"/>
        <v/>
      </c>
      <c r="H93" s="67" t="str">
        <f t="shared" si="1"/>
        <v/>
      </c>
      <c r="I93" s="67" t="str">
        <f t="shared" si="1"/>
        <v/>
      </c>
      <c r="J93" s="10"/>
      <c r="K93" s="10"/>
      <c r="L93" s="10"/>
      <c r="M93" s="10"/>
      <c r="N93" s="10"/>
      <c r="O93" s="10"/>
      <c r="P93" s="10"/>
      <c r="Q93" s="10"/>
      <c r="R93" s="10"/>
      <c r="S93" s="10"/>
      <c r="T93" s="10"/>
      <c r="U93" s="10"/>
      <c r="V93" s="10"/>
      <c r="W93" s="10"/>
      <c r="X93" s="10"/>
      <c r="Y93" s="10"/>
      <c r="Z93" s="10"/>
      <c r="AA93" s="10"/>
    </row>
    <row r="94" spans="2:27">
      <c r="B94" s="142" t="s">
        <v>4</v>
      </c>
      <c r="C94" s="98" t="s">
        <v>270</v>
      </c>
      <c r="D94" s="237"/>
      <c r="E94" s="67">
        <f t="shared" si="1"/>
        <v>1402.61</v>
      </c>
      <c r="F94" s="67" t="str">
        <f t="shared" si="1"/>
        <v/>
      </c>
      <c r="G94" s="67" t="str">
        <f t="shared" si="1"/>
        <v/>
      </c>
      <c r="H94" s="67" t="str">
        <f t="shared" si="1"/>
        <v/>
      </c>
      <c r="I94" s="67" t="str">
        <f t="shared" si="1"/>
        <v/>
      </c>
      <c r="J94" s="10"/>
      <c r="K94" s="10"/>
      <c r="L94" s="10"/>
      <c r="M94" s="10"/>
      <c r="N94" s="10"/>
      <c r="O94" s="10"/>
      <c r="P94" s="10"/>
      <c r="Q94" s="10"/>
      <c r="R94" s="10"/>
      <c r="S94" s="10"/>
      <c r="T94" s="10"/>
      <c r="U94" s="10"/>
      <c r="V94" s="10"/>
      <c r="W94" s="10"/>
      <c r="X94" s="10"/>
      <c r="Y94" s="10"/>
      <c r="Z94" s="10"/>
      <c r="AA94" s="10"/>
    </row>
    <row r="95" spans="2:27">
      <c r="B95" s="142" t="s">
        <v>6</v>
      </c>
      <c r="C95" s="98" t="s">
        <v>271</v>
      </c>
      <c r="D95" s="237"/>
      <c r="E95" s="67">
        <f t="shared" si="1"/>
        <v>7482.73</v>
      </c>
      <c r="F95" s="67" t="str">
        <f t="shared" si="1"/>
        <v/>
      </c>
      <c r="G95" s="67" t="str">
        <f t="shared" si="1"/>
        <v/>
      </c>
      <c r="H95" s="67" t="str">
        <f t="shared" si="1"/>
        <v/>
      </c>
      <c r="I95" s="67" t="str">
        <f t="shared" si="1"/>
        <v/>
      </c>
      <c r="J95" s="10"/>
      <c r="K95" s="10"/>
      <c r="L95" s="10"/>
      <c r="M95" s="10"/>
      <c r="N95" s="10"/>
      <c r="O95" s="10"/>
      <c r="P95" s="10"/>
      <c r="Q95" s="10"/>
      <c r="R95" s="10"/>
      <c r="S95" s="10"/>
      <c r="T95" s="10"/>
      <c r="U95" s="10"/>
      <c r="V95" s="10"/>
      <c r="W95" s="10"/>
      <c r="X95" s="10"/>
      <c r="Y95" s="10"/>
      <c r="Z95" s="10"/>
      <c r="AA95" s="10"/>
    </row>
    <row r="96" spans="2:27">
      <c r="B96" s="142" t="s">
        <v>9</v>
      </c>
      <c r="C96" s="98" t="s">
        <v>273</v>
      </c>
      <c r="D96" s="237"/>
      <c r="E96" s="67">
        <f>IF(E3="","",IFERROR(ROUND(E95*Proposta!$J$6,2),""))</f>
        <v>448963.8</v>
      </c>
      <c r="F96" s="67" t="str">
        <f>IF(F3="","",IFERROR(ROUND(F95*Proposta!$J$6,2),""))</f>
        <v/>
      </c>
      <c r="G96" s="67" t="str">
        <f>IF(G3="","",IFERROR(ROUND(G95*Proposta!$J$6,2),""))</f>
        <v/>
      </c>
      <c r="H96" s="67" t="str">
        <f>IF(H3="","",IFERROR(ROUND(H95*Proposta!$J$6,2),""))</f>
        <v/>
      </c>
      <c r="I96" s="67" t="str">
        <f>IF(I3="","",IFERROR(ROUND(I95*Proposta!$J$6,2),""))</f>
        <v/>
      </c>
      <c r="J96" s="10"/>
      <c r="K96" s="10"/>
      <c r="L96" s="10"/>
      <c r="M96" s="10"/>
      <c r="N96" s="10"/>
      <c r="O96" s="10"/>
      <c r="P96" s="10"/>
      <c r="Q96" s="10"/>
      <c r="R96" s="10"/>
      <c r="S96" s="10"/>
      <c r="T96" s="10"/>
      <c r="U96" s="10"/>
      <c r="V96" s="10"/>
      <c r="W96" s="10"/>
      <c r="X96" s="10"/>
      <c r="Y96" s="10"/>
      <c r="Z96" s="10"/>
      <c r="AA96" s="10"/>
    </row>
  </sheetData>
  <sheetProtection algorithmName="SHA-512" hashValue="R8h7Bqk+odC/y8GwFZn75KqXIlU3Kau2LTNgsJb7liksh2BXN2M2T9ibBn+JL5uWoBYVtmXlmn8cV4WIJc2UTQ==" saltValue="eFHxwAzKo5nV0BwV2ryspA==" spinCount="100000" sheet="1" objects="1" scenarios="1" formatColumns="0"/>
  <mergeCells count="11">
    <mergeCell ref="B8:B12"/>
    <mergeCell ref="B13:B17"/>
    <mergeCell ref="B18:B21"/>
    <mergeCell ref="B22:B26"/>
    <mergeCell ref="B27:B33"/>
    <mergeCell ref="B83:B85"/>
    <mergeCell ref="B39:B42"/>
    <mergeCell ref="B44:B47"/>
    <mergeCell ref="B51:B54"/>
    <mergeCell ref="B55:B58"/>
    <mergeCell ref="B71:B73"/>
  </mergeCells>
  <dataValidations count="2">
    <dataValidation showInputMessage="1" sqref="D54:D56 D58 D73 D85" xr:uid="{00000000-0002-0000-0300-000000000000}">
      <formula1>0</formula1>
      <formula2>0</formula2>
    </dataValidation>
    <dataValidation type="list" allowBlank="1" showInputMessage="1" showErrorMessage="1" sqref="E10:I10" xr:uid="{00000000-0002-0000-0300-000001000000}">
      <formula1>"Etanol,Gasolina,Diesel,Elétrico"</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K221"/>
  <sheetViews>
    <sheetView showGridLines="0" zoomScaleNormal="100" workbookViewId="0">
      <selection activeCell="D5" sqref="D5"/>
    </sheetView>
  </sheetViews>
  <sheetFormatPr defaultRowHeight="14.4"/>
  <cols>
    <col min="1" max="1" width="2.109375" style="3" customWidth="1"/>
    <col min="2" max="2" width="4.33203125" style="4" customWidth="1"/>
    <col min="3" max="3" width="59" style="5" customWidth="1"/>
    <col min="4" max="4" width="17.109375" style="6" customWidth="1"/>
    <col min="5" max="5" width="17.109375" style="5" customWidth="1"/>
    <col min="6" max="7" width="17.109375" style="3" customWidth="1"/>
    <col min="8" max="8" width="15.5546875" style="3" customWidth="1"/>
    <col min="9" max="9" width="7.44140625" style="3" hidden="1" customWidth="1"/>
    <col min="10" max="10" width="2.109375" style="350" customWidth="1"/>
    <col min="11" max="11" width="12" style="350" hidden="1" customWidth="1"/>
    <col min="12" max="12" width="15.109375" style="350" customWidth="1"/>
    <col min="13" max="13" width="16" style="350" customWidth="1"/>
    <col min="14" max="14" width="15.109375" style="350" customWidth="1"/>
    <col min="15" max="15" width="15.6640625" style="350" customWidth="1"/>
    <col min="16" max="16" width="9.109375" style="350" customWidth="1"/>
    <col min="17" max="17" width="12.44140625" style="350" customWidth="1"/>
    <col min="18" max="18" width="12.88671875" style="350" customWidth="1"/>
    <col min="19" max="53" width="9.109375" style="350" customWidth="1"/>
    <col min="54" max="1025" width="9.109375" style="3" customWidth="1"/>
  </cols>
  <sheetData>
    <row r="1" spans="1:53" ht="11.25" customHeight="1">
      <c r="A1" s="7"/>
      <c r="B1" s="8"/>
      <c r="C1" s="9"/>
      <c r="D1" s="9"/>
      <c r="E1" s="9"/>
      <c r="F1" s="9"/>
      <c r="G1" s="9"/>
      <c r="H1" s="9"/>
      <c r="I1" s="2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row>
    <row r="2" spans="1:53" ht="57" customHeight="1">
      <c r="A2" s="683" t="str">
        <f>CONCATENATE("PREFEITURA MUNICIPAL DE PORTO ALEGRE
",D5,"
FORMAÇÃO DE PREÇOS DE REFERÊNCIA - CESSÃO DE MÃO DE OBRA")</f>
        <v>PREFEITURA MUNICIPAL DE PORTO ALEGRE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8.75" customHeight="1">
      <c r="A3" s="11"/>
      <c r="B3" s="12"/>
      <c r="C3" s="13"/>
      <c r="D3" s="13"/>
      <c r="E3" s="13"/>
      <c r="F3" s="13"/>
      <c r="G3" s="13"/>
      <c r="H3" s="13"/>
      <c r="I3" s="13"/>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row>
    <row r="4" spans="1:53" ht="15" customHeight="1">
      <c r="B4" s="14"/>
      <c r="C4" s="15" t="s">
        <v>0</v>
      </c>
      <c r="D4" s="16"/>
      <c r="E4" s="17"/>
      <c r="G4" s="18"/>
      <c r="H4" s="18"/>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row>
    <row r="5" spans="1:53" ht="15.75" customHeight="1">
      <c r="B5" s="19" t="s">
        <v>1</v>
      </c>
      <c r="C5" s="20" t="s">
        <v>2</v>
      </c>
      <c r="D5" s="684"/>
      <c r="E5" s="684"/>
      <c r="G5" s="21"/>
      <c r="H5" s="22">
        <v>3</v>
      </c>
      <c r="J5" s="10"/>
      <c r="K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row>
    <row r="6" spans="1:53">
      <c r="B6" s="23" t="s">
        <v>4</v>
      </c>
      <c r="C6" s="20" t="s">
        <v>5</v>
      </c>
      <c r="D6" s="685"/>
      <c r="E6" s="685"/>
      <c r="G6" s="11"/>
      <c r="H6" s="24"/>
      <c r="J6" s="10"/>
      <c r="K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row>
    <row r="7" spans="1:53">
      <c r="B7" s="19" t="s">
        <v>6</v>
      </c>
      <c r="C7" s="20" t="s">
        <v>7</v>
      </c>
      <c r="D7" s="685"/>
      <c r="E7" s="685"/>
      <c r="G7" s="11"/>
      <c r="H7" s="24"/>
      <c r="J7" s="10"/>
      <c r="K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row>
    <row r="8" spans="1:53">
      <c r="B8" s="23" t="s">
        <v>9</v>
      </c>
      <c r="C8" s="20" t="s">
        <v>10</v>
      </c>
      <c r="D8" s="684"/>
      <c r="E8" s="684"/>
      <c r="G8" s="25"/>
      <c r="H8" s="24"/>
      <c r="J8" s="10"/>
      <c r="K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row r="9" spans="1:53">
      <c r="B9" s="19" t="s">
        <v>12</v>
      </c>
      <c r="C9" s="20" t="s">
        <v>13</v>
      </c>
      <c r="D9" s="679"/>
      <c r="E9" s="679"/>
      <c r="J9" s="10"/>
      <c r="K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row>
    <row r="10" spans="1:53">
      <c r="B10" s="23" t="s">
        <v>15</v>
      </c>
      <c r="C10" s="5" t="s">
        <v>16</v>
      </c>
      <c r="D10" s="680"/>
      <c r="E10" s="680"/>
      <c r="J10" s="10"/>
      <c r="K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row>
    <row r="11" spans="1:53">
      <c r="B11" s="23" t="s">
        <v>17</v>
      </c>
      <c r="C11" s="20" t="s">
        <v>18</v>
      </c>
      <c r="D11" s="681"/>
      <c r="E11" s="681"/>
      <c r="J11" s="10"/>
      <c r="K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row>
    <row r="12" spans="1:53">
      <c r="B12" s="19" t="s">
        <v>20</v>
      </c>
      <c r="C12" s="20" t="s">
        <v>21</v>
      </c>
      <c r="D12" s="682">
        <f>'Mão de Obra'!D12</f>
        <v>60</v>
      </c>
      <c r="E12" s="682"/>
      <c r="J12" s="10"/>
      <c r="K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row>
    <row r="13" spans="1:53">
      <c r="B13" s="23" t="s">
        <v>22</v>
      </c>
      <c r="C13" s="20" t="s">
        <v>23</v>
      </c>
      <c r="D13" s="681" t="s">
        <v>24</v>
      </c>
      <c r="E13" s="681"/>
    </row>
    <row r="14" spans="1:53">
      <c r="B14" s="19" t="s">
        <v>25</v>
      </c>
      <c r="C14" s="20" t="s">
        <v>26</v>
      </c>
      <c r="D14" s="676"/>
      <c r="E14" s="676"/>
    </row>
    <row r="15" spans="1:53">
      <c r="B15" s="19" t="s">
        <v>27</v>
      </c>
      <c r="C15" s="20" t="s">
        <v>28</v>
      </c>
      <c r="D15" s="677">
        <f>'Mão de Obra'!D15:E15</f>
        <v>1518</v>
      </c>
      <c r="E15" s="677"/>
    </row>
    <row r="16" spans="1:53">
      <c r="A16" s="26"/>
      <c r="B16" s="27"/>
      <c r="C16" s="28"/>
      <c r="D16" s="29"/>
      <c r="E16" s="28"/>
      <c r="F16" s="30"/>
      <c r="G16" s="30"/>
      <c r="H16" s="30"/>
      <c r="I16" s="30"/>
    </row>
    <row r="17" spans="1:53" s="12" customFormat="1">
      <c r="A17" s="31"/>
      <c r="B17" s="14"/>
      <c r="C17" s="15" t="s">
        <v>29</v>
      </c>
      <c r="D17" s="16"/>
      <c r="E17" s="32" t="s">
        <v>274</v>
      </c>
      <c r="F17" s="32" t="s">
        <v>275</v>
      </c>
      <c r="G17" s="32" t="s">
        <v>276</v>
      </c>
      <c r="H17" s="32" t="s">
        <v>277</v>
      </c>
      <c r="I17" s="32" t="str">
        <f>CONCATENATE("Posto ",CHAR(COLUMN()+60))</f>
        <v>Posto E</v>
      </c>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242"/>
      <c r="AN17" s="242"/>
      <c r="AO17" s="242"/>
      <c r="AP17" s="242"/>
      <c r="AQ17" s="242"/>
      <c r="AR17" s="242"/>
      <c r="AS17" s="242"/>
      <c r="AT17" s="242"/>
      <c r="AU17" s="242"/>
      <c r="AV17" s="242"/>
      <c r="AW17" s="242"/>
      <c r="AX17" s="242"/>
      <c r="AY17" s="242"/>
      <c r="AZ17" s="242"/>
      <c r="BA17" s="242"/>
    </row>
    <row r="18" spans="1:53" s="38" customFormat="1" ht="28.8">
      <c r="A18" s="33"/>
      <c r="B18" s="34" t="s">
        <v>1</v>
      </c>
      <c r="C18" s="35" t="s">
        <v>50</v>
      </c>
      <c r="D18" s="36"/>
      <c r="E18" s="37" t="s">
        <v>278</v>
      </c>
      <c r="F18" s="37" t="s">
        <v>278</v>
      </c>
      <c r="G18" s="37" t="s">
        <v>279</v>
      </c>
      <c r="H18" s="37" t="s">
        <v>279</v>
      </c>
      <c r="I18" s="37"/>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row>
    <row r="19" spans="1:53">
      <c r="A19" s="39"/>
      <c r="B19" s="40" t="s">
        <v>4</v>
      </c>
      <c r="C19" s="41" t="s">
        <v>52</v>
      </c>
      <c r="D19" s="42"/>
      <c r="E19" s="37"/>
      <c r="F19" s="37"/>
      <c r="G19" s="37"/>
      <c r="H19" s="37"/>
      <c r="I19" s="37"/>
    </row>
    <row r="20" spans="1:53">
      <c r="A20" s="44"/>
      <c r="B20" s="19" t="s">
        <v>6</v>
      </c>
      <c r="C20" s="45" t="s">
        <v>53</v>
      </c>
      <c r="D20" s="46"/>
      <c r="E20" s="47">
        <f>IFERROR(VLOOKUP(E$18,'Apoio - Posto'!$A:$J,2,0),"")</f>
        <v>5143</v>
      </c>
      <c r="F20" s="47">
        <f>IFERROR(VLOOKUP(F$18,'Apoio - Posto'!$A:$J,2,0),"")</f>
        <v>5143</v>
      </c>
      <c r="G20" s="47">
        <f>IFERROR(VLOOKUP(G$18,'Apoio - Posto'!$A:$J,2,0),"")</f>
        <v>5143</v>
      </c>
      <c r="H20" s="47">
        <f>IFERROR(VLOOKUP(H$18,'Apoio - Posto'!$A:$J,2,0),"")</f>
        <v>5143</v>
      </c>
      <c r="I20" s="47" t="str">
        <f>IFERROR(VLOOKUP(I$18,'Apoio - Posto'!$A:$J,2,0),"")</f>
        <v/>
      </c>
    </row>
    <row r="21" spans="1:53">
      <c r="A21" s="48"/>
      <c r="B21" s="23" t="s">
        <v>9</v>
      </c>
      <c r="C21" s="49" t="s">
        <v>54</v>
      </c>
      <c r="D21" s="50"/>
      <c r="E21" s="2">
        <f>IFERROR(VLOOKUP(E$18,'Apoio - Posto'!$A:$AA,7,0),"")</f>
        <v>1653.58</v>
      </c>
      <c r="F21" s="2">
        <f>IFERROR(VLOOKUP(F$18,'Apoio - Posto'!$A:$AA,7,0),"")</f>
        <v>1653.58</v>
      </c>
      <c r="G21" s="2">
        <f>IFERROR(VLOOKUP(G$18,'Apoio - Posto'!$A:$AA,7,0),"")</f>
        <v>2101.14</v>
      </c>
      <c r="H21" s="2">
        <f>IFERROR(VLOOKUP(H$18,'Apoio - Posto'!$A:$AA,7,0),"")</f>
        <v>2101.14</v>
      </c>
      <c r="I21" s="2" t="str">
        <f>IFERROR(VLOOKUP(I$18,'Apoio - Posto'!$A:$AA,7,0),"")</f>
        <v/>
      </c>
    </row>
    <row r="22" spans="1:53">
      <c r="A22" s="44"/>
      <c r="B22" s="19" t="s">
        <v>12</v>
      </c>
      <c r="C22" s="45" t="s">
        <v>55</v>
      </c>
      <c r="D22" s="46"/>
      <c r="E22" s="51">
        <f>IFERROR(VLOOKUP(E$18,'Apoio - Posto'!$A:$AA,8,0),"")</f>
        <v>220</v>
      </c>
      <c r="F22" s="51">
        <f>IFERROR(VLOOKUP(F$18,'Apoio - Posto'!$A:$AA,8,0),"")</f>
        <v>220</v>
      </c>
      <c r="G22" s="51">
        <f>IFERROR(VLOOKUP(G$18,'Apoio - Posto'!$A:$AA,8,0),"")</f>
        <v>220</v>
      </c>
      <c r="H22" s="51">
        <f>IFERROR(VLOOKUP(H$18,'Apoio - Posto'!$A:$AA,8,0),"")</f>
        <v>220</v>
      </c>
      <c r="I22" s="51" t="str">
        <f>IFERROR(VLOOKUP(I$18,'Apoio - Posto'!$A:$AA,8,0),"")</f>
        <v/>
      </c>
    </row>
    <row r="23" spans="1:53">
      <c r="A23" s="48"/>
      <c r="B23" s="23" t="s">
        <v>15</v>
      </c>
      <c r="C23" s="49" t="s">
        <v>56</v>
      </c>
      <c r="D23" s="50"/>
      <c r="E23" s="52" t="str">
        <f>IFERROR(VLOOKUP(E$18,'Apoio - Posto'!$A:$J,3,0),"")</f>
        <v>SINDASSEIO</v>
      </c>
      <c r="F23" s="52" t="str">
        <f>IFERROR(VLOOKUP(F$18,'Apoio - Posto'!$A:$J,3,0),"")</f>
        <v>SINDASSEIO</v>
      </c>
      <c r="G23" s="52" t="str">
        <f>IFERROR(VLOOKUP(G$18,'Apoio - Posto'!$A:$J,3,0),"")</f>
        <v>SINDASSEIO</v>
      </c>
      <c r="H23" s="52" t="str">
        <f>IFERROR(VLOOKUP(H$18,'Apoio - Posto'!$A:$J,3,0),"")</f>
        <v>SINDASSEIO</v>
      </c>
      <c r="I23" s="47" t="str">
        <f>IFERROR(VLOOKUP(I$18,'Apoio - Posto'!$A:$J,3,0),"")</f>
        <v/>
      </c>
    </row>
    <row r="24" spans="1:53">
      <c r="A24" s="44"/>
      <c r="B24" s="19" t="s">
        <v>17</v>
      </c>
      <c r="C24" s="45" t="s">
        <v>58</v>
      </c>
      <c r="D24" s="46"/>
      <c r="E24" s="53">
        <f>IFERROR(VLOOKUP(E$18,'Apoio - Posto'!$A:$J,5,0),"")</f>
        <v>45658</v>
      </c>
      <c r="F24" s="53">
        <f>IFERROR(VLOOKUP(F$18,'Apoio - Posto'!$A:$J,5,0),"")</f>
        <v>45658</v>
      </c>
      <c r="G24" s="53">
        <f>IFERROR(VLOOKUP(G$18,'Apoio - Posto'!$A:$J,5,0),"")</f>
        <v>45658</v>
      </c>
      <c r="H24" s="53">
        <f>IFERROR(VLOOKUP(H$18,'Apoio - Posto'!$A:$J,5,0),"")</f>
        <v>45658</v>
      </c>
      <c r="I24" s="53" t="str">
        <f>IFERROR(VLOOKUP(I$18,'Apoio - Posto'!$A:$J,5,0),"")</f>
        <v/>
      </c>
    </row>
    <row r="25" spans="1:53">
      <c r="A25" s="48"/>
      <c r="B25" s="19" t="s">
        <v>20</v>
      </c>
      <c r="C25" s="49" t="s">
        <v>59</v>
      </c>
      <c r="D25" s="50"/>
      <c r="E25" s="54" t="str">
        <f>IFERROR(VLOOKUP(E$18,'Apoio - Posto'!$A:$J,4,0),"")</f>
        <v>RS000040/2025</v>
      </c>
      <c r="F25" s="54" t="str">
        <f>IFERROR(VLOOKUP(F$18,'Apoio - Posto'!$A:$J,4,0),"")</f>
        <v>RS000040/2025</v>
      </c>
      <c r="G25" s="54" t="str">
        <f>IFERROR(VLOOKUP(G$18,'Apoio - Posto'!$A:$J,4,0),"")</f>
        <v>RS000040/2025</v>
      </c>
      <c r="H25" s="54" t="str">
        <f>IFERROR(VLOOKUP(H$18,'Apoio - Posto'!$A:$J,4,0),"")</f>
        <v>RS000040/2025</v>
      </c>
      <c r="I25" s="55" t="str">
        <f>IFERROR(VLOOKUP(I$18,'Apoio - Posto'!$A:$J,4,0),"")</f>
        <v/>
      </c>
    </row>
    <row r="26" spans="1:53">
      <c r="A26" s="44"/>
      <c r="B26" s="19" t="s">
        <v>22</v>
      </c>
      <c r="C26" s="49" t="s">
        <v>60</v>
      </c>
      <c r="D26" s="50"/>
      <c r="E26" s="55" t="s">
        <v>61</v>
      </c>
      <c r="F26" s="55" t="s">
        <v>61</v>
      </c>
      <c r="G26" s="55" t="s">
        <v>61</v>
      </c>
      <c r="H26" s="55" t="s">
        <v>61</v>
      </c>
      <c r="I26" s="55"/>
    </row>
    <row r="27" spans="1:53" hidden="1">
      <c r="A27" s="48"/>
      <c r="B27" s="23" t="s">
        <v>25</v>
      </c>
      <c r="C27" s="45" t="s">
        <v>62</v>
      </c>
      <c r="D27" s="46"/>
      <c r="E27" s="47">
        <f>8*SUM(K190:K209,K211:K213,K217:K218)/VLOOKUP(E26,'Apoio - Regime de Trabalho'!$A:$K,10,0)</f>
        <v>0</v>
      </c>
      <c r="F27" s="47">
        <f>1/30*E27</f>
        <v>0</v>
      </c>
      <c r="G27" s="47">
        <f>8*SUM(K209:K210,K215:K216)/VLOOKUP(G26,'Apoio - Regime de Trabalho'!$A:$K,10,0)</f>
        <v>0</v>
      </c>
      <c r="H27" s="47">
        <f>1/4*G27</f>
        <v>0</v>
      </c>
      <c r="I27" s="351"/>
    </row>
    <row r="28" spans="1:53" hidden="1">
      <c r="A28" s="44"/>
      <c r="B28" s="23" t="s">
        <v>27</v>
      </c>
      <c r="C28" s="45" t="s">
        <v>63</v>
      </c>
      <c r="D28" s="46"/>
      <c r="E28" s="47">
        <f>IFERROR(VLOOKUP(E26,'Apoio - Regime de Trabalho'!$A:$I,2,0),"")</f>
        <v>1</v>
      </c>
      <c r="F28" s="47">
        <f>IFERROR(VLOOKUP(F26,'Apoio - Regime de Trabalho'!$A:$I,2,0),"")</f>
        <v>1</v>
      </c>
      <c r="G28" s="47">
        <f>IFERROR(VLOOKUP(G26,'Apoio - Regime de Trabalho'!$A:$I,2,0),"")</f>
        <v>1</v>
      </c>
      <c r="H28" s="47">
        <f>IFERROR(VLOOKUP(H26,'Apoio - Regime de Trabalho'!$A:$I,2,0),"")</f>
        <v>1</v>
      </c>
      <c r="I28" s="47" t="str">
        <f>IFERROR(VLOOKUP(I26,'Apoio - Regime de Trabalho'!$A:$I,10,0),"")</f>
        <v/>
      </c>
    </row>
    <row r="29" spans="1:53" hidden="1">
      <c r="A29" s="44"/>
      <c r="B29" s="23" t="s">
        <v>64</v>
      </c>
      <c r="C29" s="45" t="s">
        <v>65</v>
      </c>
      <c r="D29" s="46"/>
      <c r="E29" s="351">
        <f>IFERROR(IF(E18="","",E28*E27),"")</f>
        <v>0</v>
      </c>
      <c r="F29" s="351">
        <f>IFERROR(IF(F18="","",F28*F27),"")</f>
        <v>0</v>
      </c>
      <c r="G29" s="351">
        <f>IFERROR(IF(G18="","",G28*G27),"")</f>
        <v>0</v>
      </c>
      <c r="H29" s="351">
        <f>IFERROR(IF(H18="","",H28*H27),"")</f>
        <v>0</v>
      </c>
      <c r="I29" s="351" t="str">
        <f>IFERROR(IF(I18="","",I28*I27),"")</f>
        <v/>
      </c>
    </row>
    <row r="30" spans="1:53">
      <c r="B30" s="56"/>
      <c r="C30" s="57"/>
      <c r="D30" s="58"/>
      <c r="E30" s="59"/>
      <c r="F30" s="59"/>
      <c r="G30" s="59"/>
      <c r="H30" s="59"/>
      <c r="I30" s="59"/>
    </row>
    <row r="31" spans="1:53" s="12" customFormat="1">
      <c r="A31" s="60"/>
      <c r="B31" s="14"/>
      <c r="C31" s="15" t="s">
        <v>66</v>
      </c>
      <c r="D31" s="61"/>
      <c r="E31" s="62"/>
      <c r="F31" s="62"/>
      <c r="G31" s="62"/>
      <c r="H31" s="62"/>
      <c r="I31" s="62"/>
      <c r="J31" s="242"/>
      <c r="K31" s="242"/>
      <c r="L31" s="242"/>
      <c r="M31" s="242"/>
      <c r="N31" s="242"/>
      <c r="O31" s="242"/>
      <c r="P31" s="242"/>
      <c r="Q31" s="242"/>
      <c r="R31" s="242"/>
      <c r="S31" s="242"/>
      <c r="T31" s="242"/>
      <c r="U31" s="242"/>
      <c r="V31" s="242"/>
      <c r="W31" s="242"/>
      <c r="X31" s="242"/>
      <c r="Y31" s="242"/>
      <c r="Z31" s="242"/>
      <c r="AA31" s="242"/>
      <c r="AB31" s="242"/>
      <c r="AC31" s="242"/>
      <c r="AD31" s="242"/>
      <c r="AE31" s="242"/>
      <c r="AF31" s="242"/>
      <c r="AG31" s="242"/>
      <c r="AH31" s="242"/>
      <c r="AI31" s="242"/>
      <c r="AJ31" s="242"/>
      <c r="AK31" s="242"/>
      <c r="AL31" s="242"/>
      <c r="AM31" s="242"/>
      <c r="AN31" s="242"/>
      <c r="AO31" s="242"/>
      <c r="AP31" s="242"/>
      <c r="AQ31" s="242"/>
      <c r="AR31" s="242"/>
      <c r="AS31" s="242"/>
      <c r="AT31" s="242"/>
      <c r="AU31" s="242"/>
      <c r="AV31" s="242"/>
      <c r="AW31" s="242"/>
      <c r="AX31" s="242"/>
      <c r="AY31" s="242"/>
      <c r="AZ31" s="242"/>
      <c r="BA31" s="242"/>
    </row>
    <row r="32" spans="1:53">
      <c r="A32" s="63"/>
      <c r="B32" s="64" t="s">
        <v>1</v>
      </c>
      <c r="C32" s="65" t="s">
        <v>67</v>
      </c>
      <c r="D32" s="66"/>
      <c r="E32" s="67">
        <f>IFERROR(E21*VLOOKUP(E26,'Apoio - Regime de Trabalho'!$A:$I,8,0)/(E22),"")</f>
        <v>1653.58</v>
      </c>
      <c r="F32" s="67">
        <f>IFERROR(F21*VLOOKUP(F26,'Apoio - Regime de Trabalho'!$A:$I,8,0)/(F22),"")</f>
        <v>1653.58</v>
      </c>
      <c r="G32" s="67">
        <f>IFERROR(G21*VLOOKUP(G26,'Apoio - Regime de Trabalho'!$A:$I,8,0)/(G22),"")</f>
        <v>2101.14</v>
      </c>
      <c r="H32" s="67">
        <f>IFERROR(H21*VLOOKUP(H26,'Apoio - Regime de Trabalho'!$A:$I,8,0)/(H22),"")</f>
        <v>2101.14</v>
      </c>
      <c r="I32" s="67" t="str">
        <f>IFERROR(ROUND(I21*VLOOKUP(I26,'Apoio - Regime de Trabalho'!$A:$I,8,0)/(I22),2),"")</f>
        <v/>
      </c>
    </row>
    <row r="33" spans="1:9">
      <c r="A33" s="63"/>
      <c r="B33" s="678" t="s">
        <v>4</v>
      </c>
      <c r="C33" s="68" t="s">
        <v>68</v>
      </c>
      <c r="D33" s="69"/>
      <c r="E33" s="70"/>
      <c r="F33" s="70"/>
      <c r="G33" s="70"/>
      <c r="H33" s="70"/>
      <c r="I33" s="70"/>
    </row>
    <row r="34" spans="1:9">
      <c r="A34" s="63"/>
      <c r="B34" s="678"/>
      <c r="C34" s="71" t="s">
        <v>69</v>
      </c>
      <c r="D34" s="72"/>
      <c r="E34" s="73">
        <f>IFERROR(VLOOKUP(E$18,'Apoio - Posto'!$A:$AA,15,0),"")</f>
        <v>0</v>
      </c>
      <c r="F34" s="73">
        <f>IFERROR(VLOOKUP(F$18,'Apoio - Posto'!$A:$AA,15,0),"")</f>
        <v>0</v>
      </c>
      <c r="G34" s="73">
        <f>IFERROR(VLOOKUP(G$18,'Apoio - Posto'!$A:$AA,15,0),"")</f>
        <v>0.3</v>
      </c>
      <c r="H34" s="73">
        <f>IFERROR(VLOOKUP(H$18,'Apoio - Posto'!$A:$AA,15,0),"")</f>
        <v>0.3</v>
      </c>
      <c r="I34" s="73" t="str">
        <f>IFERROR(VLOOKUP(I$18,'Apoio - Posto'!$A:$AA,15,0),"")</f>
        <v/>
      </c>
    </row>
    <row r="35" spans="1:9">
      <c r="A35" s="63"/>
      <c r="B35" s="678"/>
      <c r="C35" s="74"/>
      <c r="D35" s="75" t="s">
        <v>70</v>
      </c>
      <c r="E35" s="76">
        <f>IFERROR((E32)*E34,"")</f>
        <v>0</v>
      </c>
      <c r="F35" s="76">
        <f>IFERROR((F32)*F34,"")</f>
        <v>0</v>
      </c>
      <c r="G35" s="76">
        <f>IFERROR((G32)*G34,"")</f>
        <v>630.34199999999998</v>
      </c>
      <c r="H35" s="76">
        <f>IFERROR((H32)*H34,"")</f>
        <v>630.34199999999998</v>
      </c>
      <c r="I35" s="76" t="str">
        <f>IFERROR(ROUND((I32)*I34,2),"")</f>
        <v/>
      </c>
    </row>
    <row r="36" spans="1:9">
      <c r="A36" s="63"/>
      <c r="B36" s="674" t="s">
        <v>6</v>
      </c>
      <c r="C36" s="77" t="s">
        <v>71</v>
      </c>
      <c r="D36" s="78"/>
      <c r="E36" s="79"/>
      <c r="F36" s="79"/>
      <c r="G36" s="79"/>
      <c r="H36" s="79"/>
      <c r="I36" s="79"/>
    </row>
    <row r="37" spans="1:9">
      <c r="A37" s="63"/>
      <c r="B37" s="674"/>
      <c r="C37" s="80" t="s">
        <v>72</v>
      </c>
      <c r="D37" s="81"/>
      <c r="E37" s="82" t="str">
        <f>IFERROR(VLOOKUP(E$18,'Apoio - Posto'!$A:$AA,14,0),"")</f>
        <v>Salário Base</v>
      </c>
      <c r="F37" s="82" t="str">
        <f>IFERROR(VLOOKUP(F$18,'Apoio - Posto'!$A:$AA,14,0),"")</f>
        <v>Salário Base</v>
      </c>
      <c r="G37" s="82" t="str">
        <f>IFERROR(VLOOKUP(G$18,'Apoio - Posto'!$A:$AA,14,0),"")</f>
        <v>Salário Base</v>
      </c>
      <c r="H37" s="82" t="str">
        <f>IFERROR(VLOOKUP(H$18,'Apoio - Posto'!$A:$AA,14,0),"")</f>
        <v>Salário Base</v>
      </c>
      <c r="I37" s="82" t="str">
        <f>IFERROR(VLOOKUP(I$18,'Apoio - Posto'!$A:$AA,14,0),"")</f>
        <v/>
      </c>
    </row>
    <row r="38" spans="1:9">
      <c r="A38" s="63"/>
      <c r="B38" s="674"/>
      <c r="C38" s="83" t="s">
        <v>73</v>
      </c>
      <c r="D38" s="84"/>
      <c r="E38" s="85">
        <v>0.4</v>
      </c>
      <c r="F38" s="85">
        <v>0.2</v>
      </c>
      <c r="G38" s="85"/>
      <c r="H38" s="85"/>
      <c r="I38" s="85" t="str">
        <f>IFERROR(VLOOKUP(I$18,'Apoio - Posto'!$A:$AA,13,0),"")</f>
        <v/>
      </c>
    </row>
    <row r="39" spans="1:9">
      <c r="A39" s="63"/>
      <c r="B39" s="674"/>
      <c r="C39" s="86"/>
      <c r="D39" s="75" t="s">
        <v>70</v>
      </c>
      <c r="E39" s="76">
        <f>IF(E21="","",IFERROR(IF(E37="Salário Base",E$32,IF(E37="Salário Mínimo",$D$15,0))*E38,""))</f>
        <v>661.43200000000002</v>
      </c>
      <c r="F39" s="76">
        <f>IF(F21="","",IFERROR(IF(F37="Salário Base",F$32,IF(F37="Salário Mínimo",$D$15,0))*F38,""))</f>
        <v>330.71600000000001</v>
      </c>
      <c r="G39" s="76">
        <f>IF(G21="","",IFERROR(IF(G37="Salário Base",G$32,IF(G37="Salário Mínimo",$D$15,0))*G38,""))</f>
        <v>0</v>
      </c>
      <c r="H39" s="76">
        <f>IF(H21="","",IFERROR(IF(H37="Salário Base",H$32,IF(H37="Salário Mínimo",$D$15,0))*H38,""))</f>
        <v>0</v>
      </c>
      <c r="I39" s="76" t="str">
        <f>IF(I21="","",IFERROR(ROUND(IF(I37="Salário Base",I$32,IF(I37="Salário Mínimo",$D$15,0))*I38,2),""))</f>
        <v/>
      </c>
    </row>
    <row r="40" spans="1:9">
      <c r="A40" s="87"/>
      <c r="B40" s="678" t="s">
        <v>9</v>
      </c>
      <c r="C40" s="68" t="s">
        <v>74</v>
      </c>
      <c r="D40" s="88"/>
      <c r="E40" s="89"/>
      <c r="F40" s="89"/>
      <c r="G40" s="89"/>
      <c r="H40" s="89"/>
      <c r="I40" s="89"/>
    </row>
    <row r="41" spans="1:9">
      <c r="A41" s="87"/>
      <c r="B41" s="678"/>
      <c r="C41" s="90" t="s">
        <v>73</v>
      </c>
      <c r="D41" s="72"/>
      <c r="E41" s="352"/>
      <c r="F41" s="352">
        <v>0.2</v>
      </c>
      <c r="G41" s="352"/>
      <c r="H41" s="352">
        <v>0.2</v>
      </c>
      <c r="I41" s="352"/>
    </row>
    <row r="42" spans="1:9">
      <c r="A42" s="87"/>
      <c r="B42" s="678"/>
      <c r="C42" s="86"/>
      <c r="D42" s="75" t="s">
        <v>70</v>
      </c>
      <c r="E42" s="76">
        <f>IFERROR(E41*E$32,"")</f>
        <v>0</v>
      </c>
      <c r="F42" s="76">
        <f>IFERROR(F41*F$32,"")</f>
        <v>330.71600000000001</v>
      </c>
      <c r="G42" s="76">
        <f>IFERROR(G41*G$32,"")</f>
        <v>0</v>
      </c>
      <c r="H42" s="76">
        <f>IFERROR(H41*H$32,"")</f>
        <v>420.22800000000001</v>
      </c>
      <c r="I42" s="76" t="str">
        <f>IFERROR(ROUND(I41*I$32,2),"")</f>
        <v/>
      </c>
    </row>
    <row r="43" spans="1:9">
      <c r="A43" s="63"/>
      <c r="B43" s="674" t="s">
        <v>12</v>
      </c>
      <c r="C43" s="91" t="s">
        <v>75</v>
      </c>
      <c r="D43" s="92"/>
      <c r="E43" s="93"/>
      <c r="F43" s="93"/>
      <c r="G43" s="93"/>
      <c r="H43" s="93"/>
      <c r="I43" s="93"/>
    </row>
    <row r="44" spans="1:9">
      <c r="A44" s="63"/>
      <c r="B44" s="674"/>
      <c r="C44" s="80" t="s">
        <v>76</v>
      </c>
      <c r="D44" s="94"/>
      <c r="E44" s="95" t="str">
        <f>IF(AND(E20=5173,E26="12x36 Noturno"),8,"")</f>
        <v/>
      </c>
      <c r="F44" s="95" t="str">
        <f>IF(AND(F20=5173,F26="12x36 Noturno"),8,"")</f>
        <v/>
      </c>
      <c r="G44" s="95" t="str">
        <f>IF(AND(G20=5173,G26="12x36 Noturno"),8,"")</f>
        <v/>
      </c>
      <c r="H44" s="95" t="str">
        <f>IF(AND(H20=5173,H26="12x36 Noturno"),8,"")</f>
        <v/>
      </c>
      <c r="I44" s="95" t="str">
        <f>IF(AND(I20=5173,I26="12x36 Noturno"),8,"")</f>
        <v/>
      </c>
    </row>
    <row r="45" spans="1:9">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row>
    <row r="46" spans="1:9">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IFERROR(ROUND(SUM(I$32,I$35,I$39)/(VLOOKUP(I$26,'Apoio - Regime de Trabalho'!$A:$I,8,0))*20%*I$44*I$45,2),"")</f>
        <v/>
      </c>
    </row>
    <row r="47" spans="1:9">
      <c r="A47" s="63"/>
      <c r="B47" s="675" t="s">
        <v>15</v>
      </c>
      <c r="C47" s="100" t="s">
        <v>78</v>
      </c>
      <c r="D47" s="88"/>
      <c r="E47" s="101"/>
      <c r="F47" s="101"/>
      <c r="G47" s="101"/>
      <c r="H47" s="101"/>
      <c r="I47" s="101"/>
    </row>
    <row r="48" spans="1:9">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row>
    <row r="49" spans="1:53">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IFERROR(ROUND(I48*(SUM(I$32+I$35+I$39)/(VLOOKUP(I$26,'Apoio - Regime de Trabalho'!$A:$I,8,0))*120%),2),"")</f>
        <v/>
      </c>
    </row>
    <row r="50" spans="1:53">
      <c r="A50" s="102"/>
      <c r="B50" s="673" t="s">
        <v>17</v>
      </c>
      <c r="C50" s="106" t="s">
        <v>80</v>
      </c>
      <c r="D50" s="88"/>
      <c r="E50" s="89"/>
      <c r="F50" s="89"/>
      <c r="G50" s="89"/>
      <c r="H50" s="89"/>
      <c r="I50" s="89"/>
    </row>
    <row r="51" spans="1:53">
      <c r="A51" s="63"/>
      <c r="B51" s="673"/>
      <c r="C51" s="80" t="s">
        <v>73</v>
      </c>
      <c r="D51" s="107"/>
      <c r="E51" s="108"/>
      <c r="F51" s="108"/>
      <c r="G51" s="108"/>
      <c r="H51" s="108"/>
      <c r="I51" s="108"/>
    </row>
    <row r="52" spans="1:53">
      <c r="A52" s="63"/>
      <c r="B52" s="673"/>
      <c r="C52" s="83" t="s">
        <v>81</v>
      </c>
      <c r="D52" s="109"/>
      <c r="E52" s="110"/>
      <c r="F52" s="110"/>
      <c r="G52" s="110"/>
      <c r="H52" s="110"/>
      <c r="I52" s="110"/>
    </row>
    <row r="53" spans="1:53">
      <c r="A53" s="63"/>
      <c r="B53" s="673"/>
      <c r="C53" s="98"/>
      <c r="D53" s="75" t="s">
        <v>70</v>
      </c>
      <c r="E53" s="76">
        <f>IFERROR(SUM(E$32,E$35,E$39,E$46)/(VLOOKUP(E$26,'Apoio - Regime de Trabalho'!$A:$I,8,0))*(1+E$51)*E$52,"")</f>
        <v>0</v>
      </c>
      <c r="F53" s="76">
        <f>IFERROR(SUM(F$32,F$35,F$39,F$46)/(VLOOKUP(F$26,'Apoio - Regime de Trabalho'!$A:$I,8,0))*(1+F$51)*F$52,"")</f>
        <v>0</v>
      </c>
      <c r="G53" s="76">
        <f>IFERROR(SUM(G$32,G$35,G$39,G$46)/(VLOOKUP(G$26,'Apoio - Regime de Trabalho'!$A:$I,8,0))*(1+G$51)*G$52,"")</f>
        <v>0</v>
      </c>
      <c r="H53" s="76">
        <f>IFERROR(SUM(H$32,H$35,H$39,H$46)/(VLOOKUP(H$26,'Apoio - Regime de Trabalho'!$A:$I,8,0))*(1+H$51)*H$52,"")</f>
        <v>0</v>
      </c>
      <c r="I53" s="76" t="str">
        <f>IFERROR(ROUND(SUM(I$32,I$35,I$39,I$46)/(VLOOKUP(I$26,'Apoio - Regime de Trabalho'!$A:$I,8,0))*(1+I$51)*I$52,2),"")</f>
        <v/>
      </c>
    </row>
    <row r="54" spans="1:53">
      <c r="A54" s="63"/>
      <c r="B54" s="675" t="s">
        <v>20</v>
      </c>
      <c r="C54" s="100" t="s">
        <v>82</v>
      </c>
      <c r="D54" s="88"/>
      <c r="E54" s="89"/>
      <c r="F54" s="89"/>
      <c r="G54" s="89"/>
      <c r="H54" s="89"/>
      <c r="I54" s="89"/>
    </row>
    <row r="55" spans="1:53">
      <c r="A55" s="63"/>
      <c r="B55" s="675"/>
      <c r="C55" s="103" t="s">
        <v>83</v>
      </c>
      <c r="D55" s="72"/>
      <c r="E55" s="111">
        <f>IF(E18="","",IFERROR(SUM(E$46,E49)*20%,""))</f>
        <v>0</v>
      </c>
      <c r="F55" s="111">
        <f>IF(F18="","",IFERROR(SUM(F$46,F49)*20%,""))</f>
        <v>0</v>
      </c>
      <c r="G55" s="111">
        <f>IF(G18="","",IFERROR(SUM(G$46,G49)*20%,""))</f>
        <v>0</v>
      </c>
      <c r="H55" s="111">
        <f>IF(H18="","",IFERROR(SUM(H$46,H49)*20%,""))</f>
        <v>0</v>
      </c>
      <c r="I55" s="111" t="str">
        <f>IF(I18="","",IFERROR(ROUND(SUM(I$46,I49)*20%,2),""))</f>
        <v/>
      </c>
    </row>
    <row r="56" spans="1:53">
      <c r="A56" s="63"/>
      <c r="B56" s="675"/>
      <c r="C56" s="112" t="s">
        <v>84</v>
      </c>
      <c r="D56" s="113" t="s">
        <v>85</v>
      </c>
      <c r="E56" s="114">
        <f>IFERROR(IF(E18="","",IF(D56="Não",0,E53*20%)),"")</f>
        <v>0</v>
      </c>
      <c r="F56" s="114">
        <f>IFERROR(IF(F18="","",IF(E56="Não",0,F53*20%)),"")</f>
        <v>0</v>
      </c>
      <c r="G56" s="114">
        <f>IFERROR(IF(G18="","",IF(F56="Não",0,G53*20%)),"")</f>
        <v>0</v>
      </c>
      <c r="H56" s="114">
        <f>IFERROR(IF(H18="","",IF(G56="Não",0,H53*20%)),"")</f>
        <v>0</v>
      </c>
      <c r="I56" s="114" t="str">
        <f>IFERROR(IF(I18="","",IF(H56="Não",0,ROUND(I53*20%,2))),"")</f>
        <v/>
      </c>
    </row>
    <row r="57" spans="1:53">
      <c r="A57" s="63"/>
      <c r="B57" s="675"/>
      <c r="C57" s="112" t="s">
        <v>86</v>
      </c>
      <c r="D57" s="113"/>
      <c r="E57" s="114">
        <f>IF(E21="","",IFERROR(E$59*20%,""))</f>
        <v>0</v>
      </c>
      <c r="F57" s="114">
        <f>IF(F21="","",IFERROR(F$59*20%,""))</f>
        <v>0</v>
      </c>
      <c r="G57" s="114">
        <f>IF(G21="","",IFERROR(G$59*20%,""))</f>
        <v>0</v>
      </c>
      <c r="H57" s="114">
        <f>IF(H21="","",IFERROR(H$59*20%,""))</f>
        <v>0</v>
      </c>
      <c r="I57" s="353" t="str">
        <f>IF(I21="","",IFERROR(ROUND(I$59*20%,2),""))</f>
        <v/>
      </c>
    </row>
    <row r="58" spans="1:53">
      <c r="A58" s="63"/>
      <c r="B58" s="675"/>
      <c r="C58" s="105"/>
      <c r="D58" s="75" t="s">
        <v>70</v>
      </c>
      <c r="E58" s="76" t="str">
        <f>IF(SUM(E55:E57)=0,"",SUM(E55:E57))</f>
        <v/>
      </c>
      <c r="F58" s="76" t="str">
        <f>IF(SUM(F55:F57)=0,"",SUM(F55:F57))</f>
        <v/>
      </c>
      <c r="G58" s="76" t="str">
        <f>IF(SUM(G55:G57)=0,"",SUM(G55:G57))</f>
        <v/>
      </c>
      <c r="H58" s="76" t="str">
        <f>IF(SUM(H55:H57)=0,"",SUM(H55:H57))</f>
        <v/>
      </c>
      <c r="I58" s="76" t="str">
        <f>IF(SUM(I55:I57)=0,"",SUM(I55:I57))</f>
        <v/>
      </c>
    </row>
    <row r="59" spans="1:53">
      <c r="A59" s="63"/>
      <c r="B59" s="115" t="s">
        <v>22</v>
      </c>
      <c r="C59" s="116" t="s">
        <v>87</v>
      </c>
      <c r="D59" s="117"/>
      <c r="E59" s="118">
        <f>IFERROR(IFERROR(VLOOKUP(E$18,'Apoio - Posto'!$A:$AA,12,0),"")*VLOOKUP(E26,'Apoio - Regime de Trabalho'!$A:$I,7,0),"")</f>
        <v>0</v>
      </c>
      <c r="F59" s="118">
        <f>IFERROR(IFERROR(VLOOKUP(F$18,'Apoio - Posto'!$A:$AA,12,0),"")*VLOOKUP(F26,'Apoio - Regime de Trabalho'!$A:$I,7,0),"")</f>
        <v>0</v>
      </c>
      <c r="G59" s="118">
        <f>IFERROR(IFERROR(VLOOKUP(G$18,'Apoio - Posto'!$A:$AA,12,0),"")*VLOOKUP(G26,'Apoio - Regime de Trabalho'!$A:$I,7,0),"")</f>
        <v>0</v>
      </c>
      <c r="H59" s="118">
        <f>IFERROR(IFERROR(VLOOKUP(H$18,'Apoio - Posto'!$A:$AA,12,0),"")*VLOOKUP(H26,'Apoio - Regime de Trabalho'!$A:$I,7,0),"")</f>
        <v>0</v>
      </c>
      <c r="I59" s="118" t="str">
        <f>IFERROR(IFERROR(VLOOKUP(I$18,'Apoio - Posto'!$A:$AA,12,0),"")*VLOOKUP(I26,'Apoio - Regime de Trabalho'!$A:$I,7,0),"")</f>
        <v/>
      </c>
    </row>
    <row r="60" spans="1:53">
      <c r="A60" s="119"/>
      <c r="B60" s="1" t="s">
        <v>25</v>
      </c>
      <c r="C60" s="120" t="s">
        <v>88</v>
      </c>
      <c r="D60" s="121"/>
      <c r="E60" s="122"/>
      <c r="F60" s="122"/>
      <c r="G60" s="122"/>
      <c r="H60" s="122"/>
      <c r="I60" s="122"/>
    </row>
    <row r="61" spans="1:53" s="129" customFormat="1">
      <c r="A61" s="123"/>
      <c r="B61" s="124"/>
      <c r="C61" s="15" t="s">
        <v>89</v>
      </c>
      <c r="D61" s="125"/>
      <c r="E61" s="126">
        <f>IF(E21="","",SUM(E32,E35,E39,E42,E46,E49,E53,E58,E59,E60))</f>
        <v>2315.0119999999997</v>
      </c>
      <c r="F61" s="127">
        <f>IF(F21="","",SUM(F32,F35,F39,F42,F46,F49,F53,F58,F59,F60))</f>
        <v>2315.0119999999997</v>
      </c>
      <c r="G61" s="127">
        <f>IF(G21="","",SUM(G32,G35,G39,G42,G46,G49,G53,G58,G59,G60))</f>
        <v>2731.482</v>
      </c>
      <c r="H61" s="128">
        <f>IF(H21="","",SUM(H32,H35,H39,H42,H46,H49,H53,H58,H59,H60))</f>
        <v>3151.71</v>
      </c>
      <c r="I61" s="127" t="str">
        <f>IF(I21="","",SUM(I32,I35,I39,I42,I46,I49,I53,I58,I59,I60))</f>
        <v/>
      </c>
      <c r="J61" s="354"/>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c r="AH61" s="355"/>
      <c r="AI61" s="355"/>
      <c r="AJ61" s="355"/>
      <c r="AK61" s="355"/>
      <c r="AL61" s="355"/>
      <c r="AM61" s="355"/>
      <c r="AN61" s="355"/>
      <c r="AO61" s="355"/>
      <c r="AP61" s="355"/>
      <c r="AQ61" s="355"/>
      <c r="AR61" s="355"/>
      <c r="AS61" s="355"/>
      <c r="AT61" s="355"/>
      <c r="AU61" s="355"/>
      <c r="AV61" s="355"/>
      <c r="AW61" s="355"/>
      <c r="AX61" s="355"/>
      <c r="AY61" s="355"/>
      <c r="AZ61" s="355"/>
      <c r="BA61" s="355"/>
    </row>
    <row r="62" spans="1:53" s="131" customFormat="1">
      <c r="A62" s="130"/>
      <c r="D62" s="132"/>
      <c r="E62" s="133"/>
      <c r="F62" s="133"/>
      <c r="G62" s="133"/>
      <c r="H62" s="133"/>
      <c r="I62" s="133"/>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row>
    <row r="63" spans="1:53" s="135" customFormat="1">
      <c r="A63" s="134"/>
      <c r="B63" s="14"/>
      <c r="C63" s="15" t="s">
        <v>90</v>
      </c>
      <c r="D63" s="61"/>
      <c r="E63" s="62"/>
      <c r="F63" s="62"/>
      <c r="G63" s="62"/>
      <c r="H63" s="62"/>
      <c r="I63" s="62"/>
      <c r="J63" s="357"/>
      <c r="K63" s="357"/>
      <c r="L63" s="357"/>
      <c r="M63" s="357"/>
      <c r="N63" s="357"/>
      <c r="O63" s="357"/>
      <c r="P63" s="357"/>
      <c r="Q63" s="357"/>
      <c r="R63" s="357"/>
      <c r="S63" s="357"/>
      <c r="T63" s="357"/>
      <c r="U63" s="357"/>
      <c r="V63" s="357"/>
      <c r="W63" s="357"/>
      <c r="X63" s="357"/>
      <c r="Y63" s="357"/>
      <c r="Z63" s="357"/>
      <c r="AA63" s="357"/>
      <c r="AB63" s="357"/>
      <c r="AC63" s="357"/>
      <c r="AD63" s="357"/>
      <c r="AE63" s="357"/>
      <c r="AF63" s="357"/>
      <c r="AG63" s="357"/>
      <c r="AH63" s="357"/>
      <c r="AI63" s="357"/>
      <c r="AJ63" s="357"/>
      <c r="AK63" s="357"/>
      <c r="AL63" s="357"/>
      <c r="AM63" s="357"/>
      <c r="AN63" s="357"/>
      <c r="AO63" s="357"/>
      <c r="AP63" s="357"/>
      <c r="AQ63" s="357"/>
      <c r="AR63" s="357"/>
      <c r="AS63" s="357"/>
      <c r="AT63" s="357"/>
      <c r="AU63" s="357"/>
      <c r="AV63" s="357"/>
      <c r="AW63" s="357"/>
      <c r="AX63" s="357"/>
      <c r="AY63" s="357"/>
      <c r="AZ63" s="357"/>
      <c r="BA63" s="357"/>
    </row>
    <row r="64" spans="1:53" ht="3.75" customHeight="1">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row>
    <row r="65" spans="1:53" s="135" customFormat="1">
      <c r="A65" s="136"/>
      <c r="B65" s="137"/>
      <c r="C65" s="138" t="s">
        <v>91</v>
      </c>
      <c r="D65" s="139"/>
      <c r="E65" s="140"/>
      <c r="F65" s="140"/>
      <c r="G65" s="140"/>
      <c r="H65" s="141"/>
      <c r="I65" s="140"/>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row>
    <row r="66" spans="1:53">
      <c r="A66" s="134"/>
      <c r="B66" s="142" t="s">
        <v>1</v>
      </c>
      <c r="C66" s="143" t="s">
        <v>92</v>
      </c>
      <c r="D66" s="144">
        <f>IFERROR(INDEX('Apoio - Notas Explicativas'!Q:Q,MATCH(C66,'Apoio - Notas Explicativas'!C:C,0)),"")</f>
        <v>8.3299999999999999E-2</v>
      </c>
      <c r="E66" s="67">
        <f t="shared" ref="E66:H68" si="0">IFERROR($D66*E$61,"")</f>
        <v>192.84049959999999</v>
      </c>
      <c r="F66" s="67">
        <f t="shared" si="0"/>
        <v>192.84049959999999</v>
      </c>
      <c r="G66" s="67">
        <f t="shared" si="0"/>
        <v>227.5324506</v>
      </c>
      <c r="H66" s="67">
        <f t="shared" si="0"/>
        <v>262.537443</v>
      </c>
      <c r="I66" s="148" t="str">
        <f>IFERROR(ROUND($D66*I$61,2),"")</f>
        <v/>
      </c>
    </row>
    <row r="67" spans="1:53">
      <c r="A67" s="134"/>
      <c r="B67" s="142" t="s">
        <v>4</v>
      </c>
      <c r="C67" s="143" t="s">
        <v>93</v>
      </c>
      <c r="D67" s="144">
        <f>IFERROR(INDEX('Apoio - Notas Explicativas'!Q:Q,MATCH(C67,'Apoio - Notas Explicativas'!C:C,0)),"")</f>
        <v>0.1111</v>
      </c>
      <c r="E67" s="67">
        <f t="shared" si="0"/>
        <v>257.19783319999999</v>
      </c>
      <c r="F67" s="67">
        <f t="shared" si="0"/>
        <v>257.19783319999999</v>
      </c>
      <c r="G67" s="67">
        <f t="shared" si="0"/>
        <v>303.46765020000004</v>
      </c>
      <c r="H67" s="67">
        <f t="shared" si="0"/>
        <v>350.15498100000002</v>
      </c>
      <c r="I67" s="148" t="str">
        <f>IFERROR(ROUND($D67*I$61,2),"")</f>
        <v/>
      </c>
    </row>
    <row r="68" spans="1:53">
      <c r="A68" s="134"/>
      <c r="B68" s="142" t="s">
        <v>6</v>
      </c>
      <c r="C68" s="145" t="s">
        <v>94</v>
      </c>
      <c r="D68" s="144">
        <f>IFERROR(INDEX('Apoio - Notas Explicativas'!Q:Q,MATCH(C68,'Apoio - Notas Explicativas'!C:C,0)),"")</f>
        <v>7.1599999999999997E-2</v>
      </c>
      <c r="E68" s="67">
        <f t="shared" si="0"/>
        <v>165.75485919999997</v>
      </c>
      <c r="F68" s="67">
        <f t="shared" si="0"/>
        <v>165.75485919999997</v>
      </c>
      <c r="G68" s="67">
        <f t="shared" si="0"/>
        <v>195.57411119999998</v>
      </c>
      <c r="H68" s="67">
        <f t="shared" si="0"/>
        <v>225.66243599999999</v>
      </c>
      <c r="I68" s="148" t="str">
        <f>IFERROR(ROUND($D68*I$61,2),"")</f>
        <v/>
      </c>
    </row>
    <row r="69" spans="1:53" s="129" customFormat="1">
      <c r="A69" s="146"/>
      <c r="B69" s="137"/>
      <c r="C69" s="138" t="s">
        <v>95</v>
      </c>
      <c r="D69" s="147"/>
      <c r="E69" s="140">
        <f>IF(SUM(E66:E68)=0,"",SUM(E66:E68))</f>
        <v>615.79319199999998</v>
      </c>
      <c r="F69" s="140">
        <f>IF(SUM(F66:F68)=0,"",SUM(F66:F68))</f>
        <v>615.79319199999998</v>
      </c>
      <c r="G69" s="141">
        <f>IF(SUM(G66:G68)=0,"",SUM(G66:G68))</f>
        <v>726.57421199999999</v>
      </c>
      <c r="H69" s="140">
        <f>IF(SUM(H66:H68)=0,"",SUM(H66:H68))</f>
        <v>838.35486000000003</v>
      </c>
      <c r="I69" s="141" t="str">
        <f>IF(SUM(I66:I68)=0,"",SUM(I66:I68))</f>
        <v/>
      </c>
      <c r="J69" s="355"/>
      <c r="K69" s="355"/>
      <c r="L69" s="355"/>
      <c r="M69" s="355"/>
      <c r="N69" s="355"/>
      <c r="O69" s="355"/>
      <c r="P69" s="355"/>
      <c r="Q69" s="355"/>
      <c r="R69" s="355"/>
      <c r="S69" s="355"/>
      <c r="T69" s="355"/>
      <c r="U69" s="355"/>
      <c r="V69" s="355"/>
      <c r="W69" s="355"/>
      <c r="X69" s="355"/>
      <c r="Y69" s="355"/>
      <c r="Z69" s="355"/>
      <c r="AA69" s="355"/>
      <c r="AB69" s="355"/>
      <c r="AC69" s="355"/>
      <c r="AD69" s="355"/>
      <c r="AE69" s="355"/>
      <c r="AF69" s="355"/>
      <c r="AG69" s="355"/>
      <c r="AH69" s="355"/>
      <c r="AI69" s="355"/>
      <c r="AJ69" s="355"/>
      <c r="AK69" s="355"/>
      <c r="AL69" s="355"/>
      <c r="AM69" s="355"/>
      <c r="AN69" s="355"/>
      <c r="AO69" s="355"/>
      <c r="AP69" s="355"/>
      <c r="AQ69" s="355"/>
      <c r="AR69" s="355"/>
      <c r="AS69" s="355"/>
      <c r="AT69" s="355"/>
      <c r="AU69" s="355"/>
      <c r="AV69" s="355"/>
      <c r="AW69" s="355"/>
      <c r="AX69" s="355"/>
      <c r="AY69" s="355"/>
      <c r="AZ69" s="355"/>
      <c r="BA69" s="355"/>
    </row>
    <row r="70" spans="1:53" ht="3.75" customHeight="1">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row>
    <row r="71" spans="1:53" s="135" customFormat="1">
      <c r="A71" s="146"/>
      <c r="B71" s="137"/>
      <c r="C71" s="138" t="s">
        <v>96</v>
      </c>
      <c r="D71" s="139"/>
      <c r="E71" s="140"/>
      <c r="F71" s="141"/>
      <c r="G71" s="141"/>
      <c r="H71" s="140"/>
      <c r="I71" s="141"/>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c r="AQ71" s="357"/>
      <c r="AR71" s="357"/>
      <c r="AS71" s="357"/>
      <c r="AT71" s="357"/>
      <c r="AU71" s="357"/>
      <c r="AV71" s="357"/>
      <c r="AW71" s="357"/>
      <c r="AX71" s="357"/>
      <c r="AY71" s="357"/>
      <c r="AZ71" s="357"/>
      <c r="BA71" s="357"/>
    </row>
    <row r="72" spans="1:53">
      <c r="A72" s="146"/>
      <c r="B72" s="142" t="s">
        <v>1</v>
      </c>
      <c r="C72" s="143" t="s">
        <v>97</v>
      </c>
      <c r="D72" s="144">
        <f>IFERROR(INDEX('Apoio - Notas Explicativas'!Q:Q,MATCH(C72,'Apoio - Notas Explicativas'!C:C,0)),"")</f>
        <v>0.2</v>
      </c>
      <c r="E72" s="67">
        <f t="shared" ref="E72:H77" si="1">IFERROR($D72*E$61,"")</f>
        <v>463.00239999999997</v>
      </c>
      <c r="F72" s="148">
        <f t="shared" si="1"/>
        <v>463.00239999999997</v>
      </c>
      <c r="G72" s="148">
        <f t="shared" si="1"/>
        <v>546.29640000000006</v>
      </c>
      <c r="H72" s="67">
        <f t="shared" si="1"/>
        <v>630.3420000000001</v>
      </c>
      <c r="I72" s="148" t="str">
        <f t="shared" ref="I72:I77" si="2">IFERROR(ROUND($D72*I$61,2),"")</f>
        <v/>
      </c>
    </row>
    <row r="73" spans="1:53">
      <c r="A73" s="134"/>
      <c r="B73" s="142" t="s">
        <v>4</v>
      </c>
      <c r="C73" s="149" t="s">
        <v>98</v>
      </c>
      <c r="D73" s="144">
        <f>IFERROR(INDEX('Apoio - Notas Explicativas'!Q:Q,MATCH(C73,'Apoio - Notas Explicativas'!C:C,0)),"")</f>
        <v>1.4999999999999999E-2</v>
      </c>
      <c r="E73" s="67">
        <f t="shared" si="1"/>
        <v>34.725179999999995</v>
      </c>
      <c r="F73" s="148">
        <f t="shared" si="1"/>
        <v>34.725179999999995</v>
      </c>
      <c r="G73" s="148">
        <f t="shared" si="1"/>
        <v>40.972229999999996</v>
      </c>
      <c r="H73" s="67">
        <f t="shared" si="1"/>
        <v>47.275649999999999</v>
      </c>
      <c r="I73" s="148" t="str">
        <f t="shared" si="2"/>
        <v/>
      </c>
    </row>
    <row r="74" spans="1:53">
      <c r="A74" s="134"/>
      <c r="B74" s="142" t="s">
        <v>6</v>
      </c>
      <c r="C74" s="143" t="s">
        <v>99</v>
      </c>
      <c r="D74" s="144">
        <f>IFERROR(INDEX('Apoio - Notas Explicativas'!Q:Q,MATCH(C74,'Apoio - Notas Explicativas'!C:C,0)),"")</f>
        <v>0.01</v>
      </c>
      <c r="E74" s="67">
        <f t="shared" si="1"/>
        <v>23.150119999999998</v>
      </c>
      <c r="F74" s="148">
        <f t="shared" si="1"/>
        <v>23.150119999999998</v>
      </c>
      <c r="G74" s="148">
        <f t="shared" si="1"/>
        <v>27.314820000000001</v>
      </c>
      <c r="H74" s="67">
        <f t="shared" si="1"/>
        <v>31.517100000000003</v>
      </c>
      <c r="I74" s="148" t="str">
        <f t="shared" si="2"/>
        <v/>
      </c>
    </row>
    <row r="75" spans="1:53">
      <c r="A75" s="134"/>
      <c r="B75" s="142" t="s">
        <v>9</v>
      </c>
      <c r="C75" s="143" t="s">
        <v>100</v>
      </c>
      <c r="D75" s="144">
        <f>IFERROR(INDEX('Apoio - Notas Explicativas'!Q:Q,MATCH(C75,'Apoio - Notas Explicativas'!C:C,0)),"")</f>
        <v>2E-3</v>
      </c>
      <c r="E75" s="67">
        <f t="shared" si="1"/>
        <v>4.6300239999999997</v>
      </c>
      <c r="F75" s="148">
        <f t="shared" si="1"/>
        <v>4.6300239999999997</v>
      </c>
      <c r="G75" s="148">
        <f t="shared" si="1"/>
        <v>5.4629640000000004</v>
      </c>
      <c r="H75" s="67">
        <f t="shared" si="1"/>
        <v>6.30342</v>
      </c>
      <c r="I75" s="148" t="str">
        <f t="shared" si="2"/>
        <v/>
      </c>
    </row>
    <row r="76" spans="1:53">
      <c r="A76" s="134"/>
      <c r="B76" s="142" t="s">
        <v>12</v>
      </c>
      <c r="C76" s="143" t="s">
        <v>101</v>
      </c>
      <c r="D76" s="144">
        <f>IFERROR(INDEX('Apoio - Notas Explicativas'!Q:Q,MATCH(C76,'Apoio - Notas Explicativas'!C:C,0)),"")</f>
        <v>2.5000000000000001E-2</v>
      </c>
      <c r="E76" s="67">
        <f t="shared" si="1"/>
        <v>57.875299999999996</v>
      </c>
      <c r="F76" s="148">
        <f t="shared" si="1"/>
        <v>57.875299999999996</v>
      </c>
      <c r="G76" s="148">
        <f t="shared" si="1"/>
        <v>68.287050000000008</v>
      </c>
      <c r="H76" s="67">
        <f t="shared" si="1"/>
        <v>78.792750000000012</v>
      </c>
      <c r="I76" s="148" t="str">
        <f t="shared" si="2"/>
        <v/>
      </c>
    </row>
    <row r="77" spans="1:53">
      <c r="A77" s="134"/>
      <c r="B77" s="142" t="s">
        <v>15</v>
      </c>
      <c r="C77" s="143" t="s">
        <v>102</v>
      </c>
      <c r="D77" s="144">
        <f>IFERROR(INDEX('Apoio - Notas Explicativas'!Q:Q,MATCH(C77,'Apoio - Notas Explicativas'!C:C,0)),"")</f>
        <v>0.08</v>
      </c>
      <c r="E77" s="67">
        <f t="shared" si="1"/>
        <v>185.20095999999998</v>
      </c>
      <c r="F77" s="148">
        <f t="shared" si="1"/>
        <v>185.20095999999998</v>
      </c>
      <c r="G77" s="148">
        <f t="shared" si="1"/>
        <v>218.51856000000001</v>
      </c>
      <c r="H77" s="67">
        <f t="shared" si="1"/>
        <v>252.13680000000002</v>
      </c>
      <c r="I77" s="148" t="str">
        <f t="shared" si="2"/>
        <v/>
      </c>
    </row>
    <row r="78" spans="1:53">
      <c r="A78" s="134"/>
      <c r="B78" s="672" t="s">
        <v>17</v>
      </c>
      <c r="C78" s="150" t="str">
        <f>CONCATENATE("GILL/RAT (RAT ",D79," x FAP ",D80,")")</f>
        <v>GILL/RAT (RAT 0,03 x FAP 1)</v>
      </c>
      <c r="D78" s="151"/>
      <c r="E78" s="101"/>
      <c r="F78" s="152"/>
      <c r="G78" s="152"/>
      <c r="H78" s="101"/>
      <c r="I78" s="152"/>
    </row>
    <row r="79" spans="1:53">
      <c r="A79" s="134"/>
      <c r="B79" s="672"/>
      <c r="C79" s="153" t="s">
        <v>103</v>
      </c>
      <c r="D79" s="154">
        <f>VLOOKUP(C79,'Apoio - Notas Explicativas'!$C:$Q,14,0)</f>
        <v>0.03</v>
      </c>
      <c r="E79" s="155"/>
      <c r="F79" s="155"/>
      <c r="G79" s="155"/>
      <c r="H79" s="156"/>
      <c r="I79" s="154"/>
    </row>
    <row r="80" spans="1:53">
      <c r="A80" s="134"/>
      <c r="B80" s="672"/>
      <c r="C80" s="157" t="s">
        <v>104</v>
      </c>
      <c r="D80" s="158">
        <f>VLOOKUP(C80,'Apoio - Notas Explicativas'!$C:$Q,14,0)</f>
        <v>1</v>
      </c>
      <c r="E80" s="159"/>
      <c r="F80" s="159"/>
      <c r="G80" s="159"/>
      <c r="H80" s="159"/>
      <c r="I80" s="358"/>
    </row>
    <row r="81" spans="1:53">
      <c r="A81" s="134"/>
      <c r="B81" s="672"/>
      <c r="C81" s="143"/>
      <c r="D81" s="160">
        <f>D80*D79</f>
        <v>0.03</v>
      </c>
      <c r="E81" s="161">
        <f t="shared" ref="E81:H82" si="3">IFERROR($D81*E$61,"")</f>
        <v>69.450359999999989</v>
      </c>
      <c r="F81" s="161">
        <f t="shared" si="3"/>
        <v>69.450359999999989</v>
      </c>
      <c r="G81" s="161">
        <f t="shared" si="3"/>
        <v>81.944459999999992</v>
      </c>
      <c r="H81" s="161">
        <f t="shared" si="3"/>
        <v>94.551299999999998</v>
      </c>
      <c r="I81" s="161" t="str">
        <f>IFERROR(ROUND($D81*I$61,2),"")</f>
        <v/>
      </c>
    </row>
    <row r="82" spans="1:53">
      <c r="A82" s="146"/>
      <c r="B82" s="142" t="s">
        <v>20</v>
      </c>
      <c r="C82" s="143" t="s">
        <v>105</v>
      </c>
      <c r="D82" s="144">
        <f>IFERROR(INDEX('Apoio - Notas Explicativas'!Q:Q,MATCH(C82,'Apoio - Notas Explicativas'!C:C,0)),"")</f>
        <v>6.0000000000000001E-3</v>
      </c>
      <c r="E82" s="148">
        <f t="shared" si="3"/>
        <v>13.890071999999998</v>
      </c>
      <c r="F82" s="148">
        <f t="shared" si="3"/>
        <v>13.890071999999998</v>
      </c>
      <c r="G82" s="148">
        <f t="shared" si="3"/>
        <v>16.388891999999998</v>
      </c>
      <c r="H82" s="148">
        <f t="shared" si="3"/>
        <v>18.910260000000001</v>
      </c>
      <c r="I82" s="148" t="str">
        <f>IFERROR(ROUND($D82*I$61,2),"")</f>
        <v/>
      </c>
    </row>
    <row r="83" spans="1:53" s="129" customFormat="1">
      <c r="A83" s="146"/>
      <c r="B83" s="137"/>
      <c r="C83" s="138" t="s">
        <v>106</v>
      </c>
      <c r="D83" s="147"/>
      <c r="E83" s="140">
        <f>IF((SUM(E72:E77,E81,E82))=0,"",(SUM(E72:E77,E81,E82)))</f>
        <v>851.92441600000018</v>
      </c>
      <c r="F83" s="140">
        <f>IF((SUM(F72:F77,F81,F82))=0,"",(SUM(F72:F77,F81,F82)))</f>
        <v>851.92441600000018</v>
      </c>
      <c r="G83" s="140">
        <f>IF((SUM(G72:G77,G81,G82))=0,"",(SUM(G72:G77,G81,G82)))</f>
        <v>1005.1853760000001</v>
      </c>
      <c r="H83" s="140">
        <f>IF((SUM(H72:H77,H81,H82))=0,"",(SUM(H72:H77,H81,H82)))</f>
        <v>1159.8292800000004</v>
      </c>
      <c r="I83" s="140" t="str">
        <f>IF((SUM(I72:I77,I81,I82))=0,"",(SUM(I72:I77,I81,I82)))</f>
        <v/>
      </c>
      <c r="J83" s="355"/>
      <c r="K83" s="355"/>
      <c r="L83" s="355"/>
      <c r="M83" s="355"/>
      <c r="N83" s="355"/>
      <c r="O83" s="355"/>
      <c r="P83" s="355"/>
      <c r="Q83" s="355"/>
      <c r="R83" s="355"/>
      <c r="S83" s="355"/>
      <c r="T83" s="355"/>
      <c r="U83" s="355"/>
      <c r="V83" s="355"/>
      <c r="W83" s="355"/>
      <c r="X83" s="355"/>
      <c r="Y83" s="355"/>
      <c r="Z83" s="355"/>
      <c r="AA83" s="355"/>
      <c r="AB83" s="355"/>
      <c r="AC83" s="355"/>
      <c r="AD83" s="355"/>
      <c r="AE83" s="355"/>
      <c r="AF83" s="355"/>
      <c r="AG83" s="355"/>
      <c r="AH83" s="355"/>
      <c r="AI83" s="355"/>
      <c r="AJ83" s="355"/>
      <c r="AK83" s="355"/>
      <c r="AL83" s="355"/>
      <c r="AM83" s="355"/>
      <c r="AN83" s="355"/>
      <c r="AO83" s="355"/>
      <c r="AP83" s="355"/>
      <c r="AQ83" s="355"/>
      <c r="AR83" s="355"/>
      <c r="AS83" s="355"/>
      <c r="AT83" s="355"/>
      <c r="AU83" s="355"/>
      <c r="AV83" s="355"/>
      <c r="AW83" s="355"/>
      <c r="AX83" s="355"/>
      <c r="AY83" s="355"/>
      <c r="AZ83" s="355"/>
      <c r="BA83" s="355"/>
    </row>
    <row r="84" spans="1:53" ht="3.75" customHeight="1">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row>
    <row r="85" spans="1:53" s="135" customFormat="1">
      <c r="A85" s="146"/>
      <c r="B85" s="162"/>
      <c r="C85" s="163" t="s">
        <v>107</v>
      </c>
      <c r="D85" s="164"/>
      <c r="E85" s="140"/>
      <c r="F85" s="140"/>
      <c r="G85" s="140"/>
      <c r="H85" s="140"/>
      <c r="I85" s="140"/>
      <c r="J85" s="357"/>
      <c r="K85" s="357"/>
      <c r="L85" s="357"/>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357"/>
      <c r="AN85" s="357"/>
      <c r="AO85" s="357"/>
      <c r="AP85" s="357"/>
      <c r="AQ85" s="357"/>
      <c r="AR85" s="357"/>
      <c r="AS85" s="357"/>
      <c r="AT85" s="357"/>
      <c r="AU85" s="357"/>
      <c r="AV85" s="357"/>
      <c r="AW85" s="357"/>
      <c r="AX85" s="357"/>
      <c r="AY85" s="357"/>
      <c r="AZ85" s="357"/>
      <c r="BA85" s="357"/>
    </row>
    <row r="86" spans="1:53" s="12" customFormat="1">
      <c r="A86" s="134"/>
      <c r="B86" s="672" t="s">
        <v>1</v>
      </c>
      <c r="C86" s="165" t="s">
        <v>108</v>
      </c>
      <c r="D86" s="166"/>
      <c r="E86" s="167"/>
      <c r="F86" s="167"/>
      <c r="G86" s="167"/>
      <c r="H86" s="167"/>
      <c r="I86" s="167"/>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row>
    <row r="87" spans="1:53">
      <c r="A87" s="134"/>
      <c r="B87" s="672"/>
      <c r="C87" s="168" t="s">
        <v>109</v>
      </c>
      <c r="D87" s="359"/>
      <c r="E87" s="170">
        <f>IF(E18="","",4.8)</f>
        <v>4.8</v>
      </c>
      <c r="F87" s="170">
        <f>IF(F18="","",4.8)</f>
        <v>4.8</v>
      </c>
      <c r="G87" s="170">
        <f>IF(G18="","",4.8)</f>
        <v>4.8</v>
      </c>
      <c r="H87" s="170">
        <f>IF(H18="","",4.8)</f>
        <v>4.8</v>
      </c>
      <c r="I87" s="360" t="str">
        <f>IF(I18="","",4.8)</f>
        <v/>
      </c>
    </row>
    <row r="88" spans="1:53">
      <c r="A88" s="134"/>
      <c r="B88" s="672"/>
      <c r="C88" s="83" t="s">
        <v>110</v>
      </c>
      <c r="D88" s="171"/>
      <c r="E88" s="172">
        <f>IF(E18="","",2)</f>
        <v>2</v>
      </c>
      <c r="F88" s="172">
        <f>IF(F18="","",2)</f>
        <v>2</v>
      </c>
      <c r="G88" s="172">
        <f>IF(G18="","",2)</f>
        <v>2</v>
      </c>
      <c r="H88" s="172">
        <f>IF(H18="","",2)</f>
        <v>2</v>
      </c>
      <c r="I88" s="172" t="str">
        <f>IF(I18="","",2)</f>
        <v/>
      </c>
    </row>
    <row r="89" spans="1:53">
      <c r="A89" s="134"/>
      <c r="B89" s="672"/>
      <c r="C89" s="83" t="s">
        <v>111</v>
      </c>
      <c r="D89" s="173"/>
      <c r="E89" s="174">
        <f>IFERROR(IF(E18="","",VLOOKUP(E26,'Apoio - Regime de Trabalho'!$A:$G,7,0)),"")</f>
        <v>22</v>
      </c>
      <c r="F89" s="174">
        <f>IFERROR(IF(F18="","",VLOOKUP(F26,'Apoio - Regime de Trabalho'!$A:$G,7,0)),"")</f>
        <v>22</v>
      </c>
      <c r="G89" s="174">
        <f>IFERROR(IF(G18="","",VLOOKUP(G26,'Apoio - Regime de Trabalho'!$A:$G,7,0)),"")</f>
        <v>22</v>
      </c>
      <c r="H89" s="174">
        <f>IFERROR(IF(H18="","",VLOOKUP(H26,'Apoio - Regime de Trabalho'!$A:$G,7,0)),"")</f>
        <v>22</v>
      </c>
      <c r="I89" s="174" t="str">
        <f>IFERROR(IF(I18="","",VLOOKUP(I26,'Apoio - Regime de Trabalho'!$A:$G,7,0)),"")</f>
        <v/>
      </c>
    </row>
    <row r="90" spans="1:53">
      <c r="A90" s="134"/>
      <c r="B90" s="672"/>
      <c r="C90" s="83" t="s">
        <v>112</v>
      </c>
      <c r="D90" s="171"/>
      <c r="E90" s="175">
        <f>IF(E18="","",IFERROR(VLOOKUP(E$18,'Apoio - Posto'!$A:$AA,16,0),6%))</f>
        <v>0.06</v>
      </c>
      <c r="F90" s="175">
        <f>IF(F18="","",IFERROR(VLOOKUP(F$18,'Apoio - Posto'!$A:$AA,16,0),6%))</f>
        <v>0.06</v>
      </c>
      <c r="G90" s="175">
        <f>IF(G18="","",IFERROR(VLOOKUP(G$18,'Apoio - Posto'!$A:$AA,16,0),6%))</f>
        <v>0.06</v>
      </c>
      <c r="H90" s="175">
        <f>IF(H18="","",IFERROR(VLOOKUP(H$18,'Apoio - Posto'!$A:$AA,16,0),6%))</f>
        <v>0.06</v>
      </c>
      <c r="I90" s="175" t="str">
        <f>IFERROR(VLOOKUP(I$18,'Apoio - Posto'!$A:$AA,16,0),"")</f>
        <v/>
      </c>
    </row>
    <row r="91" spans="1:53">
      <c r="A91" s="134"/>
      <c r="B91" s="672"/>
      <c r="C91" s="176"/>
      <c r="D91" s="177" t="s">
        <v>70</v>
      </c>
      <c r="E91" s="99">
        <f>IFERROR(MAX((E87*E88*E89)-(E$90*E$32),0),"")</f>
        <v>111.98519999999999</v>
      </c>
      <c r="F91" s="99">
        <f>IFERROR(MAX((F87*F88*F89)-(F$90*F$32),0),"")</f>
        <v>111.98519999999999</v>
      </c>
      <c r="G91" s="99">
        <f>IFERROR(MAX((G87*G88*G89)-(G$90*G$32),0),"")</f>
        <v>85.131600000000006</v>
      </c>
      <c r="H91" s="99">
        <f>IFERROR(MAX((H87*H88*H89)-(H$90*H$32),0),"")</f>
        <v>85.131600000000006</v>
      </c>
      <c r="I91" s="99" t="str">
        <f>IFERROR(ROUND((I87*I88*I89)-(I$90*I$32),2),"")</f>
        <v/>
      </c>
    </row>
    <row r="92" spans="1:53">
      <c r="A92" s="134"/>
      <c r="B92" s="672" t="s">
        <v>4</v>
      </c>
      <c r="C92" s="178" t="s">
        <v>113</v>
      </c>
      <c r="D92" s="179"/>
      <c r="E92" s="180"/>
      <c r="F92" s="180"/>
      <c r="G92" s="180"/>
      <c r="H92" s="180"/>
      <c r="I92" s="180"/>
    </row>
    <row r="93" spans="1:53">
      <c r="A93" s="134"/>
      <c r="B93" s="672"/>
      <c r="C93" s="181" t="s">
        <v>114</v>
      </c>
      <c r="D93" s="169"/>
      <c r="E93" s="170">
        <f>IFERROR(VLOOKUP(E$18,'Apoio - Posto'!$A:$AA,IF(VLOOKUP(E26,'Apoio - Regime de Trabalho'!$A:$I,8,0)&gt;=200,9,10),0),"")</f>
        <v>25.42</v>
      </c>
      <c r="F93" s="170">
        <f>IFERROR(VLOOKUP(F$18,'Apoio - Posto'!$A:$AA,IF(VLOOKUP(F26,'Apoio - Regime de Trabalho'!$A:$I,8,0)&gt;=200,9,10),0),"")</f>
        <v>25.42</v>
      </c>
      <c r="G93" s="170">
        <f>IFERROR(VLOOKUP(G$18,'Apoio - Posto'!$A:$AA,IF(VLOOKUP(G26,'Apoio - Regime de Trabalho'!$A:$I,8,0)&gt;=200,9,10),0),"")</f>
        <v>25.42</v>
      </c>
      <c r="H93" s="170">
        <f>IFERROR(VLOOKUP(H$18,'Apoio - Posto'!$A:$AA,IF(VLOOKUP(H26,'Apoio - Regime de Trabalho'!$A:$I,8,0)&gt;=200,9,10),0),"")</f>
        <v>25.42</v>
      </c>
      <c r="I93" s="170" t="str">
        <f>IFERROR(VLOOKUP(I$18,'Apoio - Posto'!$A:$AA,IF(VLOOKUP(I26,'Apoio - Regime de Trabalho'!$A:$I,8,0)&gt;180,9,10),0),"")</f>
        <v/>
      </c>
    </row>
    <row r="94" spans="1:53">
      <c r="A94" s="134"/>
      <c r="B94" s="672"/>
      <c r="C94" s="112" t="s">
        <v>115</v>
      </c>
      <c r="D94" s="173"/>
      <c r="E94" s="174">
        <f>IFERROR(IF(E18="","",VLOOKUP(E26,'Apoio - Regime de Trabalho'!$A:$G,7,0)),"")</f>
        <v>22</v>
      </c>
      <c r="F94" s="174">
        <f>IFERROR(IF(F18="","",VLOOKUP(F26,'Apoio - Regime de Trabalho'!$A:$G,7,0)),"")</f>
        <v>22</v>
      </c>
      <c r="G94" s="174">
        <f>IFERROR(IF(G18="","",VLOOKUP(G26,'Apoio - Regime de Trabalho'!$A:$G,7,0)),"")</f>
        <v>22</v>
      </c>
      <c r="H94" s="174">
        <f>IFERROR(IF(H18="","",VLOOKUP(H26,'Apoio - Regime de Trabalho'!$A:$G,7,0)),"")</f>
        <v>22</v>
      </c>
      <c r="I94" s="174" t="str">
        <f>IFERROR(IF(I18="","",VLOOKUP(I26,'Apoio - Regime de Trabalho'!$A:$G,7,0)),"")</f>
        <v/>
      </c>
    </row>
    <row r="95" spans="1:53">
      <c r="A95" s="134"/>
      <c r="B95" s="672"/>
      <c r="C95" s="112" t="s">
        <v>116</v>
      </c>
      <c r="D95" s="173"/>
      <c r="E95" s="182">
        <f>IFERROR(VLOOKUP(E$18,'Apoio - Posto'!$A:$AA,17,0),"")</f>
        <v>0.19</v>
      </c>
      <c r="F95" s="182">
        <f>IFERROR(VLOOKUP(F$18,'Apoio - Posto'!$A:$AA,17,0),"")</f>
        <v>0.19</v>
      </c>
      <c r="G95" s="182">
        <f>IFERROR(VLOOKUP(G$18,'Apoio - Posto'!$A:$AA,17,0),"")</f>
        <v>0.19</v>
      </c>
      <c r="H95" s="182">
        <f>IFERROR(VLOOKUP(H$18,'Apoio - Posto'!$A:$AA,17,0),"")</f>
        <v>0.19</v>
      </c>
      <c r="I95" s="182" t="str">
        <f>IFERROR(VLOOKUP(I$18,'Apoio - Posto'!$A:$AA,17,0),"")</f>
        <v/>
      </c>
    </row>
    <row r="96" spans="1:53">
      <c r="A96" s="134"/>
      <c r="B96" s="672"/>
      <c r="C96" s="176"/>
      <c r="D96" s="177" t="s">
        <v>70</v>
      </c>
      <c r="E96" s="76">
        <f>IFERROR((E93*E94)-(E$93*E$94*E$95),"")</f>
        <v>452.98439999999999</v>
      </c>
      <c r="F96" s="76">
        <f>IFERROR((F93*F94)-(F$93*F$94*F$95),"")</f>
        <v>452.98439999999999</v>
      </c>
      <c r="G96" s="76">
        <f>IFERROR((G93*G94)-(G$93*G$94*G$95),"")</f>
        <v>452.98439999999999</v>
      </c>
      <c r="H96" s="76">
        <f>IFERROR((H93*H94)-(H$93*H$94*H$95),"")</f>
        <v>452.98439999999999</v>
      </c>
      <c r="I96" s="76" t="str">
        <f>IFERROR(ROUND((I93*I94)-(I$93*I$94*I$95),2),"")</f>
        <v/>
      </c>
    </row>
    <row r="97" spans="1:54">
      <c r="A97" s="134"/>
      <c r="B97" s="672" t="s">
        <v>6</v>
      </c>
      <c r="C97" s="106" t="s">
        <v>117</v>
      </c>
      <c r="D97" s="179"/>
      <c r="E97" s="183"/>
      <c r="F97" s="183"/>
      <c r="G97" s="183"/>
      <c r="H97" s="183"/>
      <c r="I97" s="183"/>
    </row>
    <row r="98" spans="1:54">
      <c r="A98" s="134"/>
      <c r="B98" s="672"/>
      <c r="C98" s="184" t="s">
        <v>118</v>
      </c>
      <c r="D98" s="185"/>
      <c r="E98" s="186"/>
      <c r="F98" s="186"/>
      <c r="G98" s="186"/>
      <c r="H98" s="186"/>
      <c r="I98" s="186"/>
    </row>
    <row r="99" spans="1:54">
      <c r="A99" s="134"/>
      <c r="B99" s="672"/>
      <c r="C99" s="187" t="s">
        <v>116</v>
      </c>
      <c r="D99" s="173"/>
      <c r="E99" s="182"/>
      <c r="F99" s="182"/>
      <c r="G99" s="182"/>
      <c r="H99" s="182"/>
      <c r="I99" s="182"/>
    </row>
    <row r="100" spans="1:54">
      <c r="A100" s="134"/>
      <c r="B100" s="672"/>
      <c r="C100" s="176"/>
      <c r="D100" s="177" t="s">
        <v>70</v>
      </c>
      <c r="E100" s="188">
        <f>IF(E21="","",IFERROR((E$98)-(E$99*E$98),""))</f>
        <v>0</v>
      </c>
      <c r="F100" s="188">
        <f>IF(F21="","",IFERROR((F$98)-(F$99*F$98),""))</f>
        <v>0</v>
      </c>
      <c r="G100" s="188">
        <f>IF(G21="","",IFERROR((G$98)-(G$99*G$98),""))</f>
        <v>0</v>
      </c>
      <c r="H100" s="188">
        <f>IF(H21="","",IFERROR((H$98)-(H$99*H$98),""))</f>
        <v>0</v>
      </c>
      <c r="I100" s="188" t="str">
        <f>IF(I21="","",IFERROR(ROUND((I$98)-(I$99*I$98),2),""))</f>
        <v/>
      </c>
    </row>
    <row r="101" spans="1:54">
      <c r="A101" s="134"/>
      <c r="B101" s="142" t="s">
        <v>9</v>
      </c>
      <c r="C101" s="98" t="s">
        <v>119</v>
      </c>
      <c r="D101" s="189"/>
      <c r="E101" s="190">
        <f>IFERROR(VLOOKUP(E$18,'Apoio - Posto'!$A:$AA,19,0),"")</f>
        <v>0</v>
      </c>
      <c r="F101" s="190">
        <f>IFERROR(VLOOKUP(F$18,'Apoio - Posto'!$A:$AA,19,0),"")</f>
        <v>0</v>
      </c>
      <c r="G101" s="190">
        <f>IFERROR(VLOOKUP(G$18,'Apoio - Posto'!$A:$AA,19,0),"")</f>
        <v>0</v>
      </c>
      <c r="H101" s="190">
        <f>IFERROR(VLOOKUP(H$18,'Apoio - Posto'!$A:$AA,19,0),"")</f>
        <v>0</v>
      </c>
      <c r="I101" s="190" t="str">
        <f>IFERROR(VLOOKUP(I$18,'Apoio - Posto'!$A:$AA,19,0),"")</f>
        <v/>
      </c>
    </row>
    <row r="102" spans="1:54">
      <c r="A102" s="134"/>
      <c r="B102" s="64" t="s">
        <v>12</v>
      </c>
      <c r="C102" s="65" t="s">
        <v>120</v>
      </c>
      <c r="D102" s="191"/>
      <c r="E102" s="192"/>
      <c r="F102" s="192"/>
      <c r="G102" s="192"/>
      <c r="H102" s="192"/>
      <c r="I102" s="192"/>
    </row>
    <row r="103" spans="1:54">
      <c r="A103" s="134"/>
      <c r="B103" s="672" t="s">
        <v>15</v>
      </c>
      <c r="C103" s="178" t="s">
        <v>121</v>
      </c>
      <c r="D103" s="191"/>
      <c r="E103" s="180"/>
      <c r="F103" s="180"/>
      <c r="G103" s="180"/>
      <c r="H103" s="180"/>
      <c r="I103" s="180"/>
    </row>
    <row r="104" spans="1:54">
      <c r="A104" s="134"/>
      <c r="B104" s="672"/>
      <c r="C104" s="193" t="s">
        <v>118</v>
      </c>
      <c r="D104" s="194"/>
      <c r="E104" s="170"/>
      <c r="F104" s="170"/>
      <c r="G104" s="170"/>
      <c r="H104" s="170"/>
      <c r="I104" s="170"/>
    </row>
    <row r="105" spans="1:54">
      <c r="A105" s="134"/>
      <c r="B105" s="672"/>
      <c r="C105" s="195" t="s">
        <v>122</v>
      </c>
      <c r="D105" s="173"/>
      <c r="E105" s="182"/>
      <c r="F105" s="182"/>
      <c r="G105" s="182"/>
      <c r="H105" s="182"/>
      <c r="I105" s="182"/>
    </row>
    <row r="106" spans="1:54">
      <c r="A106" s="134"/>
      <c r="B106" s="672"/>
      <c r="C106" s="176"/>
      <c r="D106" s="177" t="s">
        <v>70</v>
      </c>
      <c r="E106" s="76">
        <f>IF(E21="","",IFERROR((E104)-(E$105*E$104),""))</f>
        <v>0</v>
      </c>
      <c r="F106" s="76">
        <f>IF(F21="","",IFERROR((F104)-(F$105*F$104),""))</f>
        <v>0</v>
      </c>
      <c r="G106" s="76">
        <f>IF(G21="","",IFERROR((G104)-(G$105*G$104),""))</f>
        <v>0</v>
      </c>
      <c r="H106" s="76">
        <f>IF(H21="","",IFERROR((H104)-(H$105*H$104),""))</f>
        <v>0</v>
      </c>
      <c r="I106" s="76" t="str">
        <f>IF(I21="","",IFERROR(ROUND((I104)-(I$105*I$104),2),""))</f>
        <v/>
      </c>
    </row>
    <row r="107" spans="1:54">
      <c r="A107" s="134"/>
      <c r="B107" s="64" t="s">
        <v>17</v>
      </c>
      <c r="C107" s="65" t="s">
        <v>123</v>
      </c>
      <c r="D107" s="196" t="str">
        <f>IFERROR(VLOOKUP(E18,'Apoio - Posto'!A:J,14,0),"")</f>
        <v/>
      </c>
      <c r="E107" s="197">
        <f>IFERROR(VLOOKUP(E$18,'Apoio - Posto'!$A:$AA,18,0),"")</f>
        <v>24.1</v>
      </c>
      <c r="F107" s="197">
        <f>IFERROR(VLOOKUP(F$18,'Apoio - Posto'!$A:$AA,18,0),"")</f>
        <v>24.1</v>
      </c>
      <c r="G107" s="197">
        <f>IFERROR(VLOOKUP(G$18,'Apoio - Posto'!$A:$AA,18,0),"")</f>
        <v>24.1</v>
      </c>
      <c r="H107" s="197">
        <f>IFERROR(VLOOKUP(H$18,'Apoio - Posto'!$A:$AA,18,0),"")</f>
        <v>24.1</v>
      </c>
      <c r="I107" s="197" t="str">
        <f>IFERROR(VLOOKUP(I$18,'Apoio - Posto'!$A:$AA,18,0),"")</f>
        <v/>
      </c>
      <c r="BB107" s="350"/>
    </row>
    <row r="108" spans="1:54">
      <c r="A108" s="134"/>
      <c r="B108" s="672" t="s">
        <v>20</v>
      </c>
      <c r="C108" s="198" t="s">
        <v>124</v>
      </c>
      <c r="D108" s="191"/>
      <c r="E108" s="101"/>
      <c r="F108" s="101"/>
      <c r="G108" s="101"/>
      <c r="H108" s="101"/>
      <c r="I108" s="101"/>
    </row>
    <row r="109" spans="1:54">
      <c r="A109" s="134"/>
      <c r="B109" s="672"/>
      <c r="C109" s="361" t="s">
        <v>125</v>
      </c>
      <c r="D109" s="362"/>
      <c r="E109" s="199"/>
      <c r="F109" s="199"/>
      <c r="G109" s="199"/>
      <c r="H109" s="199"/>
      <c r="I109" s="199"/>
    </row>
    <row r="110" spans="1:54">
      <c r="A110" s="134"/>
      <c r="B110" s="672"/>
      <c r="C110" s="363" t="s">
        <v>116</v>
      </c>
      <c r="D110" s="364"/>
      <c r="E110" s="200"/>
      <c r="F110" s="200"/>
      <c r="G110" s="200"/>
      <c r="H110" s="200"/>
      <c r="I110" s="200"/>
    </row>
    <row r="111" spans="1:54">
      <c r="A111" s="134"/>
      <c r="B111" s="672"/>
      <c r="C111" s="86"/>
      <c r="D111" s="201" t="s">
        <v>70</v>
      </c>
      <c r="E111" s="202">
        <f>IF(E18="","",E109*(1-E110))</f>
        <v>0</v>
      </c>
      <c r="F111" s="202">
        <f>IF(F18="","",F109*(1-F110))</f>
        <v>0</v>
      </c>
      <c r="G111" s="202">
        <f>IF(G18="","",G109*(1-G110))</f>
        <v>0</v>
      </c>
      <c r="H111" s="202">
        <f>IF(H18="","",H109*(1-H110))</f>
        <v>0</v>
      </c>
      <c r="I111" s="202" t="str">
        <f>IF(I18="","",I109*(1-I110))</f>
        <v/>
      </c>
    </row>
    <row r="112" spans="1:54" s="129" customFormat="1">
      <c r="A112" s="146"/>
      <c r="B112" s="203"/>
      <c r="C112" s="204" t="s">
        <v>126</v>
      </c>
      <c r="D112" s="205"/>
      <c r="E112" s="206">
        <f>IF(E21="","",SUM(E91,E96,E100,E101,E102,E106,E107,E111))</f>
        <v>589.06960000000004</v>
      </c>
      <c r="F112" s="206">
        <f>IF(F21="","",SUM(F91,F96,F100,F101,F102,F106,F107,F111))</f>
        <v>589.06960000000004</v>
      </c>
      <c r="G112" s="206">
        <f>IF(G21="","",SUM(G91,G96,G100,G101,G102,G106,G107,G111))</f>
        <v>562.21600000000001</v>
      </c>
      <c r="H112" s="206">
        <f>IF(H21="","",SUM(H91,H96,H100,H101,H102,H106,H107,H111))</f>
        <v>562.21600000000001</v>
      </c>
      <c r="I112" s="206" t="str">
        <f>IF(I21="","",SUM(I91,I96,I100,I101,I102,I106,I107,I111))</f>
        <v/>
      </c>
      <c r="J112" s="355"/>
      <c r="K112" s="355"/>
      <c r="L112" s="355"/>
      <c r="M112" s="355"/>
      <c r="N112" s="355"/>
      <c r="O112" s="355"/>
      <c r="P112" s="355"/>
      <c r="Q112" s="355"/>
      <c r="R112" s="355"/>
      <c r="S112" s="355"/>
      <c r="T112" s="355"/>
      <c r="U112" s="355"/>
      <c r="V112" s="355"/>
      <c r="W112" s="355"/>
      <c r="X112" s="355"/>
      <c r="Y112" s="355"/>
      <c r="Z112" s="355"/>
      <c r="AA112" s="355"/>
      <c r="AB112" s="355"/>
      <c r="AC112" s="355"/>
      <c r="AD112" s="355"/>
      <c r="AE112" s="355"/>
      <c r="AF112" s="355"/>
      <c r="AG112" s="355"/>
      <c r="AH112" s="355"/>
      <c r="AI112" s="355"/>
      <c r="AJ112" s="355"/>
      <c r="AK112" s="355"/>
      <c r="AL112" s="355"/>
      <c r="AM112" s="355"/>
      <c r="AN112" s="355"/>
      <c r="AO112" s="355"/>
      <c r="AP112" s="355"/>
      <c r="AQ112" s="355"/>
      <c r="AR112" s="355"/>
      <c r="AS112" s="355"/>
      <c r="AT112" s="355"/>
      <c r="AU112" s="355"/>
      <c r="AV112" s="355"/>
      <c r="AW112" s="355"/>
      <c r="AX112" s="355"/>
      <c r="AY112" s="355"/>
      <c r="AZ112" s="355"/>
      <c r="BA112" s="355"/>
    </row>
    <row r="113" spans="1:53" ht="3.75" customHeight="1">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row>
    <row r="114" spans="1:53" s="129" customFormat="1">
      <c r="A114" s="123"/>
      <c r="B114" s="124"/>
      <c r="C114" s="15" t="s">
        <v>127</v>
      </c>
      <c r="D114" s="125"/>
      <c r="E114" s="128">
        <f>IF(E21="","",IFERROR(SUM(E112,E83,E69),""))</f>
        <v>2056.7872080000002</v>
      </c>
      <c r="F114" s="126">
        <f>IF(F21="","",IFERROR(SUM(F112,F83,F69),""))</f>
        <v>2056.7872080000002</v>
      </c>
      <c r="G114" s="207">
        <f>IF(G21="","",IFERROR(SUM(G112,G83,G69),""))</f>
        <v>2293.9755880000002</v>
      </c>
      <c r="H114" s="126">
        <f>IF(H21="","",IFERROR(SUM(H112,H83,H69),""))</f>
        <v>2560.4001400000002</v>
      </c>
      <c r="I114" s="127" t="str">
        <f>IF(I21="","",IFERROR(SUM(I112,I83,I69),""))</f>
        <v/>
      </c>
      <c r="J114" s="355"/>
      <c r="K114" s="355"/>
      <c r="L114" s="355"/>
      <c r="M114" s="355"/>
      <c r="N114" s="355"/>
      <c r="O114" s="355"/>
      <c r="P114" s="355"/>
      <c r="Q114" s="355"/>
      <c r="R114" s="355"/>
      <c r="S114" s="355"/>
      <c r="T114" s="355"/>
      <c r="U114" s="355"/>
      <c r="V114" s="355"/>
      <c r="W114" s="355"/>
      <c r="X114" s="355"/>
      <c r="Y114" s="355"/>
      <c r="Z114" s="355"/>
      <c r="AA114" s="355"/>
      <c r="AB114" s="355"/>
      <c r="AC114" s="355"/>
      <c r="AD114" s="355"/>
      <c r="AE114" s="355"/>
      <c r="AF114" s="355"/>
      <c r="AG114" s="355"/>
      <c r="AH114" s="355"/>
      <c r="AI114" s="355"/>
      <c r="AJ114" s="355"/>
      <c r="AK114" s="355"/>
      <c r="AL114" s="355"/>
      <c r="AM114" s="355"/>
      <c r="AN114" s="355"/>
      <c r="AO114" s="355"/>
      <c r="AP114" s="355"/>
      <c r="AQ114" s="355"/>
      <c r="AR114" s="355"/>
      <c r="AS114" s="355"/>
      <c r="AT114" s="355"/>
      <c r="AU114" s="355"/>
      <c r="AV114" s="355"/>
      <c r="AW114" s="355"/>
      <c r="AX114" s="355"/>
      <c r="AY114" s="355"/>
      <c r="AZ114" s="355"/>
      <c r="BA114" s="355"/>
    </row>
    <row r="115" spans="1:53" s="135" customFormat="1">
      <c r="B115" s="208"/>
      <c r="C115" s="208"/>
      <c r="D115" s="208"/>
      <c r="E115" s="209"/>
      <c r="F115" s="209"/>
      <c r="G115" s="209"/>
      <c r="H115" s="209"/>
      <c r="I115" s="209"/>
      <c r="J115" s="357"/>
      <c r="K115" s="357"/>
      <c r="L115" s="357"/>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c r="AJ115" s="357"/>
      <c r="AK115" s="357"/>
      <c r="AL115" s="357"/>
      <c r="AM115" s="357"/>
      <c r="AN115" s="357"/>
      <c r="AO115" s="357"/>
      <c r="AP115" s="357"/>
      <c r="AQ115" s="357"/>
      <c r="AR115" s="357"/>
      <c r="AS115" s="357"/>
      <c r="AT115" s="357"/>
      <c r="AU115" s="357"/>
      <c r="AV115" s="357"/>
      <c r="AW115" s="357"/>
      <c r="AX115" s="357"/>
      <c r="AY115" s="357"/>
      <c r="AZ115" s="357"/>
      <c r="BA115" s="357"/>
    </row>
    <row r="116" spans="1:53" s="135" customFormat="1">
      <c r="A116" s="134"/>
      <c r="B116" s="14"/>
      <c r="C116" s="15" t="s">
        <v>128</v>
      </c>
      <c r="D116" s="61"/>
      <c r="E116" s="62"/>
      <c r="F116" s="210"/>
      <c r="G116" s="62"/>
      <c r="H116" s="62"/>
      <c r="I116" s="62"/>
      <c r="J116" s="357"/>
      <c r="K116" s="357"/>
      <c r="L116" s="357"/>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357"/>
      <c r="AN116" s="357"/>
      <c r="AO116" s="357"/>
      <c r="AP116" s="357"/>
      <c r="AQ116" s="357"/>
      <c r="AR116" s="357"/>
      <c r="AS116" s="357"/>
      <c r="AT116" s="357"/>
      <c r="AU116" s="357"/>
      <c r="AV116" s="357"/>
      <c r="AW116" s="357"/>
      <c r="AX116" s="357"/>
      <c r="AY116" s="357"/>
      <c r="AZ116" s="357"/>
      <c r="BA116" s="357"/>
    </row>
    <row r="117" spans="1:53" s="212" customFormat="1">
      <c r="A117" s="211"/>
      <c r="B117" s="142" t="s">
        <v>1</v>
      </c>
      <c r="C117" s="98" t="s">
        <v>129</v>
      </c>
      <c r="D117" s="144">
        <f>INDEX('Apoio - Notas Explicativas'!Q:Q,MATCH(C117,'Apoio - Notas Explicativas'!C:C,0))</f>
        <v>4.1999999999999997E-3</v>
      </c>
      <c r="E117" s="67">
        <f t="shared" ref="E117:H122" si="4">IFERROR($D117*E$61,"")</f>
        <v>9.7230503999999982</v>
      </c>
      <c r="F117" s="67">
        <f t="shared" si="4"/>
        <v>9.7230503999999982</v>
      </c>
      <c r="G117" s="67">
        <f t="shared" si="4"/>
        <v>11.4722244</v>
      </c>
      <c r="H117" s="67">
        <f t="shared" si="4"/>
        <v>13.237181999999999</v>
      </c>
      <c r="I117" s="148" t="str">
        <f t="shared" ref="I117:I122" si="5">IFERROR(ROUND($D117*I$61,2),"")</f>
        <v/>
      </c>
      <c r="J117" s="365"/>
      <c r="K117" s="365"/>
      <c r="L117" s="365"/>
      <c r="M117" s="365"/>
      <c r="N117" s="365"/>
      <c r="O117" s="365"/>
      <c r="P117" s="365"/>
      <c r="Q117" s="365"/>
      <c r="R117" s="365"/>
      <c r="S117" s="365"/>
      <c r="T117" s="365"/>
      <c r="U117" s="365"/>
      <c r="V117" s="365"/>
      <c r="W117" s="365"/>
      <c r="X117" s="365"/>
      <c r="Y117" s="365"/>
      <c r="Z117" s="365"/>
      <c r="AA117" s="365"/>
      <c r="AB117" s="365"/>
      <c r="AC117" s="365"/>
      <c r="AD117" s="365"/>
      <c r="AE117" s="365"/>
      <c r="AF117" s="365"/>
      <c r="AG117" s="365"/>
      <c r="AH117" s="365"/>
      <c r="AI117" s="365"/>
      <c r="AJ117" s="365"/>
      <c r="AK117" s="365"/>
      <c r="AL117" s="365"/>
      <c r="AM117" s="365"/>
      <c r="AN117" s="365"/>
      <c r="AO117" s="365"/>
      <c r="AP117" s="365"/>
      <c r="AQ117" s="365"/>
      <c r="AR117" s="365"/>
      <c r="AS117" s="365"/>
      <c r="AT117" s="365"/>
      <c r="AU117" s="365"/>
      <c r="AV117" s="365"/>
      <c r="AW117" s="365"/>
      <c r="AX117" s="365"/>
      <c r="AY117" s="365"/>
      <c r="AZ117" s="365"/>
      <c r="BA117" s="365"/>
    </row>
    <row r="118" spans="1:53" s="212" customFormat="1">
      <c r="A118" s="211"/>
      <c r="B118" s="142" t="s">
        <v>4</v>
      </c>
      <c r="C118" s="98" t="s">
        <v>130</v>
      </c>
      <c r="D118" s="144">
        <f>INDEX('Apoio - Notas Explicativas'!Q:Q,MATCH(C118,'Apoio - Notas Explicativas'!C:C,0))</f>
        <v>2.9999999999999997E-4</v>
      </c>
      <c r="E118" s="67">
        <f t="shared" si="4"/>
        <v>0.69450359999999989</v>
      </c>
      <c r="F118" s="67">
        <f t="shared" si="4"/>
        <v>0.69450359999999989</v>
      </c>
      <c r="G118" s="67">
        <f t="shared" si="4"/>
        <v>0.81944459999999997</v>
      </c>
      <c r="H118" s="67">
        <f t="shared" si="4"/>
        <v>0.94551299999999994</v>
      </c>
      <c r="I118" s="148" t="str">
        <f t="shared" si="5"/>
        <v/>
      </c>
      <c r="J118" s="365"/>
      <c r="K118" s="365"/>
      <c r="L118" s="365"/>
      <c r="M118" s="365"/>
      <c r="N118" s="365"/>
      <c r="O118" s="365"/>
      <c r="P118" s="365"/>
      <c r="Q118" s="365"/>
      <c r="R118" s="365"/>
      <c r="S118" s="365"/>
      <c r="T118" s="365"/>
      <c r="U118" s="365"/>
      <c r="V118" s="365"/>
      <c r="W118" s="365"/>
      <c r="X118" s="365"/>
      <c r="Y118" s="365"/>
      <c r="Z118" s="365"/>
      <c r="AA118" s="365"/>
      <c r="AB118" s="365"/>
      <c r="AC118" s="365"/>
      <c r="AD118" s="365"/>
      <c r="AE118" s="365"/>
      <c r="AF118" s="365"/>
      <c r="AG118" s="365"/>
      <c r="AH118" s="365"/>
      <c r="AI118" s="365"/>
      <c r="AJ118" s="365"/>
      <c r="AK118" s="365"/>
      <c r="AL118" s="365"/>
      <c r="AM118" s="365"/>
      <c r="AN118" s="365"/>
      <c r="AO118" s="365"/>
      <c r="AP118" s="365"/>
      <c r="AQ118" s="365"/>
      <c r="AR118" s="365"/>
      <c r="AS118" s="365"/>
      <c r="AT118" s="365"/>
      <c r="AU118" s="365"/>
      <c r="AV118" s="365"/>
      <c r="AW118" s="365"/>
      <c r="AX118" s="365"/>
      <c r="AY118" s="365"/>
      <c r="AZ118" s="365"/>
      <c r="BA118" s="365"/>
    </row>
    <row r="119" spans="1:53" s="212" customFormat="1">
      <c r="A119" s="211"/>
      <c r="B119" s="142" t="s">
        <v>6</v>
      </c>
      <c r="C119" s="98" t="s">
        <v>131</v>
      </c>
      <c r="D119" s="144">
        <f>INDEX('Apoio - Notas Explicativas'!Q:Q,MATCH(C119,'Apoio - Notas Explicativas'!C:C,0))</f>
        <v>1E-4</v>
      </c>
      <c r="E119" s="67">
        <f t="shared" si="4"/>
        <v>0.23150119999999999</v>
      </c>
      <c r="F119" s="67">
        <f t="shared" si="4"/>
        <v>0.23150119999999999</v>
      </c>
      <c r="G119" s="67">
        <f t="shared" si="4"/>
        <v>0.27314820000000001</v>
      </c>
      <c r="H119" s="67">
        <f t="shared" si="4"/>
        <v>0.31517100000000003</v>
      </c>
      <c r="I119" s="148" t="str">
        <f t="shared" si="5"/>
        <v/>
      </c>
      <c r="J119" s="365"/>
      <c r="K119" s="365"/>
      <c r="L119" s="365"/>
      <c r="M119" s="365"/>
      <c r="N119" s="365"/>
      <c r="O119" s="365"/>
      <c r="P119" s="365"/>
      <c r="Q119" s="365"/>
      <c r="R119" s="365"/>
      <c r="S119" s="365"/>
      <c r="T119" s="365"/>
      <c r="U119" s="365"/>
      <c r="V119" s="365"/>
      <c r="W119" s="365"/>
      <c r="X119" s="365"/>
      <c r="Y119" s="365"/>
      <c r="Z119" s="365"/>
      <c r="AA119" s="365"/>
      <c r="AB119" s="365"/>
      <c r="AC119" s="365"/>
      <c r="AD119" s="365"/>
      <c r="AE119" s="365"/>
      <c r="AF119" s="365"/>
      <c r="AG119" s="365"/>
      <c r="AH119" s="365"/>
      <c r="AI119" s="365"/>
      <c r="AJ119" s="365"/>
      <c r="AK119" s="365"/>
      <c r="AL119" s="365"/>
      <c r="AM119" s="365"/>
      <c r="AN119" s="365"/>
      <c r="AO119" s="365"/>
      <c r="AP119" s="365"/>
      <c r="AQ119" s="365"/>
      <c r="AR119" s="365"/>
      <c r="AS119" s="365"/>
      <c r="AT119" s="365"/>
      <c r="AU119" s="365"/>
      <c r="AV119" s="365"/>
      <c r="AW119" s="365"/>
      <c r="AX119" s="365"/>
      <c r="AY119" s="365"/>
      <c r="AZ119" s="365"/>
      <c r="BA119" s="365"/>
    </row>
    <row r="120" spans="1:53" s="212" customFormat="1">
      <c r="A120" s="211"/>
      <c r="B120" s="142" t="s">
        <v>9</v>
      </c>
      <c r="C120" s="98" t="s">
        <v>132</v>
      </c>
      <c r="D120" s="144">
        <f>INDEX('Apoio - Notas Explicativas'!Q:Q,MATCH(C120,'Apoio - Notas Explicativas'!C:C,0))</f>
        <v>5.4000000000000003E-3</v>
      </c>
      <c r="E120" s="67">
        <f t="shared" si="4"/>
        <v>12.5010648</v>
      </c>
      <c r="F120" s="67">
        <f t="shared" si="4"/>
        <v>12.5010648</v>
      </c>
      <c r="G120" s="67">
        <f t="shared" si="4"/>
        <v>14.750002800000001</v>
      </c>
      <c r="H120" s="67">
        <f t="shared" si="4"/>
        <v>17.019234000000001</v>
      </c>
      <c r="I120" s="148" t="str">
        <f t="shared" si="5"/>
        <v/>
      </c>
      <c r="J120" s="365"/>
      <c r="K120" s="365"/>
      <c r="L120" s="365"/>
      <c r="M120" s="365"/>
      <c r="N120" s="365"/>
      <c r="O120" s="365"/>
      <c r="P120" s="365"/>
      <c r="Q120" s="365"/>
      <c r="R120" s="365"/>
      <c r="S120" s="365"/>
      <c r="T120" s="365"/>
      <c r="U120" s="365"/>
      <c r="V120" s="365"/>
      <c r="W120" s="365"/>
      <c r="X120" s="365"/>
      <c r="Y120" s="365"/>
      <c r="Z120" s="365"/>
      <c r="AA120" s="365"/>
      <c r="AB120" s="365"/>
      <c r="AC120" s="365"/>
      <c r="AD120" s="365"/>
      <c r="AE120" s="365"/>
      <c r="AF120" s="365"/>
      <c r="AG120" s="365"/>
      <c r="AH120" s="365"/>
      <c r="AI120" s="365"/>
      <c r="AJ120" s="365"/>
      <c r="AK120" s="365"/>
      <c r="AL120" s="365"/>
      <c r="AM120" s="365"/>
      <c r="AN120" s="365"/>
      <c r="AO120" s="365"/>
      <c r="AP120" s="365"/>
      <c r="AQ120" s="365"/>
      <c r="AR120" s="365"/>
      <c r="AS120" s="365"/>
      <c r="AT120" s="365"/>
      <c r="AU120" s="365"/>
      <c r="AV120" s="365"/>
      <c r="AW120" s="365"/>
      <c r="AX120" s="365"/>
      <c r="AY120" s="365"/>
      <c r="AZ120" s="365"/>
      <c r="BA120" s="365"/>
    </row>
    <row r="121" spans="1:53" s="212" customFormat="1">
      <c r="A121" s="211"/>
      <c r="B121" s="142" t="s">
        <v>12</v>
      </c>
      <c r="C121" s="98" t="s">
        <v>133</v>
      </c>
      <c r="D121" s="144">
        <f>INDEX('Apoio - Notas Explicativas'!Q:Q,MATCH(C121,'Apoio - Notas Explicativas'!C:C,0))</f>
        <v>2E-3</v>
      </c>
      <c r="E121" s="67">
        <f t="shared" si="4"/>
        <v>4.6300239999999997</v>
      </c>
      <c r="F121" s="67">
        <f t="shared" si="4"/>
        <v>4.6300239999999997</v>
      </c>
      <c r="G121" s="67">
        <f t="shared" si="4"/>
        <v>5.4629640000000004</v>
      </c>
      <c r="H121" s="67">
        <f t="shared" si="4"/>
        <v>6.30342</v>
      </c>
      <c r="I121" s="148" t="str">
        <f t="shared" si="5"/>
        <v/>
      </c>
      <c r="J121" s="365"/>
      <c r="K121" s="365"/>
      <c r="L121" s="365"/>
      <c r="M121" s="365"/>
      <c r="N121" s="365"/>
      <c r="O121" s="365"/>
      <c r="P121" s="365"/>
      <c r="Q121" s="365"/>
      <c r="R121" s="365"/>
      <c r="S121" s="365"/>
      <c r="T121" s="365"/>
      <c r="U121" s="365"/>
      <c r="V121" s="365"/>
      <c r="W121" s="365"/>
      <c r="X121" s="365"/>
      <c r="Y121" s="365"/>
      <c r="Z121" s="365"/>
      <c r="AA121" s="365"/>
      <c r="AB121" s="365"/>
      <c r="AC121" s="365"/>
      <c r="AD121" s="365"/>
      <c r="AE121" s="365"/>
      <c r="AF121" s="365"/>
      <c r="AG121" s="365"/>
      <c r="AH121" s="365"/>
      <c r="AI121" s="365"/>
      <c r="AJ121" s="365"/>
      <c r="AK121" s="365"/>
      <c r="AL121" s="365"/>
      <c r="AM121" s="365"/>
      <c r="AN121" s="365"/>
      <c r="AO121" s="365"/>
      <c r="AP121" s="365"/>
      <c r="AQ121" s="365"/>
      <c r="AR121" s="365"/>
      <c r="AS121" s="365"/>
      <c r="AT121" s="365"/>
      <c r="AU121" s="365"/>
      <c r="AV121" s="365"/>
      <c r="AW121" s="365"/>
      <c r="AX121" s="365"/>
      <c r="AY121" s="365"/>
      <c r="AZ121" s="365"/>
      <c r="BA121" s="365"/>
    </row>
    <row r="122" spans="1:53" s="212" customFormat="1">
      <c r="A122" s="211"/>
      <c r="B122" s="142" t="s">
        <v>15</v>
      </c>
      <c r="C122" s="98" t="s">
        <v>134</v>
      </c>
      <c r="D122" s="144">
        <f>INDEX('Apoio - Notas Explicativas'!Q:Q,MATCH(C122,'Apoio - Notas Explicativas'!C:C,0))</f>
        <v>0.04</v>
      </c>
      <c r="E122" s="67">
        <f t="shared" si="4"/>
        <v>92.60047999999999</v>
      </c>
      <c r="F122" s="67">
        <f t="shared" si="4"/>
        <v>92.60047999999999</v>
      </c>
      <c r="G122" s="67">
        <f t="shared" si="4"/>
        <v>109.25928</v>
      </c>
      <c r="H122" s="67">
        <f t="shared" si="4"/>
        <v>126.06840000000001</v>
      </c>
      <c r="I122" s="148" t="str">
        <f t="shared" si="5"/>
        <v/>
      </c>
      <c r="J122" s="365"/>
      <c r="K122" s="365"/>
      <c r="L122" s="365"/>
      <c r="M122" s="365"/>
      <c r="N122" s="365"/>
      <c r="O122" s="365"/>
      <c r="P122" s="365"/>
      <c r="Q122" s="365"/>
      <c r="R122" s="365"/>
      <c r="S122" s="365"/>
      <c r="T122" s="365"/>
      <c r="U122" s="365"/>
      <c r="V122" s="365"/>
      <c r="W122" s="365"/>
      <c r="X122" s="365"/>
      <c r="Y122" s="365"/>
      <c r="Z122" s="365"/>
      <c r="AA122" s="365"/>
      <c r="AB122" s="365"/>
      <c r="AC122" s="365"/>
      <c r="AD122" s="365"/>
      <c r="AE122" s="365"/>
      <c r="AF122" s="365"/>
      <c r="AG122" s="365"/>
      <c r="AH122" s="365"/>
      <c r="AI122" s="365"/>
      <c r="AJ122" s="365"/>
      <c r="AK122" s="365"/>
      <c r="AL122" s="365"/>
      <c r="AM122" s="365"/>
      <c r="AN122" s="365"/>
      <c r="AO122" s="365"/>
      <c r="AP122" s="365"/>
      <c r="AQ122" s="365"/>
      <c r="AR122" s="365"/>
      <c r="AS122" s="365"/>
      <c r="AT122" s="365"/>
      <c r="AU122" s="365"/>
      <c r="AV122" s="365"/>
      <c r="AW122" s="365"/>
      <c r="AX122" s="365"/>
      <c r="AY122" s="365"/>
      <c r="AZ122" s="365"/>
      <c r="BA122" s="365"/>
    </row>
    <row r="123" spans="1:53" s="129" customFormat="1">
      <c r="A123" s="123"/>
      <c r="B123" s="124"/>
      <c r="C123" s="15" t="s">
        <v>135</v>
      </c>
      <c r="D123" s="125"/>
      <c r="E123" s="126">
        <f>IF(SUM(E117:E122)=0,"",SUM(E117:E122))</f>
        <v>120.38062399999998</v>
      </c>
      <c r="F123" s="126">
        <f>IF(SUM(F117:F122)=0,"",SUM(F117:F122))</f>
        <v>120.38062399999998</v>
      </c>
      <c r="G123" s="126">
        <f>IF(SUM(G117:G122)=0,"",SUM(G117:G122))</f>
        <v>142.03706400000002</v>
      </c>
      <c r="H123" s="126">
        <f>IF(SUM(H117:H122)=0,"",SUM(H117:H122))</f>
        <v>163.88892000000001</v>
      </c>
      <c r="I123" s="127" t="str">
        <f>IF(SUM(I117:I122)=0,"",SUM(I117:I122))</f>
        <v/>
      </c>
      <c r="J123" s="355"/>
      <c r="K123" s="355"/>
      <c r="L123" s="355"/>
      <c r="M123" s="355"/>
      <c r="N123" s="355"/>
      <c r="O123" s="355"/>
      <c r="P123" s="355"/>
      <c r="Q123" s="355"/>
      <c r="R123" s="355"/>
      <c r="S123" s="355"/>
      <c r="T123" s="355"/>
      <c r="U123" s="355"/>
      <c r="V123" s="355"/>
      <c r="W123" s="355"/>
      <c r="X123" s="355"/>
      <c r="Y123" s="355"/>
      <c r="Z123" s="355"/>
      <c r="AA123" s="355"/>
      <c r="AB123" s="355"/>
      <c r="AC123" s="355"/>
      <c r="AD123" s="355"/>
      <c r="AE123" s="355"/>
      <c r="AF123" s="355"/>
      <c r="AG123" s="355"/>
      <c r="AH123" s="355"/>
      <c r="AI123" s="355"/>
      <c r="AJ123" s="355"/>
      <c r="AK123" s="355"/>
      <c r="AL123" s="355"/>
      <c r="AM123" s="355"/>
      <c r="AN123" s="355"/>
      <c r="AO123" s="355"/>
      <c r="AP123" s="355"/>
      <c r="AQ123" s="355"/>
      <c r="AR123" s="355"/>
      <c r="AS123" s="355"/>
      <c r="AT123" s="355"/>
      <c r="AU123" s="355"/>
      <c r="AV123" s="355"/>
      <c r="AW123" s="355"/>
      <c r="AX123" s="355"/>
      <c r="AY123" s="355"/>
      <c r="AZ123" s="355"/>
      <c r="BA123" s="355"/>
    </row>
    <row r="124" spans="1:53" s="213" customFormat="1">
      <c r="A124" s="131"/>
      <c r="D124" s="132"/>
      <c r="E124" s="214"/>
      <c r="F124" s="214"/>
      <c r="G124" s="214"/>
      <c r="H124" s="214"/>
      <c r="I124" s="214"/>
      <c r="J124" s="366"/>
      <c r="K124" s="366"/>
      <c r="L124" s="366"/>
      <c r="M124" s="366"/>
      <c r="N124" s="366"/>
      <c r="O124" s="366"/>
      <c r="P124" s="366"/>
      <c r="Q124" s="366"/>
      <c r="R124" s="366"/>
      <c r="S124" s="366"/>
      <c r="T124" s="366"/>
      <c r="U124" s="366"/>
      <c r="V124" s="366"/>
      <c r="W124" s="366"/>
      <c r="X124" s="366"/>
      <c r="Y124" s="366"/>
      <c r="Z124" s="366"/>
      <c r="AA124" s="366"/>
      <c r="AB124" s="366"/>
      <c r="AC124" s="366"/>
      <c r="AD124" s="366"/>
      <c r="AE124" s="366"/>
      <c r="AF124" s="366"/>
      <c r="AG124" s="366"/>
      <c r="AH124" s="366"/>
      <c r="AI124" s="366"/>
      <c r="AJ124" s="366"/>
      <c r="AK124" s="366"/>
      <c r="AL124" s="366"/>
      <c r="AM124" s="366"/>
      <c r="AN124" s="366"/>
      <c r="AO124" s="366"/>
      <c r="AP124" s="366"/>
      <c r="AQ124" s="366"/>
      <c r="AR124" s="366"/>
      <c r="AS124" s="366"/>
      <c r="AT124" s="366"/>
      <c r="AU124" s="366"/>
      <c r="AV124" s="366"/>
      <c r="AW124" s="366"/>
      <c r="AX124" s="366"/>
      <c r="AY124" s="366"/>
      <c r="AZ124" s="366"/>
      <c r="BA124" s="366"/>
    </row>
    <row r="125" spans="1:53" s="135" customFormat="1">
      <c r="A125" s="134"/>
      <c r="B125" s="14"/>
      <c r="C125" s="15" t="s">
        <v>136</v>
      </c>
      <c r="D125" s="61"/>
      <c r="E125" s="62"/>
      <c r="F125" s="62"/>
      <c r="G125" s="62"/>
      <c r="H125" s="62"/>
      <c r="I125" s="62"/>
      <c r="J125" s="357"/>
      <c r="K125" s="357"/>
      <c r="L125" s="357"/>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357"/>
      <c r="AN125" s="357"/>
      <c r="AO125" s="357"/>
      <c r="AP125" s="357"/>
      <c r="AQ125" s="357"/>
      <c r="AR125" s="357"/>
      <c r="AS125" s="357"/>
      <c r="AT125" s="357"/>
      <c r="AU125" s="357"/>
      <c r="AV125" s="357"/>
      <c r="AW125" s="357"/>
      <c r="AX125" s="357"/>
      <c r="AY125" s="357"/>
      <c r="AZ125" s="357"/>
      <c r="BA125" s="357"/>
    </row>
    <row r="126" spans="1:53" ht="3.75" customHeight="1">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row>
    <row r="127" spans="1:53" s="135" customFormat="1" ht="28.8">
      <c r="A127" s="136"/>
      <c r="B127" s="137"/>
      <c r="C127" s="215" t="s">
        <v>137</v>
      </c>
      <c r="D127" s="139"/>
      <c r="E127" s="140"/>
      <c r="F127" s="141"/>
      <c r="G127" s="141"/>
      <c r="H127" s="141"/>
      <c r="I127" s="141"/>
      <c r="J127" s="357"/>
      <c r="K127" s="357"/>
      <c r="L127" s="357"/>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357"/>
      <c r="AN127" s="357"/>
      <c r="AO127" s="357"/>
      <c r="AP127" s="357"/>
      <c r="AQ127" s="357"/>
      <c r="AR127" s="357"/>
      <c r="AS127" s="357"/>
      <c r="AT127" s="357"/>
      <c r="AU127" s="357"/>
      <c r="AV127" s="357"/>
      <c r="AW127" s="357"/>
      <c r="AX127" s="357"/>
      <c r="AY127" s="357"/>
      <c r="AZ127" s="357"/>
      <c r="BA127" s="357"/>
    </row>
    <row r="128" spans="1:53" s="212" customFormat="1">
      <c r="A128" s="216"/>
      <c r="B128" s="142" t="s">
        <v>1</v>
      </c>
      <c r="C128" s="98" t="s">
        <v>138</v>
      </c>
      <c r="D128" s="144">
        <f>INDEX('Apoio - Notas Explicativas'!$Q:$Q,MATCH(C128,'Apoio - Notas Explicativas'!$C:$C,0))</f>
        <v>1.6199999999999999E-2</v>
      </c>
      <c r="E128" s="67">
        <f>IF(E21="","",IFERROR($D128*SUM(E$61),""))</f>
        <v>37.503194399999991</v>
      </c>
      <c r="F128" s="148">
        <f>IF(F21="","",IFERROR($D128*SUM(F$61),""))</f>
        <v>37.503194399999991</v>
      </c>
      <c r="G128" s="148">
        <f>IF(G21="","",IFERROR($D128*SUM(G$61),""))</f>
        <v>44.250008399999999</v>
      </c>
      <c r="H128" s="148">
        <f>IF(H21="","",IFERROR($D128*SUM(H$61),""))</f>
        <v>51.057701999999999</v>
      </c>
      <c r="I128" s="148" t="str">
        <f>IF(I21="","",IFERROR(ROUND($D128*SUM(I$61),2),""))</f>
        <v/>
      </c>
      <c r="J128" s="365"/>
      <c r="K128" s="365"/>
      <c r="L128" s="365"/>
      <c r="M128" s="365"/>
      <c r="N128" s="365"/>
      <c r="O128" s="365"/>
      <c r="P128" s="365"/>
      <c r="Q128" s="365"/>
      <c r="R128" s="365"/>
      <c r="S128" s="365"/>
      <c r="T128" s="365"/>
      <c r="U128" s="365"/>
      <c r="V128" s="365"/>
      <c r="W128" s="365"/>
      <c r="X128" s="365"/>
      <c r="Y128" s="365"/>
      <c r="Z128" s="365"/>
      <c r="AA128" s="365"/>
      <c r="AB128" s="365"/>
      <c r="AC128" s="365"/>
      <c r="AD128" s="365"/>
      <c r="AE128" s="365"/>
      <c r="AF128" s="365"/>
      <c r="AG128" s="365"/>
      <c r="AH128" s="365"/>
      <c r="AI128" s="365"/>
      <c r="AJ128" s="365"/>
      <c r="AK128" s="365"/>
      <c r="AL128" s="365"/>
      <c r="AM128" s="365"/>
      <c r="AN128" s="365"/>
      <c r="AO128" s="365"/>
      <c r="AP128" s="365"/>
      <c r="AQ128" s="365"/>
      <c r="AR128" s="365"/>
      <c r="AS128" s="365"/>
      <c r="AT128" s="365"/>
      <c r="AU128" s="365"/>
      <c r="AV128" s="365"/>
      <c r="AW128" s="365"/>
      <c r="AX128" s="365"/>
      <c r="AY128" s="365"/>
      <c r="AZ128" s="365"/>
      <c r="BA128" s="365"/>
    </row>
    <row r="129" spans="1:53" s="212" customFormat="1">
      <c r="A129" s="216"/>
      <c r="B129" s="142" t="s">
        <v>4</v>
      </c>
      <c r="C129" s="98" t="s">
        <v>139</v>
      </c>
      <c r="D129" s="144">
        <f>INDEX('Apoio - Notas Explicativas'!$Q:$Q,MATCH(C129,'Apoio - Notas Explicativas'!$C:$C,0))</f>
        <v>1.3899999999999999E-2</v>
      </c>
      <c r="E129" s="67">
        <f>IFERROR($D129*(E61+E66+E67),"")</f>
        <v>38.434199625919995</v>
      </c>
      <c r="F129" s="148">
        <f>IFERROR($D129*(F61+F66+F67),"")</f>
        <v>38.434199625919995</v>
      </c>
      <c r="G129" s="148">
        <f>IFERROR($D129*(G61+G66+G67),"")</f>
        <v>45.348501201120001</v>
      </c>
      <c r="H129" s="148">
        <f>IFERROR($D129*(H61+H66+H67),"")</f>
        <v>52.325193693599999</v>
      </c>
      <c r="I129" s="148" t="str">
        <f>IFERROR(ROUND($D129*(I61+I66+I67),2),"")</f>
        <v/>
      </c>
      <c r="J129" s="365"/>
      <c r="K129" s="365"/>
      <c r="L129" s="365"/>
      <c r="M129" s="365"/>
      <c r="N129" s="365"/>
      <c r="O129" s="365"/>
      <c r="P129" s="365"/>
      <c r="Q129" s="365"/>
      <c r="R129" s="365"/>
      <c r="S129" s="365"/>
      <c r="T129" s="365"/>
      <c r="U129" s="365"/>
      <c r="V129" s="365"/>
      <c r="W129" s="365"/>
      <c r="X129" s="365"/>
      <c r="Y129" s="365"/>
      <c r="Z129" s="365"/>
      <c r="AA129" s="365"/>
      <c r="AB129" s="365"/>
      <c r="AC129" s="365"/>
      <c r="AD129" s="365"/>
      <c r="AE129" s="365"/>
      <c r="AF129" s="365"/>
      <c r="AG129" s="365"/>
      <c r="AH129" s="365"/>
      <c r="AI129" s="365"/>
      <c r="AJ129" s="365"/>
      <c r="AK129" s="365"/>
      <c r="AL129" s="365"/>
      <c r="AM129" s="365"/>
      <c r="AN129" s="365"/>
      <c r="AO129" s="365"/>
      <c r="AP129" s="365"/>
      <c r="AQ129" s="365"/>
      <c r="AR129" s="365"/>
      <c r="AS129" s="365"/>
      <c r="AT129" s="365"/>
      <c r="AU129" s="365"/>
      <c r="AV129" s="365"/>
      <c r="AW129" s="365"/>
      <c r="AX129" s="365"/>
      <c r="AY129" s="365"/>
      <c r="AZ129" s="365"/>
      <c r="BA129" s="365"/>
    </row>
    <row r="130" spans="1:53" s="212" customFormat="1">
      <c r="A130" s="216"/>
      <c r="B130" s="142" t="s">
        <v>6</v>
      </c>
      <c r="C130" s="98" t="s">
        <v>140</v>
      </c>
      <c r="D130" s="144">
        <f>INDEX('Apoio - Notas Explicativas'!$Q:$Q,MATCH(C130,'Apoio - Notas Explicativas'!$C:$C,0))</f>
        <v>2.0000000000000001E-4</v>
      </c>
      <c r="E130" s="67">
        <f>IFERROR($D130*(E61+E66+E67),"")</f>
        <v>0.55301006655999996</v>
      </c>
      <c r="F130" s="148">
        <f>IFERROR($D130*(F61+F66+F67),"")</f>
        <v>0.55301006655999996</v>
      </c>
      <c r="G130" s="148">
        <f>IFERROR($D130*(G61+G66+G67),"")</f>
        <v>0.65249642016000009</v>
      </c>
      <c r="H130" s="148">
        <f>IFERROR($D130*(H61+H66+H67),"")</f>
        <v>0.75288048480000014</v>
      </c>
      <c r="I130" s="148" t="str">
        <f>IFERROR(ROUND($D130*(I61+I66+I67),2),"")</f>
        <v/>
      </c>
      <c r="J130" s="365"/>
      <c r="K130" s="365"/>
      <c r="L130" s="365"/>
      <c r="M130" s="365"/>
      <c r="N130" s="365"/>
      <c r="O130" s="365"/>
      <c r="P130" s="365"/>
      <c r="Q130" s="365"/>
      <c r="R130" s="365"/>
      <c r="S130" s="365"/>
      <c r="T130" s="365"/>
      <c r="U130" s="365"/>
      <c r="V130" s="365"/>
      <c r="W130" s="365"/>
      <c r="X130" s="365"/>
      <c r="Y130" s="365"/>
      <c r="Z130" s="365"/>
      <c r="AA130" s="365"/>
      <c r="AB130" s="365"/>
      <c r="AC130" s="365"/>
      <c r="AD130" s="365"/>
      <c r="AE130" s="365"/>
      <c r="AF130" s="365"/>
      <c r="AG130" s="365"/>
      <c r="AH130" s="365"/>
      <c r="AI130" s="365"/>
      <c r="AJ130" s="365"/>
      <c r="AK130" s="365"/>
      <c r="AL130" s="365"/>
      <c r="AM130" s="365"/>
      <c r="AN130" s="365"/>
      <c r="AO130" s="365"/>
      <c r="AP130" s="365"/>
      <c r="AQ130" s="365"/>
      <c r="AR130" s="365"/>
      <c r="AS130" s="365"/>
      <c r="AT130" s="365"/>
      <c r="AU130" s="365"/>
      <c r="AV130" s="365"/>
      <c r="AW130" s="365"/>
      <c r="AX130" s="365"/>
      <c r="AY130" s="365"/>
      <c r="AZ130" s="365"/>
      <c r="BA130" s="365"/>
    </row>
    <row r="131" spans="1:53" s="212" customFormat="1">
      <c r="A131" s="216"/>
      <c r="B131" s="142" t="s">
        <v>9</v>
      </c>
      <c r="C131" s="98" t="s">
        <v>141</v>
      </c>
      <c r="D131" s="144">
        <f>INDEX('Apoio - Notas Explicativas'!$Q:$Q,MATCH(C131,'Apoio - Notas Explicativas'!$C:$C,0))</f>
        <v>8.2000000000000007E-3</v>
      </c>
      <c r="E131" s="67">
        <f>IFERROR($D131*(E61+E66+E67),"")</f>
        <v>22.673412728959999</v>
      </c>
      <c r="F131" s="148">
        <f>IFERROR($D131*(F61+F66+F67),"")</f>
        <v>22.673412728959999</v>
      </c>
      <c r="G131" s="148">
        <f>IFERROR($D131*(G61+G66+G67),"")</f>
        <v>26.752353226560004</v>
      </c>
      <c r="H131" s="148">
        <f>IFERROR($D131*(H61+H66+H67),"")</f>
        <v>30.868099876800006</v>
      </c>
      <c r="I131" s="148" t="str">
        <f>IFERROR(ROUND($D131*(I61+I66+I67),2),"")</f>
        <v/>
      </c>
      <c r="J131" s="365"/>
      <c r="K131" s="365"/>
      <c r="L131" s="365"/>
      <c r="M131" s="365"/>
      <c r="N131" s="365"/>
      <c r="O131" s="365"/>
      <c r="P131" s="365"/>
      <c r="Q131" s="365"/>
      <c r="R131" s="365"/>
      <c r="S131" s="365"/>
      <c r="T131" s="365"/>
      <c r="U131" s="365"/>
      <c r="V131" s="365"/>
      <c r="W131" s="365"/>
      <c r="X131" s="365"/>
      <c r="Y131" s="365"/>
      <c r="Z131" s="365"/>
      <c r="AA131" s="365"/>
      <c r="AB131" s="365"/>
      <c r="AC131" s="365"/>
      <c r="AD131" s="365"/>
      <c r="AE131" s="365"/>
      <c r="AF131" s="365"/>
      <c r="AG131" s="365"/>
      <c r="AH131" s="365"/>
      <c r="AI131" s="365"/>
      <c r="AJ131" s="365"/>
      <c r="AK131" s="365"/>
      <c r="AL131" s="365"/>
      <c r="AM131" s="365"/>
      <c r="AN131" s="365"/>
      <c r="AO131" s="365"/>
      <c r="AP131" s="365"/>
      <c r="AQ131" s="365"/>
      <c r="AR131" s="365"/>
      <c r="AS131" s="365"/>
      <c r="AT131" s="365"/>
      <c r="AU131" s="365"/>
      <c r="AV131" s="365"/>
      <c r="AW131" s="365"/>
      <c r="AX131" s="365"/>
      <c r="AY131" s="365"/>
      <c r="AZ131" s="365"/>
      <c r="BA131" s="365"/>
    </row>
    <row r="132" spans="1:53" s="212" customFormat="1">
      <c r="A132" s="216"/>
      <c r="B132" s="142" t="s">
        <v>12</v>
      </c>
      <c r="C132" s="98" t="s">
        <v>142</v>
      </c>
      <c r="D132" s="144">
        <f>INDEX('Apoio - Notas Explicativas'!$Q:$Q,MATCH(C132,'Apoio - Notas Explicativas'!$C:$C,0))</f>
        <v>2.9999999999999997E-4</v>
      </c>
      <c r="E132" s="67">
        <f>IFERROR($D132*(E61+E66+E67),"")</f>
        <v>0.82951509983999983</v>
      </c>
      <c r="F132" s="148">
        <f>IFERROR($D132*(F61+F66+F67),"")</f>
        <v>0.82951509983999983</v>
      </c>
      <c r="G132" s="148">
        <f>IFERROR($D132*(G61+G66+G67),"")</f>
        <v>0.97874463024000002</v>
      </c>
      <c r="H132" s="148">
        <f>IFERROR($D132*(H61+H66+H67),"")</f>
        <v>1.1293207272000001</v>
      </c>
      <c r="I132" s="148" t="str">
        <f>IFERROR(ROUND($D132*(I61+I66+I67),2),"")</f>
        <v/>
      </c>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65"/>
      <c r="AL132" s="365"/>
      <c r="AM132" s="365"/>
      <c r="AN132" s="365"/>
      <c r="AO132" s="365"/>
      <c r="AP132" s="365"/>
      <c r="AQ132" s="365"/>
      <c r="AR132" s="365"/>
      <c r="AS132" s="365"/>
      <c r="AT132" s="365"/>
      <c r="AU132" s="365"/>
      <c r="AV132" s="365"/>
      <c r="AW132" s="365"/>
      <c r="AX132" s="365"/>
      <c r="AY132" s="365"/>
      <c r="AZ132" s="365"/>
      <c r="BA132" s="365"/>
    </row>
    <row r="133" spans="1:53" s="212" customFormat="1">
      <c r="A133" s="216"/>
      <c r="B133" s="142" t="s">
        <v>15</v>
      </c>
      <c r="C133" s="98" t="s">
        <v>143</v>
      </c>
      <c r="D133" s="144">
        <f>INDEX('Apoio - Notas Explicativas'!$Q:$Q,MATCH(C133,'Apoio - Notas Explicativas'!$C:$C,0))</f>
        <v>6.9999999999999999E-4</v>
      </c>
      <c r="E133" s="67">
        <f>IFERROR((E$61+E67)*$D$133,"")</f>
        <v>1.8005468832399998</v>
      </c>
      <c r="F133" s="148">
        <f>IFERROR((F$61+F67)*$D$133,"")</f>
        <v>1.8005468832399998</v>
      </c>
      <c r="G133" s="148">
        <f>IFERROR((G$61+G67)*$D$133,"")</f>
        <v>2.12446475514</v>
      </c>
      <c r="H133" s="148">
        <f>IFERROR((H$61+H67)*$D$133,"")</f>
        <v>2.4513054866999999</v>
      </c>
      <c r="I133" s="148" t="str">
        <f>IFERROR(ROUND((I$61+I67)*$D$133,2),"")</f>
        <v/>
      </c>
      <c r="J133" s="365"/>
      <c r="K133" s="365"/>
      <c r="L133" s="365"/>
      <c r="M133" s="365"/>
      <c r="N133" s="365"/>
      <c r="O133" s="365"/>
      <c r="P133" s="365"/>
      <c r="Q133" s="365"/>
      <c r="R133" s="365"/>
      <c r="S133" s="365"/>
      <c r="T133" s="365"/>
      <c r="U133" s="365"/>
      <c r="V133" s="365"/>
      <c r="W133" s="365"/>
      <c r="X133" s="365"/>
      <c r="Y133" s="365"/>
      <c r="Z133" s="365"/>
      <c r="AA133" s="365"/>
      <c r="AB133" s="365"/>
      <c r="AC133" s="365"/>
      <c r="AD133" s="365"/>
      <c r="AE133" s="365"/>
      <c r="AF133" s="365"/>
      <c r="AG133" s="365"/>
      <c r="AH133" s="365"/>
      <c r="AI133" s="365"/>
      <c r="AJ133" s="365"/>
      <c r="AK133" s="365"/>
      <c r="AL133" s="365"/>
      <c r="AM133" s="365"/>
      <c r="AN133" s="365"/>
      <c r="AO133" s="365"/>
      <c r="AP133" s="365"/>
      <c r="AQ133" s="365"/>
      <c r="AR133" s="365"/>
      <c r="AS133" s="365"/>
      <c r="AT133" s="365"/>
      <c r="AU133" s="365"/>
      <c r="AV133" s="365"/>
      <c r="AW133" s="365"/>
      <c r="AX133" s="365"/>
      <c r="AY133" s="365"/>
      <c r="AZ133" s="365"/>
      <c r="BA133" s="365"/>
    </row>
    <row r="134" spans="1:53" s="212" customFormat="1">
      <c r="A134" s="216"/>
      <c r="B134" s="142" t="s">
        <v>17</v>
      </c>
      <c r="C134" s="98" t="s">
        <v>144</v>
      </c>
      <c r="D134" s="144">
        <f>SUM(D128:D133)*SUM(D81:D82,D72:D77)</f>
        <v>1.4536000000000002E-2</v>
      </c>
      <c r="E134" s="67">
        <f>IF(E18="","",SUM(E128:E133)*SUM($D$72:$D$77,$D$81:$D$82))</f>
        <v>37.46014740006337</v>
      </c>
      <c r="F134" s="148">
        <f>IF(F18="","",SUM(F128:F133)*SUM($D$72:$D$77,$D$81:$D$82))</f>
        <v>37.46014740006337</v>
      </c>
      <c r="G134" s="148">
        <f>IF(G18="","",SUM(G128:G133)*SUM($D$72:$D$77,$D$81:$D$82))</f>
        <v>44.199217257024976</v>
      </c>
      <c r="H134" s="148">
        <f>IF(H18="","",SUM(H128:H133)*SUM($D$72:$D$77,$D$81:$D$82))</f>
        <v>50.999096835028816</v>
      </c>
      <c r="I134" s="148" t="str">
        <f>IF(I18="","",ROUND(SUM(I128:I133)*SUM($D$72:$D$77,$D$81:$D$82),2))</f>
        <v/>
      </c>
      <c r="J134" s="365"/>
      <c r="K134" s="365"/>
      <c r="L134" s="365"/>
      <c r="M134" s="365"/>
      <c r="N134" s="365"/>
      <c r="O134" s="365"/>
      <c r="P134" s="365"/>
      <c r="Q134" s="365"/>
      <c r="R134" s="365"/>
      <c r="S134" s="365"/>
      <c r="T134" s="365"/>
      <c r="U134" s="365"/>
      <c r="V134" s="365"/>
      <c r="W134" s="365"/>
      <c r="X134" s="365"/>
      <c r="Y134" s="365"/>
      <c r="Z134" s="365"/>
      <c r="AA134" s="365"/>
      <c r="AB134" s="365"/>
      <c r="AC134" s="365"/>
      <c r="AD134" s="365"/>
      <c r="AE134" s="365"/>
      <c r="AF134" s="365"/>
      <c r="AG134" s="365"/>
      <c r="AH134" s="365"/>
      <c r="AI134" s="365"/>
      <c r="AJ134" s="365"/>
      <c r="AK134" s="365"/>
      <c r="AL134" s="365"/>
      <c r="AM134" s="365"/>
      <c r="AN134" s="365"/>
      <c r="AO134" s="365"/>
      <c r="AP134" s="365"/>
      <c r="AQ134" s="365"/>
      <c r="AR134" s="365"/>
      <c r="AS134" s="365"/>
      <c r="AT134" s="365"/>
      <c r="AU134" s="365"/>
      <c r="AV134" s="365"/>
      <c r="AW134" s="365"/>
      <c r="AX134" s="365"/>
      <c r="AY134" s="365"/>
      <c r="AZ134" s="365"/>
      <c r="BA134" s="365"/>
    </row>
    <row r="135" spans="1:53" s="212" customFormat="1">
      <c r="A135" s="216"/>
      <c r="B135" s="142" t="s">
        <v>20</v>
      </c>
      <c r="C135" s="98" t="s">
        <v>145</v>
      </c>
      <c r="D135" s="217">
        <f>INDEX('Apoio - Notas Explicativas'!$Q:$Q,MATCH(C135,'Apoio - Notas Explicativas'!$C:$C,0))</f>
        <v>37.96</v>
      </c>
      <c r="E135" s="67">
        <f>IFERROR(((E112-SUM(E91,E96))/(30*12))*$D$135,"")</f>
        <v>2.5412111111111133</v>
      </c>
      <c r="F135" s="148">
        <f>IFERROR(((F112-SUM(F91,F96))/(30*12))*$D$135,"")</f>
        <v>2.5412111111111133</v>
      </c>
      <c r="G135" s="148">
        <f>IFERROR(((G112-SUM(G91,G96))/(30*12))*$D$135,"")</f>
        <v>2.5412111111111133</v>
      </c>
      <c r="H135" s="148">
        <f>IFERROR(((H112-SUM(H91,H96))/(30*12))*$D$135,"")</f>
        <v>2.5412111111111133</v>
      </c>
      <c r="I135" s="148" t="str">
        <f>IFERROR(ROUND(((I112-SUM(I91,I96))/(30*12))*$D$135,2),"")</f>
        <v/>
      </c>
      <c r="J135" s="365"/>
      <c r="K135" s="365"/>
      <c r="L135" s="365"/>
      <c r="M135" s="365"/>
      <c r="N135" s="365"/>
      <c r="O135" s="365"/>
      <c r="P135" s="365"/>
      <c r="Q135" s="365"/>
      <c r="R135" s="365"/>
      <c r="S135" s="365"/>
      <c r="T135" s="365"/>
      <c r="U135" s="365"/>
      <c r="V135" s="365"/>
      <c r="W135" s="365"/>
      <c r="X135" s="365"/>
      <c r="Y135" s="365"/>
      <c r="Z135" s="365"/>
      <c r="AA135" s="365"/>
      <c r="AB135" s="365"/>
      <c r="AC135" s="365"/>
      <c r="AD135" s="365"/>
      <c r="AE135" s="365"/>
      <c r="AF135" s="365"/>
      <c r="AG135" s="365"/>
      <c r="AH135" s="365"/>
      <c r="AI135" s="365"/>
      <c r="AJ135" s="365"/>
      <c r="AK135" s="365"/>
      <c r="AL135" s="365"/>
      <c r="AM135" s="365"/>
      <c r="AN135" s="365"/>
      <c r="AO135" s="365"/>
      <c r="AP135" s="365"/>
      <c r="AQ135" s="365"/>
      <c r="AR135" s="365"/>
      <c r="AS135" s="365"/>
      <c r="AT135" s="365"/>
      <c r="AU135" s="365"/>
      <c r="AV135" s="365"/>
      <c r="AW135" s="365"/>
      <c r="AX135" s="365"/>
      <c r="AY135" s="365"/>
      <c r="AZ135" s="365"/>
      <c r="BA135" s="365"/>
    </row>
    <row r="136" spans="1:53" s="212" customFormat="1">
      <c r="A136" s="216"/>
      <c r="B136" s="142" t="s">
        <v>22</v>
      </c>
      <c r="C136" s="98" t="s">
        <v>146</v>
      </c>
      <c r="D136" s="217">
        <f>INDEX('Apoio - Notas Explicativas'!$Q:$Q,MATCH(C136,'Apoio - Notas Explicativas'!$C:$C,0))</f>
        <v>37.96</v>
      </c>
      <c r="E136" s="67">
        <f>IFERROR(((((E$123/12)*$D$136))/30),"")</f>
        <v>12.693468019555553</v>
      </c>
      <c r="F136" s="148">
        <f>IFERROR(((((F$123/12)*$D$136))/30),"")</f>
        <v>12.693468019555553</v>
      </c>
      <c r="G136" s="148">
        <f>IFERROR(((((G$123/12)*$D$136))/30),"")</f>
        <v>14.977019304000002</v>
      </c>
      <c r="H136" s="148">
        <f>IFERROR(((((H$123/12)*$D$136))/30),"")</f>
        <v>17.281176120000001</v>
      </c>
      <c r="I136" s="148" t="str">
        <f>IFERROR(ROUND(((((I$123/12)*$D$136))/30),2),"")</f>
        <v/>
      </c>
      <c r="J136" s="365"/>
      <c r="K136" s="365"/>
      <c r="L136" s="365"/>
      <c r="M136" s="365"/>
      <c r="N136" s="365"/>
      <c r="O136" s="365"/>
      <c r="P136" s="365"/>
      <c r="Q136" s="365"/>
      <c r="R136" s="365"/>
      <c r="S136" s="365"/>
      <c r="T136" s="365"/>
      <c r="U136" s="365"/>
      <c r="V136" s="365"/>
      <c r="W136" s="365"/>
      <c r="X136" s="365"/>
      <c r="Y136" s="365"/>
      <c r="Z136" s="365"/>
      <c r="AA136" s="365"/>
      <c r="AB136" s="365"/>
      <c r="AC136" s="365"/>
      <c r="AD136" s="365"/>
      <c r="AE136" s="365"/>
      <c r="AF136" s="365"/>
      <c r="AG136" s="365"/>
      <c r="AH136" s="365"/>
      <c r="AI136" s="365"/>
      <c r="AJ136" s="365"/>
      <c r="AK136" s="365"/>
      <c r="AL136" s="365"/>
      <c r="AM136" s="365"/>
      <c r="AN136" s="365"/>
      <c r="AO136" s="365"/>
      <c r="AP136" s="365"/>
      <c r="AQ136" s="365"/>
      <c r="AR136" s="365"/>
      <c r="AS136" s="365"/>
      <c r="AT136" s="365"/>
      <c r="AU136" s="365"/>
      <c r="AV136" s="365"/>
      <c r="AW136" s="365"/>
      <c r="AX136" s="365"/>
      <c r="AY136" s="365"/>
      <c r="AZ136" s="365"/>
      <c r="BA136" s="365"/>
    </row>
    <row r="137" spans="1:53" s="129" customFormat="1">
      <c r="A137" s="146"/>
      <c r="B137" s="137"/>
      <c r="C137" s="138" t="s">
        <v>147</v>
      </c>
      <c r="D137" s="147"/>
      <c r="E137" s="140">
        <f>IF(SUM(E128:E136)=0,"",SUM(E128:E136))</f>
        <v>154.48870533525005</v>
      </c>
      <c r="F137" s="141">
        <f>IF(SUM(F128:F136)=0,"",SUM(F128:F136))</f>
        <v>154.48870533525005</v>
      </c>
      <c r="G137" s="140">
        <f>IF(SUM(G128:G136)=0,"",SUM(G128:G136))</f>
        <v>181.82401630535611</v>
      </c>
      <c r="H137" s="141">
        <f>IF(SUM(H128:H136)=0,"",SUM(H128:H136))</f>
        <v>209.40598633523993</v>
      </c>
      <c r="I137" s="141" t="str">
        <f>IF(SUM(I128:I136)=0,"",SUM(I128:I136))</f>
        <v/>
      </c>
      <c r="J137" s="355"/>
      <c r="K137" s="355"/>
      <c r="L137" s="355"/>
      <c r="M137" s="355"/>
      <c r="N137" s="355"/>
      <c r="O137" s="355"/>
      <c r="P137" s="355"/>
      <c r="Q137" s="355"/>
      <c r="R137" s="355"/>
      <c r="S137" s="355"/>
      <c r="T137" s="355"/>
      <c r="U137" s="355"/>
      <c r="V137" s="355"/>
      <c r="W137" s="355"/>
      <c r="X137" s="355"/>
      <c r="Y137" s="355"/>
      <c r="Z137" s="355"/>
      <c r="AA137" s="355"/>
      <c r="AB137" s="355"/>
      <c r="AC137" s="355"/>
      <c r="AD137" s="355"/>
      <c r="AE137" s="355"/>
      <c r="AF137" s="355"/>
      <c r="AG137" s="355"/>
      <c r="AH137" s="355"/>
      <c r="AI137" s="355"/>
      <c r="AJ137" s="355"/>
      <c r="AK137" s="355"/>
      <c r="AL137" s="355"/>
      <c r="AM137" s="355"/>
      <c r="AN137" s="355"/>
      <c r="AO137" s="355"/>
      <c r="AP137" s="355"/>
      <c r="AQ137" s="355"/>
      <c r="AR137" s="355"/>
      <c r="AS137" s="355"/>
      <c r="AT137" s="355"/>
      <c r="AU137" s="355"/>
      <c r="AV137" s="355"/>
      <c r="AW137" s="355"/>
      <c r="AX137" s="355"/>
      <c r="AY137" s="355"/>
      <c r="AZ137" s="355"/>
      <c r="BA137" s="355"/>
    </row>
    <row r="138" spans="1:53" hidden="1">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row>
    <row r="139" spans="1:53" s="135" customFormat="1" hidden="1">
      <c r="A139" s="136"/>
      <c r="B139" s="137"/>
      <c r="C139" s="138" t="s">
        <v>148</v>
      </c>
      <c r="D139" s="139"/>
      <c r="E139" s="140"/>
      <c r="F139" s="140"/>
      <c r="G139" s="140"/>
      <c r="H139" s="140"/>
      <c r="I139" s="140"/>
      <c r="J139" s="357"/>
      <c r="K139" s="357"/>
      <c r="L139" s="357"/>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357"/>
      <c r="AN139" s="357"/>
      <c r="AO139" s="357"/>
      <c r="AP139" s="357"/>
      <c r="AQ139" s="357"/>
      <c r="AR139" s="357"/>
      <c r="AS139" s="357"/>
      <c r="AT139" s="357"/>
      <c r="AU139" s="357"/>
      <c r="AV139" s="357"/>
      <c r="AW139" s="357"/>
      <c r="AX139" s="357"/>
      <c r="AY139" s="357"/>
      <c r="AZ139" s="357"/>
      <c r="BA139" s="357"/>
    </row>
    <row r="140" spans="1:53" s="212" customFormat="1" hidden="1">
      <c r="A140" s="218"/>
      <c r="B140" s="672" t="s">
        <v>1</v>
      </c>
      <c r="C140" s="100" t="s">
        <v>149</v>
      </c>
      <c r="D140" s="191"/>
      <c r="E140" s="101"/>
      <c r="F140" s="101"/>
      <c r="G140" s="101"/>
      <c r="H140" s="101"/>
      <c r="I140" s="152"/>
      <c r="J140" s="365"/>
      <c r="K140" s="365"/>
      <c r="L140" s="365"/>
      <c r="M140" s="365"/>
      <c r="N140" s="365"/>
      <c r="O140" s="365"/>
      <c r="P140" s="365"/>
      <c r="Q140" s="365"/>
      <c r="R140" s="365"/>
      <c r="S140" s="365"/>
      <c r="T140" s="365"/>
      <c r="U140" s="365"/>
      <c r="V140" s="365"/>
      <c r="W140" s="365"/>
      <c r="X140" s="365"/>
      <c r="Y140" s="365"/>
      <c r="Z140" s="365"/>
      <c r="AA140" s="365"/>
      <c r="AB140" s="365"/>
      <c r="AC140" s="365"/>
      <c r="AD140" s="365"/>
      <c r="AE140" s="365"/>
      <c r="AF140" s="365"/>
      <c r="AG140" s="365"/>
      <c r="AH140" s="365"/>
      <c r="AI140" s="365"/>
      <c r="AJ140" s="365"/>
      <c r="AK140" s="365"/>
      <c r="AL140" s="365"/>
      <c r="AM140" s="365"/>
      <c r="AN140" s="365"/>
      <c r="AO140" s="365"/>
      <c r="AP140" s="365"/>
      <c r="AQ140" s="365"/>
      <c r="AR140" s="365"/>
      <c r="AS140" s="365"/>
      <c r="AT140" s="365"/>
      <c r="AU140" s="365"/>
      <c r="AV140" s="365"/>
      <c r="AW140" s="365"/>
      <c r="AX140" s="365"/>
      <c r="AY140" s="365"/>
      <c r="AZ140" s="365"/>
      <c r="BA140" s="365"/>
    </row>
    <row r="141" spans="1:53" s="365" customFormat="1" hidden="1">
      <c r="A141" s="218"/>
      <c r="B141" s="672"/>
      <c r="C141" s="103" t="s">
        <v>150</v>
      </c>
      <c r="D141" s="72"/>
      <c r="E141" s="219"/>
      <c r="F141" s="219"/>
      <c r="G141" s="219"/>
      <c r="H141" s="219"/>
      <c r="I141" s="228"/>
    </row>
    <row r="142" spans="1:53" s="365" customFormat="1" hidden="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Trabalho'!$A:$I,7,0)),IF(I141="Não",0,IF(I141="Indenização",(((I61/VLOOKUP(I$26,'Apoio - Regime de Trabalho'!$A:$I,8,0))*1.5)*VLOOKUP(I$26,'Apoio - Regime de Trabalho'!$A:$I,7,0)),"")))</f>
        <v/>
      </c>
    </row>
    <row r="143" spans="1:53" s="129" customFormat="1" hidden="1">
      <c r="A143" s="146"/>
      <c r="B143" s="137"/>
      <c r="C143" s="138" t="s">
        <v>151</v>
      </c>
      <c r="D143" s="147"/>
      <c r="E143" s="141" t="str">
        <f>E142</f>
        <v/>
      </c>
      <c r="F143" s="141" t="str">
        <f>F142</f>
        <v/>
      </c>
      <c r="G143" s="141" t="str">
        <f>G142</f>
        <v/>
      </c>
      <c r="H143" s="141" t="str">
        <f>H142</f>
        <v/>
      </c>
      <c r="I143" s="141" t="str">
        <f>I142</f>
        <v/>
      </c>
      <c r="J143" s="355"/>
      <c r="K143" s="355"/>
      <c r="L143" s="355"/>
      <c r="M143" s="355"/>
      <c r="N143" s="355"/>
      <c r="O143" s="355"/>
      <c r="P143" s="355"/>
      <c r="Q143" s="355"/>
      <c r="R143" s="355"/>
      <c r="S143" s="355"/>
      <c r="T143" s="355"/>
      <c r="U143" s="355"/>
      <c r="V143" s="355"/>
      <c r="W143" s="355"/>
      <c r="X143" s="355"/>
      <c r="Y143" s="355"/>
      <c r="Z143" s="355"/>
      <c r="AA143" s="355"/>
      <c r="AB143" s="355"/>
      <c r="AC143" s="355"/>
      <c r="AD143" s="355"/>
      <c r="AE143" s="355"/>
      <c r="AF143" s="355"/>
      <c r="AG143" s="355"/>
      <c r="AH143" s="355"/>
      <c r="AI143" s="355"/>
      <c r="AJ143" s="355"/>
      <c r="AK143" s="355"/>
      <c r="AL143" s="355"/>
      <c r="AM143" s="355"/>
      <c r="AN143" s="355"/>
      <c r="AO143" s="355"/>
      <c r="AP143" s="355"/>
      <c r="AQ143" s="355"/>
      <c r="AR143" s="355"/>
      <c r="AS143" s="355"/>
      <c r="AT143" s="355"/>
      <c r="AU143" s="355"/>
      <c r="AV143" s="355"/>
      <c r="AW143" s="355"/>
      <c r="AX143" s="355"/>
      <c r="AY143" s="355"/>
      <c r="AZ143" s="355"/>
      <c r="BA143" s="355"/>
    </row>
    <row r="144" spans="1:53" ht="3.75" customHeight="1">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row>
    <row r="145" spans="1:53" s="129" customFormat="1">
      <c r="A145" s="123"/>
      <c r="B145" s="124"/>
      <c r="C145" s="15" t="s">
        <v>152</v>
      </c>
      <c r="D145" s="125"/>
      <c r="E145" s="126">
        <f>IF(E143="",E137,SUM(E143,E137))</f>
        <v>154.48870533525005</v>
      </c>
      <c r="F145" s="126">
        <f>IF(F143="",F137,SUM(F143,F137))</f>
        <v>154.48870533525005</v>
      </c>
      <c r="G145" s="128">
        <f>IF(G143="",G137,SUM(G143,G137))</f>
        <v>181.82401630535611</v>
      </c>
      <c r="H145" s="207">
        <f>IF(H143="",H137,SUM(H143,H137))</f>
        <v>209.40598633523993</v>
      </c>
      <c r="I145" s="127" t="str">
        <f>IF(I143="",I137,SUM(I143,I137))</f>
        <v/>
      </c>
      <c r="J145" s="354"/>
      <c r="K145" s="355"/>
      <c r="L145" s="355"/>
      <c r="M145" s="355"/>
      <c r="N145" s="355"/>
      <c r="O145" s="355"/>
      <c r="P145" s="355"/>
      <c r="Q145" s="355"/>
      <c r="R145" s="355"/>
      <c r="S145" s="355"/>
      <c r="T145" s="355"/>
      <c r="U145" s="355"/>
      <c r="V145" s="355"/>
      <c r="W145" s="355"/>
      <c r="X145" s="355"/>
      <c r="Y145" s="355"/>
      <c r="Z145" s="355"/>
      <c r="AA145" s="355"/>
      <c r="AB145" s="355"/>
      <c r="AC145" s="355"/>
      <c r="AD145" s="355"/>
      <c r="AE145" s="355"/>
      <c r="AF145" s="355"/>
      <c r="AG145" s="355"/>
      <c r="AH145" s="355"/>
      <c r="AI145" s="355"/>
      <c r="AJ145" s="355"/>
      <c r="AK145" s="355"/>
      <c r="AL145" s="355"/>
      <c r="AM145" s="355"/>
      <c r="AN145" s="355"/>
      <c r="AO145" s="355"/>
      <c r="AP145" s="355"/>
      <c r="AQ145" s="355"/>
      <c r="AR145" s="355"/>
      <c r="AS145" s="355"/>
      <c r="AT145" s="355"/>
      <c r="AU145" s="355"/>
      <c r="AV145" s="355"/>
      <c r="AW145" s="355"/>
      <c r="AX145" s="355"/>
      <c r="AY145" s="355"/>
      <c r="AZ145" s="355"/>
      <c r="BA145" s="355"/>
    </row>
    <row r="146" spans="1:53" s="129" customFormat="1">
      <c r="B146" s="222"/>
      <c r="C146" s="223"/>
      <c r="D146" s="224"/>
      <c r="E146" s="223"/>
      <c r="F146" s="223"/>
      <c r="G146" s="223"/>
      <c r="H146" s="223"/>
      <c r="I146" s="223"/>
      <c r="J146" s="355"/>
      <c r="K146" s="355"/>
      <c r="L146" s="355"/>
      <c r="M146" s="355"/>
      <c r="N146" s="355"/>
      <c r="O146" s="355"/>
      <c r="P146" s="355"/>
      <c r="Q146" s="355"/>
      <c r="R146" s="355"/>
      <c r="S146" s="355"/>
      <c r="T146" s="355"/>
      <c r="U146" s="355"/>
      <c r="V146" s="355"/>
      <c r="W146" s="355"/>
      <c r="X146" s="355"/>
      <c r="Y146" s="355"/>
      <c r="Z146" s="355"/>
      <c r="AA146" s="355"/>
      <c r="AB146" s="355"/>
      <c r="AC146" s="355"/>
      <c r="AD146" s="355"/>
      <c r="AE146" s="355"/>
      <c r="AF146" s="355"/>
      <c r="AG146" s="355"/>
      <c r="AH146" s="355"/>
      <c r="AI146" s="355"/>
      <c r="AJ146" s="355"/>
      <c r="AK146" s="355"/>
      <c r="AL146" s="355"/>
      <c r="AM146" s="355"/>
      <c r="AN146" s="355"/>
      <c r="AO146" s="355"/>
      <c r="AP146" s="355"/>
      <c r="AQ146" s="355"/>
      <c r="AR146" s="355"/>
      <c r="AS146" s="355"/>
      <c r="AT146" s="355"/>
      <c r="AU146" s="355"/>
      <c r="AV146" s="355"/>
      <c r="AW146" s="355"/>
      <c r="AX146" s="355"/>
      <c r="AY146" s="355"/>
      <c r="AZ146" s="355"/>
      <c r="BA146" s="355"/>
    </row>
    <row r="147" spans="1:53" s="135" customFormat="1">
      <c r="A147" s="134"/>
      <c r="B147" s="14"/>
      <c r="C147" s="15" t="s">
        <v>153</v>
      </c>
      <c r="D147" s="61"/>
      <c r="E147" s="62"/>
      <c r="F147" s="62"/>
      <c r="G147" s="62"/>
      <c r="H147" s="62"/>
      <c r="I147" s="62"/>
      <c r="J147" s="357"/>
      <c r="K147" s="357"/>
      <c r="L147" s="357"/>
      <c r="M147" s="357"/>
      <c r="N147" s="357"/>
      <c r="O147" s="357"/>
      <c r="P147" s="357"/>
      <c r="Q147" s="357"/>
      <c r="R147" s="357"/>
      <c r="S147" s="357"/>
      <c r="T147" s="357"/>
      <c r="U147" s="357"/>
      <c r="V147" s="357"/>
      <c r="W147" s="357"/>
      <c r="X147" s="357"/>
      <c r="Y147" s="357"/>
      <c r="Z147" s="357"/>
      <c r="AA147" s="357"/>
      <c r="AB147" s="357"/>
      <c r="AC147" s="357"/>
      <c r="AD147" s="357"/>
      <c r="AE147" s="357"/>
      <c r="AF147" s="357"/>
      <c r="AG147" s="357"/>
      <c r="AH147" s="357"/>
      <c r="AI147" s="357"/>
      <c r="AJ147" s="357"/>
      <c r="AK147" s="357"/>
      <c r="AL147" s="357"/>
      <c r="AM147" s="357"/>
      <c r="AN147" s="357"/>
      <c r="AO147" s="357"/>
      <c r="AP147" s="357"/>
      <c r="AQ147" s="357"/>
      <c r="AR147" s="357"/>
      <c r="AS147" s="357"/>
      <c r="AT147" s="357"/>
      <c r="AU147" s="357"/>
      <c r="AV147" s="357"/>
      <c r="AW147" s="357"/>
      <c r="AX147" s="357"/>
      <c r="AY147" s="357"/>
      <c r="AZ147" s="357"/>
      <c r="BA147" s="357"/>
    </row>
    <row r="148" spans="1:53" s="135" customFormat="1">
      <c r="A148" s="216"/>
      <c r="B148" s="142" t="s">
        <v>1</v>
      </c>
      <c r="C148" s="225" t="s">
        <v>154</v>
      </c>
      <c r="D148" s="144"/>
      <c r="E148" s="67">
        <f>IF(E18="","",ROUND(IF($D$148&lt;&gt;"",$D$148*SUM(E61,E114,E123,E145),IFERROR('Mat Individual e Uniformes'!J4/Proposta!$J$6,"")),2))</f>
        <v>24.96</v>
      </c>
      <c r="F148" s="67">
        <f>IF(F18="","",ROUND(IF($D$148&lt;&gt;"",$D$148*SUM(F61,F114,F123,F145),IFERROR('Mat Individual e Uniformes'!K4/Proposta!$J$6,"")),2))</f>
        <v>0</v>
      </c>
      <c r="G148" s="67">
        <f>IF(G18="","",ROUND(IF($D$148&lt;&gt;"",$D$148*SUM(G61,G114,G123,G145),IFERROR('Mat Individual e Uniformes'!L4/Proposta!$J$6,"")),2))</f>
        <v>0</v>
      </c>
      <c r="H148" s="67">
        <f>IF(H18="","",ROUND(IF($D$148&lt;&gt;"",$D$148*SUM(H61,H114,H123,H145),IFERROR('Mat Individual e Uniformes'!M4/Proposta!$J$6,"")),2))</f>
        <v>0</v>
      </c>
      <c r="I148" s="67" t="str">
        <f>IF(I18="","",IF($D$148&lt;&gt;"",$D$148*I179,IFERROR('Mat Individual e Uniformes'!N4,"")))</f>
        <v/>
      </c>
      <c r="J148" s="357"/>
      <c r="K148" s="357"/>
      <c r="L148" s="357"/>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357"/>
      <c r="AL148" s="357"/>
      <c r="AM148" s="357"/>
      <c r="AN148" s="357"/>
      <c r="AO148" s="357"/>
      <c r="AP148" s="357"/>
      <c r="AQ148" s="357"/>
      <c r="AR148" s="357"/>
      <c r="AS148" s="357"/>
      <c r="AT148" s="357"/>
      <c r="AU148" s="357"/>
      <c r="AV148" s="357"/>
      <c r="AW148" s="357"/>
      <c r="AX148" s="357"/>
      <c r="AY148" s="357"/>
      <c r="AZ148" s="357"/>
      <c r="BA148" s="357"/>
    </row>
    <row r="149" spans="1:53" s="135" customFormat="1">
      <c r="A149" s="216"/>
      <c r="B149" s="142" t="s">
        <v>4</v>
      </c>
      <c r="C149" s="225" t="s">
        <v>155</v>
      </c>
      <c r="D149" s="144">
        <f>12%/88%</f>
        <v>0.13636363636363635</v>
      </c>
      <c r="E149" s="67">
        <f>IFERROR( IF(E18="","",ROUND( IF($D$149&lt;&gt;"",$D$149*SUM(E61,E114,E123,E145,E148), 0),2)),0)</f>
        <v>637.04</v>
      </c>
      <c r="F149" s="67">
        <f>IFERROR( IF(F18="","",ROUND( IF($D$149&lt;&gt;"",$D$149*SUM(F61,F114,F123,F145,F148), 0),2)),0)</f>
        <v>633.64</v>
      </c>
      <c r="G149" s="67">
        <f>IFERROR( IF(G18="","",ROUND( IF($D$149&lt;&gt;"",$D$149*SUM(G61,G114,G123,G145,G148), 0),2)),0)</f>
        <v>729.45</v>
      </c>
      <c r="H149" s="67">
        <f>IFERROR( IF(H18="","",ROUND( IF($D$149&lt;&gt;"",$D$149*SUM(H61,H114,H123,H145,H148), 0),2)),0)</f>
        <v>829.83</v>
      </c>
      <c r="I149" s="67"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57"/>
      <c r="K149" s="357"/>
      <c r="L149" s="357"/>
      <c r="M149" s="357"/>
      <c r="N149" s="357"/>
      <c r="O149" s="357"/>
      <c r="P149" s="357"/>
      <c r="Q149" s="357"/>
      <c r="R149" s="357"/>
      <c r="S149" s="357"/>
      <c r="T149" s="357"/>
      <c r="U149" s="357"/>
      <c r="V149" s="357"/>
      <c r="W149" s="357"/>
      <c r="X149" s="357"/>
      <c r="Y149" s="357"/>
      <c r="Z149" s="357"/>
      <c r="AA149" s="357"/>
      <c r="AB149" s="357"/>
      <c r="AC149" s="357"/>
      <c r="AD149" s="357"/>
      <c r="AE149" s="357"/>
      <c r="AF149" s="357"/>
      <c r="AG149" s="357"/>
      <c r="AH149" s="357"/>
      <c r="AI149" s="357"/>
      <c r="AJ149" s="357"/>
      <c r="AK149" s="357"/>
      <c r="AL149" s="357"/>
      <c r="AM149" s="357"/>
      <c r="AN149" s="357"/>
      <c r="AO149" s="357"/>
      <c r="AP149" s="357"/>
      <c r="AQ149" s="357"/>
      <c r="AR149" s="357"/>
      <c r="AS149" s="357"/>
      <c r="AT149" s="357"/>
      <c r="AU149" s="357"/>
      <c r="AV149" s="357"/>
      <c r="AW149" s="357"/>
      <c r="AX149" s="357"/>
      <c r="AY149" s="357"/>
      <c r="AZ149" s="357"/>
      <c r="BA149" s="357"/>
    </row>
    <row r="150" spans="1:53" s="129" customFormat="1">
      <c r="A150" s="123"/>
      <c r="B150" s="124"/>
      <c r="C150" s="15" t="s">
        <v>156</v>
      </c>
      <c r="D150" s="125"/>
      <c r="E150" s="126">
        <f>IF(E18="","",SUM(E148:E149))</f>
        <v>662</v>
      </c>
      <c r="F150" s="126">
        <f>IF(F18="","",SUM(F148:F149))</f>
        <v>633.64</v>
      </c>
      <c r="G150" s="126">
        <f>IF(G18="","",SUM(G148:G149))</f>
        <v>729.45</v>
      </c>
      <c r="H150" s="126">
        <f>IF(H18="","",SUM(H148:H149))</f>
        <v>829.83</v>
      </c>
      <c r="I150" s="126" t="str">
        <f>IF(I18="","",SUM(#REF!,#REF!))</f>
        <v/>
      </c>
      <c r="J150" s="355"/>
      <c r="K150" s="355"/>
      <c r="L150" s="355"/>
      <c r="M150" s="355"/>
      <c r="N150" s="355"/>
      <c r="O150" s="355"/>
      <c r="P150" s="355"/>
      <c r="Q150" s="355"/>
      <c r="R150" s="355"/>
      <c r="S150" s="355"/>
      <c r="T150" s="355"/>
      <c r="U150" s="355"/>
      <c r="V150" s="355"/>
      <c r="W150" s="355"/>
      <c r="X150" s="355"/>
      <c r="Y150" s="355"/>
      <c r="Z150" s="355"/>
      <c r="AA150" s="355"/>
      <c r="AB150" s="355"/>
      <c r="AC150" s="355"/>
      <c r="AD150" s="355"/>
      <c r="AE150" s="355"/>
      <c r="AF150" s="355"/>
      <c r="AG150" s="355"/>
      <c r="AH150" s="355"/>
      <c r="AI150" s="355"/>
      <c r="AJ150" s="355"/>
      <c r="AK150" s="355"/>
      <c r="AL150" s="355"/>
      <c r="AM150" s="355"/>
      <c r="AN150" s="355"/>
      <c r="AO150" s="355"/>
      <c r="AP150" s="355"/>
      <c r="AQ150" s="355"/>
      <c r="AR150" s="355"/>
      <c r="AS150" s="355"/>
      <c r="AT150" s="355"/>
      <c r="AU150" s="355"/>
      <c r="AV150" s="355"/>
      <c r="AW150" s="355"/>
      <c r="AX150" s="355"/>
      <c r="AY150" s="355"/>
      <c r="AZ150" s="355"/>
      <c r="BA150" s="355"/>
    </row>
    <row r="151" spans="1:53">
      <c r="F151" s="5"/>
      <c r="G151" s="5"/>
      <c r="H151" s="5"/>
      <c r="I151" s="5"/>
    </row>
    <row r="152" spans="1:53" s="135" customFormat="1">
      <c r="A152" s="134"/>
      <c r="B152" s="14"/>
      <c r="C152" s="15" t="s">
        <v>157</v>
      </c>
      <c r="D152" s="61"/>
      <c r="E152" s="62"/>
      <c r="F152" s="62"/>
      <c r="G152" s="62"/>
      <c r="H152" s="62"/>
      <c r="I152" s="62"/>
      <c r="J152" s="357"/>
      <c r="K152" s="357"/>
      <c r="L152" s="357"/>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357"/>
      <c r="AN152" s="357"/>
      <c r="AO152" s="357"/>
      <c r="AP152" s="357"/>
      <c r="AQ152" s="357"/>
      <c r="AR152" s="357"/>
      <c r="AS152" s="357"/>
      <c r="AT152" s="357"/>
      <c r="AU152" s="357"/>
      <c r="AV152" s="357"/>
      <c r="AW152" s="357"/>
      <c r="AX152" s="357"/>
      <c r="AY152" s="357"/>
      <c r="AZ152" s="357"/>
      <c r="BA152" s="357"/>
    </row>
    <row r="153" spans="1:53" ht="3.75" customHeight="1">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row>
    <row r="154" spans="1:53" s="135" customFormat="1">
      <c r="A154" s="136"/>
      <c r="B154" s="137"/>
      <c r="C154" s="138" t="s">
        <v>158</v>
      </c>
      <c r="D154" s="139"/>
      <c r="E154" s="140"/>
      <c r="F154" s="140"/>
      <c r="G154" s="140"/>
      <c r="H154" s="140"/>
      <c r="I154" s="140"/>
      <c r="J154" s="357"/>
      <c r="K154" s="357"/>
      <c r="L154" s="357"/>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357"/>
      <c r="AN154" s="357"/>
      <c r="AO154" s="357"/>
      <c r="AP154" s="357"/>
      <c r="AQ154" s="357"/>
      <c r="AR154" s="357"/>
      <c r="AS154" s="357"/>
      <c r="AT154" s="357"/>
      <c r="AU154" s="357"/>
      <c r="AV154" s="357"/>
      <c r="AW154" s="357"/>
      <c r="AX154" s="357"/>
      <c r="AY154" s="357"/>
      <c r="AZ154" s="357"/>
      <c r="BA154" s="357"/>
    </row>
    <row r="155" spans="1:53">
      <c r="A155" s="218"/>
      <c r="B155" s="142" t="s">
        <v>1</v>
      </c>
      <c r="C155" s="98" t="s">
        <v>159</v>
      </c>
      <c r="D155" s="144">
        <f>IFERROR(INDEX('Apoio - Notas Explicativas'!Q:Q,MATCH(C155,'Apoio - Notas Explicativas'!C:C,0)),"")</f>
        <v>0.05</v>
      </c>
      <c r="E155" s="67">
        <f>IF(E18="","",IFERROR(ROUND($D$155*SUM(E61,E114,E123,E145,E150),2),""))</f>
        <v>265.43</v>
      </c>
      <c r="F155" s="67">
        <f>IF(F18="","",IFERROR(ROUND($D$155*SUM(F61,F114,F123,F145,F150),2),""))</f>
        <v>264.02</v>
      </c>
      <c r="G155" s="67">
        <f>IF(G18="","",IFERROR(ROUND($D$155*SUM(G61,G114,G123,G145,G150),2),""))</f>
        <v>303.94</v>
      </c>
      <c r="H155" s="67">
        <f>IF(H18="","",IFERROR(ROUND($D$155*SUM(H61,H114,H123,H145,H150),2),""))</f>
        <v>345.76</v>
      </c>
      <c r="I155" s="67" t="str">
        <f>IF(I18="","",IFERROR($D$155*SUM(I61,I114,I123,I145,I150),""))</f>
        <v/>
      </c>
    </row>
    <row r="156" spans="1:53">
      <c r="A156" s="216"/>
      <c r="B156" s="142" t="s">
        <v>4</v>
      </c>
      <c r="C156" s="98" t="s">
        <v>160</v>
      </c>
      <c r="D156" s="144">
        <f>IFERROR(INDEX('Apoio - Notas Explicativas'!Q:Q,MATCH(C156,'Apoio - Notas Explicativas'!C:C,0)),"")</f>
        <v>0.1</v>
      </c>
      <c r="E156" s="67">
        <f>IF(E18="","",IFERROR(ROUND($D$156*SUM(E155,E61,E114,E123,E145,E150),2),""))</f>
        <v>557.41</v>
      </c>
      <c r="F156" s="67">
        <f>IF(F18="","",IFERROR(ROUND($D$156*SUM(F155,F61,F114,F123,F145,F150),2),""))</f>
        <v>554.42999999999995</v>
      </c>
      <c r="G156" s="67">
        <f>IF(G18="","",IFERROR(ROUND($D$156*SUM(G155,G61,G114,G123,G145,G150),2),""))</f>
        <v>638.27</v>
      </c>
      <c r="H156" s="67">
        <f>IF(H18="","",IFERROR(ROUND($D$156*SUM(H155,H61,H114,H123,H145,H150),2),""))</f>
        <v>726.1</v>
      </c>
      <c r="I156" s="67" t="str">
        <f>IF(I18="","",IFERROR($D$156*SUM(I155,I61,I114,I123,I145,I150),""))</f>
        <v/>
      </c>
    </row>
    <row r="157" spans="1:53" s="129" customFormat="1">
      <c r="A157" s="146"/>
      <c r="B157" s="137"/>
      <c r="C157" s="138" t="s">
        <v>161</v>
      </c>
      <c r="D157" s="147"/>
      <c r="E157" s="140">
        <f>IF(E18="","",SUM(E155:E156))</f>
        <v>822.83999999999992</v>
      </c>
      <c r="F157" s="140">
        <f>IF(F18="","",SUM(F155:F156))</f>
        <v>818.44999999999993</v>
      </c>
      <c r="G157" s="140">
        <f>IF(G18="","",SUM(G155:G156))</f>
        <v>942.21</v>
      </c>
      <c r="H157" s="140">
        <f>IF(H18="","",SUM(H155:H156))</f>
        <v>1071.8600000000001</v>
      </c>
      <c r="I157" s="141" t="str">
        <f>IF(I18="","",SUM(I155:I156))</f>
        <v/>
      </c>
      <c r="J157" s="355"/>
      <c r="K157" s="355"/>
      <c r="L157" s="355"/>
      <c r="M157" s="355"/>
      <c r="N157" s="355"/>
      <c r="O157" s="355"/>
      <c r="P157" s="355"/>
      <c r="Q157" s="355"/>
      <c r="R157" s="355"/>
      <c r="S157" s="355"/>
      <c r="T157" s="355"/>
      <c r="U157" s="355"/>
      <c r="V157" s="355"/>
      <c r="W157" s="355"/>
      <c r="X157" s="355"/>
      <c r="Y157" s="355"/>
      <c r="Z157" s="355"/>
      <c r="AA157" s="355"/>
      <c r="AB157" s="355"/>
      <c r="AC157" s="355"/>
      <c r="AD157" s="355"/>
      <c r="AE157" s="355"/>
      <c r="AF157" s="355"/>
      <c r="AG157" s="355"/>
      <c r="AH157" s="355"/>
      <c r="AI157" s="355"/>
      <c r="AJ157" s="355"/>
      <c r="AK157" s="355"/>
      <c r="AL157" s="355"/>
      <c r="AM157" s="355"/>
      <c r="AN157" s="355"/>
      <c r="AO157" s="355"/>
      <c r="AP157" s="355"/>
      <c r="AQ157" s="355"/>
      <c r="AR157" s="355"/>
      <c r="AS157" s="355"/>
      <c r="AT157" s="355"/>
      <c r="AU157" s="355"/>
      <c r="AV157" s="355"/>
      <c r="AW157" s="355"/>
      <c r="AX157" s="355"/>
      <c r="AY157" s="355"/>
      <c r="AZ157" s="355"/>
      <c r="BA157" s="355"/>
    </row>
    <row r="158" spans="1:53" ht="3.75" customHeight="1">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row>
    <row r="159" spans="1:53" s="135" customFormat="1">
      <c r="A159" s="136"/>
      <c r="B159" s="137"/>
      <c r="C159" s="138" t="s">
        <v>162</v>
      </c>
      <c r="D159" s="139"/>
      <c r="E159" s="140"/>
      <c r="F159" s="140"/>
      <c r="G159" s="140"/>
      <c r="H159" s="140"/>
      <c r="I159" s="140"/>
      <c r="J159" s="357"/>
      <c r="K159" s="357"/>
      <c r="L159" s="357"/>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357"/>
      <c r="AN159" s="357"/>
      <c r="AO159" s="357"/>
      <c r="AP159" s="357"/>
      <c r="AQ159" s="357"/>
      <c r="AR159" s="357"/>
      <c r="AS159" s="357"/>
      <c r="AT159" s="357"/>
      <c r="AU159" s="357"/>
      <c r="AV159" s="357"/>
      <c r="AW159" s="357"/>
      <c r="AX159" s="357"/>
      <c r="AY159" s="357"/>
      <c r="AZ159" s="357"/>
      <c r="BA159" s="357"/>
    </row>
    <row r="160" spans="1:53">
      <c r="A160" s="216"/>
      <c r="B160" s="142" t="s">
        <v>1</v>
      </c>
      <c r="C160" s="98" t="s">
        <v>163</v>
      </c>
      <c r="D160" s="226">
        <f>IFERROR(INDEX('Apoio - Notas Explicativas'!Q:Q,MATCH(C160,'Apoio - Notas Explicativas'!C:C,0)),"")</f>
        <v>0.03</v>
      </c>
      <c r="E160" s="67">
        <f>IF(E18="","",IFERROR(ROUND(SUM(E$157,E$61,E$114,E$123,E$145,E$150)*$D160/(1-SUM($D$160:$D$165,E$163)),2),""))</f>
        <v>196</v>
      </c>
      <c r="F160" s="67">
        <f>IF(F18="","",IFERROR(ROUND(SUM(F$157,F$61,F$114,F$123,F$145,F$150)*$D160/(1-SUM($D$160:$D$165,F$163)),2),""))</f>
        <v>194.95</v>
      </c>
      <c r="G160" s="67">
        <f>IF(G18="","",IFERROR(ROUND(SUM(G$157,G$61,G$114,G$123,G$145,G$150)*$D160/(1-SUM($D$160:$D$165,G$163)),2),""))</f>
        <v>224.43</v>
      </c>
      <c r="H160" s="67">
        <f>IF(H18="","",IFERROR(ROUND(SUM(H$157,H$61,H$114,H$123,H$145,H$150)*$D160/(1-SUM($D$160:$D$165,H$163)),2),""))</f>
        <v>255.31</v>
      </c>
      <c r="I160" s="67" t="str">
        <f>IF(I18="","",IFERROR(SUM(I$157,I$61,I$114,I$123,I$145,I$150)*$D160/(1-SUM($D$160:$D$165,I$163)),""))</f>
        <v/>
      </c>
    </row>
    <row r="161" spans="1:53">
      <c r="A161" s="218"/>
      <c r="B161" s="142" t="s">
        <v>4</v>
      </c>
      <c r="C161" s="98" t="s">
        <v>164</v>
      </c>
      <c r="D161" s="226">
        <f>IFERROR(INDEX('Apoio - Notas Explicativas'!Q:Q,MATCH(C161,'Apoio - Notas Explicativas'!C:C,0)),"")</f>
        <v>6.4999999999999997E-3</v>
      </c>
      <c r="E161" s="67">
        <f>IF(E20="","",IFERROR(ROUND(SUM(E$157,E$61,E$114,E$123,E$145,E$150)*$D161/(1-SUM($D$160:$D$165,E$163)),2),""))</f>
        <v>42.47</v>
      </c>
      <c r="F161" s="67">
        <f>IF(F20="","",IFERROR(ROUND(SUM(F$157,F$61,F$114,F$123,F$145,F$150)*$D161/(1-SUM($D$160:$D$165,F$163)),2),""))</f>
        <v>42.24</v>
      </c>
      <c r="G161" s="67">
        <f>IF(G20="","",IFERROR(ROUND(SUM(G$157,G$61,G$114,G$123,G$145,G$150)*$D161/(1-SUM($D$160:$D$165,G$163)),2),""))</f>
        <v>48.63</v>
      </c>
      <c r="H161" s="67">
        <f>IF(H20="","",IFERROR(ROUND(SUM(H$157,H$61,H$114,H$123,H$145,H$150)*$D161/(1-SUM($D$160:$D$165,H$163)),2),""))</f>
        <v>55.32</v>
      </c>
      <c r="I161" s="67" t="str">
        <f>IF(I20="","",IFERROR(SUM(I$157,I$61,I$114,I$123,I$145,I$150)*$D161/(1-SUM($D$160:$D$165,I$163)),""))</f>
        <v/>
      </c>
    </row>
    <row r="162" spans="1:53">
      <c r="A162" s="218"/>
      <c r="B162" s="673" t="s">
        <v>6</v>
      </c>
      <c r="C162" s="106" t="s">
        <v>165</v>
      </c>
      <c r="D162" s="227"/>
      <c r="E162" s="101"/>
      <c r="F162" s="101"/>
      <c r="G162" s="101"/>
      <c r="H162" s="101"/>
      <c r="I162" s="101"/>
    </row>
    <row r="163" spans="1:53">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f>IF(F18="","", IF($D$13="Simples",INDEX('Apoio - Notas Explicativas'!$Q:$Q,MATCH($C$162,'Apoio - Notas Explicativas'!$C:$C,0)), IFERROR(VLOOKUP(F$18,'Apoio - Posto'!$A:$AA,20,0), INDEX('Apoio - Notas Explicativas'!$Q:$Q,MATCH($C$162,'Apoio - Notas Explicativas'!$C:$C,0)) )))</f>
        <v>2.5000000000000001E-2</v>
      </c>
      <c r="G163" s="229">
        <f>IF(G18="","", IF($D$13="Simples",INDEX('Apoio - Notas Explicativas'!$Q:$Q,MATCH($C$162,'Apoio - Notas Explicativas'!$C:$C,0)), IFERROR(VLOOKUP(G$18,'Apoio - Posto'!$A:$AA,20,0), INDEX('Apoio - Notas Explicativas'!$Q:$Q,MATCH($C$162,'Apoio - Notas Explicativas'!$C:$C,0)) )))</f>
        <v>2.5000000000000001E-2</v>
      </c>
      <c r="H163" s="229">
        <f>IF(H18="","", IF($D$13="Simples",INDEX('Apoio - Notas Explicativas'!$Q:$Q,MATCH($C$162,'Apoio - Notas Explicativas'!$C:$C,0)), IFERROR(VLOOKUP(H$18,'Apoio - Posto'!$A:$AA,20,0), INDEX('Apoio - Notas Explicativas'!$Q:$Q,MATCH($C$162,'Apoio - Notas Explicativas'!$C:$C,0)) )))</f>
        <v>2.5000000000000001E-2</v>
      </c>
      <c r="I163" s="229" t="str">
        <f>IF(I18="","",IFERROR(VLOOKUP(I$18,'Apoio - Posto'!$A:$AA,20,0),INDEX('Apoio - Notas Explicativas'!$Q:$Q,MATCH($C$162,'Apoio - Notas Explicativas'!$C:$C,0))))</f>
        <v/>
      </c>
    </row>
    <row r="164" spans="1:53">
      <c r="A164" s="216"/>
      <c r="B164" s="673"/>
      <c r="C164" s="98"/>
      <c r="D164" s="230" t="s">
        <v>70</v>
      </c>
      <c r="E164" s="99">
        <f>IF(E21="","",IFERROR(ROUND(SUM(E$157,E$61,E$114,E$123,E$145,E$150)*E163/(1-SUM($D$160:$D$165,E163)),2),""))</f>
        <v>163.33000000000001</v>
      </c>
      <c r="F164" s="99">
        <f>IF(F21="","",IFERROR(ROUND(SUM(F$157,F$61,F$114,F$123,F$145,F$150)*F163/(1-SUM($D$160:$D$165,F163)),2),""))</f>
        <v>162.46</v>
      </c>
      <c r="G164" s="99">
        <f>IF(G21="","",IFERROR(ROUND(SUM(G$157,G$61,G$114,G$123,G$145,G$150)*G163/(1-SUM($D$160:$D$165,G163)),2),""))</f>
        <v>187.03</v>
      </c>
      <c r="H164" s="99">
        <f>IF(H21="","",IFERROR(ROUND(SUM(H$157,H$61,H$114,H$123,H$145,H$150)*H163/(1-SUM($D$160:$D$165,H163)),2),""))</f>
        <v>212.76</v>
      </c>
      <c r="I164" s="99" t="str">
        <f>IF(I21="","",IFERROR(SUM(I$157,I$61,I$114,I$123,I$145,I$150)*I163/(1-SUM($D$160:$D$165,I163)),""))</f>
        <v/>
      </c>
    </row>
    <row r="165" spans="1:53">
      <c r="A165" s="216"/>
      <c r="B165" s="231" t="s">
        <v>9</v>
      </c>
      <c r="C165" s="143" t="s">
        <v>167</v>
      </c>
      <c r="D165" s="226">
        <v>0</v>
      </c>
      <c r="E165" s="67">
        <f>IF(E22="","",IFERROR(ROUND(SUM(E$157,E$61,E$114,E$123,E$145,E$150)*$D165/(1-SUM($D$160:$D$165,E$163)),2),""))</f>
        <v>0</v>
      </c>
      <c r="F165" s="67">
        <f>IF(F22="","",IFERROR(ROUND(SUM(F$157,F$61,F$114,F$123,F$145,F$150)*$D165/(1-SUM($D$160:$D$165,F$163)),2),""))</f>
        <v>0</v>
      </c>
      <c r="G165" s="67">
        <f>IF(G22="","",IFERROR(ROUND(SUM(G$157,G$61,G$114,G$123,G$145,G$150)*$D165/(1-SUM($D$160:$D$165,G$163)),2),""))</f>
        <v>0</v>
      </c>
      <c r="H165" s="67">
        <f>IF(H22="","",IFERROR(ROUND(SUM(H$157,H$61,H$114,H$123,H$145,H$150)*$D165/(1-SUM($D$160:$D$165,H$163)),2),""))</f>
        <v>0</v>
      </c>
      <c r="I165" s="67" t="str">
        <f>IF(I22="","",IFERROR(SUM(I$157,I$61,I$114,I$123,I$145,I$150)*$D165/(1-SUM($D$160:$D$165,I$163)),""))</f>
        <v/>
      </c>
    </row>
    <row r="166" spans="1:53" s="129" customFormat="1">
      <c r="A166" s="146"/>
      <c r="B166" s="137"/>
      <c r="C166" s="138" t="s">
        <v>168</v>
      </c>
      <c r="D166" s="147"/>
      <c r="E166" s="206">
        <f>IF(E18="","",SUM(E160:E161,E164:E165))</f>
        <v>401.8</v>
      </c>
      <c r="F166" s="206">
        <f>IF(F18="","",SUM(F160:F161,F164:F165))</f>
        <v>399.65</v>
      </c>
      <c r="G166" s="206">
        <f>IF(G18="","",SUM(G160:G161,G164:G165))</f>
        <v>460.09000000000003</v>
      </c>
      <c r="H166" s="206">
        <f>IF(H18="","",SUM(H160:H161,H164:H165))</f>
        <v>523.39</v>
      </c>
      <c r="I166" s="206" t="str">
        <f>IF(I18="","",SUM(I160:I161,I164:I165))</f>
        <v/>
      </c>
      <c r="J166" s="355"/>
      <c r="K166" s="355"/>
      <c r="L166" s="355"/>
      <c r="M166" s="355"/>
      <c r="N166" s="355"/>
      <c r="O166" s="355"/>
      <c r="P166" s="355"/>
      <c r="Q166" s="355"/>
      <c r="R166" s="355"/>
      <c r="S166" s="355"/>
      <c r="T166" s="355"/>
      <c r="U166" s="355"/>
      <c r="V166" s="355"/>
      <c r="W166" s="355"/>
      <c r="X166" s="355"/>
      <c r="Y166" s="355"/>
      <c r="Z166" s="355"/>
      <c r="AA166" s="355"/>
      <c r="AB166" s="355"/>
      <c r="AC166" s="355"/>
      <c r="AD166" s="355"/>
      <c r="AE166" s="355"/>
      <c r="AF166" s="355"/>
      <c r="AG166" s="355"/>
      <c r="AH166" s="355"/>
      <c r="AI166" s="355"/>
      <c r="AJ166" s="355"/>
      <c r="AK166" s="355"/>
      <c r="AL166" s="355"/>
      <c r="AM166" s="355"/>
      <c r="AN166" s="355"/>
      <c r="AO166" s="355"/>
      <c r="AP166" s="355"/>
      <c r="AQ166" s="355"/>
      <c r="AR166" s="355"/>
      <c r="AS166" s="355"/>
      <c r="AT166" s="355"/>
      <c r="AU166" s="355"/>
      <c r="AV166" s="355"/>
      <c r="AW166" s="355"/>
      <c r="AX166" s="355"/>
      <c r="AY166" s="355"/>
      <c r="AZ166" s="355"/>
      <c r="BA166" s="355"/>
    </row>
    <row r="167" spans="1:53" ht="3.75" customHeight="1">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row>
    <row r="168" spans="1:53" s="129" customFormat="1">
      <c r="A168" s="123"/>
      <c r="B168" s="124"/>
      <c r="C168" s="15" t="s">
        <v>169</v>
      </c>
      <c r="D168" s="125"/>
      <c r="E168" s="126">
        <f>IF(E18="","",SUM(E166,E157))</f>
        <v>1224.6399999999999</v>
      </c>
      <c r="F168" s="126">
        <f>IF(F18="","",SUM(F166,F157))</f>
        <v>1218.0999999999999</v>
      </c>
      <c r="G168" s="126">
        <f>IF(G18="","",SUM(G166,G157))</f>
        <v>1402.3000000000002</v>
      </c>
      <c r="H168" s="126">
        <f>IF(H18="","",SUM(H166,H157))</f>
        <v>1595.25</v>
      </c>
      <c r="I168" s="127" t="str">
        <f>IF(I18="","",SUM(I166,I157))</f>
        <v/>
      </c>
      <c r="J168" s="355"/>
      <c r="K168" s="355"/>
      <c r="L168" s="355"/>
      <c r="M168" s="355"/>
      <c r="N168" s="355"/>
      <c r="O168" s="355"/>
      <c r="P168" s="355"/>
      <c r="Q168" s="355"/>
      <c r="R168" s="355"/>
      <c r="S168" s="355"/>
      <c r="T168" s="355"/>
      <c r="U168" s="355"/>
      <c r="V168" s="355"/>
      <c r="W168" s="355"/>
      <c r="X168" s="355"/>
      <c r="Y168" s="355"/>
      <c r="Z168" s="355"/>
      <c r="AA168" s="355"/>
      <c r="AB168" s="355"/>
      <c r="AC168" s="355"/>
      <c r="AD168" s="355"/>
      <c r="AE168" s="355"/>
      <c r="AF168" s="355"/>
      <c r="AG168" s="355"/>
      <c r="AH168" s="355"/>
      <c r="AI168" s="355"/>
      <c r="AJ168" s="355"/>
      <c r="AK168" s="355"/>
      <c r="AL168" s="355"/>
      <c r="AM168" s="355"/>
      <c r="AN168" s="355"/>
      <c r="AO168" s="355"/>
      <c r="AP168" s="355"/>
      <c r="AQ168" s="355"/>
      <c r="AR168" s="355"/>
      <c r="AS168" s="355"/>
      <c r="AT168" s="355"/>
      <c r="AU168" s="355"/>
      <c r="AV168" s="355"/>
      <c r="AW168" s="355"/>
      <c r="AX168" s="355"/>
      <c r="AY168" s="355"/>
      <c r="AZ168" s="355"/>
      <c r="BA168" s="355"/>
    </row>
    <row r="169" spans="1:53">
      <c r="F169" s="5"/>
      <c r="G169" s="5"/>
      <c r="H169" s="5"/>
      <c r="I169" s="5"/>
    </row>
    <row r="170" spans="1:53" s="135" customFormat="1">
      <c r="A170" s="134"/>
      <c r="B170" s="14"/>
      <c r="C170" s="15" t="s">
        <v>170</v>
      </c>
      <c r="D170" s="61"/>
      <c r="E170" s="62"/>
      <c r="F170" s="62"/>
      <c r="G170" s="62"/>
      <c r="H170" s="62"/>
      <c r="I170" s="62"/>
      <c r="J170" s="357"/>
      <c r="K170" s="357"/>
      <c r="S170" s="357"/>
      <c r="T170" s="357"/>
      <c r="U170" s="357"/>
      <c r="V170" s="357"/>
      <c r="W170" s="357"/>
      <c r="X170" s="357"/>
      <c r="Y170" s="357"/>
      <c r="Z170" s="357"/>
      <c r="AA170" s="357"/>
      <c r="AB170" s="357"/>
      <c r="AC170" s="357"/>
      <c r="AD170" s="357"/>
      <c r="AE170" s="357"/>
      <c r="AF170" s="357"/>
      <c r="AG170" s="357"/>
      <c r="AH170" s="357"/>
      <c r="AI170" s="357"/>
      <c r="AJ170" s="357"/>
      <c r="AK170" s="357"/>
      <c r="AL170" s="357"/>
      <c r="AM170" s="357"/>
      <c r="AN170" s="357"/>
      <c r="AO170" s="357"/>
      <c r="AP170" s="357"/>
      <c r="AQ170" s="357"/>
      <c r="AR170" s="357"/>
      <c r="AS170" s="357"/>
      <c r="AT170" s="357"/>
      <c r="AU170" s="357"/>
      <c r="AV170" s="357"/>
      <c r="AW170" s="357"/>
      <c r="AX170" s="357"/>
      <c r="AY170" s="357"/>
      <c r="AZ170" s="357"/>
      <c r="BA170" s="357"/>
    </row>
    <row r="171" spans="1:53" ht="3.75" customHeight="1">
      <c r="A171" s="232"/>
      <c r="B171" s="233"/>
      <c r="C171" s="233"/>
      <c r="D171" s="233"/>
      <c r="E171" s="233"/>
      <c r="F171" s="233"/>
      <c r="G171" s="233"/>
      <c r="H171" s="233"/>
      <c r="I171" s="233"/>
    </row>
    <row r="172" spans="1:53">
      <c r="A172" s="232"/>
      <c r="B172" s="137"/>
      <c r="C172" s="138" t="s">
        <v>171</v>
      </c>
      <c r="D172" s="234"/>
      <c r="E172" s="235"/>
      <c r="F172" s="235"/>
      <c r="G172" s="235"/>
      <c r="H172" s="235"/>
      <c r="I172" s="235"/>
    </row>
    <row r="173" spans="1:53">
      <c r="A173" s="236"/>
      <c r="B173" s="142" t="s">
        <v>1</v>
      </c>
      <c r="C173" s="98" t="s">
        <v>172</v>
      </c>
      <c r="D173" s="237"/>
      <c r="E173" s="67">
        <f>IFERROR(IF(E18="","",E175/SUM(E52,INDEX('Apoio - Regime de Trabalho'!$I:$I,MATCH(E26,'Apoio - Regime de Trabalho'!$A:$A,0)))),"")</f>
        <v>34.02765625</v>
      </c>
      <c r="F173" s="67">
        <f>IFERROR(IF(F18="","",F175/SUM(F52,INDEX('Apoio - Regime de Trabalho'!$I:$I,MATCH(F26,'Apoio - Regime de Trabalho'!$A:$A,0)))),"")</f>
        <v>33.845885416666668</v>
      </c>
      <c r="G173" s="67">
        <f>IFERROR(IF(G18="","",G175/SUM(G52,INDEX('Apoio - Regime de Trabalho'!$I:$I,MATCH(G26,'Apoio - Regime de Trabalho'!$A:$A,0)))),"")</f>
        <v>38.963906250000001</v>
      </c>
      <c r="H173" s="67">
        <f>IFERROR(IF(H18="","",H175/SUM(H52,INDEX('Apoio - Regime de Trabalho'!$I:$I,MATCH(H26,'Apoio - Regime de Trabalho'!$A:$A,0)))),"")</f>
        <v>44.325468749999999</v>
      </c>
      <c r="I173" s="67" t="str">
        <f>IFERROR(IF(I18="","",I175/INDEX('Apoio - Regime de Trabalho'!$I:$I,MATCH(I26,'Apoio - Regime de Trabalho'!$A:$A,0))),"")</f>
        <v/>
      </c>
    </row>
    <row r="174" spans="1:53">
      <c r="A174" s="236"/>
      <c r="B174" s="142" t="s">
        <v>4</v>
      </c>
      <c r="C174" s="98" t="s">
        <v>173</v>
      </c>
      <c r="D174" s="237"/>
      <c r="E174" s="67">
        <f>IF(E18="","",ROUND(SUM(E61,E114,E123,E145,E150,E168)/INDEX('Apoio - Regime de Trabalho'!$G:$G,MATCH(E26,'Apoio - Regime de Trabalho'!$A:$A,0)),2))</f>
        <v>296.97000000000003</v>
      </c>
      <c r="F174" s="67">
        <f>IF(F18="","",ROUND(SUM(F61,F114,F123,F145,F150,F168)/INDEX('Apoio - Regime de Trabalho'!$G:$G,MATCH(F26,'Apoio - Regime de Trabalho'!$A:$A,0)),2))</f>
        <v>295.38</v>
      </c>
      <c r="G174" s="67">
        <f>IF(G18="","",ROUND(SUM(G61,G114,G123,G145,G150,G168)/INDEX('Apoio - Regime de Trabalho'!$G:$G,MATCH(G26,'Apoio - Regime de Trabalho'!$A:$A,0)),2))</f>
        <v>340.05</v>
      </c>
      <c r="H174" s="67">
        <f>IF(H18="","",ROUND(SUM(H61,H114,H123,H145,H150,H168)/INDEX('Apoio - Regime de Trabalho'!$G:$G,MATCH(H26,'Apoio - Regime de Trabalho'!$A:$A,0)),2))</f>
        <v>386.84</v>
      </c>
      <c r="I174" s="67" t="str">
        <f>IF(I18="","",I175/INDEX('Apoio - Regime de Trabalho'!$G:$G,MATCH(I26,'Apoio - Regime de Trabalho'!$A:$A,0)))</f>
        <v/>
      </c>
    </row>
    <row r="175" spans="1:53">
      <c r="A175" s="236"/>
      <c r="B175" s="142" t="s">
        <v>6</v>
      </c>
      <c r="C175" s="98" t="s">
        <v>174</v>
      </c>
      <c r="D175" s="237"/>
      <c r="E175" s="67">
        <f>IF(E18="","",ROUND(SUM(E61,E114,E123,E145,E150,E168),2))</f>
        <v>6533.31</v>
      </c>
      <c r="F175" s="67">
        <f>IF(F18="","",ROUND(SUM(F61,F114,F123,F145,F150,F168),2))</f>
        <v>6498.41</v>
      </c>
      <c r="G175" s="67">
        <f>IF(G18="","",ROUND(SUM(G61,G114,G123,G145,G150,G168),2))</f>
        <v>7481.07</v>
      </c>
      <c r="H175" s="67">
        <f>IF(H18="","",ROUND(SUM(H61,H114,H123,H145,H150,H168),2))</f>
        <v>8510.49</v>
      </c>
      <c r="I175" s="67" t="str">
        <f>IF(I18="","",SUM(I61,I114,I123,I145,I150,I168))</f>
        <v/>
      </c>
    </row>
    <row r="176" spans="1:53">
      <c r="A176" s="236"/>
      <c r="B176" s="142" t="s">
        <v>9</v>
      </c>
      <c r="C176" s="98" t="s">
        <v>175</v>
      </c>
      <c r="D176" s="237"/>
      <c r="E176" s="67">
        <f>IFERROR(ROUND(E175*E28,2),"")</f>
        <v>6533.31</v>
      </c>
      <c r="F176" s="67">
        <f>IFERROR(ROUND(F175*F28,2),"")</f>
        <v>6498.41</v>
      </c>
      <c r="G176" s="67">
        <f>IFERROR(ROUND(G175*G28,2),"")</f>
        <v>7481.07</v>
      </c>
      <c r="H176" s="67">
        <f>IFERROR(ROUND(H175*H28,2),"")</f>
        <v>8510.49</v>
      </c>
      <c r="I176" s="67" t="str">
        <f>IFERROR(I175*I28,"")</f>
        <v/>
      </c>
    </row>
    <row r="177" spans="1:18" ht="3.75" customHeight="1">
      <c r="A177" s="232"/>
      <c r="B177" s="233"/>
      <c r="C177" s="233"/>
      <c r="D177" s="233"/>
      <c r="E177" s="233"/>
      <c r="F177" s="233"/>
      <c r="G177" s="233"/>
      <c r="H177" s="233"/>
      <c r="I177" s="233"/>
    </row>
    <row r="178" spans="1:18" s="3" customFormat="1">
      <c r="A178" s="232"/>
      <c r="B178" s="137"/>
      <c r="C178" s="138" t="s">
        <v>176</v>
      </c>
      <c r="D178" s="234"/>
      <c r="E178" s="235"/>
      <c r="F178" s="235"/>
      <c r="G178" s="235"/>
      <c r="H178" s="235"/>
      <c r="I178" s="235"/>
      <c r="J178" s="350"/>
      <c r="K178" s="350"/>
      <c r="L178" s="350"/>
      <c r="M178" s="350"/>
      <c r="N178" s="350"/>
      <c r="O178" s="350"/>
      <c r="P178" s="350"/>
      <c r="Q178" s="350"/>
      <c r="R178" s="350"/>
    </row>
    <row r="179" spans="1:18" s="3" customFormat="1">
      <c r="A179" s="236"/>
      <c r="B179" s="142" t="s">
        <v>1</v>
      </c>
      <c r="C179" s="98" t="s">
        <v>177</v>
      </c>
      <c r="D179" s="237"/>
      <c r="E179" s="67">
        <f>IFERROR(ROUND(SUM(E61,E114,E123,E145),2)*E29,"")</f>
        <v>0</v>
      </c>
      <c r="F179" s="67">
        <f>IFERROR(ROUND(SUM(F61,F114,F123,F145),2)*F29,"")</f>
        <v>0</v>
      </c>
      <c r="G179" s="67">
        <f>IFERROR(ROUND(SUM(G61,G114,G123,G145),2)*G29,"")</f>
        <v>0</v>
      </c>
      <c r="H179" s="67">
        <f>IFERROR(ROUND(SUM(H61,H114,H123,H145),2)*H29,"")</f>
        <v>0</v>
      </c>
      <c r="I179" s="67" t="str">
        <f>IFERROR(SUM(I61,I114,I123,I145)*I29,"")</f>
        <v/>
      </c>
      <c r="J179" s="350"/>
      <c r="K179" s="350"/>
      <c r="L179" s="350"/>
      <c r="M179" s="350"/>
      <c r="N179" s="350"/>
      <c r="O179" s="350"/>
      <c r="P179" s="350"/>
      <c r="Q179" s="350"/>
      <c r="R179" s="350"/>
    </row>
    <row r="180" spans="1:18" s="3" customFormat="1">
      <c r="A180" s="236"/>
      <c r="B180" s="142" t="s">
        <v>4</v>
      </c>
      <c r="C180" s="98" t="s">
        <v>178</v>
      </c>
      <c r="D180" s="237"/>
      <c r="E180" s="67">
        <f>IFERROR(ROUND(E150*E29,2),"")</f>
        <v>0</v>
      </c>
      <c r="F180" s="67">
        <f>IFERROR(ROUND(F150*F29,2),"")</f>
        <v>0</v>
      </c>
      <c r="G180" s="67">
        <f>IFERROR(ROUND(G150*G29,2),"")</f>
        <v>0</v>
      </c>
      <c r="H180" s="67">
        <f>IFERROR(ROUND(H150*H29,2),"")</f>
        <v>0</v>
      </c>
      <c r="I180" s="67" t="str">
        <f>IFERROR(I150*I29,"")</f>
        <v/>
      </c>
      <c r="J180" s="350"/>
      <c r="K180" s="350"/>
      <c r="L180" s="350"/>
      <c r="M180" s="367"/>
      <c r="N180" s="350"/>
      <c r="O180" s="350"/>
      <c r="P180" s="350"/>
      <c r="Q180" s="350"/>
      <c r="R180" s="350"/>
    </row>
    <row r="181" spans="1:18" s="3" customFormat="1">
      <c r="A181" s="238"/>
      <c r="B181" s="142" t="s">
        <v>6</v>
      </c>
      <c r="C181" s="98" t="s">
        <v>179</v>
      </c>
      <c r="D181" s="237"/>
      <c r="E181" s="67">
        <f>IFERROR(ROUND(E168*E29,2),"")</f>
        <v>0</v>
      </c>
      <c r="F181" s="67">
        <f>IFERROR(ROUND(F168*F29,2),"")</f>
        <v>0</v>
      </c>
      <c r="G181" s="67">
        <f>IFERROR(ROUND(G168*G29,2),"")</f>
        <v>0</v>
      </c>
      <c r="H181" s="67">
        <f>IFERROR(ROUND(H168*H29,2),"")</f>
        <v>0</v>
      </c>
      <c r="I181" s="67" t="str">
        <f>IFERROR(I168*I29,"")</f>
        <v/>
      </c>
      <c r="J181" s="350"/>
      <c r="K181" s="350"/>
      <c r="L181" s="350"/>
      <c r="M181" s="350"/>
      <c r="N181" s="350"/>
      <c r="O181" s="350"/>
      <c r="P181" s="350"/>
      <c r="Q181" s="350"/>
      <c r="R181" s="350"/>
    </row>
    <row r="182" spans="1:18" s="3" customFormat="1">
      <c r="A182" s="238"/>
      <c r="B182" s="142" t="s">
        <v>9</v>
      </c>
      <c r="C182" s="98" t="s">
        <v>180</v>
      </c>
      <c r="D182" s="237"/>
      <c r="E182" s="67">
        <f>IFERROR(ROUND((E179+E180+E181),2),"")</f>
        <v>0</v>
      </c>
      <c r="F182" s="67">
        <f>IFERROR(ROUND((F179+F180+F181),2),"")</f>
        <v>0</v>
      </c>
      <c r="G182" s="67">
        <f>IFERROR(ROUND((G179+G180+G181),2),"")</f>
        <v>0</v>
      </c>
      <c r="H182" s="67">
        <f>IFERROR(ROUND((H179+H180+H181),2),"")</f>
        <v>0</v>
      </c>
      <c r="I182" s="67" t="str">
        <f>IFERROR(I179+I180+I181,"")</f>
        <v/>
      </c>
      <c r="J182" s="350"/>
      <c r="K182" s="350"/>
      <c r="L182" s="350"/>
      <c r="M182" s="350"/>
      <c r="N182" s="350"/>
      <c r="O182" s="350"/>
      <c r="P182" s="350"/>
      <c r="Q182" s="350"/>
      <c r="R182" s="350"/>
    </row>
    <row r="183" spans="1:18" s="3" customFormat="1" ht="3.75" customHeight="1">
      <c r="A183" s="232"/>
      <c r="B183" s="233"/>
      <c r="C183" s="233"/>
      <c r="D183" s="233"/>
      <c r="E183" s="233"/>
      <c r="F183" s="233"/>
      <c r="G183" s="233"/>
      <c r="H183" s="233"/>
      <c r="I183" s="233"/>
      <c r="J183" s="350"/>
      <c r="K183" s="350"/>
      <c r="L183" s="350"/>
      <c r="M183" s="350"/>
      <c r="N183" s="350"/>
      <c r="O183" s="350"/>
      <c r="P183" s="350"/>
      <c r="Q183" s="350"/>
      <c r="R183" s="350"/>
    </row>
    <row r="184" spans="1:18" s="3" customFormat="1">
      <c r="A184" s="232"/>
      <c r="B184" s="137"/>
      <c r="C184" s="138" t="s">
        <v>181</v>
      </c>
      <c r="D184" s="234"/>
      <c r="E184" s="235"/>
      <c r="F184" s="235"/>
      <c r="G184" s="235"/>
      <c r="H184" s="235"/>
      <c r="I184" s="235"/>
      <c r="J184" s="350"/>
      <c r="K184" s="350"/>
      <c r="L184" s="350"/>
      <c r="M184" s="350"/>
      <c r="N184" s="350"/>
      <c r="O184" s="350"/>
      <c r="P184" s="350"/>
      <c r="Q184" s="350"/>
      <c r="R184" s="350"/>
    </row>
    <row r="185" spans="1:18" s="3" customFormat="1">
      <c r="A185" s="238"/>
      <c r="B185" s="142" t="s">
        <v>1</v>
      </c>
      <c r="C185" s="98" t="s">
        <v>177</v>
      </c>
      <c r="D185" s="237"/>
      <c r="E185" s="67">
        <f t="shared" ref="E185:H188" si="6">IFERROR(ROUND(E179*$D$12,2),"")</f>
        <v>0</v>
      </c>
      <c r="F185" s="67">
        <f t="shared" si="6"/>
        <v>0</v>
      </c>
      <c r="G185" s="67">
        <f t="shared" si="6"/>
        <v>0</v>
      </c>
      <c r="H185" s="67">
        <f t="shared" si="6"/>
        <v>0</v>
      </c>
      <c r="I185" s="67" t="str">
        <f>IFERROR(I179*IF(VLOOKUP(I$26,'Apoio - Regime de Trabalho'!$A:$I,3,0)="Diária",1,$D$12),"")</f>
        <v/>
      </c>
      <c r="J185" s="350"/>
      <c r="K185" s="350"/>
      <c r="L185" s="350"/>
      <c r="M185" s="368"/>
      <c r="N185" s="369"/>
      <c r="O185" s="350"/>
      <c r="P185" s="350"/>
      <c r="Q185" s="350"/>
      <c r="R185" s="350"/>
    </row>
    <row r="186" spans="1:18" s="3" customFormat="1">
      <c r="A186" s="238"/>
      <c r="B186" s="142" t="s">
        <v>4</v>
      </c>
      <c r="C186" s="98" t="s">
        <v>178</v>
      </c>
      <c r="D186" s="237"/>
      <c r="E186" s="67">
        <f t="shared" si="6"/>
        <v>0</v>
      </c>
      <c r="F186" s="67">
        <f t="shared" si="6"/>
        <v>0</v>
      </c>
      <c r="G186" s="67">
        <f t="shared" si="6"/>
        <v>0</v>
      </c>
      <c r="H186" s="67">
        <f t="shared" si="6"/>
        <v>0</v>
      </c>
      <c r="I186" s="67" t="str">
        <f>IFERROR(I180*IF(VLOOKUP(I$26,'Apoio - Regime de Trabalho'!$A:$I,3,0)="Diária",1,$D$12),"")</f>
        <v/>
      </c>
      <c r="J186" s="350"/>
      <c r="K186" s="350"/>
      <c r="L186" s="350"/>
      <c r="M186" s="368"/>
      <c r="N186" s="369"/>
      <c r="O186" s="350"/>
      <c r="P186" s="350"/>
      <c r="Q186" s="350"/>
      <c r="R186" s="350"/>
    </row>
    <row r="187" spans="1:18" s="3" customFormat="1">
      <c r="A187" s="238"/>
      <c r="B187" s="142" t="s">
        <v>6</v>
      </c>
      <c r="C187" s="98" t="s">
        <v>179</v>
      </c>
      <c r="D187" s="237"/>
      <c r="E187" s="67">
        <f t="shared" si="6"/>
        <v>0</v>
      </c>
      <c r="F187" s="67">
        <f t="shared" si="6"/>
        <v>0</v>
      </c>
      <c r="G187" s="67">
        <f t="shared" si="6"/>
        <v>0</v>
      </c>
      <c r="H187" s="67">
        <f t="shared" si="6"/>
        <v>0</v>
      </c>
      <c r="I187" s="67" t="str">
        <f>IFERROR(I181*IF(VLOOKUP(I$26,'Apoio - Regime de Trabalho'!$A:$I,3,0)="Diária",1,$D$12),"")</f>
        <v/>
      </c>
      <c r="J187" s="350"/>
      <c r="K187" s="350"/>
      <c r="L187" s="350"/>
      <c r="M187" s="350"/>
      <c r="N187" s="369"/>
      <c r="O187" s="368"/>
      <c r="P187" s="350"/>
      <c r="Q187" s="350"/>
      <c r="R187" s="350"/>
    </row>
    <row r="188" spans="1:18" s="3" customFormat="1">
      <c r="A188" s="238"/>
      <c r="B188" s="142" t="s">
        <v>9</v>
      </c>
      <c r="C188" s="98" t="s">
        <v>182</v>
      </c>
      <c r="D188" s="237"/>
      <c r="E188" s="67">
        <f t="shared" si="6"/>
        <v>0</v>
      </c>
      <c r="F188" s="67">
        <f t="shared" si="6"/>
        <v>0</v>
      </c>
      <c r="G188" s="67">
        <f t="shared" si="6"/>
        <v>0</v>
      </c>
      <c r="H188" s="67">
        <f t="shared" si="6"/>
        <v>0</v>
      </c>
      <c r="I188" s="67"/>
      <c r="J188" s="350"/>
      <c r="K188" s="350"/>
      <c r="L188" s="350"/>
      <c r="M188" s="368"/>
      <c r="N188" s="370"/>
      <c r="O188" s="371"/>
      <c r="P188" s="350"/>
      <c r="Q188" s="350"/>
      <c r="R188" s="350"/>
    </row>
    <row r="189" spans="1:18" s="3" customFormat="1">
      <c r="B189" s="4"/>
      <c r="C189" s="5"/>
      <c r="D189" s="6"/>
      <c r="E189" s="5"/>
      <c r="F189" s="5"/>
      <c r="G189" s="5"/>
      <c r="H189" s="5"/>
      <c r="I189" s="5"/>
      <c r="J189" s="350"/>
      <c r="K189" s="350"/>
      <c r="L189" s="350"/>
      <c r="M189" s="350"/>
      <c r="N189" s="350"/>
      <c r="O189" s="350"/>
      <c r="P189" s="350"/>
      <c r="Q189" s="350"/>
      <c r="R189" s="350"/>
    </row>
    <row r="190" spans="1:18" s="3" customFormat="1">
      <c r="A190" s="232"/>
      <c r="B190" s="14"/>
      <c r="C190" s="15" t="s">
        <v>280</v>
      </c>
      <c r="D190" s="15"/>
      <c r="E190" s="15"/>
      <c r="F190" s="15"/>
      <c r="G190" s="15"/>
      <c r="H190" s="15"/>
      <c r="I190" s="15"/>
      <c r="J190" s="350"/>
      <c r="K190" s="350"/>
      <c r="L190" s="15"/>
      <c r="M190" s="15"/>
      <c r="N190" s="15"/>
      <c r="O190" s="372"/>
      <c r="P190" s="350"/>
      <c r="Q190" s="350"/>
      <c r="R190" s="350"/>
    </row>
    <row r="191" spans="1:18" s="3" customFormat="1" ht="3.75" customHeight="1">
      <c r="A191" s="232"/>
      <c r="B191" s="233"/>
      <c r="C191" s="233"/>
      <c r="D191" s="233"/>
      <c r="E191" s="233"/>
      <c r="F191" s="233"/>
      <c r="G191" s="233"/>
      <c r="H191" s="233"/>
      <c r="I191" s="233"/>
      <c r="J191" s="350"/>
      <c r="L191" s="350"/>
      <c r="M191" s="350"/>
      <c r="N191" s="350"/>
      <c r="O191" s="350"/>
      <c r="P191" s="350"/>
      <c r="Q191" s="350"/>
      <c r="R191" s="350"/>
    </row>
    <row r="192" spans="1:18" s="3" customFormat="1">
      <c r="A192" s="232"/>
      <c r="B192" s="137"/>
      <c r="C192" s="138" t="s">
        <v>281</v>
      </c>
      <c r="D192" s="235" t="s">
        <v>282</v>
      </c>
      <c r="E192" s="235" t="s">
        <v>283</v>
      </c>
      <c r="F192" s="235" t="s">
        <v>283</v>
      </c>
      <c r="G192" s="235" t="s">
        <v>283</v>
      </c>
      <c r="H192" s="235" t="s">
        <v>283</v>
      </c>
      <c r="I192" s="235"/>
      <c r="J192" s="350"/>
      <c r="L192" s="235" t="s">
        <v>284</v>
      </c>
      <c r="M192" s="235" t="s">
        <v>283</v>
      </c>
      <c r="N192" s="235" t="s">
        <v>285</v>
      </c>
      <c r="O192" s="235" t="s">
        <v>286</v>
      </c>
      <c r="P192" s="350"/>
      <c r="Q192" s="371"/>
      <c r="R192" s="350"/>
    </row>
    <row r="193" spans="1:18" s="3" customFormat="1">
      <c r="A193" s="232"/>
      <c r="B193" s="373" t="s">
        <v>287</v>
      </c>
      <c r="C193" s="374" t="s">
        <v>288</v>
      </c>
      <c r="D193" s="375"/>
      <c r="E193" s="376" t="str">
        <f>IFERROR(8*E$173*'Apoio - Notas Explicativas'!$D$6/$D193,"")</f>
        <v/>
      </c>
      <c r="F193" s="376" t="str">
        <f>IFERROR((8*F$173*'Apoio - Notas Explicativas'!$D$6/$D193)*($F$27/$E$27),"")</f>
        <v/>
      </c>
      <c r="G193" s="376"/>
      <c r="H193" s="376"/>
      <c r="I193" s="376"/>
      <c r="J193" s="350"/>
      <c r="K193" s="3" t="str">
        <f t="shared" ref="K193:K200" si="7">IFERROR(L193/D193,"")</f>
        <v/>
      </c>
      <c r="L193" s="375"/>
      <c r="M193" s="377">
        <f t="shared" ref="M193:M199" si="8">SUM(E193:I193)</f>
        <v>0</v>
      </c>
      <c r="N193" s="377">
        <f t="shared" ref="N193:N199" si="9">L193*M193</f>
        <v>0</v>
      </c>
      <c r="O193" s="377">
        <f t="shared" ref="O193:O199" si="10">N193*$D$12</f>
        <v>0</v>
      </c>
      <c r="P193" s="350"/>
      <c r="Q193" s="350"/>
      <c r="R193" s="378"/>
    </row>
    <row r="194" spans="1:18" s="3" customFormat="1">
      <c r="A194" s="232"/>
      <c r="B194" s="373" t="s">
        <v>289</v>
      </c>
      <c r="C194" s="374" t="s">
        <v>290</v>
      </c>
      <c r="D194" s="375"/>
      <c r="E194" s="376" t="str">
        <f>IFERROR(8*E$173*'Apoio - Notas Explicativas'!$D$6/$D194,"")</f>
        <v/>
      </c>
      <c r="F194" s="376" t="str">
        <f>IFERROR((8*F$173*'Apoio - Notas Explicativas'!$D$6/$D194)*($F$27/$E$27),"")</f>
        <v/>
      </c>
      <c r="G194" s="376"/>
      <c r="H194" s="376"/>
      <c r="I194" s="379"/>
      <c r="J194" s="350"/>
      <c r="K194" s="3" t="str">
        <f t="shared" si="7"/>
        <v/>
      </c>
      <c r="L194" s="375"/>
      <c r="M194" s="377">
        <f t="shared" si="8"/>
        <v>0</v>
      </c>
      <c r="N194" s="377">
        <f t="shared" si="9"/>
        <v>0</v>
      </c>
      <c r="O194" s="377">
        <f t="shared" si="10"/>
        <v>0</v>
      </c>
      <c r="P194" s="350"/>
      <c r="Q194" s="378"/>
      <c r="R194" s="378"/>
    </row>
    <row r="195" spans="1:18" s="3" customFormat="1">
      <c r="A195" s="232"/>
      <c r="B195" s="373" t="s">
        <v>291</v>
      </c>
      <c r="C195" s="374" t="s">
        <v>292</v>
      </c>
      <c r="D195" s="375"/>
      <c r="E195" s="376" t="str">
        <f>IFERROR(8*E$173*'Apoio - Notas Explicativas'!$D$6/$D195,"")</f>
        <v/>
      </c>
      <c r="F195" s="376" t="str">
        <f>IFERROR((8*F$173*'Apoio - Notas Explicativas'!$D$6/$D195)*($F$27/$E$27),"")</f>
        <v/>
      </c>
      <c r="G195" s="376"/>
      <c r="H195" s="376"/>
      <c r="I195" s="379"/>
      <c r="J195" s="350"/>
      <c r="K195" s="3" t="str">
        <f t="shared" si="7"/>
        <v/>
      </c>
      <c r="L195" s="375"/>
      <c r="M195" s="377">
        <f t="shared" si="8"/>
        <v>0</v>
      </c>
      <c r="N195" s="377">
        <f t="shared" si="9"/>
        <v>0</v>
      </c>
      <c r="O195" s="377">
        <f t="shared" si="10"/>
        <v>0</v>
      </c>
      <c r="P195" s="350"/>
      <c r="Q195" s="350"/>
      <c r="R195" s="378"/>
    </row>
    <row r="196" spans="1:18" s="3" customFormat="1">
      <c r="A196" s="232"/>
      <c r="B196" s="373" t="s">
        <v>293</v>
      </c>
      <c r="C196" s="374" t="s">
        <v>294</v>
      </c>
      <c r="D196" s="375"/>
      <c r="E196" s="376" t="str">
        <f>IFERROR(8*E$173*'Apoio - Notas Explicativas'!$D$6/$D196,"")</f>
        <v/>
      </c>
      <c r="F196" s="376" t="str">
        <f>IFERROR((8*F$173*'Apoio - Notas Explicativas'!$D$6/$D196)*($F$27/$E$27),"")</f>
        <v/>
      </c>
      <c r="G196" s="376"/>
      <c r="H196" s="376"/>
      <c r="I196" s="379"/>
      <c r="J196" s="350"/>
      <c r="K196" s="3" t="str">
        <f t="shared" si="7"/>
        <v/>
      </c>
      <c r="L196" s="375"/>
      <c r="M196" s="377">
        <f t="shared" si="8"/>
        <v>0</v>
      </c>
      <c r="N196" s="377">
        <f t="shared" si="9"/>
        <v>0</v>
      </c>
      <c r="O196" s="377">
        <f t="shared" si="10"/>
        <v>0</v>
      </c>
      <c r="P196" s="350"/>
      <c r="Q196" s="350"/>
      <c r="R196" s="378"/>
    </row>
    <row r="197" spans="1:18" s="3" customFormat="1">
      <c r="A197" s="232"/>
      <c r="B197" s="373" t="s">
        <v>295</v>
      </c>
      <c r="C197" s="374" t="s">
        <v>296</v>
      </c>
      <c r="D197" s="375"/>
      <c r="E197" s="376" t="str">
        <f>IFERROR(8*E$173*'Apoio - Notas Explicativas'!$D$6/$D197,"")</f>
        <v/>
      </c>
      <c r="F197" s="376" t="str">
        <f>IFERROR((8*F$173*'Apoio - Notas Explicativas'!$D$6/$D197)*($F$27/$E$27),"")</f>
        <v/>
      </c>
      <c r="G197" s="376"/>
      <c r="H197" s="376"/>
      <c r="I197" s="379"/>
      <c r="J197" s="350"/>
      <c r="K197" s="3" t="str">
        <f t="shared" si="7"/>
        <v/>
      </c>
      <c r="L197" s="375"/>
      <c r="M197" s="377">
        <f t="shared" si="8"/>
        <v>0</v>
      </c>
      <c r="N197" s="377">
        <f t="shared" si="9"/>
        <v>0</v>
      </c>
      <c r="O197" s="377">
        <f t="shared" si="10"/>
        <v>0</v>
      </c>
      <c r="P197" s="350"/>
      <c r="Q197" s="350"/>
      <c r="R197" s="378"/>
    </row>
    <row r="198" spans="1:18" s="3" customFormat="1">
      <c r="A198" s="232"/>
      <c r="B198" s="373" t="s">
        <v>297</v>
      </c>
      <c r="C198" s="374" t="s">
        <v>298</v>
      </c>
      <c r="D198" s="375"/>
      <c r="E198" s="376" t="str">
        <f>IFERROR(8*E$173*'Apoio - Notas Explicativas'!$D$6/$D198,"")</f>
        <v/>
      </c>
      <c r="F198" s="376" t="str">
        <f>IFERROR((8*F$173*'Apoio - Notas Explicativas'!$D$6/$D198)*($F$27/$E$27),"")</f>
        <v/>
      </c>
      <c r="G198" s="376"/>
      <c r="H198" s="376"/>
      <c r="I198" s="379"/>
      <c r="J198" s="350"/>
      <c r="K198" s="3" t="str">
        <f t="shared" si="7"/>
        <v/>
      </c>
      <c r="L198" s="375"/>
      <c r="M198" s="377">
        <f t="shared" si="8"/>
        <v>0</v>
      </c>
      <c r="N198" s="377">
        <f t="shared" si="9"/>
        <v>0</v>
      </c>
      <c r="O198" s="377">
        <f t="shared" si="10"/>
        <v>0</v>
      </c>
      <c r="P198" s="350"/>
      <c r="Q198" s="350"/>
      <c r="R198" s="378"/>
    </row>
    <row r="199" spans="1:18" s="3" customFormat="1">
      <c r="A199" s="232"/>
      <c r="B199" s="373" t="s">
        <v>299</v>
      </c>
      <c r="C199" s="374" t="s">
        <v>300</v>
      </c>
      <c r="D199" s="375"/>
      <c r="E199" s="376" t="str">
        <f>IFERROR(8*E$173*'Apoio - Notas Explicativas'!$D$6/$D199,"")</f>
        <v/>
      </c>
      <c r="F199" s="376" t="str">
        <f>IFERROR((8*F$173*'Apoio - Notas Explicativas'!$D$6/$D199)*($F$27/$E$27),"")</f>
        <v/>
      </c>
      <c r="G199" s="376"/>
      <c r="H199" s="376"/>
      <c r="I199" s="379"/>
      <c r="J199" s="350"/>
      <c r="K199" s="3" t="str">
        <f t="shared" si="7"/>
        <v/>
      </c>
      <c r="L199" s="375"/>
      <c r="M199" s="377">
        <f t="shared" si="8"/>
        <v>0</v>
      </c>
      <c r="N199" s="377">
        <f t="shared" si="9"/>
        <v>0</v>
      </c>
      <c r="O199" s="377">
        <f t="shared" si="10"/>
        <v>0</v>
      </c>
      <c r="P199" s="350"/>
      <c r="Q199" s="350"/>
      <c r="R199" s="378"/>
    </row>
    <row r="200" spans="1:18" s="3" customFormat="1" ht="3.75" customHeight="1">
      <c r="A200" s="232"/>
      <c r="B200" s="380"/>
      <c r="C200" s="381"/>
      <c r="D200" s="382"/>
      <c r="E200" s="376" t="str">
        <f>IFERROR(ROUND(E$176/$D200,2),"")</f>
        <v/>
      </c>
      <c r="F200" s="383"/>
      <c r="G200" s="383"/>
      <c r="H200" s="383"/>
      <c r="I200" s="383"/>
      <c r="J200" s="350"/>
      <c r="K200" s="3" t="str">
        <f t="shared" si="7"/>
        <v/>
      </c>
      <c r="L200" s="384"/>
      <c r="M200" s="385"/>
      <c r="N200" s="385"/>
      <c r="O200" s="385"/>
      <c r="P200" s="350"/>
      <c r="Q200" s="350"/>
      <c r="R200" s="378"/>
    </row>
    <row r="201" spans="1:18" s="3" customFormat="1">
      <c r="A201" s="232"/>
      <c r="B201" s="386"/>
      <c r="C201" s="138" t="s">
        <v>301</v>
      </c>
      <c r="D201" s="235"/>
      <c r="E201" s="235"/>
      <c r="F201" s="235"/>
      <c r="G201" s="235"/>
      <c r="H201" s="235"/>
      <c r="I201" s="235"/>
      <c r="J201" s="350"/>
      <c r="L201" s="235"/>
      <c r="M201" s="235"/>
      <c r="N201" s="235"/>
      <c r="O201" s="235"/>
      <c r="P201" s="350"/>
      <c r="Q201" s="350"/>
      <c r="R201" s="378"/>
    </row>
    <row r="202" spans="1:18" s="3" customFormat="1">
      <c r="A202" s="232"/>
      <c r="B202" s="373" t="s">
        <v>302</v>
      </c>
      <c r="C202" s="374" t="s">
        <v>303</v>
      </c>
      <c r="D202" s="375"/>
      <c r="E202" s="376" t="str">
        <f>IFERROR(8*E$173*'Apoio - Notas Explicativas'!$D$6/$D202,"")</f>
        <v/>
      </c>
      <c r="F202" s="376" t="str">
        <f>IFERROR((8*F$173*'Apoio - Notas Explicativas'!$D$6/$D202)*($F$27/$E$27),"")</f>
        <v/>
      </c>
      <c r="G202" s="376"/>
      <c r="H202" s="376"/>
      <c r="I202" s="379"/>
      <c r="J202" s="350"/>
      <c r="K202" s="3" t="str">
        <f>IFERROR(L202/D202,"")</f>
        <v/>
      </c>
      <c r="L202" s="375"/>
      <c r="M202" s="377">
        <f t="shared" ref="M202:M207" si="11">SUM(E202:I202)</f>
        <v>0</v>
      </c>
      <c r="N202" s="377">
        <f t="shared" ref="N202:N207" si="12">L202*M202</f>
        <v>0</v>
      </c>
      <c r="O202" s="377">
        <f t="shared" ref="O202:O207" si="13">N202*$D$12</f>
        <v>0</v>
      </c>
      <c r="P202" s="350"/>
      <c r="Q202" s="350"/>
      <c r="R202" s="378"/>
    </row>
    <row r="203" spans="1:18" s="3" customFormat="1">
      <c r="A203" s="232"/>
      <c r="B203" s="373" t="s">
        <v>304</v>
      </c>
      <c r="C203" s="374" t="s">
        <v>305</v>
      </c>
      <c r="D203" s="375"/>
      <c r="E203" s="376" t="str">
        <f>IFERROR(8*E$173*'Apoio - Notas Explicativas'!$D$6/$D203,"")</f>
        <v/>
      </c>
      <c r="F203" s="376" t="str">
        <f>IFERROR((8*F$173*'Apoio - Notas Explicativas'!$D$6/$D203)*($F$27/$E$27),"")</f>
        <v/>
      </c>
      <c r="G203" s="376"/>
      <c r="H203" s="376"/>
      <c r="I203" s="379"/>
      <c r="J203" s="350"/>
      <c r="K203" s="3" t="str">
        <f>IFERROR(L203/D203,"")</f>
        <v/>
      </c>
      <c r="L203" s="375"/>
      <c r="M203" s="377">
        <f t="shared" si="11"/>
        <v>0</v>
      </c>
      <c r="N203" s="377">
        <f t="shared" si="12"/>
        <v>0</v>
      </c>
      <c r="O203" s="377">
        <f t="shared" si="13"/>
        <v>0</v>
      </c>
      <c r="P203" s="350"/>
      <c r="Q203" s="350"/>
      <c r="R203" s="378"/>
    </row>
    <row r="204" spans="1:18" s="3" customFormat="1">
      <c r="A204" s="232"/>
      <c r="B204" s="373" t="s">
        <v>306</v>
      </c>
      <c r="C204" s="374" t="s">
        <v>307</v>
      </c>
      <c r="D204" s="375"/>
      <c r="E204" s="376" t="str">
        <f>IFERROR(8*E$173*'Apoio - Notas Explicativas'!$D$7/$D204,"")</f>
        <v/>
      </c>
      <c r="F204" s="376" t="str">
        <f>IFERROR((8*F$173*'Apoio - Notas Explicativas'!$D$7/$D204)*($F$27/$E$27),"")</f>
        <v/>
      </c>
      <c r="G204" s="376"/>
      <c r="H204" s="376"/>
      <c r="I204" s="376"/>
      <c r="J204" s="350"/>
      <c r="K204" s="3" t="str">
        <f>IFERROR(('Apoio - Notas Explicativas'!$D$7/'Apoio - Notas Explicativas'!$D$6)*L204/D204,"")</f>
        <v/>
      </c>
      <c r="L204" s="375"/>
      <c r="M204" s="377">
        <f t="shared" si="11"/>
        <v>0</v>
      </c>
      <c r="N204" s="377">
        <f t="shared" si="12"/>
        <v>0</v>
      </c>
      <c r="O204" s="377">
        <f t="shared" si="13"/>
        <v>0</v>
      </c>
      <c r="P204" s="350"/>
      <c r="Q204" s="350"/>
      <c r="R204" s="378"/>
    </row>
    <row r="205" spans="1:18" s="3" customFormat="1">
      <c r="A205" s="232"/>
      <c r="B205" s="373" t="s">
        <v>308</v>
      </c>
      <c r="C205" s="374" t="s">
        <v>309</v>
      </c>
      <c r="D205" s="375"/>
      <c r="E205" s="376" t="str">
        <f>IFERROR(8*E$173*'Apoio - Notas Explicativas'!$D$8/$D205,"")</f>
        <v/>
      </c>
      <c r="F205" s="376" t="str">
        <f>IFERROR((8*F$173*'Apoio - Notas Explicativas'!$D$7/2/$D205)*($F$27/$E$27),"")</f>
        <v/>
      </c>
      <c r="G205" s="376"/>
      <c r="H205" s="376"/>
      <c r="I205" s="376"/>
      <c r="J205" s="350"/>
      <c r="K205" s="3" t="str">
        <f>IFERROR(('Apoio - Notas Explicativas'!$D$8/'Apoio - Notas Explicativas'!$D$6)*L205/D205,"")</f>
        <v/>
      </c>
      <c r="L205" s="375"/>
      <c r="M205" s="377">
        <f t="shared" si="11"/>
        <v>0</v>
      </c>
      <c r="N205" s="377">
        <f t="shared" si="12"/>
        <v>0</v>
      </c>
      <c r="O205" s="377">
        <f t="shared" si="13"/>
        <v>0</v>
      </c>
      <c r="P205" s="350"/>
      <c r="Q205" s="350"/>
      <c r="R205" s="378"/>
    </row>
    <row r="206" spans="1:18" s="3" customFormat="1">
      <c r="A206" s="232"/>
      <c r="B206" s="373" t="s">
        <v>310</v>
      </c>
      <c r="C206" s="374" t="s">
        <v>311</v>
      </c>
      <c r="D206" s="375"/>
      <c r="E206" s="376" t="str">
        <f>IFERROR(8*E$173/$D206,"")</f>
        <v/>
      </c>
      <c r="F206" s="376" t="str">
        <f>IFERROR((8*F$173/$D206)*($F$27/$E$27),"")</f>
        <v/>
      </c>
      <c r="G206" s="376"/>
      <c r="H206" s="376"/>
      <c r="I206" s="376"/>
      <c r="J206" s="350"/>
      <c r="K206" s="3" t="str">
        <f>IFERROR((1/'Apoio - Notas Explicativas'!$D$6)*L206/D206,"")</f>
        <v/>
      </c>
      <c r="L206" s="375"/>
      <c r="M206" s="377">
        <f t="shared" si="11"/>
        <v>0</v>
      </c>
      <c r="N206" s="377">
        <f t="shared" si="12"/>
        <v>0</v>
      </c>
      <c r="O206" s="377">
        <f t="shared" si="13"/>
        <v>0</v>
      </c>
      <c r="P206" s="350"/>
      <c r="Q206" s="350"/>
      <c r="R206" s="378"/>
    </row>
    <row r="207" spans="1:18" s="3" customFormat="1">
      <c r="A207" s="232"/>
      <c r="B207" s="373" t="s">
        <v>312</v>
      </c>
      <c r="C207" s="374" t="s">
        <v>313</v>
      </c>
      <c r="D207" s="375"/>
      <c r="E207" s="376" t="str">
        <f>IFERROR(8*E$173*'Apoio - Notas Explicativas'!$D$6/$D207,"")</f>
        <v/>
      </c>
      <c r="F207" s="376" t="str">
        <f>IFERROR((8*F$173*'Apoio - Notas Explicativas'!$D$6/$D207)*($F$27/$E$27),"")</f>
        <v/>
      </c>
      <c r="G207" s="376"/>
      <c r="H207" s="376"/>
      <c r="I207" s="379"/>
      <c r="J207" s="350"/>
      <c r="K207" s="3" t="str">
        <f>IFERROR(L207/D207,"")</f>
        <v/>
      </c>
      <c r="L207" s="375"/>
      <c r="M207" s="377">
        <f t="shared" si="11"/>
        <v>0</v>
      </c>
      <c r="N207" s="377">
        <f t="shared" si="12"/>
        <v>0</v>
      </c>
      <c r="O207" s="377">
        <f t="shared" si="13"/>
        <v>0</v>
      </c>
      <c r="P207" s="350"/>
      <c r="Q207" s="350"/>
      <c r="R207" s="378"/>
    </row>
    <row r="208" spans="1:18" s="3" customFormat="1" ht="3.75" customHeight="1">
      <c r="A208" s="232"/>
      <c r="B208" s="380"/>
      <c r="C208" s="381"/>
      <c r="D208" s="382"/>
      <c r="E208" s="383"/>
      <c r="F208" s="383"/>
      <c r="G208" s="383"/>
      <c r="H208" s="383"/>
      <c r="I208" s="383"/>
      <c r="J208" s="350"/>
      <c r="K208" s="3" t="str">
        <f>IFERROR(L208/D208,"")</f>
        <v/>
      </c>
      <c r="L208" s="384"/>
      <c r="M208" s="385"/>
      <c r="N208" s="385"/>
      <c r="O208" s="385"/>
      <c r="P208" s="350"/>
      <c r="Q208" s="350"/>
      <c r="R208" s="378"/>
    </row>
    <row r="209" spans="1:18" s="3" customFormat="1">
      <c r="A209" s="232"/>
      <c r="B209" s="386"/>
      <c r="C209" s="138" t="s">
        <v>314</v>
      </c>
      <c r="D209" s="235"/>
      <c r="E209" s="235"/>
      <c r="F209" s="235"/>
      <c r="G209" s="235"/>
      <c r="H209" s="235"/>
      <c r="I209" s="235"/>
      <c r="J209" s="350"/>
      <c r="L209" s="235"/>
      <c r="M209" s="235"/>
      <c r="N209" s="235"/>
      <c r="O209" s="235"/>
      <c r="P209" s="350"/>
      <c r="Q209" s="350"/>
      <c r="R209" s="378"/>
    </row>
    <row r="210" spans="1:18" s="3" customFormat="1">
      <c r="A210" s="232"/>
      <c r="B210" s="373" t="s">
        <v>315</v>
      </c>
      <c r="C210" s="374" t="s">
        <v>316</v>
      </c>
      <c r="D210" s="375"/>
      <c r="E210" s="376"/>
      <c r="F210" s="376"/>
      <c r="G210" s="376" t="str">
        <f>IFERROR(8*G$173/3/$D210,"")</f>
        <v/>
      </c>
      <c r="H210" s="376" t="str">
        <f>IFERROR((8*H$173/3/$D210)*($H$27/$G$27),"")</f>
        <v/>
      </c>
      <c r="I210" s="379"/>
      <c r="J210" s="350"/>
      <c r="K210" s="3" t="str">
        <f>IFERROR((1/'Apoio - Notas Explicativas'!$D$6)/3*L210/D210,"")</f>
        <v/>
      </c>
      <c r="L210" s="375"/>
      <c r="M210" s="377">
        <f>SUM(E210:I210)</f>
        <v>0</v>
      </c>
      <c r="N210" s="377">
        <f>L210*M210</f>
        <v>0</v>
      </c>
      <c r="O210" s="377">
        <f>N210*$D$12</f>
        <v>0</v>
      </c>
      <c r="P210" s="350"/>
      <c r="Q210" s="350"/>
      <c r="R210" s="378"/>
    </row>
    <row r="211" spans="1:18" s="3" customFormat="1">
      <c r="A211" s="232"/>
      <c r="B211" s="373" t="s">
        <v>317</v>
      </c>
      <c r="C211" s="374" t="s">
        <v>318</v>
      </c>
      <c r="D211" s="375"/>
      <c r="E211" s="376" t="str">
        <f>IFERROR(8*E$173/3/$D211,"")</f>
        <v/>
      </c>
      <c r="F211" s="376" t="str">
        <f>IFERROR((8*F$173/3/$D211)*($F$27/$E$27),"")</f>
        <v/>
      </c>
      <c r="G211" s="376"/>
      <c r="H211" s="376"/>
      <c r="I211" s="379"/>
      <c r="J211" s="350"/>
      <c r="K211" s="3" t="str">
        <f>IFERROR((1/'Apoio - Notas Explicativas'!$D$6)/3*L211/D211,"")</f>
        <v/>
      </c>
      <c r="L211" s="375"/>
      <c r="M211" s="377">
        <f>SUM(E211:I211)</f>
        <v>0</v>
      </c>
      <c r="N211" s="377">
        <f>L211*M211</f>
        <v>0</v>
      </c>
      <c r="O211" s="377">
        <f>N211*$D$12</f>
        <v>0</v>
      </c>
      <c r="P211" s="350"/>
      <c r="Q211" s="350"/>
      <c r="R211" s="378"/>
    </row>
    <row r="212" spans="1:18" s="3" customFormat="1">
      <c r="A212" s="232"/>
      <c r="B212" s="373" t="s">
        <v>319</v>
      </c>
      <c r="C212" s="374" t="s">
        <v>320</v>
      </c>
      <c r="D212" s="375"/>
      <c r="E212" s="376" t="str">
        <f>IFERROR(8*E$173*'Apoio - Notas Explicativas'!$D$7/2/$D212,"")</f>
        <v/>
      </c>
      <c r="F212" s="376" t="str">
        <f>IFERROR((8*F$173*'Apoio - Notas Explicativas'!$D$7/2/$D212)*($F$27/$E$27),"")</f>
        <v/>
      </c>
      <c r="G212" s="376"/>
      <c r="H212" s="376"/>
      <c r="I212" s="379"/>
      <c r="J212" s="350"/>
      <c r="K212" s="3" t="str">
        <f>IFERROR(('Apoio - Notas Explicativas'!$D$8/'Apoio - Notas Explicativas'!$D$6)*L212/D212,"")</f>
        <v/>
      </c>
      <c r="L212" s="375"/>
      <c r="M212" s="377">
        <f>SUM(E212:I212)</f>
        <v>0</v>
      </c>
      <c r="N212" s="377">
        <f>L212*M212</f>
        <v>0</v>
      </c>
      <c r="O212" s="377">
        <f>N212*$D$12</f>
        <v>0</v>
      </c>
      <c r="P212" s="350"/>
      <c r="Q212" s="350"/>
      <c r="R212" s="378"/>
    </row>
    <row r="213" spans="1:18" s="3" customFormat="1" ht="3.75" customHeight="1">
      <c r="A213" s="232"/>
      <c r="B213" s="380"/>
      <c r="C213" s="381"/>
      <c r="D213" s="382"/>
      <c r="E213" s="383"/>
      <c r="F213" s="383"/>
      <c r="G213" s="383"/>
      <c r="H213" s="383"/>
      <c r="I213" s="383"/>
      <c r="J213" s="350"/>
      <c r="K213" s="3" t="str">
        <f>IFERROR(L213/D213,"")</f>
        <v/>
      </c>
      <c r="L213" s="384"/>
      <c r="M213" s="385"/>
      <c r="N213" s="385"/>
      <c r="O213" s="385"/>
      <c r="P213" s="350"/>
      <c r="Q213" s="350"/>
      <c r="R213" s="378"/>
    </row>
    <row r="214" spans="1:18" s="3" customFormat="1">
      <c r="A214" s="232"/>
      <c r="B214" s="386"/>
      <c r="C214" s="138" t="s">
        <v>321</v>
      </c>
      <c r="D214" s="235"/>
      <c r="E214" s="235"/>
      <c r="F214" s="235"/>
      <c r="G214" s="235"/>
      <c r="H214" s="235"/>
      <c r="I214" s="235"/>
      <c r="J214" s="350"/>
      <c r="L214" s="235"/>
      <c r="M214" s="235"/>
      <c r="N214" s="235"/>
      <c r="O214" s="235"/>
      <c r="P214" s="350"/>
      <c r="Q214" s="350"/>
      <c r="R214" s="378"/>
    </row>
    <row r="215" spans="1:18" s="3" customFormat="1">
      <c r="A215" s="232"/>
      <c r="B215" s="373" t="s">
        <v>322</v>
      </c>
      <c r="C215" s="374" t="s">
        <v>323</v>
      </c>
      <c r="D215" s="375"/>
      <c r="E215" s="376"/>
      <c r="F215" s="376"/>
      <c r="G215" s="376" t="str">
        <f>IFERROR(8*G$173/3/$D215,"")</f>
        <v/>
      </c>
      <c r="H215" s="376" t="str">
        <f>IFERROR((8*H$173/3/$D215)*($H$27/$G$27),"")</f>
        <v/>
      </c>
      <c r="I215" s="379"/>
      <c r="J215" s="350"/>
      <c r="K215" s="3" t="str">
        <f>IFERROR((1/'Apoio - Notas Explicativas'!$D$6)/3*L215/D215,"")</f>
        <v/>
      </c>
      <c r="L215" s="375"/>
      <c r="M215" s="377">
        <f>SUM(E215:I215)</f>
        <v>0</v>
      </c>
      <c r="N215" s="377">
        <f>L215*M215</f>
        <v>0</v>
      </c>
      <c r="O215" s="377">
        <f>N215*$D$12</f>
        <v>0</v>
      </c>
      <c r="P215" s="350"/>
      <c r="Q215" s="350"/>
      <c r="R215" s="378"/>
    </row>
    <row r="216" spans="1:18" s="3" customFormat="1" ht="3.75" customHeight="1">
      <c r="A216" s="232"/>
      <c r="B216" s="380"/>
      <c r="C216" s="381"/>
      <c r="D216" s="382"/>
      <c r="E216" s="383"/>
      <c r="F216" s="383"/>
      <c r="G216" s="383"/>
      <c r="H216" s="383"/>
      <c r="I216" s="383"/>
      <c r="J216" s="350"/>
      <c r="K216" s="3" t="str">
        <f>IFERROR(L216/D216,"")</f>
        <v/>
      </c>
      <c r="L216" s="384"/>
      <c r="M216" s="377"/>
      <c r="N216" s="385"/>
      <c r="O216" s="385"/>
      <c r="P216" s="350"/>
      <c r="Q216" s="350"/>
      <c r="R216" s="378"/>
    </row>
    <row r="217" spans="1:18" s="3" customFormat="1">
      <c r="A217" s="232"/>
      <c r="B217" s="386"/>
      <c r="C217" s="138" t="s">
        <v>324</v>
      </c>
      <c r="D217" s="235"/>
      <c r="E217" s="235"/>
      <c r="F217" s="235"/>
      <c r="G217" s="235"/>
      <c r="H217" s="235"/>
      <c r="I217" s="235"/>
      <c r="J217" s="350"/>
      <c r="L217" s="235"/>
      <c r="M217" s="235"/>
      <c r="N217" s="235"/>
      <c r="O217" s="235"/>
      <c r="P217" s="350"/>
      <c r="Q217" s="350"/>
      <c r="R217" s="378"/>
    </row>
    <row r="218" spans="1:18" s="3" customFormat="1">
      <c r="A218" s="232"/>
      <c r="B218" s="373" t="s">
        <v>325</v>
      </c>
      <c r="C218" s="374" t="s">
        <v>326</v>
      </c>
      <c r="D218" s="375"/>
      <c r="E218" s="376" t="str">
        <f>IFERROR(8*E$173*'Apoio - Notas Explicativas'!$D$6/$D218,"")</f>
        <v/>
      </c>
      <c r="F218" s="376" t="str">
        <f>IFERROR((8*F$173*'Apoio - Notas Explicativas'!$D$6/$D218)*($F$27/$E$27),"")</f>
        <v/>
      </c>
      <c r="G218" s="376"/>
      <c r="H218" s="376"/>
      <c r="I218" s="379"/>
      <c r="J218" s="350"/>
      <c r="K218" s="3" t="str">
        <f>IFERROR(L218/D218,"")</f>
        <v/>
      </c>
      <c r="L218" s="375"/>
      <c r="M218" s="377">
        <f>SUM(E218:I218)</f>
        <v>0</v>
      </c>
      <c r="N218" s="377">
        <f>L218*M218</f>
        <v>0</v>
      </c>
      <c r="O218" s="377">
        <f>N218*$D$12</f>
        <v>0</v>
      </c>
      <c r="P218" s="350"/>
      <c r="Q218" s="350"/>
      <c r="R218" s="378"/>
    </row>
    <row r="219" spans="1:18">
      <c r="K219" s="3" t="str">
        <f>IFERROR(8*L219/D219,"")</f>
        <v/>
      </c>
    </row>
    <row r="220" spans="1:18">
      <c r="K220" s="3"/>
    </row>
    <row r="221" spans="1:18">
      <c r="K221" s="3"/>
    </row>
  </sheetData>
  <sheetProtection algorithmName="SHA-512" hashValue="kkro7YuAxjdV+Fr49i7BFjmLAvKbT7OjfyDqosC/M6cgXHj/saozi5Nmv8miLHnrZcCQyRqePVDQPYP6NvI5Rg==" saltValue="2uBRfK6bk55AA44GV9sEJ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34:I34 E37:I38 E41:I41 E44:I45 E59:I60 E87:I90 E93:I95 E98:I99 E104:I105 E141:I141 D193:D199 L193:L199 D202:D207 L202:L207 D210:D212 L210:L212 D215 L215 D218 L218">
    <cfRule type="expression" dxfId="15" priority="2">
      <formula>$H$5=1</formula>
    </cfRule>
  </conditionalFormatting>
  <conditionalFormatting sqref="D9:D10 D13:D15 E20:I25 E34:I34 E37:I38 E41:I41 E44:I45 E59:I60 D79:D80 E88:I90 E93:I95 E98:I99 E104:I105 D128:D136 E141:I141">
    <cfRule type="expression" dxfId="14" priority="3">
      <formula>$H$5=2</formula>
    </cfRule>
  </conditionalFormatting>
  <conditionalFormatting sqref="D15 E21:I21 E24:I25 E87:I87 E93:I93 E98:I98 E101:I102 E104:I104 E107:I107 E109:I109">
    <cfRule type="expression" dxfId="13" priority="4">
      <formula>$H$5=4</formula>
    </cfRule>
  </conditionalFormatting>
  <conditionalFormatting sqref="E163:H163">
    <cfRule type="expression" dxfId="12" priority="5">
      <formula>$H$5=1</formula>
    </cfRule>
  </conditionalFormatting>
  <conditionalFormatting sqref="E18:I27">
    <cfRule type="expression" dxfId="11" priority="6">
      <formula>$H$5=1</formula>
    </cfRule>
  </conditionalFormatting>
  <conditionalFormatting sqref="E51:I52">
    <cfRule type="expression" dxfId="10" priority="7">
      <formula>$H$5=1</formula>
    </cfRule>
    <cfRule type="expression" dxfId="9" priority="8">
      <formula>$H$5=2</formula>
    </cfRule>
  </conditionalFormatting>
  <conditionalFormatting sqref="E163:I163">
    <cfRule type="expression" dxfId="8" priority="9">
      <formula>$H$5=2</formula>
    </cfRule>
  </conditionalFormatting>
  <dataValidations count="14">
    <dataValidation allowBlank="1" sqref="A19:XFD19" xr:uid="{00000000-0002-0000-0400-000000000000}">
      <formula1>0</formula1>
      <formula2>0</formula2>
    </dataValidation>
    <dataValidation sqref="E33:I33 E36:I36 E40:I41 E43:I43 E47:I47 E50:I50 E54:I54" xr:uid="{00000000-0002-0000-0400-000001000000}">
      <formula1>0</formula1>
      <formula2>0</formula2>
    </dataValidation>
    <dataValidation showInputMessage="1" sqref="D142 D164" xr:uid="{00000000-0002-0000-0400-000002000000}">
      <formula1>0</formula1>
      <formula2>0</formula2>
    </dataValidation>
    <dataValidation type="list" allowBlank="1" showInputMessage="1" showErrorMessage="1" sqref="D56" xr:uid="{00000000-0002-0000-0400-000003000000}">
      <formula1>"Sim,Não"</formula1>
      <formula2>0</formula2>
    </dataValidation>
    <dataValidation type="list" allowBlank="1" showInputMessage="1" showErrorMessage="1" sqref="I51" xr:uid="{00000000-0002-0000-0400-000004000000}">
      <formula1>"0%,50%,100%"</formula1>
      <formula2>0</formula2>
    </dataValidation>
    <dataValidation type="list" showInputMessage="1" sqref="D139:D141 I141" xr:uid="{00000000-0002-0000-0400-000005000000}">
      <formula1>"Indenização,Rendição,Não"</formula1>
      <formula2>0</formula2>
    </dataValidation>
    <dataValidation type="whole" allowBlank="1" showInputMessage="1" showErrorMessage="1" errorTitle="Erro de entrada" error="Informar a duração do contrato em meses" sqref="D12:E12" xr:uid="{00000000-0002-0000-0400-000006000000}">
      <formula1>1</formula1>
      <formula2>360</formula2>
    </dataValidation>
    <dataValidation type="list" allowBlank="1" showInputMessage="1" sqref="D11:E11" xr:uid="{00000000-0002-0000-0400-000007000000}">
      <formula1>"Valor Global,Mês,Dia,Hora"</formula1>
      <formula2>0</formula2>
    </dataValidation>
    <dataValidation type="list" allowBlank="1" showInputMessage="1" sqref="E22:I22" xr:uid="{00000000-0002-0000-0400-000008000000}">
      <formula1>"180,200,220"</formula1>
      <formula2>0</formula2>
    </dataValidation>
    <dataValidation type="list" sqref="E34:I34" xr:uid="{00000000-0002-0000-0400-000009000000}">
      <formula1>"0%,30%"</formula1>
      <formula2>0</formula2>
    </dataValidation>
    <dataValidation type="list" sqref="E37:I37" xr:uid="{00000000-0002-0000-0400-00000A000000}">
      <formula1>"Salário Base,Salário Mínimo,Não incide"</formula1>
      <formula2>0</formula2>
    </dataValidation>
    <dataValidation type="list" allowBlank="1" sqref="E38:I38" xr:uid="{00000000-0002-0000-0400-00000B000000}">
      <formula1>"0%,10%,20%,40%"</formula1>
      <formula2>0</formula2>
    </dataValidation>
    <dataValidation type="list" allowBlank="1" sqref="E51:H51" xr:uid="{00000000-0002-0000-0400-00000C000000}">
      <formula1>"0%,50%,100%"</formula1>
      <formula2>0</formula2>
    </dataValidation>
    <dataValidation type="list" showInputMessage="1" sqref="E141:H141" xr:uid="{00000000-0002-0000-0400-00000D000000}">
      <formula1>"Indenização,Rendição"</formula1>
      <formula2>0</formula2>
    </dataValidation>
  </dataValidations>
  <hyperlinks>
    <hyperlink ref="C148" location="'Mat Individual e Uniformes func'!A1" display="Material Individual e Uniformes" xr:uid="{00000000-0004-0000-0400-000000000000}"/>
    <hyperlink ref="C149" location="'Mat Coletivo e Equipamentos'!A1" display="Material Coletivo e Equipamentos" xr:uid="{00000000-0004-0000-04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E000000}">
          <x14:formula1>
            <xm:f>'Apoio - Posto'!#REF!</xm:f>
          </x14:formula1>
          <x14:formula2>
            <xm:f>0</xm:f>
          </x14:formula2>
          <xm:sqref>G10:G11</xm:sqref>
        </x14:dataValidation>
        <x14:dataValidation type="list" allowBlank="1" showInputMessage="1" showErrorMessage="1" xr:uid="{00000000-0002-0000-0400-00000F000000}">
          <x14:formula1>
            <xm:f>'Apoio - Notas Explicativas'!$H$15:$K$15</xm:f>
          </x14:formula1>
          <x14:formula2>
            <xm:f>0</xm:f>
          </x14:formula2>
          <xm:sqref>D13</xm:sqref>
        </x14:dataValidation>
        <x14:dataValidation type="list" allowBlank="1" xr:uid="{00000000-0002-0000-0400-000010000000}">
          <x14:formula1>
            <xm:f>'Apoio - Dados'!$A:$A</xm:f>
          </x14:formula1>
          <x14:formula2>
            <xm:f>0</xm:f>
          </x14:formula2>
          <xm:sqref>D5:E5</xm:sqref>
        </x14:dataValidation>
        <x14:dataValidation type="list" xr:uid="{00000000-0002-0000-0400-000011000000}">
          <x14:formula1>
            <xm:f>'Apoio - Posto'!$C:$C</xm:f>
          </x14:formula1>
          <x14:formula2>
            <xm:f>0</xm:f>
          </x14:formula2>
          <xm:sqref>E23:I23</xm:sqref>
        </x14:dataValidation>
        <x14:dataValidation type="list" allowBlank="1" xr:uid="{00000000-0002-0000-0400-000012000000}">
          <x14:formula1>
            <xm:f>'Apoio - Posto'!$A:$A</xm:f>
          </x14:formula1>
          <x14:formula2>
            <xm:f>0</xm:f>
          </x14:formula2>
          <xm:sqref>E18:I18</xm:sqref>
        </x14:dataValidation>
        <x14:dataValidation type="list" allowBlank="1" xr:uid="{00000000-0002-0000-0400-000013000000}">
          <x14:formula1>
            <xm:f>'Apoio - Posto'!$B:$B</xm:f>
          </x14:formula1>
          <x14:formula2>
            <xm:f>0</xm:f>
          </x14:formula2>
          <xm:sqref>E20:I20</xm:sqref>
        </x14:dataValidation>
        <x14:dataValidation type="list" allowBlank="1" showInputMessage="1" showErrorMessage="1" xr:uid="{00000000-0002-0000-0400-000014000000}">
          <x14:formula1>
            <xm:f>'Apoio - Regime de Trabalho'!$A:$A</xm:f>
          </x14:formula1>
          <x14:formula2>
            <xm:f>0</xm:f>
          </x14:formula2>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K71"/>
  <sheetViews>
    <sheetView showGridLines="0" topLeftCell="A33" zoomScale="90" zoomScaleNormal="90" workbookViewId="0">
      <selection activeCell="M67" sqref="M67"/>
    </sheetView>
  </sheetViews>
  <sheetFormatPr defaultRowHeight="14.4"/>
  <cols>
    <col min="1" max="1" width="1.5546875" style="10" customWidth="1"/>
    <col min="2" max="2" width="26.109375" customWidth="1"/>
    <col min="3" max="3" width="12" customWidth="1"/>
    <col min="4" max="6" width="14.109375" customWidth="1"/>
    <col min="7" max="7" width="16.109375" customWidth="1"/>
    <col min="8" max="9" width="14.6640625" customWidth="1"/>
    <col min="10" max="10" width="17.88671875" customWidth="1"/>
    <col min="11" max="11" width="19" customWidth="1"/>
    <col min="12" max="12" width="17.109375" style="10" customWidth="1"/>
    <col min="13" max="13" width="14.88671875" style="10" customWidth="1"/>
    <col min="14" max="14" width="15.5546875" style="10" customWidth="1"/>
    <col min="15" max="15" width="14.21875" style="10" customWidth="1"/>
    <col min="16" max="16" width="11" style="10" customWidth="1"/>
    <col min="17" max="1025" width="9.109375" style="10" customWidth="1"/>
  </cols>
  <sheetData>
    <row r="1" spans="2:12" ht="6.75" customHeight="1"/>
    <row r="2" spans="2:12" ht="25.8">
      <c r="B2" s="710" t="s">
        <v>327</v>
      </c>
      <c r="C2" s="710"/>
      <c r="D2" s="710"/>
      <c r="E2" s="710"/>
      <c r="F2" s="710"/>
      <c r="G2" s="710"/>
      <c r="H2" s="710"/>
      <c r="I2" s="710"/>
      <c r="J2" s="710"/>
      <c r="K2" s="710"/>
    </row>
    <row r="3" spans="2:12" ht="21">
      <c r="B3" s="711" t="str">
        <f>IF(IFERROR(SUM(Produtividade!L193:L218)&gt;0,FALSE()),Produtividade!D5, IF(IFERROR(Veículos!$E$3&lt;&gt;"",FALSE()),'Mão de Obra'!D5,'Mão de Obra'!D5))</f>
        <v>SECRETARIA MUNICIPAL DE EDUCAÇÃO (SMED)</v>
      </c>
      <c r="C3" s="711"/>
      <c r="D3" s="711"/>
      <c r="E3" s="711"/>
      <c r="F3" s="711"/>
      <c r="G3" s="711"/>
      <c r="H3" s="711"/>
      <c r="I3" s="711"/>
      <c r="J3" s="711"/>
      <c r="K3" s="711"/>
    </row>
    <row r="4" spans="2:12" ht="21">
      <c r="B4" s="712" t="s">
        <v>328</v>
      </c>
      <c r="C4" s="712"/>
      <c r="D4" s="712"/>
      <c r="E4" s="712"/>
      <c r="F4" s="712"/>
      <c r="G4" s="712"/>
      <c r="H4" s="712"/>
      <c r="I4" s="712"/>
      <c r="J4" s="712"/>
      <c r="K4" s="712"/>
    </row>
    <row r="5" spans="2:12" ht="6.75" customHeight="1">
      <c r="B5" s="387"/>
      <c r="C5" s="387"/>
      <c r="D5" s="387"/>
      <c r="E5" s="387"/>
      <c r="F5" s="387"/>
      <c r="G5" s="387"/>
      <c r="H5" s="387"/>
      <c r="I5" s="387"/>
      <c r="J5" s="387"/>
      <c r="K5" s="387"/>
      <c r="L5" s="388"/>
    </row>
    <row r="6" spans="2:12" ht="15" customHeight="1">
      <c r="B6" s="389" t="s">
        <v>329</v>
      </c>
      <c r="C6" s="713">
        <f>IF(IFERROR(SUM(Produtividade!L193:L218)&gt;0,FALSE()),Produtividade!D6, IF(IFERROR(Veículos!$E$3&lt;&gt;"",FALSE()),'Mão de Obra'!D6, 'Mão de Obra'!D6))</f>
        <v>0</v>
      </c>
      <c r="D6" s="713"/>
      <c r="E6" s="713"/>
      <c r="F6" s="713"/>
      <c r="G6" s="714" t="s">
        <v>330</v>
      </c>
      <c r="H6" s="714"/>
      <c r="I6" s="714"/>
      <c r="J6" s="715">
        <f>IF(IFERROR(SUM(Produtividade!L193:L218)&gt;0,FALSE()),Produtividade!D12, IF(IFERROR(Veículos!$E$3&lt;&gt;"",FALSE()),'Mão de Obra'!D12, 'Mão de Obra'!D12))</f>
        <v>60</v>
      </c>
      <c r="K6" s="715"/>
    </row>
    <row r="7" spans="2:12" ht="15" customHeight="1">
      <c r="B7" s="390" t="s">
        <v>331</v>
      </c>
      <c r="C7" s="706" t="str">
        <f>IF(IFERROR(SUM(Produtividade!L193:L218)&gt;0,FALSE()),Produtividade!D7, IF(IFERROR(Veículos!$E$3&lt;&gt;"",FALSE()),'Mão de Obra'!D7, 'Mão de Obra'!D7))</f>
        <v>25.0.000013034-9</v>
      </c>
      <c r="D7" s="706"/>
      <c r="E7" s="706"/>
      <c r="F7" s="706"/>
      <c r="G7" s="707" t="s">
        <v>332</v>
      </c>
      <c r="H7" s="707"/>
      <c r="I7" s="707"/>
      <c r="J7" s="708" t="str">
        <f>IF(IFERROR(SUM(Produtividade!L193:L218)&gt;0,FALSE()),Produtividade!D11, IF(IFERROR(Veículos!$E$3&lt;&gt;"",FALSE()),'Mão de Obra'!D11, 'Mão de Obra'!D11))</f>
        <v>Mês</v>
      </c>
      <c r="K7" s="708"/>
    </row>
    <row r="8" spans="2:12" ht="32.25" customHeight="1">
      <c r="B8" s="709" t="str">
        <f>CONCATENATE("OBJETO: ", IF(IFERROR(SUM(Produtividade!L193:L218)&gt;0,FALSE()),Produtividade!D8, IF(IFERROR(Veículos!$E$3&lt;&gt;"",FALSE()),'Mão de Obra'!D8, 'Mão de Obra'!D8)))</f>
        <v>OBJETO: Locação de veículo com motorista</v>
      </c>
      <c r="C8" s="709"/>
      <c r="D8" s="709"/>
      <c r="E8" s="709"/>
      <c r="F8" s="709"/>
      <c r="G8" s="709"/>
      <c r="H8" s="709"/>
      <c r="I8" s="709"/>
      <c r="J8" s="709"/>
      <c r="K8" s="709"/>
    </row>
    <row r="9" spans="2:12" ht="15" customHeight="1">
      <c r="B9" s="390" t="s">
        <v>333</v>
      </c>
      <c r="C9" s="704"/>
      <c r="D9" s="704"/>
      <c r="E9" s="704"/>
      <c r="F9" s="704"/>
      <c r="G9" s="707" t="s">
        <v>334</v>
      </c>
      <c r="H9" s="707"/>
      <c r="I9" s="391"/>
      <c r="J9" s="708" t="str">
        <f>IF(IFERROR(SUM(Produtividade!L193:L218)&gt;0,FALSE()),Produtividade!D13, IF(IFERROR(Veículos!$E$3&lt;&gt;"",FALSE()),'Mão de Obra'!D13, 'Mão de Obra'!D13))</f>
        <v>Lucro Presumido</v>
      </c>
      <c r="K9" s="708"/>
    </row>
    <row r="10" spans="2:12">
      <c r="B10" s="392" t="s">
        <v>335</v>
      </c>
      <c r="C10" s="702"/>
      <c r="D10" s="702"/>
      <c r="E10" s="702"/>
      <c r="F10" s="702"/>
      <c r="G10" s="697" t="s">
        <v>336</v>
      </c>
      <c r="H10" s="697"/>
      <c r="I10" s="393"/>
      <c r="J10" s="703">
        <f>IF(IFERROR(SUM(Produtividade!L193:L218)&gt;0,FALSE()),Produtividade!D14, IF(IFERROR(Veículos!$E$3&lt;&gt;"",FALSE()),'Mão de Obra'!D14, 'Mão de Obra'!D14))</f>
        <v>0</v>
      </c>
      <c r="K10" s="703"/>
    </row>
    <row r="11" spans="2:12" ht="15" customHeight="1">
      <c r="B11" s="392" t="s">
        <v>337</v>
      </c>
      <c r="C11" s="704"/>
      <c r="D11" s="704"/>
      <c r="E11" s="704"/>
      <c r="F11" s="704"/>
      <c r="G11" s="697" t="s">
        <v>338</v>
      </c>
      <c r="H11" s="697"/>
      <c r="I11" s="705" t="s">
        <v>339</v>
      </c>
      <c r="J11" s="705"/>
      <c r="K11" s="705"/>
    </row>
    <row r="12" spans="2:12">
      <c r="B12" s="394" t="s">
        <v>340</v>
      </c>
      <c r="C12" s="696"/>
      <c r="D12" s="696"/>
      <c r="E12" s="696"/>
      <c r="F12" s="696"/>
      <c r="G12" s="697" t="s">
        <v>341</v>
      </c>
      <c r="H12" s="697"/>
      <c r="I12" s="698"/>
      <c r="J12" s="698"/>
      <c r="K12" s="698"/>
    </row>
    <row r="13" spans="2:12">
      <c r="B13" s="395" t="s">
        <v>342</v>
      </c>
      <c r="C13" s="699"/>
      <c r="D13" s="699"/>
      <c r="E13" s="699"/>
      <c r="F13" s="699"/>
      <c r="G13" s="700" t="s">
        <v>343</v>
      </c>
      <c r="H13" s="700"/>
      <c r="I13" s="701"/>
      <c r="J13" s="701"/>
      <c r="K13" s="701"/>
    </row>
    <row r="14" spans="2:12" ht="6.75" customHeight="1">
      <c r="B14" s="396"/>
      <c r="C14" s="396"/>
      <c r="D14" s="396"/>
      <c r="E14" s="396"/>
      <c r="F14" s="396"/>
      <c r="G14" s="396"/>
      <c r="H14" s="396"/>
      <c r="I14" s="396"/>
      <c r="J14" s="396"/>
    </row>
    <row r="15" spans="2:12">
      <c r="B15" s="397" t="s">
        <v>344</v>
      </c>
      <c r="C15" s="398"/>
      <c r="D15" s="398"/>
      <c r="E15" s="398"/>
      <c r="F15" s="398"/>
      <c r="G15" s="398"/>
      <c r="H15" s="398"/>
      <c r="I15" s="398"/>
      <c r="J15" s="398"/>
      <c r="K15" s="399"/>
    </row>
    <row r="16" spans="2:12" ht="28.8">
      <c r="B16" s="400" t="s">
        <v>345</v>
      </c>
      <c r="C16" s="401" t="s">
        <v>346</v>
      </c>
      <c r="D16" s="401" t="s">
        <v>347</v>
      </c>
      <c r="E16" s="401" t="s">
        <v>348</v>
      </c>
      <c r="F16" s="402" t="s">
        <v>349</v>
      </c>
      <c r="G16" s="402" t="s">
        <v>350</v>
      </c>
      <c r="H16" s="402" t="s">
        <v>351</v>
      </c>
      <c r="I16" s="402" t="s">
        <v>352</v>
      </c>
      <c r="J16" s="402" t="s">
        <v>353</v>
      </c>
      <c r="K16" s="403" t="s">
        <v>286</v>
      </c>
    </row>
    <row r="17" spans="2:14" ht="19.5" customHeight="1">
      <c r="B17" s="404" t="str">
        <f>IF( INDEX('Mão de Obra'!$E$18:$X$18,1,ROW()-ROW($B$16))&lt;&gt;0, INDEX('Mão de Obra'!$E$18:$X$18,1,ROW()-ROW($B$16)), "OCULTAR ESTA LINHA" )</f>
        <v>Motorista Van</v>
      </c>
      <c r="C17" s="405" t="str">
        <f>INDEX('Mão de Obra'!$E$17:$X$17,1,ROW()-ROW($C$16))</f>
        <v>Posto A</v>
      </c>
      <c r="D17" s="406" t="str">
        <f>INDEX('Mão de Obra'!$E$26:$X$26,1,ROW()-ROW($D$16))</f>
        <v>44h (5 dia/sem)</v>
      </c>
      <c r="E17" s="407">
        <f>INDEX('Mão de Obra'!$E$27:$X$27,1,ROW()-ROW($E$16))</f>
        <v>1</v>
      </c>
      <c r="F17" s="407">
        <f>INDEX('Mão de Obra'!$E$29:$X$29,1,ROW()-ROW($F$16))</f>
        <v>1</v>
      </c>
      <c r="G17" s="408">
        <f>INDEX('Mão de Obra'!$E$173:$X$173,1,ROW()-ROW($G$16))</f>
        <v>28.92</v>
      </c>
      <c r="H17" s="408">
        <f>INDEX('Mão de Obra'!$E$174:$X$174,1,ROW()-ROW($I$16))</f>
        <v>262.89999999999998</v>
      </c>
      <c r="I17" s="408">
        <f>INDEX('Mão de Obra'!$E$176:$X$176,1,ROW()-ROW($I$16))</f>
        <v>5783.9</v>
      </c>
      <c r="J17" s="408">
        <f>INDEX('Mão de Obra'!$E$182:$X$182,1,ROW()-ROW($I$16))</f>
        <v>5783.9</v>
      </c>
      <c r="K17" s="409">
        <f>INDEX('Mão de Obra'!$E$188:$X$188,1,ROW()-ROW($I$16))</f>
        <v>347034</v>
      </c>
      <c r="M17" s="410"/>
    </row>
    <row r="18" spans="2:14" hidden="1">
      <c r="B18" s="404" t="str">
        <f>IF( INDEX('Mão de Obra'!$E$18:$X$18,1,ROW()-ROW($B$16))&lt;&gt;0, INDEX('Mão de Obra'!$E$18:$X$18,1,ROW()-ROW($B$16)), "OCULTAR ESTA LINHA" )</f>
        <v>OCULTAR ESTA LINHA</v>
      </c>
      <c r="C18" s="405" t="str">
        <f>INDEX('Mão de Obra'!$E$17:$X$17,1,ROW()-ROW($C$16))</f>
        <v>Posto B</v>
      </c>
      <c r="D18" s="406">
        <f>INDEX('Mão de Obra'!$E$26:$X$26,1,ROW()-ROW($D$16))</f>
        <v>0</v>
      </c>
      <c r="E18" s="407">
        <f>INDEX('Mão de Obra'!$E$27:$X$27,1,ROW()-ROW($E$16))</f>
        <v>0</v>
      </c>
      <c r="F18" s="407" t="str">
        <f>INDEX('Mão de Obra'!$E$29:$X$29,1,ROW()-ROW($F$16))</f>
        <v/>
      </c>
      <c r="G18" s="408" t="str">
        <f>INDEX('Mão de Obra'!$E$173:$X$173,1,ROW()-ROW($G$16))</f>
        <v/>
      </c>
      <c r="H18" s="408" t="str">
        <f>INDEX('Mão de Obra'!$E$174:$X$174,1,ROW()-ROW($I$16))</f>
        <v/>
      </c>
      <c r="I18" s="408" t="str">
        <f>INDEX('Mão de Obra'!$E$176:$X$176,1,ROW()-ROW($I$16))</f>
        <v/>
      </c>
      <c r="J18" s="408" t="str">
        <f>INDEX('Mão de Obra'!$E$182:$X$182,1,ROW()-ROW($I$16))</f>
        <v/>
      </c>
      <c r="K18" s="409" t="str">
        <f>INDEX('Mão de Obra'!$E$188:$X$188,1,ROW()-ROW($I$16))</f>
        <v/>
      </c>
      <c r="N18" s="411"/>
    </row>
    <row r="19" spans="2:14" hidden="1">
      <c r="B19" s="404" t="str">
        <f>IF( INDEX('Mão de Obra'!$E$18:$X$18,1,ROW()-ROW($B$16))&lt;&gt;0, INDEX('Mão de Obra'!$E$18:$X$18,1,ROW()-ROW($B$16)), "OCULTAR ESTA LINHA" )</f>
        <v>OCULTAR ESTA LINHA</v>
      </c>
      <c r="C19" s="405" t="str">
        <f>INDEX('Mão de Obra'!$E$17:$X$17,1,ROW()-ROW($C$16))</f>
        <v>Posto C</v>
      </c>
      <c r="D19" s="406">
        <f>INDEX('Mão de Obra'!$E$26:$X$26,1,ROW()-ROW($D$16))</f>
        <v>0</v>
      </c>
      <c r="E19" s="407">
        <f>INDEX('Mão de Obra'!$E$27:$X$27,1,ROW()-ROW($E$16))</f>
        <v>0</v>
      </c>
      <c r="F19" s="407" t="str">
        <f>INDEX('Mão de Obra'!$E$29:$X$29,1,ROW()-ROW($F$16))</f>
        <v/>
      </c>
      <c r="G19" s="408" t="str">
        <f>INDEX('Mão de Obra'!$E$173:$X$173,1,ROW()-ROW($G$16))</f>
        <v/>
      </c>
      <c r="H19" s="408" t="str">
        <f>INDEX('Mão de Obra'!$E$174:$X$174,1,ROW()-ROW($I$16))</f>
        <v/>
      </c>
      <c r="I19" s="408" t="str">
        <f>INDEX('Mão de Obra'!$E$176:$X$176,1,ROW()-ROW($I$16))</f>
        <v/>
      </c>
      <c r="J19" s="408" t="str">
        <f>INDEX('Mão de Obra'!$E$182:$X$182,1,ROW()-ROW($I$16))</f>
        <v/>
      </c>
      <c r="K19" s="409" t="str">
        <f>INDEX('Mão de Obra'!$E$188:$X$188,1,ROW()-ROW($I$16))</f>
        <v/>
      </c>
      <c r="M19" s="410"/>
    </row>
    <row r="20" spans="2:14" hidden="1">
      <c r="B20" s="404" t="str">
        <f>IF( INDEX('Mão de Obra'!$E$18:$X$18,1,ROW()-ROW($B$16))&lt;&gt;0, INDEX('Mão de Obra'!$E$18:$X$18,1,ROW()-ROW($B$16)), "OCULTAR ESTA LINHA" )</f>
        <v>OCULTAR ESTA LINHA</v>
      </c>
      <c r="C20" s="405" t="str">
        <f>INDEX('Mão de Obra'!$E$17:$X$17,1,ROW()-ROW($C$16))</f>
        <v>Posto D</v>
      </c>
      <c r="D20" s="406">
        <f>INDEX('Mão de Obra'!$E$26:$X$26,1,ROW()-ROW($D$16))</f>
        <v>0</v>
      </c>
      <c r="E20" s="407">
        <f>INDEX('Mão de Obra'!$E$27:$X$27,1,ROW()-ROW($E$16))</f>
        <v>0</v>
      </c>
      <c r="F20" s="407" t="str">
        <f>INDEX('Mão de Obra'!$E$29:$X$29,1,ROW()-ROW($F$16))</f>
        <v/>
      </c>
      <c r="G20" s="408" t="str">
        <f>INDEX('Mão de Obra'!$E$173:$X$173,1,ROW()-ROW($G$16))</f>
        <v/>
      </c>
      <c r="H20" s="408" t="str">
        <f>INDEX('Mão de Obra'!$E$174:$X$174,1,ROW()-ROW($I$16))</f>
        <v/>
      </c>
      <c r="I20" s="408" t="str">
        <f>INDEX('Mão de Obra'!$E$176:$X$176,1,ROW()-ROW($I$16))</f>
        <v/>
      </c>
      <c r="J20" s="408" t="str">
        <f>INDEX('Mão de Obra'!$E$182:$X$182,1,ROW()-ROW($I$16))</f>
        <v/>
      </c>
      <c r="K20" s="409" t="str">
        <f>INDEX('Mão de Obra'!$E$188:$X$188,1,ROW()-ROW($I$16))</f>
        <v/>
      </c>
      <c r="M20" s="412"/>
    </row>
    <row r="21" spans="2:14" hidden="1">
      <c r="B21" s="404" t="str">
        <f>IF( INDEX('Mão de Obra'!$E$18:$X$18,1,ROW()-ROW($B$16))&lt;&gt;0, INDEX('Mão de Obra'!$E$18:$X$18,1,ROW()-ROW($B$16)), "OCULTAR ESTA LINHA" )</f>
        <v>OCULTAR ESTA LINHA</v>
      </c>
      <c r="C21" s="405" t="str">
        <f>INDEX('Mão de Obra'!$E$17:$X$17,1,ROW()-ROW($C$16))</f>
        <v>Posto E</v>
      </c>
      <c r="D21" s="406">
        <f>INDEX('Mão de Obra'!$E$26:$X$26,1,ROW()-ROW($D$16))</f>
        <v>0</v>
      </c>
      <c r="E21" s="407">
        <f>INDEX('Mão de Obra'!$E$27:$X$27,1,ROW()-ROW($E$16))</f>
        <v>0</v>
      </c>
      <c r="F21" s="407" t="str">
        <f>INDEX('Mão de Obra'!$E$29:$X$29,1,ROW()-ROW($F$16))</f>
        <v/>
      </c>
      <c r="G21" s="408" t="str">
        <f>INDEX('Mão de Obra'!$E$173:$X$173,1,ROW()-ROW($G$16))</f>
        <v/>
      </c>
      <c r="H21" s="408" t="str">
        <f>INDEX('Mão de Obra'!$E$174:$X$174,1,ROW()-ROW($I$16))</f>
        <v/>
      </c>
      <c r="I21" s="408" t="str">
        <f>INDEX('Mão de Obra'!$E$176:$X$176,1,ROW()-ROW($I$16))</f>
        <v/>
      </c>
      <c r="J21" s="408" t="str">
        <f>INDEX('Mão de Obra'!$E$182:$X$182,1,ROW()-ROW($I$16))</f>
        <v/>
      </c>
      <c r="K21" s="409" t="str">
        <f>INDEX('Mão de Obra'!$E$188:$X$188,1,ROW()-ROW($I$16))</f>
        <v/>
      </c>
    </row>
    <row r="22" spans="2:14" hidden="1">
      <c r="B22" s="404" t="str">
        <f>IF( INDEX('Mão de Obra'!$E$18:$X$18,1,ROW()-ROW($B$16))&lt;&gt;0, INDEX('Mão de Obra'!$E$18:$X$18,1,ROW()-ROW($B$16)), "OCULTAR ESTA LINHA" )</f>
        <v>OCULTAR ESTA LINHA</v>
      </c>
      <c r="C22" s="405" t="str">
        <f>INDEX('Mão de Obra'!$E$17:$X$17,1,ROW()-ROW($C$16))</f>
        <v>Posto F</v>
      </c>
      <c r="D22" s="406">
        <f>INDEX('Mão de Obra'!$E$26:$X$26,1,ROW()-ROW($D$16))</f>
        <v>0</v>
      </c>
      <c r="E22" s="407">
        <f>INDEX('Mão de Obra'!$E$27:$X$27,1,ROW()-ROW($E$16))</f>
        <v>0</v>
      </c>
      <c r="F22" s="407" t="str">
        <f>INDEX('Mão de Obra'!$E$29:$X$29,1,ROW()-ROW($F$16))</f>
        <v/>
      </c>
      <c r="G22" s="408" t="str">
        <f>INDEX('Mão de Obra'!$E$173:$X$173,1,ROW()-ROW($G$16))</f>
        <v/>
      </c>
      <c r="H22" s="408" t="str">
        <f>INDEX('Mão de Obra'!$E$174:$X$174,1,ROW()-ROW($I$16))</f>
        <v/>
      </c>
      <c r="I22" s="408" t="str">
        <f>INDEX('Mão de Obra'!$E$176:$X$176,1,ROW()-ROW($I$16))</f>
        <v/>
      </c>
      <c r="J22" s="408" t="str">
        <f>INDEX('Mão de Obra'!$E$182:$X$182,1,ROW()-ROW($I$16))</f>
        <v/>
      </c>
      <c r="K22" s="409" t="str">
        <f>INDEX('Mão de Obra'!$E$188:$X$188,1,ROW()-ROW($I$16))</f>
        <v/>
      </c>
    </row>
    <row r="23" spans="2:14" hidden="1">
      <c r="B23" s="404" t="str">
        <f>IF( INDEX('Mão de Obra'!$E$18:$X$18,1,ROW()-ROW($B$16))&lt;&gt;0, INDEX('Mão de Obra'!$E$18:$X$18,1,ROW()-ROW($B$16)), "OCULTAR ESTA LINHA" )</f>
        <v>OCULTAR ESTA LINHA</v>
      </c>
      <c r="C23" s="405" t="str">
        <f>INDEX('Mão de Obra'!$E$17:$X$17,1,ROW()-ROW($C$16))</f>
        <v>Posto G</v>
      </c>
      <c r="D23" s="406">
        <f>INDEX('Mão de Obra'!$E$26:$X$26,1,ROW()-ROW($D$16))</f>
        <v>0</v>
      </c>
      <c r="E23" s="407">
        <f>INDEX('Mão de Obra'!$E$27:$X$27,1,ROW()-ROW($E$16))</f>
        <v>0</v>
      </c>
      <c r="F23" s="407" t="str">
        <f>INDEX('Mão de Obra'!$E$29:$X$29,1,ROW()-ROW($F$16))</f>
        <v/>
      </c>
      <c r="G23" s="408" t="str">
        <f>INDEX('Mão de Obra'!$E$173:$X$173,1,ROW()-ROW($G$16))</f>
        <v/>
      </c>
      <c r="H23" s="408" t="str">
        <f>INDEX('Mão de Obra'!$E$174:$X$174,1,ROW()-ROW($I$16))</f>
        <v/>
      </c>
      <c r="I23" s="408" t="str">
        <f>INDEX('Mão de Obra'!$E$176:$X$176,1,ROW()-ROW($I$16))</f>
        <v/>
      </c>
      <c r="J23" s="408" t="str">
        <f>INDEX('Mão de Obra'!$E$182:$X$182,1,ROW()-ROW($I$16))</f>
        <v/>
      </c>
      <c r="K23" s="409" t="str">
        <f>INDEX('Mão de Obra'!$E$188:$X$188,1,ROW()-ROW($I$16))</f>
        <v/>
      </c>
    </row>
    <row r="24" spans="2:14" hidden="1">
      <c r="B24" s="404" t="str">
        <f>IF( INDEX('Mão de Obra'!$E$18:$X$18,1,ROW()-ROW($B$16))&lt;&gt;0, INDEX('Mão de Obra'!$E$18:$X$18,1,ROW()-ROW($B$16)), "OCULTAR ESTA LINHA" )</f>
        <v>OCULTAR ESTA LINHA</v>
      </c>
      <c r="C24" s="405" t="str">
        <f>INDEX('Mão de Obra'!$E$17:$X$17,1,ROW()-ROW($C$16))</f>
        <v>Posto H</v>
      </c>
      <c r="D24" s="406">
        <f>INDEX('Mão de Obra'!$E$26:$X$26,1,ROW()-ROW($D$16))</f>
        <v>0</v>
      </c>
      <c r="E24" s="407">
        <f>INDEX('Mão de Obra'!$E$27:$X$27,1,ROW()-ROW($E$16))</f>
        <v>0</v>
      </c>
      <c r="F24" s="407" t="str">
        <f>INDEX('Mão de Obra'!$E$29:$X$29,1,ROW()-ROW($F$16))</f>
        <v/>
      </c>
      <c r="G24" s="408" t="str">
        <f>INDEX('Mão de Obra'!$E$173:$X$173,1,ROW()-ROW($G$16))</f>
        <v/>
      </c>
      <c r="H24" s="408" t="str">
        <f>INDEX('Mão de Obra'!$E$174:$X$174,1,ROW()-ROW($I$16))</f>
        <v/>
      </c>
      <c r="I24" s="408" t="str">
        <f>INDEX('Mão de Obra'!$E$176:$X$176,1,ROW()-ROW($I$16))</f>
        <v/>
      </c>
      <c r="J24" s="408" t="str">
        <f>INDEX('Mão de Obra'!$E$182:$X$182,1,ROW()-ROW($I$16))</f>
        <v/>
      </c>
      <c r="K24" s="409" t="str">
        <f>INDEX('Mão de Obra'!$E$188:$X$188,1,ROW()-ROW($I$16))</f>
        <v/>
      </c>
    </row>
    <row r="25" spans="2:14" hidden="1">
      <c r="B25" s="404" t="str">
        <f>IF( INDEX('Mão de Obra'!$E$18:$X$18,1,ROW()-ROW($B$16))&lt;&gt;0, INDEX('Mão de Obra'!$E$18:$X$18,1,ROW()-ROW($B$16)), "OCULTAR ESTA LINHA" )</f>
        <v>OCULTAR ESTA LINHA</v>
      </c>
      <c r="C25" s="405" t="str">
        <f>INDEX('Mão de Obra'!$E$17:$X$17,1,ROW()-ROW($C$16))</f>
        <v>Posto I</v>
      </c>
      <c r="D25" s="406">
        <f>INDEX('Mão de Obra'!$E$26:$X$26,1,ROW()-ROW($D$16))</f>
        <v>0</v>
      </c>
      <c r="E25" s="407">
        <f>INDEX('Mão de Obra'!$E$27:$X$27,1,ROW()-ROW($E$16))</f>
        <v>0</v>
      </c>
      <c r="F25" s="407" t="str">
        <f>INDEX('Mão de Obra'!$E$29:$X$29,1,ROW()-ROW($F$16))</f>
        <v/>
      </c>
      <c r="G25" s="408" t="str">
        <f>INDEX('Mão de Obra'!$E$173:$X$173,1,ROW()-ROW($G$16))</f>
        <v/>
      </c>
      <c r="H25" s="408" t="str">
        <f>INDEX('Mão de Obra'!$E$174:$X$174,1,ROW()-ROW($I$16))</f>
        <v/>
      </c>
      <c r="I25" s="408" t="str">
        <f>INDEX('Mão de Obra'!$E$176:$X$176,1,ROW()-ROW($I$16))</f>
        <v/>
      </c>
      <c r="J25" s="408" t="str">
        <f>INDEX('Mão de Obra'!$E$182:$X$182,1,ROW()-ROW($I$16))</f>
        <v/>
      </c>
      <c r="K25" s="409" t="str">
        <f>INDEX('Mão de Obra'!$E$188:$X$188,1,ROW()-ROW($I$16))</f>
        <v/>
      </c>
    </row>
    <row r="26" spans="2:14" hidden="1">
      <c r="B26" s="404" t="str">
        <f>IF( INDEX('Mão de Obra'!$E$18:$X$18,1,ROW()-ROW($B$16))&lt;&gt;0, INDEX('Mão de Obra'!$E$18:$X$18,1,ROW()-ROW($B$16)), "OCULTAR ESTA LINHA" )</f>
        <v>OCULTAR ESTA LINHA</v>
      </c>
      <c r="C26" s="405" t="str">
        <f>INDEX('Mão de Obra'!$E$17:$X$17,1,ROW()-ROW($C$16))</f>
        <v>Posto J</v>
      </c>
      <c r="D26" s="406">
        <f>INDEX('Mão de Obra'!$E$26:$X$26,1,ROW()-ROW($D$16))</f>
        <v>0</v>
      </c>
      <c r="E26" s="407">
        <f>INDEX('Mão de Obra'!$E$27:$X$27,1,ROW()-ROW($E$16))</f>
        <v>0</v>
      </c>
      <c r="F26" s="407" t="str">
        <f>INDEX('Mão de Obra'!$E$29:$X$29,1,ROW()-ROW($F$16))</f>
        <v/>
      </c>
      <c r="G26" s="408" t="str">
        <f>INDEX('Mão de Obra'!$E$173:$X$173,1,ROW()-ROW($G$16))</f>
        <v/>
      </c>
      <c r="H26" s="408" t="str">
        <f>INDEX('Mão de Obra'!$E$174:$X$174,1,ROW()-ROW($I$16))</f>
        <v/>
      </c>
      <c r="I26" s="408" t="str">
        <f>INDEX('Mão de Obra'!$E$176:$X$176,1,ROW()-ROW($I$16))</f>
        <v/>
      </c>
      <c r="J26" s="408" t="str">
        <f>INDEX('Mão de Obra'!$E$182:$X$182,1,ROW()-ROW($I$16))</f>
        <v/>
      </c>
      <c r="K26" s="409" t="str">
        <f>INDEX('Mão de Obra'!$E$188:$X$188,1,ROW()-ROW($I$16))</f>
        <v/>
      </c>
    </row>
    <row r="27" spans="2:14">
      <c r="B27" s="397"/>
      <c r="C27" s="398"/>
      <c r="D27" s="398"/>
      <c r="E27" s="413">
        <f>SUM(E17:E26)</f>
        <v>1</v>
      </c>
      <c r="F27" s="413">
        <f>SUM(F17:F26)</f>
        <v>1</v>
      </c>
      <c r="G27" s="414"/>
      <c r="H27" s="414"/>
      <c r="I27" s="414"/>
      <c r="J27" s="414">
        <f>SUM(J17:J26)</f>
        <v>5783.9</v>
      </c>
      <c r="K27" s="415">
        <f>SUM(K17:K26)</f>
        <v>347034</v>
      </c>
      <c r="M27" s="416"/>
    </row>
    <row r="28" spans="2:14" ht="6.75" customHeight="1">
      <c r="B28" s="269"/>
      <c r="C28" s="269"/>
      <c r="D28" s="269"/>
      <c r="E28" s="417"/>
      <c r="F28" s="417"/>
      <c r="G28" s="418"/>
      <c r="H28" s="418"/>
      <c r="I28" s="418"/>
      <c r="J28" s="418"/>
      <c r="K28" s="418"/>
    </row>
    <row r="29" spans="2:14">
      <c r="B29" s="397" t="s">
        <v>354</v>
      </c>
      <c r="C29" s="398"/>
      <c r="D29" s="398"/>
      <c r="E29" s="398"/>
      <c r="F29" s="398"/>
      <c r="G29" s="398"/>
      <c r="H29" s="398"/>
      <c r="I29" s="398"/>
      <c r="J29" s="398"/>
      <c r="K29" s="399"/>
    </row>
    <row r="30" spans="2:14">
      <c r="B30" s="400" t="s">
        <v>355</v>
      </c>
      <c r="C30" s="401"/>
      <c r="D30" s="401"/>
      <c r="E30" s="401"/>
      <c r="F30" s="401"/>
      <c r="G30" s="402"/>
      <c r="H30" s="402"/>
      <c r="I30" s="402"/>
      <c r="J30" s="402" t="s">
        <v>353</v>
      </c>
      <c r="K30" s="403" t="s">
        <v>286</v>
      </c>
    </row>
    <row r="31" spans="2:14">
      <c r="B31" s="419" t="s">
        <v>355</v>
      </c>
      <c r="C31" s="405"/>
      <c r="D31" s="407"/>
      <c r="E31" s="420"/>
      <c r="F31" s="421"/>
      <c r="G31" s="408"/>
      <c r="H31" s="408"/>
      <c r="I31" s="408"/>
      <c r="J31" s="422">
        <f>IFERROR( 'Mat Coletivo e Equipamentos'!I4 * (1+J67/J62),0)</f>
        <v>80.59023026454939</v>
      </c>
      <c r="K31" s="423">
        <f>IFERROR( 'Mat Coletivo e Equipamentos'!J4 * (1+J67/J62),0)</f>
        <v>4835.4138158729629</v>
      </c>
      <c r="M31" s="416"/>
    </row>
    <row r="32" spans="2:14">
      <c r="B32" s="397"/>
      <c r="C32" s="398"/>
      <c r="D32" s="398"/>
      <c r="E32" s="398"/>
      <c r="F32" s="413"/>
      <c r="G32" s="424"/>
      <c r="H32" s="424"/>
      <c r="I32" s="424"/>
      <c r="J32" s="425">
        <f>SUM(J31)</f>
        <v>80.59023026454939</v>
      </c>
      <c r="K32" s="426">
        <f>SUM(K31)</f>
        <v>4835.4138158729629</v>
      </c>
    </row>
    <row r="33" spans="2:14" ht="6.75" customHeight="1">
      <c r="B33" s="269"/>
      <c r="C33" s="269"/>
      <c r="D33" s="269"/>
      <c r="E33" s="269"/>
      <c r="F33" s="417"/>
      <c r="G33" s="427"/>
      <c r="H33" s="427"/>
      <c r="I33" s="427"/>
      <c r="J33" s="427"/>
      <c r="K33" s="427"/>
    </row>
    <row r="34" spans="2:14">
      <c r="B34" s="397" t="s">
        <v>356</v>
      </c>
      <c r="C34" s="398"/>
      <c r="D34" s="398"/>
      <c r="E34" s="398"/>
      <c r="F34" s="398"/>
      <c r="G34" s="398"/>
      <c r="H34" s="398"/>
      <c r="I34" s="398"/>
      <c r="J34" s="398"/>
      <c r="K34" s="399"/>
    </row>
    <row r="35" spans="2:14" ht="15" customHeight="1">
      <c r="B35" s="400" t="s">
        <v>357</v>
      </c>
      <c r="C35" s="401"/>
      <c r="D35" s="401" t="s">
        <v>358</v>
      </c>
      <c r="E35" s="401" t="s">
        <v>359</v>
      </c>
      <c r="F35" s="401" t="s">
        <v>360</v>
      </c>
      <c r="G35" s="402" t="s">
        <v>350</v>
      </c>
      <c r="H35" s="402" t="s">
        <v>361</v>
      </c>
      <c r="I35" s="402" t="s">
        <v>352</v>
      </c>
      <c r="J35" s="402" t="s">
        <v>353</v>
      </c>
      <c r="K35" s="403" t="s">
        <v>286</v>
      </c>
    </row>
    <row r="36" spans="2:14">
      <c r="B36" s="404" t="str">
        <f>IF( INDEX(Veículos!$E$3:$AR$3,1,ROW()-ROW(B$35))&lt;&gt;"", INDEX(Veículos!$E$3:$AR$3,1,ROW()-ROW(B$35)), "OCULTAR ESTA LINHA")</f>
        <v>Van mín. 14 passageiros</v>
      </c>
      <c r="C36" s="405"/>
      <c r="D36" s="407">
        <f>INDEX(Veículos!$E$4:$CS$4,1,ROW()-ROW(D$35))</f>
        <v>1</v>
      </c>
      <c r="E36" s="420">
        <f>INDEX(Veículos!$E$84:$CS$84,1,ROW()-ROW(E$35))</f>
        <v>200</v>
      </c>
      <c r="F36" s="421">
        <f>INDEX(Veículos!$E$5:$AR$5,1,ROW()-ROW(F$35))</f>
        <v>2600</v>
      </c>
      <c r="G36" s="408">
        <f>INDEX(Veículos!$E$85:$CS$85,1,ROW()-ROW(G$35))</f>
        <v>19.852</v>
      </c>
      <c r="H36" s="408">
        <f>INDEX(Veículos!$E$82:$CS$82,1,ROW()-ROW(H$35))</f>
        <v>1.3508961538461539</v>
      </c>
      <c r="I36" s="408">
        <f>INDEX(Veículos!$E$90:$CS$90,1,ROW()-ROW(I$35))</f>
        <v>7482.73</v>
      </c>
      <c r="J36" s="428">
        <f>INDEX(Veículos!$E$95:$CS$95,1,ROW()-ROW(J$35))</f>
        <v>7482.73</v>
      </c>
      <c r="K36" s="409">
        <f>INDEX(Veículos!$E$96:$CS$96,1,ROW()-ROW(K$35))</f>
        <v>448963.8</v>
      </c>
    </row>
    <row r="37" spans="2:14" hidden="1">
      <c r="B37" s="404" t="str">
        <f>IF( INDEX(Veículos!$E$3:$AR$3,1,ROW()-ROW(B$35))&lt;&gt;"", INDEX(Veículos!$E$3:$AR$3,1,ROW()-ROW(B$35)), "OCULTAR ESTA LINHA")</f>
        <v>OCULTAR ESTA LINHA</v>
      </c>
      <c r="C37" s="405"/>
      <c r="D37" s="407">
        <f>INDEX(Veículos!$E$4:$CS$4,1,ROW()-ROW(D$35))</f>
        <v>0</v>
      </c>
      <c r="E37" s="420" t="str">
        <f>INDEX(Veículos!$E$84:$CS$84,1,ROW()-ROW(E$35))</f>
        <v/>
      </c>
      <c r="F37" s="421">
        <f>INDEX(Veículos!$E$5:$AR$5,1,ROW()-ROW(F$35))</f>
        <v>0</v>
      </c>
      <c r="G37" s="408" t="str">
        <f>INDEX(Veículos!$E$85:$CS$85,1,ROW()-ROW(G$35))</f>
        <v/>
      </c>
      <c r="H37" s="408" t="str">
        <f>INDEX(Veículos!$E$82:$CS$82,1,ROW()-ROW(H$35))</f>
        <v/>
      </c>
      <c r="I37" s="408" t="str">
        <f>INDEX(Veículos!$E$90:$CS$90,1,ROW()-ROW(I$35))</f>
        <v/>
      </c>
      <c r="J37" s="428" t="str">
        <f>INDEX(Veículos!$E$95:$CS$95,1,ROW()-ROW(J$35))</f>
        <v/>
      </c>
      <c r="K37" s="409" t="str">
        <f>INDEX(Veículos!$E$96:$CS$96,1,ROW()-ROW(K$35))</f>
        <v/>
      </c>
    </row>
    <row r="38" spans="2:14" hidden="1">
      <c r="B38" s="404" t="str">
        <f>IF( INDEX(Veículos!$E$3:$AR$3,1,ROW()-ROW(B$35))&lt;&gt;"", INDEX(Veículos!$E$3:$AR$3,1,ROW()-ROW(B$35)), "OCULTAR ESTA LINHA")</f>
        <v>OCULTAR ESTA LINHA</v>
      </c>
      <c r="C38" s="405"/>
      <c r="D38" s="407">
        <f>INDEX(Veículos!$E$4:$CS$4,1,ROW()-ROW(D$35))</f>
        <v>0</v>
      </c>
      <c r="E38" s="420" t="str">
        <f>INDEX(Veículos!$E$84:$CS$84,1,ROW()-ROW(E$35))</f>
        <v/>
      </c>
      <c r="F38" s="421">
        <f>INDEX(Veículos!$E$5:$AR$5,1,ROW()-ROW(F$35))</f>
        <v>0</v>
      </c>
      <c r="G38" s="408" t="str">
        <f>INDEX(Veículos!$E$85:$CS$85,1,ROW()-ROW(G$35))</f>
        <v/>
      </c>
      <c r="H38" s="408" t="str">
        <f>INDEX(Veículos!$E$82:$CS$82,1,ROW()-ROW(H$35))</f>
        <v/>
      </c>
      <c r="I38" s="408" t="str">
        <f>INDEX(Veículos!$E$90:$CS$90,1,ROW()-ROW(I$35))</f>
        <v/>
      </c>
      <c r="J38" s="428" t="str">
        <f>INDEX(Veículos!$E$95:$CS$95,1,ROW()-ROW(J$35))</f>
        <v/>
      </c>
      <c r="K38" s="409" t="str">
        <f>INDEX(Veículos!$E$96:$CS$96,1,ROW()-ROW(K$35))</f>
        <v/>
      </c>
    </row>
    <row r="39" spans="2:14" hidden="1">
      <c r="B39" s="404" t="str">
        <f>IF( INDEX(Veículos!$E$3:$AR$3,1,ROW()-ROW(B$35))&lt;&gt;"", INDEX(Veículos!$E$3:$AR$3,1,ROW()-ROW(B$35)), "OCULTAR ESTA LINHA")</f>
        <v>OCULTAR ESTA LINHA</v>
      </c>
      <c r="C39" s="405"/>
      <c r="D39" s="407">
        <f>INDEX(Veículos!$E$4:$CS$4,1,ROW()-ROW(D$35))</f>
        <v>0</v>
      </c>
      <c r="E39" s="420" t="str">
        <f>INDEX(Veículos!$E$84:$CS$84,1,ROW()-ROW(E$35))</f>
        <v/>
      </c>
      <c r="F39" s="421">
        <f>INDEX(Veículos!$E$5:$AR$5,1,ROW()-ROW(F$35))</f>
        <v>0</v>
      </c>
      <c r="G39" s="408" t="str">
        <f>INDEX(Veículos!$E$85:$CS$85,1,ROW()-ROW(G$35))</f>
        <v/>
      </c>
      <c r="H39" s="408" t="str">
        <f>INDEX(Veículos!$E$82:$CS$82,1,ROW()-ROW(H$35))</f>
        <v/>
      </c>
      <c r="I39" s="408" t="str">
        <f>INDEX(Veículos!$E$90:$CS$90,1,ROW()-ROW(I$35))</f>
        <v/>
      </c>
      <c r="J39" s="428" t="str">
        <f>INDEX(Veículos!$E$95:$CS$95,1,ROW()-ROW(J$35))</f>
        <v/>
      </c>
      <c r="K39" s="409" t="str">
        <f>INDEX(Veículos!$E$96:$CS$96,1,ROW()-ROW(K$35))</f>
        <v/>
      </c>
    </row>
    <row r="40" spans="2:14" hidden="1">
      <c r="B40" s="404" t="str">
        <f>IF( INDEX(Veículos!$E$3:$AR$3,1,ROW()-ROW(B$35))&lt;&gt;"", INDEX(Veículos!$E$3:$AR$3,1,ROW()-ROW(B$35)), "OCULTAR ESTA LINHA")</f>
        <v>OCULTAR ESTA LINHA</v>
      </c>
      <c r="C40" s="405"/>
      <c r="D40" s="407">
        <f>INDEX(Veículos!$E$4:$CS$4,1,ROW()-ROW(D$35))</f>
        <v>0</v>
      </c>
      <c r="E40" s="420" t="str">
        <f>INDEX(Veículos!$E$84:$CS$84,1,ROW()-ROW(E$35))</f>
        <v/>
      </c>
      <c r="F40" s="421">
        <f>INDEX(Veículos!$E$5:$AR$5,1,ROW()-ROW(F$35))</f>
        <v>0</v>
      </c>
      <c r="G40" s="408" t="str">
        <f>INDEX(Veículos!$E$85:$CS$85,1,ROW()-ROW(G$35))</f>
        <v/>
      </c>
      <c r="H40" s="408" t="str">
        <f>INDEX(Veículos!$E$82:$CS$82,1,ROW()-ROW(H$35))</f>
        <v/>
      </c>
      <c r="I40" s="408" t="str">
        <f>INDEX(Veículos!$E$90:$CS$90,1,ROW()-ROW(I$35))</f>
        <v/>
      </c>
      <c r="J40" s="428" t="str">
        <f>INDEX(Veículos!$E$95:$CS$95,1,ROW()-ROW(J$35))</f>
        <v/>
      </c>
      <c r="K40" s="409" t="str">
        <f>INDEX(Veículos!$E$96:$CS$96,1,ROW()-ROW(K$35))</f>
        <v/>
      </c>
    </row>
    <row r="41" spans="2:14">
      <c r="B41" s="397"/>
      <c r="C41" s="398"/>
      <c r="D41" s="398"/>
      <c r="E41" s="398"/>
      <c r="F41" s="413"/>
      <c r="G41" s="424"/>
      <c r="H41" s="424"/>
      <c r="I41" s="424"/>
      <c r="J41" s="424">
        <f>SUM(J36:J40)</f>
        <v>7482.73</v>
      </c>
      <c r="K41" s="429">
        <f>SUM(K36:K40)</f>
        <v>448963.8</v>
      </c>
    </row>
    <row r="42" spans="2:14" ht="6.75" customHeight="1">
      <c r="B42" s="269"/>
      <c r="C42" s="269"/>
      <c r="D42" s="269"/>
      <c r="E42" s="269"/>
      <c r="F42" s="417"/>
      <c r="G42" s="417"/>
      <c r="H42" s="427"/>
      <c r="I42" s="427"/>
      <c r="J42" s="427"/>
      <c r="K42" s="427"/>
    </row>
    <row r="43" spans="2:14">
      <c r="B43" s="397" t="s">
        <v>362</v>
      </c>
      <c r="C43" s="398"/>
      <c r="D43" s="398"/>
      <c r="E43" s="398"/>
      <c r="F43" s="398"/>
      <c r="G43" s="398"/>
      <c r="H43" s="398"/>
      <c r="I43" s="398"/>
      <c r="J43" s="398"/>
      <c r="K43" s="399"/>
    </row>
    <row r="44" spans="2:14">
      <c r="B44" s="400" t="s">
        <v>363</v>
      </c>
      <c r="C44" s="401"/>
      <c r="D44" s="401"/>
      <c r="E44" s="401"/>
      <c r="F44" s="402" t="s">
        <v>186</v>
      </c>
      <c r="G44" s="402" t="s">
        <v>364</v>
      </c>
      <c r="H44" s="402" t="s">
        <v>365</v>
      </c>
      <c r="I44" s="402" t="s">
        <v>366</v>
      </c>
      <c r="J44" s="402" t="s">
        <v>285</v>
      </c>
      <c r="K44" s="403" t="s">
        <v>367</v>
      </c>
    </row>
    <row r="45" spans="2:14" hidden="1">
      <c r="B45" s="404" t="str">
        <f>IF( 'Apoio - Dados'!J2&lt;&gt;"", 'Apoio - Dados'!J2, "OCULTAR ESTA LINHA")</f>
        <v>OCULTAR ESTA LINHA</v>
      </c>
      <c r="C45" s="405"/>
      <c r="D45" s="406"/>
      <c r="E45" s="406"/>
      <c r="F45" s="407" t="str">
        <f>IFERROR(INDEX(Produtividade!B:B,MATCH($B45,Produtividade!C:C,0)),"")</f>
        <v/>
      </c>
      <c r="G45" s="408" t="str">
        <f>IFERROR(INDEX('Apoio - Dados'!F:F,MATCH($B45,'Apoio - Dados'!E:E,0)),"")</f>
        <v/>
      </c>
      <c r="H45" s="430" t="str">
        <f>IFERROR(INDEX(Produtividade!L:L,MATCH($B45,Produtividade!C:C,0)),"")</f>
        <v/>
      </c>
      <c r="I45" s="408" t="str">
        <f>IFERROR(INDEX(Produtividade!M:M,MATCH($B45,Produtividade!C:C,0)),"")</f>
        <v/>
      </c>
      <c r="J45" s="428" t="str">
        <f>IFERROR(INDEX(Produtividade!N:N,MATCH($B45,Produtividade!C:C,0)),"")</f>
        <v/>
      </c>
      <c r="K45" s="409" t="str">
        <f>IFERROR(INDEX(Produtividade!O:O,MATCH($B45,Produtividade!C:C,0)),"")</f>
        <v/>
      </c>
      <c r="N45" s="346"/>
    </row>
    <row r="46" spans="2:14" hidden="1">
      <c r="B46" s="404" t="str">
        <f>IF( 'Apoio - Dados'!J3&lt;&gt;"", 'Apoio - Dados'!J3, "OCULTAR ESTA LINHA")</f>
        <v>OCULTAR ESTA LINHA</v>
      </c>
      <c r="C46" s="405"/>
      <c r="D46" s="406"/>
      <c r="E46" s="406"/>
      <c r="F46" s="407" t="str">
        <f>IFERROR(INDEX(Produtividade!B:B,MATCH($B46,Produtividade!C:C,0)),"")</f>
        <v/>
      </c>
      <c r="G46" s="408" t="str">
        <f>IFERROR(INDEX('Apoio - Dados'!F:F,MATCH($B46,'Apoio - Dados'!E:E,0)),"")</f>
        <v/>
      </c>
      <c r="H46" s="430" t="str">
        <f>IFERROR(INDEX(Produtividade!L:L,MATCH($B46,Produtividade!C:C,0)),"")</f>
        <v/>
      </c>
      <c r="I46" s="408" t="str">
        <f>IFERROR(INDEX(Produtividade!M:M,MATCH($B46,Produtividade!C:C,0)),"")</f>
        <v/>
      </c>
      <c r="J46" s="428" t="str">
        <f>IFERROR(INDEX(Produtividade!N:N,MATCH($B46,Produtividade!C:C,0)),"")</f>
        <v/>
      </c>
      <c r="K46" s="409" t="str">
        <f>IFERROR(INDEX(Produtividade!O:O,MATCH($B46,Produtividade!C:C,0)),"")</f>
        <v/>
      </c>
      <c r="N46" s="346"/>
    </row>
    <row r="47" spans="2:14" hidden="1">
      <c r="B47" s="404" t="str">
        <f>IF( 'Apoio - Dados'!J4&lt;&gt;"", 'Apoio - Dados'!J4, "OCULTAR ESTA LINHA")</f>
        <v>OCULTAR ESTA LINHA</v>
      </c>
      <c r="C47" s="405"/>
      <c r="D47" s="406"/>
      <c r="E47" s="406"/>
      <c r="F47" s="407" t="str">
        <f>IFERROR(INDEX(Produtividade!B:B,MATCH($B47,Produtividade!C:C,0)),"")</f>
        <v/>
      </c>
      <c r="G47" s="408" t="str">
        <f>IFERROR(INDEX('Apoio - Dados'!F:F,MATCH($B47,'Apoio - Dados'!E:E,0)),"")</f>
        <v/>
      </c>
      <c r="H47" s="430" t="str">
        <f>IFERROR(INDEX(Produtividade!L:L,MATCH($B47,Produtividade!C:C,0)),"")</f>
        <v/>
      </c>
      <c r="I47" s="408" t="str">
        <f>IFERROR(INDEX(Produtividade!M:M,MATCH($B47,Produtividade!C:C,0)),"")</f>
        <v/>
      </c>
      <c r="J47" s="428" t="str">
        <f>IFERROR(INDEX(Produtividade!N:N,MATCH($B47,Produtividade!C:C,0)),"")</f>
        <v/>
      </c>
      <c r="K47" s="409" t="str">
        <f>IFERROR(INDEX(Produtividade!O:O,MATCH($B47,Produtividade!C:C,0)),"")</f>
        <v/>
      </c>
      <c r="N47" s="346"/>
    </row>
    <row r="48" spans="2:14" hidden="1">
      <c r="B48" s="404" t="str">
        <f>IF( 'Apoio - Dados'!J5&lt;&gt;"", 'Apoio - Dados'!J5, "OCULTAR ESTA LINHA")</f>
        <v>OCULTAR ESTA LINHA</v>
      </c>
      <c r="C48" s="405"/>
      <c r="D48" s="406"/>
      <c r="E48" s="406"/>
      <c r="F48" s="407" t="str">
        <f>IFERROR(INDEX(Produtividade!B:B,MATCH($B48,Produtividade!C:C,0)),"")</f>
        <v/>
      </c>
      <c r="G48" s="408" t="str">
        <f>IFERROR(INDEX('Apoio - Dados'!F:F,MATCH($B48,'Apoio - Dados'!E:E,0)),"")</f>
        <v/>
      </c>
      <c r="H48" s="430" t="str">
        <f>IFERROR(INDEX(Produtividade!L:L,MATCH($B48,Produtividade!C:C,0)),"")</f>
        <v/>
      </c>
      <c r="I48" s="408" t="str">
        <f>IFERROR(INDEX(Produtividade!M:M,MATCH($B48,Produtividade!C:C,0)),"")</f>
        <v/>
      </c>
      <c r="J48" s="428" t="str">
        <f>IFERROR(INDEX(Produtividade!N:N,MATCH($B48,Produtividade!C:C,0)),"")</f>
        <v/>
      </c>
      <c r="K48" s="409" t="str">
        <f>IFERROR(INDEX(Produtividade!O:O,MATCH($B48,Produtividade!C:C,0)),"")</f>
        <v/>
      </c>
      <c r="N48" s="346"/>
    </row>
    <row r="49" spans="2:16" hidden="1">
      <c r="B49" s="404" t="str">
        <f>IF( 'Apoio - Dados'!J6&lt;&gt;"", 'Apoio - Dados'!J6, "OCULTAR ESTA LINHA")</f>
        <v>OCULTAR ESTA LINHA</v>
      </c>
      <c r="C49" s="405"/>
      <c r="D49" s="406"/>
      <c r="E49" s="406"/>
      <c r="F49" s="407" t="str">
        <f>IFERROR(INDEX(Produtividade!B:B,MATCH($B49,Produtividade!C:C,0)),"")</f>
        <v/>
      </c>
      <c r="G49" s="408" t="str">
        <f>IFERROR(INDEX('Apoio - Dados'!F:F,MATCH($B49,'Apoio - Dados'!E:E,0)),"")</f>
        <v/>
      </c>
      <c r="H49" s="430" t="str">
        <f>IFERROR(INDEX(Produtividade!L:L,MATCH($B49,Produtividade!C:C,0)),"")</f>
        <v/>
      </c>
      <c r="I49" s="408" t="str">
        <f>IFERROR(INDEX(Produtividade!M:M,MATCH($B49,Produtividade!C:C,0)),"")</f>
        <v/>
      </c>
      <c r="J49" s="428" t="str">
        <f>IFERROR(INDEX(Produtividade!N:N,MATCH($B49,Produtividade!C:C,0)),"")</f>
        <v/>
      </c>
      <c r="K49" s="409" t="str">
        <f>IFERROR(INDEX(Produtividade!O:O,MATCH($B49,Produtividade!C:C,0)),"")</f>
        <v/>
      </c>
      <c r="N49" s="346"/>
    </row>
    <row r="50" spans="2:16" hidden="1">
      <c r="B50" s="404" t="str">
        <f>IF( 'Apoio - Dados'!J7&lt;&gt;"", 'Apoio - Dados'!J7, "OCULTAR ESTA LINHA")</f>
        <v>OCULTAR ESTA LINHA</v>
      </c>
      <c r="C50" s="405"/>
      <c r="D50" s="406"/>
      <c r="E50" s="406"/>
      <c r="F50" s="407" t="str">
        <f>IFERROR(INDEX(Produtividade!B:B,MATCH($B50,Produtividade!C:C,0)),"")</f>
        <v/>
      </c>
      <c r="G50" s="408" t="str">
        <f>IFERROR(INDEX('Apoio - Dados'!F:F,MATCH($B50,'Apoio - Dados'!E:E,0)),"")</f>
        <v/>
      </c>
      <c r="H50" s="430" t="str">
        <f>IFERROR(INDEX(Produtividade!L:L,MATCH($B50,Produtividade!C:C,0)),"")</f>
        <v/>
      </c>
      <c r="I50" s="408" t="str">
        <f>IFERROR(INDEX(Produtividade!M:M,MATCH($B50,Produtividade!C:C,0)),"")</f>
        <v/>
      </c>
      <c r="J50" s="428" t="str">
        <f>IFERROR(INDEX(Produtividade!N:N,MATCH($B50,Produtividade!C:C,0)),"")</f>
        <v/>
      </c>
      <c r="K50" s="409" t="str">
        <f>IFERROR(INDEX(Produtividade!O:O,MATCH($B50,Produtividade!C:C,0)),"")</f>
        <v/>
      </c>
      <c r="N50" s="346"/>
    </row>
    <row r="51" spans="2:16" hidden="1">
      <c r="B51" s="404" t="str">
        <f>IF( 'Apoio - Dados'!J8&lt;&gt;"", 'Apoio - Dados'!J8, "OCULTAR ESTA LINHA")</f>
        <v>OCULTAR ESTA LINHA</v>
      </c>
      <c r="C51" s="405"/>
      <c r="D51" s="406"/>
      <c r="E51" s="406"/>
      <c r="F51" s="407" t="str">
        <f>IFERROR(INDEX(Produtividade!B:B,MATCH($B51,Produtividade!C:C,0)),"")</f>
        <v/>
      </c>
      <c r="G51" s="408" t="str">
        <f>IFERROR(INDEX('Apoio - Dados'!F:F,MATCH($B51,'Apoio - Dados'!E:E,0)),"")</f>
        <v/>
      </c>
      <c r="H51" s="430" t="str">
        <f>IFERROR(INDEX(Produtividade!L:L,MATCH($B51,Produtividade!C:C,0)),"")</f>
        <v/>
      </c>
      <c r="I51" s="408" t="str">
        <f>IFERROR(INDEX(Produtividade!M:M,MATCH($B51,Produtividade!C:C,0)),"")</f>
        <v/>
      </c>
      <c r="J51" s="428" t="str">
        <f>IFERROR(INDEX(Produtividade!N:N,MATCH($B51,Produtividade!C:C,0)),"")</f>
        <v/>
      </c>
      <c r="K51" s="409" t="str">
        <f>IFERROR(INDEX(Produtividade!O:O,MATCH($B51,Produtividade!C:C,0)),"")</f>
        <v/>
      </c>
      <c r="N51" s="346"/>
    </row>
    <row r="52" spans="2:16" hidden="1">
      <c r="B52" s="404" t="str">
        <f>IF( 'Apoio - Dados'!J9&lt;&gt;"", 'Apoio - Dados'!J9, "OCULTAR ESTA LINHA")</f>
        <v>OCULTAR ESTA LINHA</v>
      </c>
      <c r="C52" s="405"/>
      <c r="D52" s="406"/>
      <c r="E52" s="406"/>
      <c r="F52" s="407" t="str">
        <f>IFERROR(INDEX(Produtividade!B:B,MATCH($B52,Produtividade!C:C,0)),"")</f>
        <v/>
      </c>
      <c r="G52" s="408" t="str">
        <f>IFERROR(INDEX('Apoio - Dados'!F:F,MATCH($B52,'Apoio - Dados'!E:E,0)),"")</f>
        <v/>
      </c>
      <c r="H52" s="430" t="str">
        <f>IFERROR(INDEX(Produtividade!L:L,MATCH($B52,Produtividade!C:C,0)),"")</f>
        <v/>
      </c>
      <c r="I52" s="408" t="str">
        <f>IFERROR(INDEX(Produtividade!M:M,MATCH($B52,Produtividade!C:C,0)),"")</f>
        <v/>
      </c>
      <c r="J52" s="428" t="str">
        <f>IFERROR(INDEX(Produtividade!N:N,MATCH($B52,Produtividade!C:C,0)),"")</f>
        <v/>
      </c>
      <c r="K52" s="409" t="str">
        <f>IFERROR(INDEX(Produtividade!O:O,MATCH($B52,Produtividade!C:C,0)),"")</f>
        <v/>
      </c>
      <c r="N52" s="346"/>
    </row>
    <row r="53" spans="2:16" hidden="1">
      <c r="B53" s="404" t="str">
        <f>IF( 'Apoio - Dados'!J10&lt;&gt;"", 'Apoio - Dados'!J10, "OCULTAR ESTA LINHA")</f>
        <v>OCULTAR ESTA LINHA</v>
      </c>
      <c r="C53" s="405"/>
      <c r="D53" s="406"/>
      <c r="E53" s="406"/>
      <c r="F53" s="407" t="str">
        <f>IFERROR(INDEX(Produtividade!B:B,MATCH($B53,Produtividade!C:C,0)),"")</f>
        <v/>
      </c>
      <c r="G53" s="408" t="str">
        <f>IFERROR(INDEX('Apoio - Dados'!F:F,MATCH($B53,'Apoio - Dados'!E:E,0)),"")</f>
        <v/>
      </c>
      <c r="H53" s="430" t="str">
        <f>IFERROR(INDEX(Produtividade!L:L,MATCH($B53,Produtividade!C:C,0)),"")</f>
        <v/>
      </c>
      <c r="I53" s="408" t="str">
        <f>IFERROR(INDEX(Produtividade!M:M,MATCH($B53,Produtividade!C:C,0)),"")</f>
        <v/>
      </c>
      <c r="J53" s="428" t="str">
        <f>IFERROR(INDEX(Produtividade!N:N,MATCH($B53,Produtividade!C:C,0)),"")</f>
        <v/>
      </c>
      <c r="K53" s="409" t="str">
        <f>IFERROR(INDEX(Produtividade!O:O,MATCH($B53,Produtividade!C:C,0)),"")</f>
        <v/>
      </c>
      <c r="N53" s="346"/>
    </row>
    <row r="54" spans="2:16">
      <c r="B54" s="397"/>
      <c r="C54" s="398"/>
      <c r="D54" s="398"/>
      <c r="E54" s="398"/>
      <c r="F54" s="413"/>
      <c r="G54" s="424"/>
      <c r="H54" s="431">
        <f>SUM(H45:H53)</f>
        <v>0</v>
      </c>
      <c r="I54" s="424"/>
      <c r="J54" s="424">
        <f>SUM(J45:J53)</f>
        <v>0</v>
      </c>
      <c r="K54" s="429">
        <f>SUM(K45:K53)</f>
        <v>0</v>
      </c>
      <c r="N54" s="346"/>
    </row>
    <row r="55" spans="2:16" s="10" customFormat="1" ht="6.75" customHeight="1"/>
    <row r="56" spans="2:16">
      <c r="B56" s="432" t="s">
        <v>368</v>
      </c>
      <c r="C56" s="433"/>
      <c r="D56" s="433"/>
      <c r="E56" s="433"/>
      <c r="F56" s="433"/>
      <c r="G56" s="433"/>
      <c r="H56" s="433"/>
      <c r="I56" s="434"/>
      <c r="J56" s="434"/>
      <c r="K56" s="435"/>
    </row>
    <row r="57" spans="2:16">
      <c r="B57" s="436" t="s">
        <v>369</v>
      </c>
      <c r="C57" s="437"/>
      <c r="D57" s="437"/>
      <c r="E57" s="437"/>
      <c r="F57" s="437"/>
      <c r="G57" s="437"/>
      <c r="H57" s="437"/>
      <c r="I57" s="437"/>
      <c r="J57" s="438" t="s">
        <v>285</v>
      </c>
      <c r="K57" s="439" t="s">
        <v>367</v>
      </c>
    </row>
    <row r="58" spans="2:16">
      <c r="B58" s="440" t="s">
        <v>370</v>
      </c>
      <c r="C58" s="233"/>
      <c r="D58" s="233"/>
      <c r="E58" s="233"/>
      <c r="F58" s="233"/>
      <c r="G58" s="233"/>
      <c r="H58" s="233"/>
      <c r="I58" s="441"/>
      <c r="J58" s="442">
        <f>SUM( IFERROR(SUM(Produtividade!$E179:$II179),0), IFERROR(SUM('Mão de Obra'!$E$179:$II$179),0) )</f>
        <v>4674.76</v>
      </c>
      <c r="K58" s="443">
        <f>J58*$J$6</f>
        <v>280485.60000000003</v>
      </c>
      <c r="L58" s="346"/>
      <c r="M58" s="416"/>
    </row>
    <row r="59" spans="2:16">
      <c r="B59" s="440" t="s">
        <v>371</v>
      </c>
      <c r="I59" s="444"/>
      <c r="J59" s="251">
        <f>SUM( IFERROR(SUMPRODUCT(Produtividade!E148:II148,Produtividade!$E$29:$II$29),0), IFERROR(SUMPRODUCT('Mão de Obra'!E148:II148,'Mão de Obra'!$E$29:$II$29),0) )</f>
        <v>24.96</v>
      </c>
      <c r="K59" s="443">
        <f>J59*$J$6</f>
        <v>1497.6000000000001</v>
      </c>
      <c r="L59" s="346"/>
      <c r="M59" s="416"/>
    </row>
    <row r="60" spans="2:16">
      <c r="B60" s="440" t="s">
        <v>372</v>
      </c>
      <c r="I60" s="444"/>
      <c r="J60" s="251">
        <f>'Mat Coletivo e Equipamentos'!I4 + SUM( IFERROR(SUMPRODUCT('Mão de Obra'!E149:II149,'Mão de Obra'!$E$29:$II$29),0), IFERROR(SUMPRODUCT(Produtividade!E149:II149,Produtividade!$E$29:$II$29),0))</f>
        <v>65.483833333333337</v>
      </c>
      <c r="K60" s="443">
        <f>J60*$J$6</f>
        <v>3929.03</v>
      </c>
      <c r="L60" s="346"/>
      <c r="M60" s="416"/>
    </row>
    <row r="61" spans="2:16">
      <c r="B61" s="440" t="s">
        <v>373</v>
      </c>
      <c r="I61" s="444"/>
      <c r="J61" s="251">
        <f>IFERROR(SUM(Veículos!E93:II93),0)</f>
        <v>6080.12</v>
      </c>
      <c r="K61" s="443">
        <f>IFERROR(J61*$J$6,0)</f>
        <v>364807.2</v>
      </c>
      <c r="L61" s="346"/>
      <c r="M61" s="416"/>
    </row>
    <row r="62" spans="2:16">
      <c r="B62" s="445" t="s">
        <v>374</v>
      </c>
      <c r="C62" s="233"/>
      <c r="D62" s="233"/>
      <c r="E62" s="233"/>
      <c r="F62" s="233"/>
      <c r="G62" s="233"/>
      <c r="H62" s="233"/>
      <c r="I62" s="446"/>
      <c r="J62" s="447">
        <f>IFERROR(SUM(J58:J61),0)</f>
        <v>10845.323833333334</v>
      </c>
      <c r="K62" s="448">
        <f>SUM(K58:K61)</f>
        <v>650719.43000000005</v>
      </c>
      <c r="L62" s="346"/>
      <c r="M62" s="416"/>
    </row>
    <row r="63" spans="2:16">
      <c r="B63" s="449" t="s">
        <v>179</v>
      </c>
      <c r="C63" s="450"/>
      <c r="D63" s="450"/>
      <c r="E63" s="450"/>
      <c r="F63" s="450"/>
      <c r="G63" s="450"/>
      <c r="H63" s="450"/>
      <c r="I63" s="451"/>
      <c r="J63" s="452"/>
      <c r="K63" s="453"/>
      <c r="L63" s="346"/>
      <c r="M63" s="416"/>
    </row>
    <row r="64" spans="2:16">
      <c r="B64" s="440" t="s">
        <v>375</v>
      </c>
      <c r="C64" s="454"/>
      <c r="F64" s="251"/>
      <c r="I64" s="455"/>
      <c r="J64" s="251">
        <f>IFERROR( SUM( IFERROR(SUMPRODUCT('Mão de Obra'!E155:II155,'Mão de Obra'!$E$29:$II$29),0), IFERROR(SUMPRODUCT(Produtividade!E155:II155,Produtividade!$E$29:$II$29),0), IFERROR(SUMPRODUCT(Veículos!E64:II64,Veículos!$E$4:$II$4),0) ) * (1+'Mat Coletivo e Equipamentos'!I4/SUM(J62,-'Mat Coletivo e Equipamentos'!I4)),0)</f>
        <v>542.27424026392487</v>
      </c>
      <c r="K64" s="443">
        <f>J64*$J$6</f>
        <v>32536.454415835491</v>
      </c>
      <c r="L64" s="346"/>
      <c r="M64" s="416"/>
      <c r="N64" s="456"/>
      <c r="P64" s="346"/>
    </row>
    <row r="65" spans="2:14">
      <c r="B65" s="440" t="s">
        <v>160</v>
      </c>
      <c r="C65" s="454"/>
      <c r="F65" s="251"/>
      <c r="H65" s="457"/>
      <c r="I65" s="455"/>
      <c r="J65" s="251">
        <f>IFERROR( SUM( IFERROR(SUMPRODUCT('Mão de Obra'!E156:II156,'Mão de Obra'!$E$29:$II$29),0), IFERROR(SUMPRODUCT(Produtividade!E156:II156,Produtividade!$E$29:$II$29),0), IFERROR(SUMPRODUCT(Veículos!E65:II65,Veículos!$E$4:$II$4),0) ) * (1+'Mat Coletivo e Equipamentos'!I4/SUM(J62,-'Mat Coletivo e Equipamentos'!I4)),0)</f>
        <v>1138.755783061097</v>
      </c>
      <c r="K65" s="443">
        <f>J65*$J$6</f>
        <v>68325.346983665819</v>
      </c>
      <c r="L65" s="346"/>
      <c r="M65" s="416"/>
    </row>
    <row r="66" spans="2:14">
      <c r="B66" s="440" t="s">
        <v>376</v>
      </c>
      <c r="C66" s="454"/>
      <c r="F66" s="251"/>
      <c r="H66" s="457"/>
      <c r="I66" s="455"/>
      <c r="J66" s="251">
        <f>IFERROR( SUM( IFERROR(SUMPRODUCT('Mão de Obra'!E166:II166,'Mão de Obra'!$E$29:$II$29),0), IFERROR(SUMPRODUCT(Produtividade!E166:II166,Produtividade!$E$29:$II$29),0), IFERROR(SUMPRODUCT(Veículos!E75:II75,Veículos!$E$4:$II$4),0) ) * (1+'Mat Coletivo e Equipamentos'!I4/SUM(J62,-'Mat Coletivo e Equipamentos'!I4)),0)</f>
        <v>820.86637360619466</v>
      </c>
      <c r="K66" s="443">
        <f>J66*$J$6</f>
        <v>49251.982416371677</v>
      </c>
      <c r="L66" s="346"/>
      <c r="M66" s="416"/>
    </row>
    <row r="67" spans="2:14">
      <c r="B67" s="458" t="s">
        <v>374</v>
      </c>
      <c r="C67" s="459"/>
      <c r="D67" s="459"/>
      <c r="E67" s="459"/>
      <c r="F67" s="460"/>
      <c r="G67" s="461"/>
      <c r="H67" s="461"/>
      <c r="I67" s="462"/>
      <c r="J67" s="461">
        <f>SUM(J64:J66)</f>
        <v>2501.8963969312163</v>
      </c>
      <c r="K67" s="463">
        <f>SUM(K64:K66)</f>
        <v>150113.78381587297</v>
      </c>
      <c r="L67" s="346"/>
      <c r="M67" s="416"/>
      <c r="N67" s="346"/>
    </row>
    <row r="68" spans="2:14">
      <c r="B68" s="464" t="s">
        <v>377</v>
      </c>
      <c r="C68" s="433"/>
      <c r="D68" s="433"/>
      <c r="E68" s="433"/>
      <c r="F68" s="434"/>
      <c r="G68" s="465"/>
      <c r="H68" s="465"/>
      <c r="I68" s="465"/>
      <c r="J68" s="465">
        <f>SUM(J62,J67)</f>
        <v>13347.220230264549</v>
      </c>
      <c r="K68" s="466">
        <f>SUM(K62,K67)</f>
        <v>800833.21381587302</v>
      </c>
      <c r="M68" s="416"/>
      <c r="N68" s="346"/>
    </row>
    <row r="69" spans="2:14">
      <c r="B69" s="467"/>
      <c r="C69" s="233"/>
      <c r="D69" s="233"/>
      <c r="E69" s="233"/>
      <c r="F69" s="258"/>
      <c r="G69" s="258"/>
      <c r="H69" s="447"/>
      <c r="I69" s="447"/>
      <c r="J69" s="447"/>
      <c r="K69" s="447"/>
      <c r="L69" s="468"/>
    </row>
    <row r="70" spans="2:14">
      <c r="B70" s="469"/>
      <c r="J70" s="470"/>
    </row>
    <row r="71" spans="2:14">
      <c r="M71" s="346"/>
      <c r="N71" s="416"/>
    </row>
  </sheetData>
  <sheetProtection sheet="1" formatCells="0" formatColumns="0" formatRows="0" insertColumns="0" insertRows="0" deleteColumns="0" deleteRows="0"/>
  <mergeCells count="25">
    <mergeCell ref="B2:K2"/>
    <mergeCell ref="B3:K3"/>
    <mergeCell ref="B4:K4"/>
    <mergeCell ref="C6:F6"/>
    <mergeCell ref="G6:I6"/>
    <mergeCell ref="J6:K6"/>
    <mergeCell ref="C7:F7"/>
    <mergeCell ref="G7:I7"/>
    <mergeCell ref="J7:K7"/>
    <mergeCell ref="B8:K8"/>
    <mergeCell ref="C9:F9"/>
    <mergeCell ref="G9:H9"/>
    <mergeCell ref="J9:K9"/>
    <mergeCell ref="C10:F10"/>
    <mergeCell ref="G10:H10"/>
    <mergeCell ref="J10:K10"/>
    <mergeCell ref="C11:F11"/>
    <mergeCell ref="G11:H11"/>
    <mergeCell ref="I11:K11"/>
    <mergeCell ref="C12:F12"/>
    <mergeCell ref="G12:H12"/>
    <mergeCell ref="I12:K12"/>
    <mergeCell ref="C13:F13"/>
    <mergeCell ref="G13:H13"/>
    <mergeCell ref="I13:K13"/>
  </mergeCells>
  <conditionalFormatting sqref="C6:C7 J6:J7 B8 C9 J9:J10 C11:C13 I11:I13">
    <cfRule type="expression" dxfId="7" priority="2">
      <formula>#REF!</formula>
    </cfRule>
  </conditionalFormatting>
  <conditionalFormatting sqref="G36:G41">
    <cfRule type="expression" dxfId="6" priority="3">
      <formula>#REF!="Área (m²)"</formula>
    </cfRule>
  </conditionalFormatting>
  <conditionalFormatting sqref="G31:H32">
    <cfRule type="expression" dxfId="5" priority="4">
      <formula>#REF!="Área (m²)"</formula>
    </cfRule>
  </conditionalFormatting>
  <conditionalFormatting sqref="H33">
    <cfRule type="expression" dxfId="4" priority="5">
      <formula>#REF!="Área (m²)"</formula>
    </cfRule>
  </conditionalFormatting>
  <conditionalFormatting sqref="H36:H42">
    <cfRule type="expression" dxfId="3" priority="6">
      <formula>#REF!="Área (m²)"</formula>
    </cfRule>
  </conditionalFormatting>
  <conditionalFormatting sqref="I31">
    <cfRule type="expression" dxfId="2" priority="7">
      <formula>#REF!="Área (m²)"</formula>
    </cfRule>
  </conditionalFormatting>
  <conditionalFormatting sqref="I36:I40">
    <cfRule type="expression" dxfId="1" priority="8">
      <formula>#REF!="Área (m²)"</formula>
    </cfRule>
  </conditionalFormatting>
  <dataValidations count="1">
    <dataValidation type="list" allowBlank="1" sqref="J7" xr:uid="{00000000-0002-0000-0500-000000000000}">
      <formula1>"Valor Global,Mês,Dia,Hora"</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14:formula2>
            <xm:f>0</xm:f>
          </x14:formula2>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6"/>
  <sheetViews>
    <sheetView showGridLines="0" zoomScale="115" zoomScaleNormal="115" workbookViewId="0">
      <selection activeCell="K8" sqref="K8"/>
    </sheetView>
  </sheetViews>
  <sheetFormatPr defaultRowHeight="14.4"/>
  <cols>
    <col min="1" max="1" width="16.5546875" customWidth="1"/>
    <col min="2" max="3" width="15.33203125" customWidth="1"/>
    <col min="4" max="4" width="15.33203125" hidden="1" customWidth="1"/>
    <col min="5" max="5" width="15.33203125" style="239" customWidth="1"/>
    <col min="6" max="6" width="13.5546875" style="471" customWidth="1"/>
    <col min="7" max="7" width="9" style="239" customWidth="1"/>
    <col min="8" max="9" width="15.33203125" style="239" customWidth="1"/>
    <col min="10" max="10" width="12.109375" customWidth="1"/>
    <col min="11" max="1025" width="8.6640625" customWidth="1"/>
  </cols>
  <sheetData>
    <row r="1" spans="1:10" s="473" customFormat="1" ht="30.75" customHeight="1">
      <c r="A1" s="472" t="s">
        <v>347</v>
      </c>
      <c r="B1" s="472" t="s">
        <v>378</v>
      </c>
      <c r="C1" s="472" t="s">
        <v>379</v>
      </c>
      <c r="D1" s="472"/>
      <c r="E1" s="472" t="s">
        <v>380</v>
      </c>
      <c r="F1" s="472" t="s">
        <v>381</v>
      </c>
      <c r="G1" s="472" t="s">
        <v>382</v>
      </c>
      <c r="H1" s="472" t="s">
        <v>383</v>
      </c>
      <c r="I1" s="472" t="s">
        <v>384</v>
      </c>
      <c r="J1" s="472" t="s">
        <v>385</v>
      </c>
    </row>
    <row r="2" spans="1:10" s="473" customFormat="1" ht="15" customHeight="1">
      <c r="A2" s="472"/>
      <c r="B2" s="472"/>
      <c r="C2" s="472"/>
      <c r="D2" s="472"/>
      <c r="E2" s="472"/>
      <c r="F2" s="472"/>
      <c r="G2" s="472"/>
      <c r="H2" s="472"/>
      <c r="I2" s="472"/>
      <c r="J2" s="472"/>
    </row>
    <row r="3" spans="1:10">
      <c r="A3" s="474" t="s">
        <v>386</v>
      </c>
      <c r="B3" s="475">
        <v>2</v>
      </c>
      <c r="C3" s="475" t="s">
        <v>387</v>
      </c>
      <c r="D3" s="475"/>
      <c r="E3" s="475" t="s">
        <v>388</v>
      </c>
      <c r="F3" s="475"/>
      <c r="G3" s="475">
        <v>15</v>
      </c>
      <c r="H3" s="475">
        <v>220</v>
      </c>
      <c r="I3" s="475">
        <f>G3*12</f>
        <v>180</v>
      </c>
      <c r="J3" s="475">
        <f t="shared" ref="J3:J16" si="0">I3/G3</f>
        <v>12</v>
      </c>
    </row>
    <row r="4" spans="1:10">
      <c r="A4" s="474" t="s">
        <v>389</v>
      </c>
      <c r="B4" s="475">
        <v>2</v>
      </c>
      <c r="C4" s="475" t="s">
        <v>387</v>
      </c>
      <c r="D4" s="475"/>
      <c r="E4" s="475" t="s">
        <v>388</v>
      </c>
      <c r="F4" s="475"/>
      <c r="G4" s="475">
        <v>15</v>
      </c>
      <c r="H4" s="475">
        <v>220</v>
      </c>
      <c r="I4" s="475">
        <f>G4*12</f>
        <v>180</v>
      </c>
      <c r="J4" s="475">
        <f t="shared" si="0"/>
        <v>12</v>
      </c>
    </row>
    <row r="5" spans="1:10">
      <c r="A5" s="474" t="s">
        <v>390</v>
      </c>
      <c r="B5" s="475">
        <v>1</v>
      </c>
      <c r="C5" s="475" t="s">
        <v>387</v>
      </c>
      <c r="D5" s="475"/>
      <c r="E5" s="475">
        <v>1</v>
      </c>
      <c r="F5" s="475">
        <v>4</v>
      </c>
      <c r="G5" s="475">
        <f>E5*4</f>
        <v>4</v>
      </c>
      <c r="H5" s="475">
        <f t="shared" ref="H5:H11" si="1">F5*30/6</f>
        <v>20</v>
      </c>
      <c r="I5" s="475">
        <f>F5*4</f>
        <v>16</v>
      </c>
      <c r="J5" s="475">
        <f t="shared" si="0"/>
        <v>4</v>
      </c>
    </row>
    <row r="6" spans="1:10">
      <c r="A6" s="474" t="s">
        <v>391</v>
      </c>
      <c r="B6" s="475">
        <v>1</v>
      </c>
      <c r="C6" s="475" t="s">
        <v>387</v>
      </c>
      <c r="D6" s="475"/>
      <c r="E6" s="475">
        <v>1</v>
      </c>
      <c r="F6" s="475">
        <v>6</v>
      </c>
      <c r="G6" s="475">
        <f>E6*4</f>
        <v>4</v>
      </c>
      <c r="H6" s="475">
        <f t="shared" si="1"/>
        <v>30</v>
      </c>
      <c r="I6" s="475">
        <f>F6*4</f>
        <v>24</v>
      </c>
      <c r="J6" s="475">
        <f t="shared" si="0"/>
        <v>6</v>
      </c>
    </row>
    <row r="7" spans="1:10">
      <c r="A7" s="474" t="s">
        <v>392</v>
      </c>
      <c r="B7" s="475">
        <v>1</v>
      </c>
      <c r="C7" s="475" t="s">
        <v>387</v>
      </c>
      <c r="D7" s="475"/>
      <c r="E7" s="475">
        <v>1</v>
      </c>
      <c r="F7" s="475">
        <v>8</v>
      </c>
      <c r="G7" s="475">
        <f>E7*4</f>
        <v>4</v>
      </c>
      <c r="H7" s="475">
        <f t="shared" si="1"/>
        <v>40</v>
      </c>
      <c r="I7" s="475">
        <f>F7*4</f>
        <v>32</v>
      </c>
      <c r="J7" s="475">
        <f t="shared" si="0"/>
        <v>8</v>
      </c>
    </row>
    <row r="8" spans="1:10">
      <c r="A8" s="474" t="s">
        <v>393</v>
      </c>
      <c r="B8" s="475">
        <v>1</v>
      </c>
      <c r="C8" s="475" t="s">
        <v>387</v>
      </c>
      <c r="D8" s="475"/>
      <c r="E8" s="475">
        <v>2</v>
      </c>
      <c r="F8" s="475">
        <v>12</v>
      </c>
      <c r="G8" s="475">
        <f>E8*4</f>
        <v>8</v>
      </c>
      <c r="H8" s="475">
        <f t="shared" si="1"/>
        <v>60</v>
      </c>
      <c r="I8" s="475">
        <f>F8*4</f>
        <v>48</v>
      </c>
      <c r="J8" s="475">
        <f t="shared" si="0"/>
        <v>6</v>
      </c>
    </row>
    <row r="9" spans="1:10">
      <c r="A9" s="474" t="s">
        <v>394</v>
      </c>
      <c r="B9" s="475">
        <v>1</v>
      </c>
      <c r="C9" s="475" t="s">
        <v>387</v>
      </c>
      <c r="D9" s="475"/>
      <c r="E9" s="475">
        <v>2</v>
      </c>
      <c r="F9" s="475">
        <v>16</v>
      </c>
      <c r="G9" s="475">
        <f>E9*4</f>
        <v>8</v>
      </c>
      <c r="H9" s="475">
        <f t="shared" si="1"/>
        <v>80</v>
      </c>
      <c r="I9" s="475">
        <f>F9*4</f>
        <v>64</v>
      </c>
      <c r="J9" s="475">
        <f t="shared" si="0"/>
        <v>8</v>
      </c>
    </row>
    <row r="10" spans="1:10">
      <c r="A10" s="474" t="s">
        <v>395</v>
      </c>
      <c r="B10" s="475">
        <v>1</v>
      </c>
      <c r="C10" s="475" t="s">
        <v>387</v>
      </c>
      <c r="D10" s="475"/>
      <c r="E10" s="475">
        <v>5</v>
      </c>
      <c r="F10" s="475">
        <v>20</v>
      </c>
      <c r="G10" s="475">
        <f t="shared" ref="G10:G16" si="2">E10*4+2</f>
        <v>22</v>
      </c>
      <c r="H10" s="475">
        <f t="shared" si="1"/>
        <v>100</v>
      </c>
      <c r="I10" s="475">
        <f>F10*4+2*4</f>
        <v>88</v>
      </c>
      <c r="J10" s="475">
        <f t="shared" si="0"/>
        <v>4</v>
      </c>
    </row>
    <row r="11" spans="1:10">
      <c r="A11" s="474" t="s">
        <v>396</v>
      </c>
      <c r="B11" s="475">
        <v>1</v>
      </c>
      <c r="C11" s="475" t="s">
        <v>387</v>
      </c>
      <c r="D11" s="475"/>
      <c r="E11" s="475">
        <v>5</v>
      </c>
      <c r="F11" s="475">
        <v>30</v>
      </c>
      <c r="G11" s="475">
        <f t="shared" si="2"/>
        <v>22</v>
      </c>
      <c r="H11" s="475">
        <f t="shared" si="1"/>
        <v>150</v>
      </c>
      <c r="I11" s="475">
        <f>F11*4+2*6</f>
        <v>132</v>
      </c>
      <c r="J11" s="475">
        <f t="shared" si="0"/>
        <v>6</v>
      </c>
    </row>
    <row r="12" spans="1:10">
      <c r="A12" s="474" t="s">
        <v>397</v>
      </c>
      <c r="B12" s="475">
        <v>1</v>
      </c>
      <c r="C12" s="475" t="s">
        <v>387</v>
      </c>
      <c r="D12" s="475"/>
      <c r="E12" s="475">
        <v>5</v>
      </c>
      <c r="F12" s="475">
        <v>35</v>
      </c>
      <c r="G12" s="475">
        <f t="shared" si="2"/>
        <v>22</v>
      </c>
      <c r="H12" s="475">
        <v>175</v>
      </c>
      <c r="I12" s="475">
        <f>F12*4+2*7</f>
        <v>154</v>
      </c>
      <c r="J12" s="475">
        <f t="shared" si="0"/>
        <v>7</v>
      </c>
    </row>
    <row r="13" spans="1:10">
      <c r="A13" s="474" t="s">
        <v>398</v>
      </c>
      <c r="B13" s="475">
        <v>1</v>
      </c>
      <c r="C13" s="475" t="s">
        <v>387</v>
      </c>
      <c r="D13" s="475"/>
      <c r="E13" s="475">
        <v>6</v>
      </c>
      <c r="F13" s="475">
        <v>36</v>
      </c>
      <c r="G13" s="475">
        <f t="shared" si="2"/>
        <v>26</v>
      </c>
      <c r="H13" s="475">
        <f>F13*30/6</f>
        <v>180</v>
      </c>
      <c r="I13" s="475">
        <f>F13*4+2*6</f>
        <v>156</v>
      </c>
      <c r="J13" s="475">
        <f t="shared" si="0"/>
        <v>6</v>
      </c>
    </row>
    <row r="14" spans="1:10">
      <c r="A14" s="474" t="s">
        <v>399</v>
      </c>
      <c r="B14" s="475">
        <v>1</v>
      </c>
      <c r="C14" s="475" t="s">
        <v>387</v>
      </c>
      <c r="D14" s="475"/>
      <c r="E14" s="475">
        <v>5</v>
      </c>
      <c r="F14" s="475">
        <v>40</v>
      </c>
      <c r="G14" s="475">
        <f t="shared" si="2"/>
        <v>22</v>
      </c>
      <c r="H14" s="475">
        <f>F14*30/6</f>
        <v>200</v>
      </c>
      <c r="I14" s="475">
        <f>F14*4+2*8</f>
        <v>176</v>
      </c>
      <c r="J14" s="475">
        <f t="shared" si="0"/>
        <v>8</v>
      </c>
    </row>
    <row r="15" spans="1:10">
      <c r="A15" s="474" t="s">
        <v>61</v>
      </c>
      <c r="B15" s="475">
        <v>1</v>
      </c>
      <c r="C15" s="475" t="s">
        <v>387</v>
      </c>
      <c r="D15" s="475"/>
      <c r="E15" s="475">
        <v>5</v>
      </c>
      <c r="F15" s="475">
        <v>44</v>
      </c>
      <c r="G15" s="475">
        <f t="shared" si="2"/>
        <v>22</v>
      </c>
      <c r="H15" s="475">
        <f>F15*30/6</f>
        <v>220</v>
      </c>
      <c r="I15" s="475">
        <f>F15*4+2*8</f>
        <v>192</v>
      </c>
      <c r="J15" s="475">
        <f t="shared" si="0"/>
        <v>8.7272727272727266</v>
      </c>
    </row>
    <row r="16" spans="1:10">
      <c r="A16" s="474" t="s">
        <v>400</v>
      </c>
      <c r="B16" s="475">
        <v>1</v>
      </c>
      <c r="C16" s="475" t="s">
        <v>387</v>
      </c>
      <c r="D16" s="475"/>
      <c r="E16" s="475">
        <v>6</v>
      </c>
      <c r="F16" s="475">
        <v>44</v>
      </c>
      <c r="G16" s="475">
        <f t="shared" si="2"/>
        <v>26</v>
      </c>
      <c r="H16" s="475">
        <f>F16*30/6</f>
        <v>220</v>
      </c>
      <c r="I16" s="475">
        <f>F16*4+2*8</f>
        <v>192</v>
      </c>
      <c r="J16" s="475">
        <f t="shared" si="0"/>
        <v>7.384615384615385</v>
      </c>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16" xr:uid="{00000000-0002-0000-0600-000000000000}">
      <formula1>"Mensal,Diária"</formula1>
      <formula2>0</formula2>
    </dataValidation>
  </dataValidation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MK179"/>
  <sheetViews>
    <sheetView showGridLines="0" zoomScale="80" zoomScaleNormal="80" workbookViewId="0">
      <selection activeCell="E31" sqref="E31"/>
    </sheetView>
  </sheetViews>
  <sheetFormatPr defaultRowHeight="14.4"/>
  <cols>
    <col min="1" max="1" width="3.44140625" style="232" customWidth="1"/>
    <col min="2" max="2" width="5" style="476" customWidth="1"/>
    <col min="3" max="3" width="45.5546875" style="383" customWidth="1"/>
    <col min="4" max="4" width="49.109375" style="476" customWidth="1"/>
    <col min="5" max="6" width="52.33203125" style="476" customWidth="1"/>
    <col min="7" max="7" width="2.44140625" customWidth="1"/>
    <col min="8" max="17" width="17.6640625" style="477" customWidth="1"/>
    <col min="18" max="18" width="24.33203125" style="232" customWidth="1"/>
    <col min="19" max="1025" width="9.109375" style="232" customWidth="1"/>
  </cols>
  <sheetData>
    <row r="2" spans="1:18" ht="15" customHeight="1">
      <c r="A2" s="478"/>
      <c r="B2" s="14"/>
      <c r="C2" s="479" t="s">
        <v>401</v>
      </c>
      <c r="D2" s="372"/>
      <c r="E2" s="480"/>
      <c r="F2" s="481"/>
    </row>
    <row r="3" spans="1:18" ht="15" customHeight="1">
      <c r="A3" s="478"/>
      <c r="B3" s="482" t="s">
        <v>1</v>
      </c>
      <c r="C3" s="483" t="s">
        <v>402</v>
      </c>
      <c r="D3" s="484">
        <v>7</v>
      </c>
      <c r="E3" s="485"/>
      <c r="F3" s="486"/>
    </row>
    <row r="4" spans="1:18" ht="15" customHeight="1">
      <c r="B4" s="482" t="s">
        <v>4</v>
      </c>
      <c r="C4" s="483" t="s">
        <v>403</v>
      </c>
      <c r="D4" s="484">
        <v>365.25</v>
      </c>
      <c r="E4" s="487"/>
      <c r="F4" s="486"/>
    </row>
    <row r="5" spans="1:18" ht="15" customHeight="1">
      <c r="B5" s="482" t="s">
        <v>6</v>
      </c>
      <c r="C5" s="483" t="s">
        <v>404</v>
      </c>
      <c r="D5" s="484">
        <v>30</v>
      </c>
      <c r="E5" s="487"/>
      <c r="F5" s="486"/>
    </row>
    <row r="6" spans="1:18" ht="15" customHeight="1">
      <c r="B6" s="482" t="s">
        <v>9</v>
      </c>
      <c r="C6" s="483" t="s">
        <v>405</v>
      </c>
      <c r="D6" s="484">
        <v>22</v>
      </c>
      <c r="E6" s="487"/>
      <c r="F6" s="486"/>
    </row>
    <row r="7" spans="1:18" ht="15" customHeight="1">
      <c r="B7" s="482" t="s">
        <v>12</v>
      </c>
      <c r="C7" s="483" t="s">
        <v>406</v>
      </c>
      <c r="D7" s="488">
        <f>D9/D10</f>
        <v>4.3482142857142856</v>
      </c>
      <c r="E7" s="489"/>
      <c r="F7" s="486" t="str">
        <f>""</f>
        <v/>
      </c>
    </row>
    <row r="8" spans="1:18" ht="15" customHeight="1">
      <c r="B8" s="482" t="s">
        <v>15</v>
      </c>
      <c r="C8" s="483" t="s">
        <v>407</v>
      </c>
      <c r="D8" s="488">
        <f>D7/2</f>
        <v>2.1741071428571428</v>
      </c>
      <c r="E8" s="489"/>
      <c r="F8" s="486"/>
    </row>
    <row r="9" spans="1:18" ht="15" customHeight="1">
      <c r="B9" s="482" t="s">
        <v>17</v>
      </c>
      <c r="C9" s="232" t="s">
        <v>408</v>
      </c>
      <c r="D9" s="484">
        <f>D4/7</f>
        <v>52.178571428571431</v>
      </c>
      <c r="E9" s="490"/>
      <c r="F9" s="491"/>
      <c r="H9" s="492"/>
    </row>
    <row r="10" spans="1:18" ht="15" customHeight="1">
      <c r="B10" s="482" t="s">
        <v>20</v>
      </c>
      <c r="C10" s="483" t="s">
        <v>409</v>
      </c>
      <c r="D10" s="484">
        <v>12</v>
      </c>
      <c r="E10" s="487"/>
      <c r="F10" s="493"/>
    </row>
    <row r="11" spans="1:18" ht="15" customHeight="1">
      <c r="B11" s="482" t="s">
        <v>22</v>
      </c>
      <c r="C11" s="483" t="s">
        <v>410</v>
      </c>
      <c r="D11" s="484">
        <v>60</v>
      </c>
      <c r="E11" s="487"/>
      <c r="F11" s="494"/>
    </row>
    <row r="12" spans="1:18" ht="15" customHeight="1">
      <c r="B12" s="482" t="s">
        <v>25</v>
      </c>
      <c r="C12" s="483" t="s">
        <v>411</v>
      </c>
      <c r="D12" s="484">
        <v>52.5</v>
      </c>
      <c r="E12" s="494"/>
      <c r="F12" s="494"/>
    </row>
    <row r="13" spans="1:18" ht="15" customHeight="1">
      <c r="B13" s="495"/>
      <c r="C13" s="496"/>
      <c r="D13" s="497"/>
      <c r="E13" s="497"/>
      <c r="F13" s="497"/>
      <c r="H13" s="498"/>
      <c r="I13" s="498"/>
      <c r="J13" s="498"/>
      <c r="K13" s="498"/>
      <c r="L13" s="498"/>
      <c r="M13" s="498"/>
      <c r="N13" s="498"/>
      <c r="O13" s="498"/>
      <c r="P13" s="498"/>
      <c r="Q13" s="498"/>
    </row>
    <row r="14" spans="1:18" s="502" customFormat="1" ht="15" customHeight="1">
      <c r="A14" s="499"/>
      <c r="B14" s="719"/>
      <c r="C14" s="720"/>
      <c r="D14" s="718" t="s">
        <v>412</v>
      </c>
      <c r="E14" s="718" t="s">
        <v>413</v>
      </c>
      <c r="F14" s="718" t="s">
        <v>414</v>
      </c>
      <c r="G14"/>
      <c r="H14" s="718" t="s">
        <v>415</v>
      </c>
      <c r="I14" s="718"/>
      <c r="J14" s="718"/>
      <c r="K14" s="718"/>
      <c r="L14" s="718"/>
      <c r="M14" s="718"/>
      <c r="N14" s="718"/>
      <c r="O14" s="718"/>
      <c r="P14" s="718"/>
      <c r="Q14" s="718"/>
      <c r="R14" s="501"/>
    </row>
    <row r="15" spans="1:18" ht="15" customHeight="1">
      <c r="A15" s="478"/>
      <c r="B15" s="719"/>
      <c r="C15" s="720"/>
      <c r="D15" s="718"/>
      <c r="E15" s="718"/>
      <c r="F15" s="718"/>
      <c r="H15" s="718" t="s">
        <v>24</v>
      </c>
      <c r="I15" s="718" t="s">
        <v>416</v>
      </c>
      <c r="J15" s="718" t="s">
        <v>417</v>
      </c>
      <c r="K15" s="500" t="s">
        <v>418</v>
      </c>
      <c r="L15" s="500" t="s">
        <v>418</v>
      </c>
      <c r="M15" s="500" t="s">
        <v>418</v>
      </c>
      <c r="N15" s="500" t="s">
        <v>418</v>
      </c>
      <c r="O15" s="500" t="s">
        <v>418</v>
      </c>
      <c r="P15" s="500" t="s">
        <v>418</v>
      </c>
      <c r="Q15" s="718" t="s">
        <v>419</v>
      </c>
      <c r="R15" s="503"/>
    </row>
    <row r="16" spans="1:18" ht="15" customHeight="1">
      <c r="A16" s="478"/>
      <c r="B16" s="719"/>
      <c r="C16" s="720"/>
      <c r="D16" s="718"/>
      <c r="E16" s="718"/>
      <c r="F16" s="718"/>
      <c r="H16" s="718"/>
      <c r="I16" s="718"/>
      <c r="J16" s="718"/>
      <c r="K16" s="500" t="s">
        <v>420</v>
      </c>
      <c r="L16" s="500" t="s">
        <v>421</v>
      </c>
      <c r="M16" s="500" t="s">
        <v>422</v>
      </c>
      <c r="N16" s="500" t="s">
        <v>423</v>
      </c>
      <c r="O16" s="500" t="s">
        <v>424</v>
      </c>
      <c r="P16" s="500" t="s">
        <v>425</v>
      </c>
      <c r="Q16" s="718"/>
      <c r="R16" s="503"/>
    </row>
    <row r="17" spans="1:18" ht="15" customHeight="1">
      <c r="A17" s="478"/>
      <c r="B17" s="504"/>
      <c r="C17" s="505" t="s">
        <v>426</v>
      </c>
      <c r="D17" s="506"/>
      <c r="E17" s="506"/>
      <c r="F17" s="506"/>
      <c r="H17" s="507"/>
      <c r="I17" s="508"/>
      <c r="J17" s="508"/>
      <c r="K17" s="509">
        <v>180000</v>
      </c>
      <c r="L17" s="509">
        <v>360000</v>
      </c>
      <c r="M17" s="509">
        <v>720000</v>
      </c>
      <c r="N17" s="509">
        <v>1800000</v>
      </c>
      <c r="O17" s="509">
        <v>3600000</v>
      </c>
      <c r="P17" s="509">
        <v>4800000</v>
      </c>
      <c r="Q17" s="510" t="str">
        <f>IF(IFERROR(SUM(Produtividade!L193:L218)&gt;0,FALSE()),Produtividade!D13, IF(IFERROR(Veículos!$E$3&lt;&gt;"",FALSE()),'Mão de Obra'!D13,'Mão de Obra'!D13))</f>
        <v>Lucro Presumido</v>
      </c>
      <c r="R17" s="503"/>
    </row>
    <row r="18" spans="1:18" ht="15" customHeight="1">
      <c r="A18" s="478"/>
      <c r="B18" s="504"/>
      <c r="C18" s="505" t="s">
        <v>427</v>
      </c>
      <c r="D18" s="506"/>
      <c r="E18" s="506"/>
      <c r="F18" s="506"/>
      <c r="H18" s="507"/>
      <c r="I18" s="508"/>
      <c r="J18" s="508"/>
      <c r="K18" s="509">
        <v>0</v>
      </c>
      <c r="L18" s="509">
        <v>9360</v>
      </c>
      <c r="M18" s="509">
        <v>17640</v>
      </c>
      <c r="N18" s="509">
        <v>35640</v>
      </c>
      <c r="O18" s="509">
        <v>125640</v>
      </c>
      <c r="P18" s="509">
        <v>648000</v>
      </c>
      <c r="Q18" s="509" t="str">
        <f>IF(Q17="Simples", IF(IFERROR(SUM(Produtividade!L193:L218)&gt;0,FALSE()),Produtividade!D14, IF(IFERROR(Veículos!$E$3&lt;&gt;"",FALSE()),'Mão de Obra'!D14,'Mão de Obra'!D14)),"")</f>
        <v/>
      </c>
      <c r="R18" s="503"/>
    </row>
    <row r="19" spans="1:18" ht="15" customHeight="1">
      <c r="A19" s="478"/>
      <c r="B19" s="504"/>
      <c r="C19" s="505" t="s">
        <v>428</v>
      </c>
      <c r="D19" s="506"/>
      <c r="E19" s="506"/>
      <c r="F19" s="506"/>
      <c r="H19" s="507"/>
      <c r="I19" s="508"/>
      <c r="J19" s="508"/>
      <c r="K19" s="511">
        <v>0.06</v>
      </c>
      <c r="L19" s="512">
        <v>0.112</v>
      </c>
      <c r="M19" s="512">
        <v>0.13500000000000001</v>
      </c>
      <c r="N19" s="511">
        <v>0.16</v>
      </c>
      <c r="O19" s="511">
        <v>0.21</v>
      </c>
      <c r="P19" s="511">
        <v>0.33</v>
      </c>
      <c r="Q19" s="510"/>
      <c r="R19" s="503"/>
    </row>
    <row r="20" spans="1:18" customFormat="1" ht="15" customHeight="1">
      <c r="B20" s="239"/>
    </row>
    <row r="21" spans="1:18" s="233" customFormat="1" ht="15" customHeight="1">
      <c r="B21" s="14"/>
      <c r="C21" s="15" t="s">
        <v>66</v>
      </c>
      <c r="D21" s="15"/>
      <c r="E21" s="15"/>
      <c r="F21" s="372"/>
      <c r="H21" s="14"/>
      <c r="I21" s="513"/>
      <c r="J21" s="513"/>
      <c r="K21" s="513"/>
      <c r="L21" s="513"/>
      <c r="M21" s="513"/>
      <c r="N21" s="513"/>
      <c r="O21" s="513"/>
      <c r="P21" s="513"/>
      <c r="Q21" s="17"/>
    </row>
    <row r="22" spans="1:18" customFormat="1" ht="15" customHeight="1">
      <c r="B22" s="514" t="s">
        <v>1</v>
      </c>
      <c r="C22" s="515" t="s">
        <v>429</v>
      </c>
      <c r="D22" s="516"/>
      <c r="E22" s="517" t="s">
        <v>430</v>
      </c>
      <c r="F22" s="517" t="s">
        <v>431</v>
      </c>
      <c r="H22" s="518"/>
      <c r="I22" s="518"/>
      <c r="J22" s="518"/>
      <c r="K22" s="518"/>
      <c r="L22" s="518"/>
      <c r="M22" s="518"/>
      <c r="N22" s="518"/>
      <c r="O22" s="518"/>
      <c r="P22" s="518"/>
      <c r="Q22" s="518"/>
    </row>
    <row r="23" spans="1:18" customFormat="1" ht="15" customHeight="1">
      <c r="B23" s="514" t="s">
        <v>4</v>
      </c>
      <c r="C23" s="519" t="s">
        <v>432</v>
      </c>
      <c r="D23" s="520" t="s">
        <v>433</v>
      </c>
      <c r="E23" s="520" t="s">
        <v>434</v>
      </c>
      <c r="F23" s="521" t="s">
        <v>435</v>
      </c>
      <c r="H23" s="518"/>
      <c r="I23" s="518"/>
      <c r="J23" s="518"/>
      <c r="K23" s="518"/>
      <c r="L23" s="518"/>
      <c r="M23" s="518"/>
      <c r="N23" s="518"/>
      <c r="O23" s="518"/>
      <c r="P23" s="518"/>
      <c r="Q23" s="518"/>
    </row>
    <row r="24" spans="1:18" customFormat="1" ht="15" customHeight="1">
      <c r="B24" s="514" t="s">
        <v>6</v>
      </c>
      <c r="C24" s="515" t="s">
        <v>436</v>
      </c>
      <c r="D24" s="516" t="s">
        <v>437</v>
      </c>
      <c r="E24" s="517" t="s">
        <v>438</v>
      </c>
      <c r="F24" s="517" t="s">
        <v>439</v>
      </c>
      <c r="H24" s="518"/>
      <c r="I24" s="518"/>
      <c r="J24" s="518"/>
      <c r="K24" s="518"/>
      <c r="L24" s="518"/>
      <c r="M24" s="518"/>
      <c r="N24" s="518"/>
      <c r="O24" s="518"/>
      <c r="P24" s="518"/>
      <c r="Q24" s="518"/>
    </row>
    <row r="25" spans="1:18" customFormat="1" ht="15" customHeight="1">
      <c r="B25" s="514" t="s">
        <v>9</v>
      </c>
      <c r="C25" s="519" t="s">
        <v>74</v>
      </c>
      <c r="D25" s="520" t="s">
        <v>440</v>
      </c>
      <c r="E25" s="520" t="s">
        <v>441</v>
      </c>
      <c r="F25" s="521" t="s">
        <v>442</v>
      </c>
      <c r="H25" s="518"/>
      <c r="I25" s="518"/>
      <c r="J25" s="518"/>
      <c r="K25" s="518"/>
      <c r="L25" s="518"/>
      <c r="M25" s="518"/>
      <c r="N25" s="518"/>
      <c r="O25" s="518"/>
      <c r="P25" s="518"/>
      <c r="Q25" s="518"/>
    </row>
    <row r="26" spans="1:18" customFormat="1" ht="15" customHeight="1">
      <c r="B26" s="514" t="s">
        <v>12</v>
      </c>
      <c r="C26" s="515" t="s">
        <v>443</v>
      </c>
      <c r="D26" s="516" t="s">
        <v>444</v>
      </c>
      <c r="E26" s="517" t="s">
        <v>445</v>
      </c>
      <c r="F26" s="517" t="s">
        <v>446</v>
      </c>
      <c r="H26" s="518"/>
      <c r="I26" s="518"/>
      <c r="J26" s="518"/>
      <c r="K26" s="518"/>
      <c r="L26" s="518"/>
      <c r="M26" s="518"/>
      <c r="N26" s="518"/>
      <c r="O26" s="518"/>
      <c r="P26" s="518"/>
      <c r="Q26" s="518"/>
    </row>
    <row r="27" spans="1:18" customFormat="1" ht="15" customHeight="1">
      <c r="B27" s="514" t="s">
        <v>15</v>
      </c>
      <c r="C27" s="519" t="s">
        <v>78</v>
      </c>
      <c r="D27" s="520" t="s">
        <v>447</v>
      </c>
      <c r="E27" s="520" t="s">
        <v>445</v>
      </c>
      <c r="F27" s="521" t="s">
        <v>448</v>
      </c>
      <c r="H27" s="518"/>
      <c r="I27" s="518"/>
      <c r="J27" s="518"/>
      <c r="K27" s="518"/>
      <c r="L27" s="518"/>
      <c r="M27" s="518"/>
      <c r="N27" s="518"/>
      <c r="O27" s="518"/>
      <c r="P27" s="518"/>
      <c r="Q27" s="518"/>
    </row>
    <row r="28" spans="1:18" customFormat="1" ht="15" customHeight="1">
      <c r="B28" s="514" t="s">
        <v>17</v>
      </c>
      <c r="C28" s="515" t="s">
        <v>80</v>
      </c>
      <c r="D28" s="516" t="s">
        <v>449</v>
      </c>
      <c r="E28" s="517" t="s">
        <v>450</v>
      </c>
      <c r="F28" s="517" t="s">
        <v>451</v>
      </c>
      <c r="H28" s="518"/>
      <c r="I28" s="518"/>
      <c r="J28" s="518"/>
      <c r="K28" s="518"/>
      <c r="L28" s="518"/>
      <c r="M28" s="518"/>
      <c r="N28" s="518"/>
      <c r="O28" s="518"/>
      <c r="P28" s="518"/>
      <c r="Q28" s="518"/>
    </row>
    <row r="29" spans="1:18" customFormat="1" ht="15" customHeight="1">
      <c r="B29" s="514" t="s">
        <v>20</v>
      </c>
      <c r="C29" s="519" t="s">
        <v>82</v>
      </c>
      <c r="D29" s="520" t="s">
        <v>452</v>
      </c>
      <c r="E29" s="520" t="s">
        <v>453</v>
      </c>
      <c r="F29" s="521" t="s">
        <v>454</v>
      </c>
      <c r="H29" s="518"/>
      <c r="I29" s="518"/>
      <c r="J29" s="518"/>
      <c r="K29" s="518"/>
      <c r="L29" s="518"/>
      <c r="M29" s="518"/>
      <c r="N29" s="518"/>
      <c r="O29" s="518"/>
      <c r="P29" s="518"/>
      <c r="Q29" s="518"/>
    </row>
    <row r="30" spans="1:18" customFormat="1" ht="15" customHeight="1">
      <c r="B30" s="514" t="s">
        <v>22</v>
      </c>
      <c r="C30" s="517" t="s">
        <v>455</v>
      </c>
      <c r="D30" s="516" t="s">
        <v>456</v>
      </c>
      <c r="E30" s="517" t="s">
        <v>457</v>
      </c>
      <c r="F30" s="517" t="s">
        <v>458</v>
      </c>
      <c r="H30" s="518"/>
      <c r="I30" s="518"/>
      <c r="J30" s="518"/>
      <c r="K30" s="518"/>
      <c r="L30" s="518"/>
      <c r="M30" s="518"/>
      <c r="N30" s="518"/>
      <c r="O30" s="518"/>
      <c r="P30" s="518"/>
      <c r="Q30" s="518"/>
    </row>
    <row r="31" spans="1:18" customFormat="1" ht="15" customHeight="1">
      <c r="B31" s="514" t="s">
        <v>25</v>
      </c>
      <c r="C31" s="519" t="s">
        <v>88</v>
      </c>
      <c r="D31" s="520"/>
      <c r="E31" s="520"/>
      <c r="F31" s="521"/>
      <c r="H31" s="518"/>
      <c r="I31" s="518"/>
      <c r="J31" s="518"/>
      <c r="K31" s="518"/>
      <c r="L31" s="518"/>
      <c r="M31" s="518"/>
      <c r="N31" s="518"/>
      <c r="O31" s="518"/>
      <c r="P31" s="518"/>
      <c r="Q31" s="518"/>
    </row>
    <row r="32" spans="1:18" customFormat="1" ht="15" customHeight="1">
      <c r="B32" s="239"/>
      <c r="H32" s="12"/>
      <c r="I32" s="12"/>
      <c r="J32" s="12"/>
      <c r="K32" s="12"/>
      <c r="L32" s="12"/>
      <c r="M32" s="12"/>
      <c r="N32" s="12"/>
      <c r="O32" s="12"/>
      <c r="P32" s="12"/>
      <c r="Q32" s="12"/>
    </row>
    <row r="33" spans="1:18" customFormat="1" ht="15" customHeight="1">
      <c r="B33" s="14"/>
      <c r="C33" s="124" t="s">
        <v>90</v>
      </c>
      <c r="D33" s="15"/>
      <c r="E33" s="15"/>
      <c r="F33" s="372"/>
      <c r="H33" s="14"/>
      <c r="I33" s="513"/>
      <c r="J33" s="513"/>
      <c r="K33" s="513"/>
      <c r="L33" s="513"/>
      <c r="M33" s="513"/>
      <c r="N33" s="513"/>
      <c r="O33" s="513"/>
      <c r="P33" s="513"/>
      <c r="Q33" s="17"/>
    </row>
    <row r="34" spans="1:18" ht="3.75" customHeight="1">
      <c r="C34" s="522"/>
      <c r="H34" s="523"/>
      <c r="I34" s="524"/>
      <c r="J34" s="524"/>
      <c r="K34" s="525"/>
      <c r="L34" s="526"/>
      <c r="M34" s="526"/>
      <c r="N34" s="525"/>
      <c r="O34" s="525"/>
      <c r="P34" s="525"/>
      <c r="Q34" s="527"/>
    </row>
    <row r="35" spans="1:18" s="532" customFormat="1" ht="15" customHeight="1">
      <c r="A35" s="528"/>
      <c r="B35" s="137"/>
      <c r="C35" s="138" t="s">
        <v>91</v>
      </c>
      <c r="D35" s="138"/>
      <c r="E35" s="138"/>
      <c r="F35" s="529"/>
      <c r="G35" s="233"/>
      <c r="H35" s="137"/>
      <c r="I35" s="234"/>
      <c r="J35" s="234"/>
      <c r="K35" s="234"/>
      <c r="L35" s="234"/>
      <c r="M35" s="234"/>
      <c r="N35" s="234"/>
      <c r="O35" s="234"/>
      <c r="P35" s="234"/>
      <c r="Q35" s="530"/>
      <c r="R35" s="531"/>
    </row>
    <row r="36" spans="1:18" ht="15" customHeight="1">
      <c r="A36" s="478"/>
      <c r="B36" s="533" t="s">
        <v>1</v>
      </c>
      <c r="C36" s="534" t="s">
        <v>92</v>
      </c>
      <c r="D36" s="516" t="s">
        <v>459</v>
      </c>
      <c r="E36" s="517" t="s">
        <v>460</v>
      </c>
      <c r="F36" s="517" t="s">
        <v>461</v>
      </c>
      <c r="H36" s="535">
        <f t="shared" ref="H36:P36" si="0">(1/12)</f>
        <v>8.3333333333333329E-2</v>
      </c>
      <c r="I36" s="535">
        <f t="shared" si="0"/>
        <v>8.3333333333333329E-2</v>
      </c>
      <c r="J36" s="535">
        <f t="shared" si="0"/>
        <v>8.3333333333333329E-2</v>
      </c>
      <c r="K36" s="535">
        <f t="shared" si="0"/>
        <v>8.3333333333333329E-2</v>
      </c>
      <c r="L36" s="535">
        <f t="shared" si="0"/>
        <v>8.3333333333333329E-2</v>
      </c>
      <c r="M36" s="535">
        <f t="shared" si="0"/>
        <v>8.3333333333333329E-2</v>
      </c>
      <c r="N36" s="535">
        <f t="shared" si="0"/>
        <v>8.3333333333333329E-2</v>
      </c>
      <c r="O36" s="535">
        <f t="shared" si="0"/>
        <v>8.3333333333333329E-2</v>
      </c>
      <c r="P36" s="535">
        <f t="shared" si="0"/>
        <v>8.3333333333333329E-2</v>
      </c>
      <c r="Q36" s="535">
        <f>IFERROR(ROUND(IF($Q$17="Simples", INDEX(H36:P36,MATCH($Q$18,$H$18:$P$18,1)), INDEX(H36:P36,MATCH($Q$17,$H$15:$P$15,0)) ),4),"")</f>
        <v>8.3299999999999999E-2</v>
      </c>
      <c r="R36" s="503"/>
    </row>
    <row r="37" spans="1:18" ht="15" customHeight="1">
      <c r="A37" s="478"/>
      <c r="B37" s="533" t="s">
        <v>4</v>
      </c>
      <c r="C37" s="534" t="s">
        <v>93</v>
      </c>
      <c r="D37" s="516" t="s">
        <v>462</v>
      </c>
      <c r="E37" s="517" t="s">
        <v>463</v>
      </c>
      <c r="F37" s="517" t="s">
        <v>464</v>
      </c>
      <c r="H37" s="535">
        <f t="shared" ref="H37:P37" si="1">(1/12) +( 1/3)/12</f>
        <v>0.1111111111111111</v>
      </c>
      <c r="I37" s="535">
        <f t="shared" si="1"/>
        <v>0.1111111111111111</v>
      </c>
      <c r="J37" s="535">
        <f t="shared" si="1"/>
        <v>0.1111111111111111</v>
      </c>
      <c r="K37" s="535">
        <f t="shared" si="1"/>
        <v>0.1111111111111111</v>
      </c>
      <c r="L37" s="535">
        <f t="shared" si="1"/>
        <v>0.1111111111111111</v>
      </c>
      <c r="M37" s="535">
        <f t="shared" si="1"/>
        <v>0.1111111111111111</v>
      </c>
      <c r="N37" s="535">
        <f t="shared" si="1"/>
        <v>0.1111111111111111</v>
      </c>
      <c r="O37" s="535">
        <f t="shared" si="1"/>
        <v>0.1111111111111111</v>
      </c>
      <c r="P37" s="535">
        <f t="shared" si="1"/>
        <v>0.1111111111111111</v>
      </c>
      <c r="Q37" s="535">
        <f>IFERROR(ROUND(IF($Q$17="Simples", INDEX(H37:P37,MATCH($Q$18,$H$18:$P$18,1)), INDEX(H37:P37,MATCH($Q$17,$H$15:$P$15,0)) ),4),"")</f>
        <v>0.1111</v>
      </c>
      <c r="R37" s="503"/>
    </row>
    <row r="38" spans="1:18" ht="15" customHeight="1">
      <c r="A38" s="478"/>
      <c r="B38" s="533" t="s">
        <v>6</v>
      </c>
      <c r="C38" s="534" t="s">
        <v>94</v>
      </c>
      <c r="D38" s="516" t="s">
        <v>465</v>
      </c>
      <c r="E38" s="517"/>
      <c r="F38" s="517" t="s">
        <v>466</v>
      </c>
      <c r="H38" s="535">
        <f t="shared" ref="H38:P38" si="2">(H36+H37)*H51</f>
        <v>7.1555555555555567E-2</v>
      </c>
      <c r="I38" s="535">
        <f t="shared" si="2"/>
        <v>7.1555555555555567E-2</v>
      </c>
      <c r="J38" s="535">
        <f t="shared" si="2"/>
        <v>6.0277777777777777E-2</v>
      </c>
      <c r="K38" s="535">
        <f t="shared" si="2"/>
        <v>6.0277777777777777E-2</v>
      </c>
      <c r="L38" s="535">
        <f t="shared" si="2"/>
        <v>6.0277777777777777E-2</v>
      </c>
      <c r="M38" s="535">
        <f t="shared" si="2"/>
        <v>6.0277777777777777E-2</v>
      </c>
      <c r="N38" s="535">
        <f t="shared" si="2"/>
        <v>6.0277777777777777E-2</v>
      </c>
      <c r="O38" s="535">
        <f t="shared" si="2"/>
        <v>6.0277777777777777E-2</v>
      </c>
      <c r="P38" s="535">
        <f t="shared" si="2"/>
        <v>6.0277777777777777E-2</v>
      </c>
      <c r="Q38" s="535">
        <f>IFERROR(ROUND(IF($Q$17="Simples", INDEX(H38:P38,MATCH($Q$18,$H$18:$P$18,1)), INDEX(H38:P38,MATCH($Q$17,$H$15:$P$15,0)) ),4),"")</f>
        <v>7.1599999999999997E-2</v>
      </c>
      <c r="R38" s="503"/>
    </row>
    <row r="39" spans="1:18" ht="3.75" customHeight="1">
      <c r="B39" s="536"/>
      <c r="C39" s="537"/>
      <c r="D39" s="537"/>
      <c r="E39" s="537"/>
      <c r="F39" s="537"/>
      <c r="H39" s="538"/>
      <c r="I39" s="538"/>
      <c r="J39" s="538"/>
      <c r="K39" s="538"/>
      <c r="L39" s="538"/>
      <c r="M39" s="538"/>
      <c r="N39" s="538"/>
      <c r="O39" s="538"/>
      <c r="P39" s="538"/>
      <c r="Q39" s="538"/>
    </row>
    <row r="40" spans="1:18" s="532" customFormat="1" ht="15" customHeight="1">
      <c r="A40" s="528"/>
      <c r="B40" s="137"/>
      <c r="C40" s="138" t="s">
        <v>467</v>
      </c>
      <c r="D40" s="138"/>
      <c r="E40" s="138"/>
      <c r="F40" s="529"/>
      <c r="G40" s="233"/>
      <c r="H40" s="137"/>
      <c r="I40" s="234"/>
      <c r="J40" s="234"/>
      <c r="K40" s="234"/>
      <c r="L40" s="234"/>
      <c r="M40" s="234"/>
      <c r="N40" s="234"/>
      <c r="O40" s="234"/>
      <c r="P40" s="234"/>
      <c r="Q40" s="530"/>
      <c r="R40" s="531"/>
    </row>
    <row r="41" spans="1:18" ht="15" customHeight="1">
      <c r="A41" s="478"/>
      <c r="B41" s="482" t="s">
        <v>1</v>
      </c>
      <c r="C41" s="483" t="s">
        <v>97</v>
      </c>
      <c r="D41" s="516"/>
      <c r="E41" s="517" t="s">
        <v>468</v>
      </c>
      <c r="F41" s="517" t="s">
        <v>469</v>
      </c>
      <c r="H41" s="539">
        <v>0.2</v>
      </c>
      <c r="I41" s="539">
        <v>0.2</v>
      </c>
      <c r="J41" s="539">
        <v>0.2</v>
      </c>
      <c r="K41" s="539">
        <v>0.2</v>
      </c>
      <c r="L41" s="539">
        <v>0.2</v>
      </c>
      <c r="M41" s="539">
        <v>0.2</v>
      </c>
      <c r="N41" s="539">
        <v>0.2</v>
      </c>
      <c r="O41" s="539">
        <v>0.2</v>
      </c>
      <c r="P41" s="539">
        <v>0.2</v>
      </c>
      <c r="Q41" s="539">
        <f t="shared" ref="Q41:Q51" si="3">IFERROR(ROUND(IF($Q$17="Simples", INDEX(H41:P41,MATCH($Q$18,$H$18:$P$18,1)), INDEX(H41:P41,MATCH($Q$17,$H$15:$P$15,0)) ),4),"")</f>
        <v>0.2</v>
      </c>
      <c r="R41" s="503"/>
    </row>
    <row r="42" spans="1:18" ht="15" customHeight="1">
      <c r="A42" s="478"/>
      <c r="B42" s="540" t="s">
        <v>4</v>
      </c>
      <c r="C42" s="541" t="s">
        <v>98</v>
      </c>
      <c r="D42" s="516"/>
      <c r="E42" s="517" t="s">
        <v>470</v>
      </c>
      <c r="F42" s="517" t="s">
        <v>471</v>
      </c>
      <c r="H42" s="539">
        <v>1.4999999999999999E-2</v>
      </c>
      <c r="I42" s="539">
        <v>1.4999999999999999E-2</v>
      </c>
      <c r="J42" s="539"/>
      <c r="K42" s="539"/>
      <c r="L42" s="539"/>
      <c r="M42" s="539"/>
      <c r="N42" s="539"/>
      <c r="O42" s="539"/>
      <c r="P42" s="539"/>
      <c r="Q42" s="539">
        <f t="shared" si="3"/>
        <v>1.4999999999999999E-2</v>
      </c>
      <c r="R42" s="503"/>
    </row>
    <row r="43" spans="1:18" ht="15" customHeight="1">
      <c r="A43" s="478"/>
      <c r="B43" s="540" t="s">
        <v>6</v>
      </c>
      <c r="C43" s="483" t="s">
        <v>99</v>
      </c>
      <c r="D43" s="516"/>
      <c r="E43" s="517" t="s">
        <v>472</v>
      </c>
      <c r="F43" s="517" t="s">
        <v>471</v>
      </c>
      <c r="H43" s="539">
        <v>0.01</v>
      </c>
      <c r="I43" s="539">
        <v>0.01</v>
      </c>
      <c r="J43" s="539"/>
      <c r="K43" s="539"/>
      <c r="L43" s="539"/>
      <c r="M43" s="539"/>
      <c r="N43" s="539"/>
      <c r="O43" s="539"/>
      <c r="P43" s="539"/>
      <c r="Q43" s="539">
        <f t="shared" si="3"/>
        <v>0.01</v>
      </c>
      <c r="R43" s="503"/>
    </row>
    <row r="44" spans="1:18" ht="15" customHeight="1">
      <c r="A44" s="478"/>
      <c r="B44" s="482" t="s">
        <v>9</v>
      </c>
      <c r="C44" s="541" t="s">
        <v>100</v>
      </c>
      <c r="D44" s="516"/>
      <c r="E44" s="517" t="s">
        <v>473</v>
      </c>
      <c r="F44" s="517" t="s">
        <v>471</v>
      </c>
      <c r="H44" s="539">
        <v>2E-3</v>
      </c>
      <c r="I44" s="539">
        <v>2E-3</v>
      </c>
      <c r="J44" s="539"/>
      <c r="K44" s="539"/>
      <c r="L44" s="539"/>
      <c r="M44" s="539"/>
      <c r="N44" s="539"/>
      <c r="O44" s="539"/>
      <c r="P44" s="539"/>
      <c r="Q44" s="539">
        <f t="shared" si="3"/>
        <v>2E-3</v>
      </c>
      <c r="R44" s="503"/>
    </row>
    <row r="45" spans="1:18" ht="15" customHeight="1">
      <c r="A45" s="478"/>
      <c r="B45" s="540" t="s">
        <v>12</v>
      </c>
      <c r="C45" s="483" t="s">
        <v>101</v>
      </c>
      <c r="D45" s="516"/>
      <c r="E45" s="517" t="s">
        <v>474</v>
      </c>
      <c r="F45" s="517" t="s">
        <v>471</v>
      </c>
      <c r="H45" s="539">
        <v>2.5000000000000001E-2</v>
      </c>
      <c r="I45" s="539">
        <v>2.5000000000000001E-2</v>
      </c>
      <c r="J45" s="539"/>
      <c r="K45" s="539"/>
      <c r="L45" s="539"/>
      <c r="M45" s="539"/>
      <c r="N45" s="539"/>
      <c r="O45" s="539"/>
      <c r="P45" s="539"/>
      <c r="Q45" s="539">
        <f t="shared" si="3"/>
        <v>2.5000000000000001E-2</v>
      </c>
      <c r="R45" s="503"/>
    </row>
    <row r="46" spans="1:18" ht="15" customHeight="1">
      <c r="A46" s="478"/>
      <c r="B46" s="540" t="s">
        <v>15</v>
      </c>
      <c r="C46" s="541" t="s">
        <v>102</v>
      </c>
      <c r="D46" s="516"/>
      <c r="E46" s="517" t="s">
        <v>475</v>
      </c>
      <c r="F46" s="517"/>
      <c r="H46" s="539">
        <v>0.08</v>
      </c>
      <c r="I46" s="539">
        <v>0.08</v>
      </c>
      <c r="J46" s="539">
        <v>0.08</v>
      </c>
      <c r="K46" s="539">
        <v>0.08</v>
      </c>
      <c r="L46" s="539">
        <v>0.08</v>
      </c>
      <c r="M46" s="539">
        <v>0.08</v>
      </c>
      <c r="N46" s="539">
        <v>0.08</v>
      </c>
      <c r="O46" s="539">
        <v>0.08</v>
      </c>
      <c r="P46" s="539">
        <v>0.08</v>
      </c>
      <c r="Q46" s="539">
        <f t="shared" si="3"/>
        <v>0.08</v>
      </c>
      <c r="R46" s="503"/>
    </row>
    <row r="47" spans="1:18" ht="15" customHeight="1">
      <c r="A47" s="478"/>
      <c r="B47" s="716" t="s">
        <v>17</v>
      </c>
      <c r="C47" s="483" t="s">
        <v>476</v>
      </c>
      <c r="D47" s="516" t="s">
        <v>477</v>
      </c>
      <c r="E47" s="517" t="s">
        <v>478</v>
      </c>
      <c r="F47" s="517" t="s">
        <v>479</v>
      </c>
      <c r="H47" s="539">
        <f t="shared" ref="H47:P47" si="4">ROUND(H48*H49,2)</f>
        <v>0.03</v>
      </c>
      <c r="I47" s="539">
        <f t="shared" si="4"/>
        <v>0.03</v>
      </c>
      <c r="J47" s="539">
        <f t="shared" si="4"/>
        <v>0.03</v>
      </c>
      <c r="K47" s="539">
        <f t="shared" si="4"/>
        <v>0.03</v>
      </c>
      <c r="L47" s="539">
        <f t="shared" si="4"/>
        <v>0.03</v>
      </c>
      <c r="M47" s="539">
        <f t="shared" si="4"/>
        <v>0.03</v>
      </c>
      <c r="N47" s="539">
        <f t="shared" si="4"/>
        <v>0.03</v>
      </c>
      <c r="O47" s="539">
        <f t="shared" si="4"/>
        <v>0.03</v>
      </c>
      <c r="P47" s="539">
        <f t="shared" si="4"/>
        <v>0.03</v>
      </c>
      <c r="Q47" s="539">
        <f t="shared" si="3"/>
        <v>0.03</v>
      </c>
      <c r="R47" s="503"/>
    </row>
    <row r="48" spans="1:18" ht="15" customHeight="1">
      <c r="A48" s="478"/>
      <c r="B48" s="716"/>
      <c r="C48" s="542" t="s">
        <v>103</v>
      </c>
      <c r="D48" s="543"/>
      <c r="E48" s="543" t="s">
        <v>480</v>
      </c>
      <c r="F48" s="543"/>
      <c r="H48" s="539">
        <v>0.03</v>
      </c>
      <c r="I48" s="539">
        <f>H48</f>
        <v>0.03</v>
      </c>
      <c r="J48" s="539">
        <f>I48</f>
        <v>0.03</v>
      </c>
      <c r="K48" s="539">
        <f>I48</f>
        <v>0.03</v>
      </c>
      <c r="L48" s="539">
        <f t="shared" ref="L48:P49" si="5">K48</f>
        <v>0.03</v>
      </c>
      <c r="M48" s="539">
        <f t="shared" si="5"/>
        <v>0.03</v>
      </c>
      <c r="N48" s="539">
        <f t="shared" si="5"/>
        <v>0.03</v>
      </c>
      <c r="O48" s="539">
        <f t="shared" si="5"/>
        <v>0.03</v>
      </c>
      <c r="P48" s="539">
        <f t="shared" si="5"/>
        <v>0.03</v>
      </c>
      <c r="Q48" s="539">
        <f t="shared" si="3"/>
        <v>0.03</v>
      </c>
      <c r="R48" s="503"/>
    </row>
    <row r="49" spans="1:18" ht="15" customHeight="1">
      <c r="A49" s="478"/>
      <c r="B49" s="716"/>
      <c r="C49" s="542" t="s">
        <v>104</v>
      </c>
      <c r="D49" s="544"/>
      <c r="E49" s="544" t="s">
        <v>481</v>
      </c>
      <c r="F49" s="544" t="s">
        <v>482</v>
      </c>
      <c r="H49" s="545">
        <v>1</v>
      </c>
      <c r="I49" s="545">
        <f>H49</f>
        <v>1</v>
      </c>
      <c r="J49" s="545">
        <f>I49</f>
        <v>1</v>
      </c>
      <c r="K49" s="545">
        <f>I49</f>
        <v>1</v>
      </c>
      <c r="L49" s="545">
        <f t="shared" si="5"/>
        <v>1</v>
      </c>
      <c r="M49" s="545">
        <f t="shared" si="5"/>
        <v>1</v>
      </c>
      <c r="N49" s="545">
        <f t="shared" si="5"/>
        <v>1</v>
      </c>
      <c r="O49" s="545">
        <f t="shared" si="5"/>
        <v>1</v>
      </c>
      <c r="P49" s="545">
        <f t="shared" si="5"/>
        <v>1</v>
      </c>
      <c r="Q49" s="545">
        <f t="shared" si="3"/>
        <v>1</v>
      </c>
      <c r="R49" s="503"/>
    </row>
    <row r="50" spans="1:18" ht="15" customHeight="1">
      <c r="A50" s="478"/>
      <c r="B50" s="540" t="s">
        <v>20</v>
      </c>
      <c r="C50" s="541" t="s">
        <v>105</v>
      </c>
      <c r="D50" s="516"/>
      <c r="E50" s="517" t="s">
        <v>483</v>
      </c>
      <c r="F50" s="517" t="s">
        <v>471</v>
      </c>
      <c r="H50" s="539">
        <v>6.0000000000000001E-3</v>
      </c>
      <c r="I50" s="539">
        <v>6.0000000000000001E-3</v>
      </c>
      <c r="J50" s="539"/>
      <c r="K50" s="539"/>
      <c r="L50" s="539"/>
      <c r="M50" s="539"/>
      <c r="N50" s="539"/>
      <c r="O50" s="539"/>
      <c r="P50" s="539"/>
      <c r="Q50" s="539">
        <f t="shared" si="3"/>
        <v>6.0000000000000001E-3</v>
      </c>
      <c r="R50" s="503"/>
    </row>
    <row r="51" spans="1:18" ht="15" customHeight="1">
      <c r="A51" s="478"/>
      <c r="B51" s="137"/>
      <c r="C51" s="546"/>
      <c r="D51" s="138"/>
      <c r="E51" s="138"/>
      <c r="F51" s="529"/>
      <c r="H51" s="547">
        <f>SUM(H41:H50)-H48-H49</f>
        <v>0.3680000000000001</v>
      </c>
      <c r="I51" s="547">
        <f>SUM(I41:I50)-I48-I49</f>
        <v>0.3680000000000001</v>
      </c>
      <c r="J51" s="547">
        <f>SUM(J41:J50)-J48-J49</f>
        <v>0.31000000000000005</v>
      </c>
      <c r="K51" s="547">
        <f>SUM(K41:K47)+K50</f>
        <v>0.31000000000000005</v>
      </c>
      <c r="L51" s="547">
        <f>SUM(L41:L50)-L48-L49</f>
        <v>0.31000000000000005</v>
      </c>
      <c r="M51" s="547">
        <f>SUM(M41:M50)-M48-M49</f>
        <v>0.31000000000000005</v>
      </c>
      <c r="N51" s="547">
        <f>SUM(N41:N50)-N48-N49</f>
        <v>0.31000000000000005</v>
      </c>
      <c r="O51" s="547">
        <f>SUM(O41:O50)-O48-O49</f>
        <v>0.31000000000000005</v>
      </c>
      <c r="P51" s="547">
        <f>SUM(P41:P50)-P48-P49</f>
        <v>0.31000000000000005</v>
      </c>
      <c r="Q51" s="547">
        <f t="shared" si="3"/>
        <v>0.36799999999999999</v>
      </c>
      <c r="R51" s="503"/>
    </row>
    <row r="52" spans="1:18" ht="3.75" customHeight="1">
      <c r="H52" s="548"/>
      <c r="I52" s="548"/>
      <c r="J52" s="548"/>
      <c r="K52" s="548"/>
      <c r="L52" s="548"/>
      <c r="M52" s="548"/>
      <c r="N52" s="548"/>
      <c r="O52" s="548"/>
      <c r="P52" s="548"/>
      <c r="Q52" s="548"/>
    </row>
    <row r="53" spans="1:18" s="532" customFormat="1" ht="15" customHeight="1">
      <c r="B53" s="137"/>
      <c r="C53" s="138" t="s">
        <v>107</v>
      </c>
      <c r="D53" s="138"/>
      <c r="E53" s="138"/>
      <c r="F53" s="529"/>
      <c r="G53" s="233"/>
      <c r="H53" s="137"/>
      <c r="I53" s="234"/>
      <c r="J53" s="234"/>
      <c r="K53" s="234"/>
      <c r="L53" s="234"/>
      <c r="M53" s="234"/>
      <c r="N53" s="234"/>
      <c r="O53" s="234"/>
      <c r="P53" s="234"/>
      <c r="Q53" s="530"/>
    </row>
    <row r="54" spans="1:18" ht="15" customHeight="1">
      <c r="B54" s="514" t="s">
        <v>1</v>
      </c>
      <c r="C54" s="515" t="s">
        <v>108</v>
      </c>
      <c r="D54" s="516" t="s">
        <v>484</v>
      </c>
      <c r="E54" s="517" t="s">
        <v>485</v>
      </c>
      <c r="F54" s="517" t="s">
        <v>486</v>
      </c>
      <c r="H54" s="539"/>
      <c r="I54" s="539"/>
      <c r="J54" s="539"/>
      <c r="K54" s="539"/>
      <c r="L54" s="539"/>
      <c r="M54" s="539"/>
      <c r="N54" s="539"/>
      <c r="O54" s="539"/>
      <c r="P54" s="539"/>
      <c r="Q54" s="539"/>
    </row>
    <row r="55" spans="1:18" ht="15" customHeight="1">
      <c r="B55" s="514" t="s">
        <v>4</v>
      </c>
      <c r="C55" s="515" t="s">
        <v>113</v>
      </c>
      <c r="D55" s="516" t="s">
        <v>487</v>
      </c>
      <c r="E55" s="517" t="s">
        <v>488</v>
      </c>
      <c r="F55" s="517" t="s">
        <v>489</v>
      </c>
      <c r="H55" s="539"/>
      <c r="I55" s="539"/>
      <c r="J55" s="539"/>
      <c r="K55" s="539"/>
      <c r="L55" s="539"/>
      <c r="M55" s="539"/>
      <c r="N55" s="539"/>
      <c r="O55" s="539"/>
      <c r="P55" s="539"/>
      <c r="Q55" s="539"/>
    </row>
    <row r="56" spans="1:18" ht="15" customHeight="1">
      <c r="B56" s="514" t="s">
        <v>6</v>
      </c>
      <c r="C56" s="515" t="s">
        <v>117</v>
      </c>
      <c r="D56" s="516" t="s">
        <v>490</v>
      </c>
      <c r="E56" s="517" t="s">
        <v>491</v>
      </c>
      <c r="F56" s="517" t="s">
        <v>486</v>
      </c>
      <c r="H56" s="539"/>
      <c r="I56" s="539"/>
      <c r="J56" s="539"/>
      <c r="K56" s="539"/>
      <c r="L56" s="539"/>
      <c r="M56" s="539"/>
      <c r="N56" s="539"/>
      <c r="O56" s="539"/>
      <c r="P56" s="539"/>
      <c r="Q56" s="539"/>
    </row>
    <row r="57" spans="1:18" ht="15" customHeight="1">
      <c r="B57" s="514" t="s">
        <v>9</v>
      </c>
      <c r="C57" s="515" t="s">
        <v>119</v>
      </c>
      <c r="D57" s="516" t="s">
        <v>492</v>
      </c>
      <c r="E57" s="517" t="s">
        <v>491</v>
      </c>
      <c r="F57" s="517" t="s">
        <v>493</v>
      </c>
      <c r="H57" s="539"/>
      <c r="I57" s="539"/>
      <c r="J57" s="539"/>
      <c r="K57" s="539"/>
      <c r="L57" s="539"/>
      <c r="M57" s="539"/>
      <c r="N57" s="539"/>
      <c r="O57" s="539"/>
      <c r="P57" s="539"/>
      <c r="Q57" s="539"/>
    </row>
    <row r="58" spans="1:18" ht="15" customHeight="1">
      <c r="B58" s="514" t="s">
        <v>12</v>
      </c>
      <c r="C58" s="515" t="s">
        <v>120</v>
      </c>
      <c r="D58" s="516" t="s">
        <v>492</v>
      </c>
      <c r="E58" s="517"/>
      <c r="F58" s="517" t="s">
        <v>493</v>
      </c>
      <c r="H58" s="539"/>
      <c r="I58" s="539"/>
      <c r="J58" s="539"/>
      <c r="K58" s="539"/>
      <c r="L58" s="539"/>
      <c r="M58" s="539"/>
      <c r="N58" s="539"/>
      <c r="O58" s="539"/>
      <c r="P58" s="539"/>
      <c r="Q58" s="539"/>
    </row>
    <row r="59" spans="1:18" ht="15" customHeight="1">
      <c r="B59" s="514" t="s">
        <v>15</v>
      </c>
      <c r="C59" s="515" t="s">
        <v>121</v>
      </c>
      <c r="D59" s="516" t="s">
        <v>490</v>
      </c>
      <c r="E59" s="517"/>
      <c r="F59" s="517" t="s">
        <v>486</v>
      </c>
      <c r="H59" s="539"/>
      <c r="I59" s="539"/>
      <c r="J59" s="539"/>
      <c r="K59" s="539"/>
      <c r="L59" s="539"/>
      <c r="M59" s="539"/>
      <c r="N59" s="539"/>
      <c r="O59" s="539"/>
      <c r="P59" s="539"/>
      <c r="Q59" s="539"/>
    </row>
    <row r="60" spans="1:18" ht="15" customHeight="1">
      <c r="B60" s="514" t="s">
        <v>17</v>
      </c>
      <c r="C60" s="515" t="s">
        <v>123</v>
      </c>
      <c r="D60" s="516" t="s">
        <v>492</v>
      </c>
      <c r="E60" s="517"/>
      <c r="F60" s="517" t="s">
        <v>493</v>
      </c>
      <c r="H60" s="539"/>
      <c r="I60" s="539"/>
      <c r="J60" s="539"/>
      <c r="K60" s="539"/>
      <c r="L60" s="539"/>
      <c r="M60" s="539"/>
      <c r="N60" s="539"/>
      <c r="O60" s="539"/>
      <c r="P60" s="539"/>
      <c r="Q60" s="539"/>
    </row>
    <row r="61" spans="1:18" ht="15" customHeight="1">
      <c r="B61" s="514" t="s">
        <v>20</v>
      </c>
      <c r="C61" s="515" t="s">
        <v>124</v>
      </c>
      <c r="D61" s="516" t="s">
        <v>492</v>
      </c>
      <c r="E61" s="517"/>
      <c r="F61" s="517" t="s">
        <v>493</v>
      </c>
      <c r="H61" s="539"/>
      <c r="I61" s="539"/>
      <c r="J61" s="539"/>
      <c r="K61" s="539"/>
      <c r="L61" s="539"/>
      <c r="M61" s="539"/>
      <c r="N61" s="539"/>
      <c r="O61" s="539"/>
      <c r="P61" s="539"/>
      <c r="Q61" s="539"/>
    </row>
    <row r="62" spans="1:18" ht="15" customHeight="1">
      <c r="H62" s="548"/>
      <c r="I62" s="548"/>
      <c r="J62" s="548"/>
      <c r="K62" s="548"/>
      <c r="L62" s="548"/>
      <c r="M62" s="548"/>
      <c r="N62" s="548"/>
      <c r="O62" s="548"/>
      <c r="P62" s="548"/>
      <c r="Q62" s="548"/>
    </row>
    <row r="63" spans="1:18" s="233" customFormat="1" ht="15" customHeight="1">
      <c r="B63" s="14"/>
      <c r="C63" s="15" t="s">
        <v>128</v>
      </c>
      <c r="D63" s="15"/>
      <c r="E63" s="15"/>
      <c r="F63" s="372"/>
      <c r="H63" s="14"/>
      <c r="I63" s="513"/>
      <c r="J63" s="513"/>
      <c r="K63" s="513"/>
      <c r="L63" s="513"/>
      <c r="M63" s="513"/>
      <c r="N63" s="513"/>
      <c r="O63" s="513"/>
      <c r="P63" s="513"/>
      <c r="Q63" s="17"/>
    </row>
    <row r="64" spans="1:18" ht="3.75" customHeight="1">
      <c r="B64" s="549"/>
      <c r="H64" s="550"/>
      <c r="I64" s="550"/>
      <c r="J64" s="550"/>
      <c r="K64" s="550"/>
      <c r="L64" s="550"/>
      <c r="M64" s="550"/>
      <c r="N64" s="550"/>
      <c r="O64" s="550"/>
      <c r="P64" s="550"/>
      <c r="Q64" s="550"/>
    </row>
    <row r="65" spans="1:18" s="532" customFormat="1" ht="15" customHeight="1">
      <c r="B65" s="137"/>
      <c r="C65" s="138" t="s">
        <v>494</v>
      </c>
      <c r="D65" s="138"/>
      <c r="E65" s="138"/>
      <c r="F65" s="529"/>
      <c r="G65" s="233"/>
      <c r="H65" s="137"/>
      <c r="I65" s="234"/>
      <c r="J65" s="234"/>
      <c r="K65" s="234"/>
      <c r="L65" s="234"/>
      <c r="M65" s="234"/>
      <c r="N65" s="234"/>
      <c r="O65" s="234"/>
      <c r="P65" s="234"/>
      <c r="Q65" s="530"/>
    </row>
    <row r="66" spans="1:18" ht="15" customHeight="1">
      <c r="A66" s="478"/>
      <c r="B66" s="482"/>
      <c r="C66" s="551" t="s">
        <v>495</v>
      </c>
      <c r="D66" s="552"/>
      <c r="E66" s="552"/>
      <c r="F66" s="552"/>
      <c r="H66" s="553">
        <v>0.05</v>
      </c>
      <c r="I66" s="553">
        <f t="shared" ref="I66:J71" si="6">H66</f>
        <v>0.05</v>
      </c>
      <c r="J66" s="553">
        <f t="shared" si="6"/>
        <v>0.05</v>
      </c>
      <c r="K66" s="553">
        <f t="shared" ref="K66:K71" si="7">I66</f>
        <v>0.05</v>
      </c>
      <c r="L66" s="553">
        <f t="shared" ref="L66:P71" si="8">K66</f>
        <v>0.05</v>
      </c>
      <c r="M66" s="553">
        <f t="shared" si="8"/>
        <v>0.05</v>
      </c>
      <c r="N66" s="553">
        <f t="shared" si="8"/>
        <v>0.05</v>
      </c>
      <c r="O66" s="553">
        <f t="shared" si="8"/>
        <v>0.05</v>
      </c>
      <c r="P66" s="553">
        <f t="shared" si="8"/>
        <v>0.05</v>
      </c>
      <c r="Q66" s="553">
        <f t="shared" ref="Q66:Q71" si="9">IFERROR(ROUND(IF($Q$17="Simples", INDEX(H66:P66,MATCH($Q$18,$H$18:$P$18,1)), INDEX(H66:P66,MATCH($Q$17,$H$15:$P$15,0)) ),4),"")</f>
        <v>0.05</v>
      </c>
      <c r="R66" s="503"/>
    </row>
    <row r="67" spans="1:18" ht="15" customHeight="1">
      <c r="A67" s="478"/>
      <c r="B67" s="482"/>
      <c r="C67" s="551" t="s">
        <v>102</v>
      </c>
      <c r="D67" s="552"/>
      <c r="E67" s="552"/>
      <c r="F67" s="552"/>
      <c r="H67" s="553">
        <v>0.08</v>
      </c>
      <c r="I67" s="553">
        <f t="shared" si="6"/>
        <v>0.08</v>
      </c>
      <c r="J67" s="553">
        <f t="shared" si="6"/>
        <v>0.08</v>
      </c>
      <c r="K67" s="553">
        <f t="shared" si="7"/>
        <v>0.08</v>
      </c>
      <c r="L67" s="553">
        <f t="shared" si="8"/>
        <v>0.08</v>
      </c>
      <c r="M67" s="553">
        <f t="shared" si="8"/>
        <v>0.08</v>
      </c>
      <c r="N67" s="553">
        <f t="shared" si="8"/>
        <v>0.08</v>
      </c>
      <c r="O67" s="553">
        <f t="shared" si="8"/>
        <v>0.08</v>
      </c>
      <c r="P67" s="553">
        <f t="shared" si="8"/>
        <v>0.08</v>
      </c>
      <c r="Q67" s="553">
        <f t="shared" si="9"/>
        <v>0.08</v>
      </c>
      <c r="R67" s="503"/>
    </row>
    <row r="68" spans="1:18" ht="15" customHeight="1">
      <c r="A68" s="478"/>
      <c r="B68" s="482"/>
      <c r="C68" s="551" t="s">
        <v>496</v>
      </c>
      <c r="D68" s="552"/>
      <c r="E68" s="552"/>
      <c r="F68" s="552"/>
      <c r="H68" s="553">
        <v>0.4</v>
      </c>
      <c r="I68" s="553">
        <f t="shared" si="6"/>
        <v>0.4</v>
      </c>
      <c r="J68" s="553">
        <f t="shared" si="6"/>
        <v>0.4</v>
      </c>
      <c r="K68" s="553">
        <f t="shared" si="7"/>
        <v>0.4</v>
      </c>
      <c r="L68" s="553">
        <f t="shared" si="8"/>
        <v>0.4</v>
      </c>
      <c r="M68" s="553">
        <f t="shared" si="8"/>
        <v>0.4</v>
      </c>
      <c r="N68" s="553">
        <f t="shared" si="8"/>
        <v>0.4</v>
      </c>
      <c r="O68" s="553">
        <f t="shared" si="8"/>
        <v>0.4</v>
      </c>
      <c r="P68" s="553">
        <f t="shared" si="8"/>
        <v>0.4</v>
      </c>
      <c r="Q68" s="553">
        <f t="shared" si="9"/>
        <v>0.4</v>
      </c>
      <c r="R68" s="503"/>
    </row>
    <row r="69" spans="1:18" ht="15" customHeight="1">
      <c r="A69" s="478"/>
      <c r="B69" s="482"/>
      <c r="C69" s="551" t="s">
        <v>497</v>
      </c>
      <c r="D69" s="552"/>
      <c r="E69" s="552"/>
      <c r="F69" s="552"/>
      <c r="H69" s="553">
        <v>0.02</v>
      </c>
      <c r="I69" s="553">
        <f t="shared" si="6"/>
        <v>0.02</v>
      </c>
      <c r="J69" s="553">
        <f t="shared" si="6"/>
        <v>0.02</v>
      </c>
      <c r="K69" s="553">
        <f t="shared" si="7"/>
        <v>0.02</v>
      </c>
      <c r="L69" s="553">
        <f t="shared" si="8"/>
        <v>0.02</v>
      </c>
      <c r="M69" s="553">
        <f t="shared" si="8"/>
        <v>0.02</v>
      </c>
      <c r="N69" s="553">
        <f t="shared" si="8"/>
        <v>0.02</v>
      </c>
      <c r="O69" s="553">
        <f t="shared" si="8"/>
        <v>0.02</v>
      </c>
      <c r="P69" s="553">
        <f t="shared" si="8"/>
        <v>0.02</v>
      </c>
      <c r="Q69" s="553">
        <f t="shared" si="9"/>
        <v>0.02</v>
      </c>
      <c r="R69" s="503"/>
    </row>
    <row r="70" spans="1:18" ht="15" customHeight="1">
      <c r="A70" s="478"/>
      <c r="B70" s="482"/>
      <c r="C70" s="551" t="s">
        <v>498</v>
      </c>
      <c r="D70" s="552"/>
      <c r="E70" s="552"/>
      <c r="F70" s="552"/>
      <c r="H70" s="553">
        <v>1</v>
      </c>
      <c r="I70" s="553">
        <f t="shared" si="6"/>
        <v>1</v>
      </c>
      <c r="J70" s="553">
        <f t="shared" si="6"/>
        <v>1</v>
      </c>
      <c r="K70" s="553">
        <f t="shared" si="7"/>
        <v>1</v>
      </c>
      <c r="L70" s="553">
        <f t="shared" si="8"/>
        <v>1</v>
      </c>
      <c r="M70" s="553">
        <f t="shared" si="8"/>
        <v>1</v>
      </c>
      <c r="N70" s="553">
        <f t="shared" si="8"/>
        <v>1</v>
      </c>
      <c r="O70" s="553">
        <f t="shared" si="8"/>
        <v>1</v>
      </c>
      <c r="P70" s="553">
        <f t="shared" si="8"/>
        <v>1</v>
      </c>
      <c r="Q70" s="553">
        <f t="shared" si="9"/>
        <v>1</v>
      </c>
      <c r="R70" s="503"/>
    </row>
    <row r="71" spans="1:18" ht="15" customHeight="1">
      <c r="A71" s="478"/>
      <c r="B71" s="482"/>
      <c r="C71" s="551" t="s">
        <v>499</v>
      </c>
      <c r="D71" s="554"/>
      <c r="E71" s="554"/>
      <c r="F71" s="554"/>
      <c r="H71" s="555">
        <v>7</v>
      </c>
      <c r="I71" s="555">
        <f t="shared" si="6"/>
        <v>7</v>
      </c>
      <c r="J71" s="555">
        <f t="shared" si="6"/>
        <v>7</v>
      </c>
      <c r="K71" s="555">
        <f t="shared" si="7"/>
        <v>7</v>
      </c>
      <c r="L71" s="555">
        <f t="shared" si="8"/>
        <v>7</v>
      </c>
      <c r="M71" s="555">
        <f t="shared" si="8"/>
        <v>7</v>
      </c>
      <c r="N71" s="555">
        <f t="shared" si="8"/>
        <v>7</v>
      </c>
      <c r="O71" s="555">
        <f t="shared" si="8"/>
        <v>7</v>
      </c>
      <c r="P71" s="555">
        <f t="shared" si="8"/>
        <v>7</v>
      </c>
      <c r="Q71" s="555">
        <f t="shared" si="9"/>
        <v>7</v>
      </c>
      <c r="R71" s="503"/>
    </row>
    <row r="72" spans="1:18" ht="3.75" customHeight="1">
      <c r="B72" s="556"/>
      <c r="C72" s="557"/>
      <c r="D72" s="556"/>
      <c r="E72" s="556"/>
      <c r="F72" s="556"/>
      <c r="H72" s="558"/>
      <c r="I72" s="558"/>
      <c r="J72" s="558"/>
      <c r="K72" s="558"/>
      <c r="L72" s="558"/>
      <c r="M72" s="558"/>
      <c r="N72" s="558"/>
      <c r="O72" s="558"/>
      <c r="P72" s="558"/>
      <c r="Q72" s="558"/>
    </row>
    <row r="73" spans="1:18" s="532" customFormat="1" ht="15" customHeight="1">
      <c r="B73" s="137"/>
      <c r="C73" s="138" t="s">
        <v>500</v>
      </c>
      <c r="D73" s="138"/>
      <c r="E73" s="138"/>
      <c r="F73" s="529"/>
      <c r="G73" s="233"/>
      <c r="H73" s="137"/>
      <c r="I73" s="234"/>
      <c r="J73" s="234"/>
      <c r="K73" s="234"/>
      <c r="L73" s="234"/>
      <c r="M73" s="234"/>
      <c r="N73" s="234"/>
      <c r="O73" s="234"/>
      <c r="P73" s="234"/>
      <c r="Q73" s="530"/>
    </row>
    <row r="74" spans="1:18" ht="15" customHeight="1">
      <c r="A74" s="478"/>
      <c r="B74" s="482" t="s">
        <v>1</v>
      </c>
      <c r="C74" s="483" t="s">
        <v>129</v>
      </c>
      <c r="D74" s="516" t="s">
        <v>501</v>
      </c>
      <c r="E74" s="517" t="s">
        <v>502</v>
      </c>
      <c r="F74" s="517" t="s">
        <v>503</v>
      </c>
      <c r="H74" s="539">
        <f>(($D$5/$D$5)/$D$10)*H66</f>
        <v>4.1666666666666666E-3</v>
      </c>
      <c r="I74" s="539">
        <f t="shared" ref="I74:J77" si="10">H74</f>
        <v>4.1666666666666666E-3</v>
      </c>
      <c r="J74" s="539">
        <f t="shared" si="10"/>
        <v>4.1666666666666666E-3</v>
      </c>
      <c r="K74" s="539">
        <f>I74</f>
        <v>4.1666666666666666E-3</v>
      </c>
      <c r="L74" s="539">
        <f t="shared" ref="L74:P77" si="11">K74</f>
        <v>4.1666666666666666E-3</v>
      </c>
      <c r="M74" s="539">
        <f t="shared" si="11"/>
        <v>4.1666666666666666E-3</v>
      </c>
      <c r="N74" s="539">
        <f t="shared" si="11"/>
        <v>4.1666666666666666E-3</v>
      </c>
      <c r="O74" s="539">
        <f t="shared" si="11"/>
        <v>4.1666666666666666E-3</v>
      </c>
      <c r="P74" s="539">
        <f t="shared" si="11"/>
        <v>4.1666666666666666E-3</v>
      </c>
      <c r="Q74" s="539">
        <f t="shared" ref="Q74:Q79" si="12">IFERROR(ROUND(IF($Q$17="Simples", INDEX(H74:P74,MATCH($Q$18,$H$18:$P$18,1)), INDEX(H74:P74,MATCH($Q$17,$H$15:$P$15,0)) ),4),"")</f>
        <v>4.1999999999999997E-3</v>
      </c>
      <c r="R74" s="503"/>
    </row>
    <row r="75" spans="1:18" ht="15" customHeight="1">
      <c r="A75" s="478"/>
      <c r="B75" s="540" t="s">
        <v>4</v>
      </c>
      <c r="C75" s="483" t="s">
        <v>130</v>
      </c>
      <c r="D75" s="516" t="s">
        <v>504</v>
      </c>
      <c r="E75" s="517" t="s">
        <v>505</v>
      </c>
      <c r="F75" s="517"/>
      <c r="H75" s="539">
        <f>(($D$5/$D$5)/$D$10)*H66*H67</f>
        <v>3.3333333333333332E-4</v>
      </c>
      <c r="I75" s="539">
        <f t="shared" si="10"/>
        <v>3.3333333333333332E-4</v>
      </c>
      <c r="J75" s="539">
        <f t="shared" si="10"/>
        <v>3.3333333333333332E-4</v>
      </c>
      <c r="K75" s="539">
        <f>I75</f>
        <v>3.3333333333333332E-4</v>
      </c>
      <c r="L75" s="539">
        <f t="shared" si="11"/>
        <v>3.3333333333333332E-4</v>
      </c>
      <c r="M75" s="539">
        <f t="shared" si="11"/>
        <v>3.3333333333333332E-4</v>
      </c>
      <c r="N75" s="539">
        <f t="shared" si="11"/>
        <v>3.3333333333333332E-4</v>
      </c>
      <c r="O75" s="539">
        <f t="shared" si="11"/>
        <v>3.3333333333333332E-4</v>
      </c>
      <c r="P75" s="539">
        <f t="shared" si="11"/>
        <v>3.3333333333333332E-4</v>
      </c>
      <c r="Q75" s="539">
        <f t="shared" si="12"/>
        <v>2.9999999999999997E-4</v>
      </c>
      <c r="R75" s="503"/>
    </row>
    <row r="76" spans="1:18" ht="15" customHeight="1">
      <c r="A76" s="478"/>
      <c r="B76" s="540" t="s">
        <v>6</v>
      </c>
      <c r="C76" s="483" t="s">
        <v>131</v>
      </c>
      <c r="D76" s="516" t="s">
        <v>506</v>
      </c>
      <c r="E76" s="517" t="s">
        <v>507</v>
      </c>
      <c r="F76" s="517" t="s">
        <v>508</v>
      </c>
      <c r="H76" s="559">
        <f>H74*H67*H68</f>
        <v>1.3333333333333334E-4</v>
      </c>
      <c r="I76" s="539">
        <f t="shared" si="10"/>
        <v>1.3333333333333334E-4</v>
      </c>
      <c r="J76" s="539">
        <f t="shared" si="10"/>
        <v>1.3333333333333334E-4</v>
      </c>
      <c r="K76" s="539">
        <f>I76</f>
        <v>1.3333333333333334E-4</v>
      </c>
      <c r="L76" s="539">
        <f t="shared" si="11"/>
        <v>1.3333333333333334E-4</v>
      </c>
      <c r="M76" s="539">
        <f t="shared" si="11"/>
        <v>1.3333333333333334E-4</v>
      </c>
      <c r="N76" s="539">
        <f t="shared" si="11"/>
        <v>1.3333333333333334E-4</v>
      </c>
      <c r="O76" s="539">
        <f t="shared" si="11"/>
        <v>1.3333333333333334E-4</v>
      </c>
      <c r="P76" s="539">
        <f t="shared" si="11"/>
        <v>1.3333333333333334E-4</v>
      </c>
      <c r="Q76" s="539">
        <f t="shared" si="12"/>
        <v>1E-4</v>
      </c>
      <c r="R76" s="503"/>
    </row>
    <row r="77" spans="1:18" ht="15" customHeight="1">
      <c r="A77" s="478"/>
      <c r="B77" s="482" t="s">
        <v>9</v>
      </c>
      <c r="C77" s="483" t="s">
        <v>132</v>
      </c>
      <c r="D77" s="516" t="s">
        <v>509</v>
      </c>
      <c r="E77" s="517" t="s">
        <v>510</v>
      </c>
      <c r="F77" s="517" t="s">
        <v>511</v>
      </c>
      <c r="H77" s="559">
        <f>(H71/$D$5*(1+0.1*MAX(0,ROUNDUP('Mão de Obra'!$D$12/12,0)-1))/'Mão de Obra'!$D$12)</f>
        <v>5.4444444444444445E-3</v>
      </c>
      <c r="I77" s="539">
        <f t="shared" si="10"/>
        <v>5.4444444444444445E-3</v>
      </c>
      <c r="J77" s="539">
        <f t="shared" si="10"/>
        <v>5.4444444444444445E-3</v>
      </c>
      <c r="K77" s="539">
        <f>I77</f>
        <v>5.4444444444444445E-3</v>
      </c>
      <c r="L77" s="539">
        <f t="shared" si="11"/>
        <v>5.4444444444444445E-3</v>
      </c>
      <c r="M77" s="539">
        <f t="shared" si="11"/>
        <v>5.4444444444444445E-3</v>
      </c>
      <c r="N77" s="539">
        <f t="shared" si="11"/>
        <v>5.4444444444444445E-3</v>
      </c>
      <c r="O77" s="539">
        <f t="shared" si="11"/>
        <v>5.4444444444444445E-3</v>
      </c>
      <c r="P77" s="539">
        <f t="shared" si="11"/>
        <v>5.4444444444444445E-3</v>
      </c>
      <c r="Q77" s="539">
        <f t="shared" si="12"/>
        <v>5.4000000000000003E-3</v>
      </c>
      <c r="R77" s="503"/>
    </row>
    <row r="78" spans="1:18" ht="15" customHeight="1">
      <c r="A78" s="478"/>
      <c r="B78" s="540" t="s">
        <v>12</v>
      </c>
      <c r="C78" s="483" t="s">
        <v>133</v>
      </c>
      <c r="D78" s="516" t="s">
        <v>512</v>
      </c>
      <c r="E78" s="517" t="s">
        <v>513</v>
      </c>
      <c r="F78" s="560" t="s">
        <v>514</v>
      </c>
      <c r="H78" s="539">
        <f t="shared" ref="H78:P78" si="13">H77*H51</f>
        <v>2.0035555555555562E-3</v>
      </c>
      <c r="I78" s="539">
        <f t="shared" si="13"/>
        <v>2.0035555555555562E-3</v>
      </c>
      <c r="J78" s="539">
        <f t="shared" si="13"/>
        <v>1.6877777777777781E-3</v>
      </c>
      <c r="K78" s="539">
        <f t="shared" si="13"/>
        <v>1.6877777777777781E-3</v>
      </c>
      <c r="L78" s="539">
        <f t="shared" si="13"/>
        <v>1.6877777777777781E-3</v>
      </c>
      <c r="M78" s="539">
        <f t="shared" si="13"/>
        <v>1.6877777777777781E-3</v>
      </c>
      <c r="N78" s="539">
        <f t="shared" si="13"/>
        <v>1.6877777777777781E-3</v>
      </c>
      <c r="O78" s="539">
        <f t="shared" si="13"/>
        <v>1.6877777777777781E-3</v>
      </c>
      <c r="P78" s="539">
        <f t="shared" si="13"/>
        <v>1.6877777777777781E-3</v>
      </c>
      <c r="Q78" s="539">
        <f t="shared" si="12"/>
        <v>2E-3</v>
      </c>
      <c r="R78" s="503"/>
    </row>
    <row r="79" spans="1:18" ht="15" customHeight="1">
      <c r="A79" s="478"/>
      <c r="B79" s="540" t="s">
        <v>15</v>
      </c>
      <c r="C79" s="483" t="s">
        <v>134</v>
      </c>
      <c r="D79" s="516" t="s">
        <v>515</v>
      </c>
      <c r="E79" s="517" t="s">
        <v>516</v>
      </c>
      <c r="F79" s="517" t="s">
        <v>517</v>
      </c>
      <c r="H79" s="535">
        <v>0.04</v>
      </c>
      <c r="I79" s="539">
        <f>H79</f>
        <v>0.04</v>
      </c>
      <c r="J79" s="539">
        <f>I79</f>
        <v>0.04</v>
      </c>
      <c r="K79" s="539">
        <f>I79</f>
        <v>0.04</v>
      </c>
      <c r="L79" s="539">
        <f>K79</f>
        <v>0.04</v>
      </c>
      <c r="M79" s="539">
        <f>L79</f>
        <v>0.04</v>
      </c>
      <c r="N79" s="539">
        <f>M79</f>
        <v>0.04</v>
      </c>
      <c r="O79" s="539">
        <f>N79</f>
        <v>0.04</v>
      </c>
      <c r="P79" s="539">
        <f>O79</f>
        <v>0.04</v>
      </c>
      <c r="Q79" s="539">
        <f t="shared" si="12"/>
        <v>0.04</v>
      </c>
      <c r="R79" s="503"/>
    </row>
    <row r="80" spans="1:18" ht="15" customHeight="1">
      <c r="B80" s="556"/>
      <c r="C80" s="557"/>
      <c r="D80" s="556"/>
      <c r="E80" s="556"/>
      <c r="F80" s="556"/>
      <c r="H80" s="558"/>
      <c r="I80" s="558"/>
      <c r="J80" s="558"/>
      <c r="K80" s="558"/>
      <c r="L80" s="558"/>
      <c r="M80" s="558"/>
      <c r="N80" s="558"/>
      <c r="O80" s="558"/>
      <c r="P80" s="558"/>
      <c r="Q80" s="558"/>
    </row>
    <row r="81" spans="1:18" s="233" customFormat="1" ht="15" customHeight="1">
      <c r="B81" s="14"/>
      <c r="C81" s="15" t="s">
        <v>136</v>
      </c>
      <c r="D81" s="15"/>
      <c r="E81" s="15"/>
      <c r="F81" s="372"/>
      <c r="H81" s="14"/>
      <c r="I81" s="513"/>
      <c r="J81" s="513"/>
      <c r="K81" s="513"/>
      <c r="L81" s="513"/>
      <c r="M81" s="513"/>
      <c r="N81" s="513"/>
      <c r="O81" s="513"/>
      <c r="P81" s="513"/>
      <c r="Q81" s="17"/>
    </row>
    <row r="82" spans="1:18" s="532" customFormat="1" ht="3.75" customHeight="1">
      <c r="B82" s="561"/>
      <c r="C82" s="562"/>
      <c r="D82" s="561"/>
      <c r="E82" s="561"/>
      <c r="F82" s="561"/>
      <c r="G82" s="233"/>
      <c r="H82" s="563"/>
      <c r="I82" s="563"/>
      <c r="J82" s="563"/>
      <c r="K82" s="563"/>
      <c r="L82" s="563"/>
      <c r="M82" s="563"/>
      <c r="N82" s="563"/>
      <c r="O82" s="563"/>
      <c r="P82" s="563"/>
      <c r="Q82" s="563"/>
    </row>
    <row r="83" spans="1:18" s="532" customFormat="1" ht="15" customHeight="1">
      <c r="B83" s="137"/>
      <c r="C83" s="138" t="s">
        <v>494</v>
      </c>
      <c r="D83" s="138"/>
      <c r="E83" s="138"/>
      <c r="F83" s="529"/>
      <c r="G83" s="233"/>
      <c r="H83" s="137"/>
      <c r="I83" s="234"/>
      <c r="J83" s="234"/>
      <c r="K83" s="234"/>
      <c r="L83" s="234"/>
      <c r="M83" s="234"/>
      <c r="N83" s="234"/>
      <c r="O83" s="234"/>
      <c r="P83" s="234"/>
      <c r="Q83" s="530"/>
    </row>
    <row r="84" spans="1:18" ht="15" customHeight="1">
      <c r="A84" s="478"/>
      <c r="B84" s="564"/>
      <c r="C84" s="551" t="s">
        <v>518</v>
      </c>
      <c r="D84" s="554"/>
      <c r="E84" s="565"/>
      <c r="F84" s="517" t="s">
        <v>519</v>
      </c>
      <c r="H84" s="555">
        <v>5</v>
      </c>
      <c r="I84" s="555">
        <f t="shared" ref="I84:J97" si="14">H84</f>
        <v>5</v>
      </c>
      <c r="J84" s="555">
        <f t="shared" si="14"/>
        <v>5</v>
      </c>
      <c r="K84" s="555">
        <f t="shared" ref="K84:K97" si="15">I84</f>
        <v>5</v>
      </c>
      <c r="L84" s="555">
        <f t="shared" ref="L84:P97" si="16">K84</f>
        <v>5</v>
      </c>
      <c r="M84" s="555">
        <f t="shared" si="16"/>
        <v>5</v>
      </c>
      <c r="N84" s="555">
        <f t="shared" si="16"/>
        <v>5</v>
      </c>
      <c r="O84" s="555">
        <f t="shared" si="16"/>
        <v>5</v>
      </c>
      <c r="P84" s="555">
        <f t="shared" si="16"/>
        <v>5</v>
      </c>
      <c r="Q84" s="555">
        <f t="shared" ref="Q84:Q97" si="17">IFERROR(ROUND(IF($Q$17="Simples", INDEX(H84:P84,MATCH($Q$18,$H$18:$P$18,1)), INDEX(H84:P84,MATCH($Q$17,$H$15:$P$15,0)) ),4),"")</f>
        <v>5</v>
      </c>
      <c r="R84" s="503"/>
    </row>
    <row r="85" spans="1:18" ht="15" customHeight="1">
      <c r="A85" s="478"/>
      <c r="B85" s="564"/>
      <c r="C85" s="551" t="s">
        <v>520</v>
      </c>
      <c r="D85" s="554"/>
      <c r="E85" s="554"/>
      <c r="F85" s="554"/>
      <c r="H85" s="555">
        <v>5</v>
      </c>
      <c r="I85" s="555">
        <f t="shared" si="14"/>
        <v>5</v>
      </c>
      <c r="J85" s="555">
        <f t="shared" si="14"/>
        <v>5</v>
      </c>
      <c r="K85" s="555">
        <f t="shared" si="15"/>
        <v>5</v>
      </c>
      <c r="L85" s="555">
        <f t="shared" si="16"/>
        <v>5</v>
      </c>
      <c r="M85" s="555">
        <f t="shared" si="16"/>
        <v>5</v>
      </c>
      <c r="N85" s="555">
        <f t="shared" si="16"/>
        <v>5</v>
      </c>
      <c r="O85" s="555">
        <f t="shared" si="16"/>
        <v>5</v>
      </c>
      <c r="P85" s="555">
        <f t="shared" si="16"/>
        <v>5</v>
      </c>
      <c r="Q85" s="555">
        <f t="shared" si="17"/>
        <v>5</v>
      </c>
      <c r="R85" s="503"/>
    </row>
    <row r="86" spans="1:18" ht="15" customHeight="1">
      <c r="A86" s="478"/>
      <c r="B86" s="564"/>
      <c r="C86" s="551" t="s">
        <v>521</v>
      </c>
      <c r="D86" s="566"/>
      <c r="E86" s="566"/>
      <c r="F86" s="517" t="s">
        <v>522</v>
      </c>
      <c r="H86" s="535">
        <v>1.4999999999999999E-2</v>
      </c>
      <c r="I86" s="535">
        <f t="shared" si="14"/>
        <v>1.4999999999999999E-2</v>
      </c>
      <c r="J86" s="535">
        <f t="shared" si="14"/>
        <v>1.4999999999999999E-2</v>
      </c>
      <c r="K86" s="535">
        <f t="shared" si="15"/>
        <v>1.4999999999999999E-2</v>
      </c>
      <c r="L86" s="535">
        <f t="shared" si="16"/>
        <v>1.4999999999999999E-2</v>
      </c>
      <c r="M86" s="535">
        <f t="shared" si="16"/>
        <v>1.4999999999999999E-2</v>
      </c>
      <c r="N86" s="535">
        <f t="shared" si="16"/>
        <v>1.4999999999999999E-2</v>
      </c>
      <c r="O86" s="535">
        <f t="shared" si="16"/>
        <v>1.4999999999999999E-2</v>
      </c>
      <c r="P86" s="535">
        <f t="shared" si="16"/>
        <v>1.4999999999999999E-2</v>
      </c>
      <c r="Q86" s="535">
        <f t="shared" si="17"/>
        <v>1.4999999999999999E-2</v>
      </c>
      <c r="R86" s="503"/>
    </row>
    <row r="87" spans="1:18" ht="15" customHeight="1">
      <c r="A87" s="478"/>
      <c r="B87" s="564"/>
      <c r="C87" s="551" t="s">
        <v>523</v>
      </c>
      <c r="D87" s="567"/>
      <c r="E87" s="567"/>
      <c r="F87" s="517" t="s">
        <v>524</v>
      </c>
      <c r="H87" s="568">
        <v>2.96</v>
      </c>
      <c r="I87" s="568">
        <f t="shared" si="14"/>
        <v>2.96</v>
      </c>
      <c r="J87" s="568">
        <f t="shared" si="14"/>
        <v>2.96</v>
      </c>
      <c r="K87" s="568">
        <f t="shared" si="15"/>
        <v>2.96</v>
      </c>
      <c r="L87" s="568">
        <f t="shared" si="16"/>
        <v>2.96</v>
      </c>
      <c r="M87" s="568">
        <f t="shared" si="16"/>
        <v>2.96</v>
      </c>
      <c r="N87" s="568">
        <f t="shared" si="16"/>
        <v>2.96</v>
      </c>
      <c r="O87" s="568">
        <f t="shared" si="16"/>
        <v>2.96</v>
      </c>
      <c r="P87" s="568">
        <f t="shared" si="16"/>
        <v>2.96</v>
      </c>
      <c r="Q87" s="568">
        <f t="shared" si="17"/>
        <v>2.96</v>
      </c>
      <c r="R87" s="503"/>
    </row>
    <row r="88" spans="1:18" ht="15" customHeight="1">
      <c r="A88" s="478"/>
      <c r="B88" s="564"/>
      <c r="C88" s="551" t="s">
        <v>525</v>
      </c>
      <c r="D88" s="566"/>
      <c r="E88" s="566"/>
      <c r="F88" s="517" t="s">
        <v>526</v>
      </c>
      <c r="H88" s="535">
        <v>7.7999999999999996E-3</v>
      </c>
      <c r="I88" s="535">
        <f t="shared" si="14"/>
        <v>7.7999999999999996E-3</v>
      </c>
      <c r="J88" s="535">
        <f t="shared" si="14"/>
        <v>7.7999999999999996E-3</v>
      </c>
      <c r="K88" s="535">
        <f t="shared" si="15"/>
        <v>7.7999999999999996E-3</v>
      </c>
      <c r="L88" s="535">
        <f t="shared" si="16"/>
        <v>7.7999999999999996E-3</v>
      </c>
      <c r="M88" s="535">
        <f t="shared" si="16"/>
        <v>7.7999999999999996E-3</v>
      </c>
      <c r="N88" s="535">
        <f t="shared" si="16"/>
        <v>7.7999999999999996E-3</v>
      </c>
      <c r="O88" s="535">
        <f t="shared" si="16"/>
        <v>7.7999999999999996E-3</v>
      </c>
      <c r="P88" s="535">
        <f t="shared" si="16"/>
        <v>7.7999999999999996E-3</v>
      </c>
      <c r="Q88" s="535">
        <f t="shared" si="17"/>
        <v>7.7999999999999996E-3</v>
      </c>
      <c r="R88" s="503"/>
    </row>
    <row r="89" spans="1:18" ht="15" customHeight="1">
      <c r="A89" s="478"/>
      <c r="B89" s="564"/>
      <c r="C89" s="551" t="s">
        <v>527</v>
      </c>
      <c r="D89" s="554"/>
      <c r="E89" s="554"/>
      <c r="F89" s="554"/>
      <c r="H89" s="555">
        <v>15</v>
      </c>
      <c r="I89" s="555">
        <f t="shared" si="14"/>
        <v>15</v>
      </c>
      <c r="J89" s="555">
        <f t="shared" si="14"/>
        <v>15</v>
      </c>
      <c r="K89" s="555">
        <f t="shared" si="15"/>
        <v>15</v>
      </c>
      <c r="L89" s="555">
        <f t="shared" si="16"/>
        <v>15</v>
      </c>
      <c r="M89" s="555">
        <f t="shared" si="16"/>
        <v>15</v>
      </c>
      <c r="N89" s="555">
        <f t="shared" si="16"/>
        <v>15</v>
      </c>
      <c r="O89" s="555">
        <f t="shared" si="16"/>
        <v>15</v>
      </c>
      <c r="P89" s="555">
        <f t="shared" si="16"/>
        <v>15</v>
      </c>
      <c r="Q89" s="555">
        <f t="shared" si="17"/>
        <v>15</v>
      </c>
      <c r="R89" s="503"/>
    </row>
    <row r="90" spans="1:18" ht="15" customHeight="1">
      <c r="A90" s="478"/>
      <c r="B90" s="564"/>
      <c r="C90" s="551" t="s">
        <v>528</v>
      </c>
      <c r="D90" s="569"/>
      <c r="E90" s="570"/>
      <c r="F90" s="569"/>
      <c r="H90" s="571">
        <v>4</v>
      </c>
      <c r="I90" s="571">
        <f t="shared" si="14"/>
        <v>4</v>
      </c>
      <c r="J90" s="571">
        <f t="shared" si="14"/>
        <v>4</v>
      </c>
      <c r="K90" s="571">
        <f t="shared" si="15"/>
        <v>4</v>
      </c>
      <c r="L90" s="571">
        <f t="shared" si="16"/>
        <v>4</v>
      </c>
      <c r="M90" s="571">
        <f t="shared" si="16"/>
        <v>4</v>
      </c>
      <c r="N90" s="571">
        <f t="shared" si="16"/>
        <v>4</v>
      </c>
      <c r="O90" s="571">
        <f t="shared" si="16"/>
        <v>4</v>
      </c>
      <c r="P90" s="571">
        <f t="shared" si="16"/>
        <v>4</v>
      </c>
      <c r="Q90" s="571">
        <f t="shared" si="17"/>
        <v>4</v>
      </c>
      <c r="R90" s="503"/>
    </row>
    <row r="91" spans="1:18" ht="15" customHeight="1">
      <c r="A91" s="478"/>
      <c r="B91" s="564"/>
      <c r="C91" s="551" t="s">
        <v>529</v>
      </c>
      <c r="D91" s="566"/>
      <c r="E91" s="566"/>
      <c r="F91" s="566"/>
      <c r="H91" s="535">
        <f>H90/12</f>
        <v>0.33333333333333331</v>
      </c>
      <c r="I91" s="535">
        <f t="shared" si="14"/>
        <v>0.33333333333333331</v>
      </c>
      <c r="J91" s="535">
        <f t="shared" si="14"/>
        <v>0.33333333333333331</v>
      </c>
      <c r="K91" s="535">
        <f t="shared" si="15"/>
        <v>0.33333333333333331</v>
      </c>
      <c r="L91" s="535">
        <f t="shared" si="16"/>
        <v>0.33333333333333331</v>
      </c>
      <c r="M91" s="535">
        <f t="shared" si="16"/>
        <v>0.33333333333333331</v>
      </c>
      <c r="N91" s="535">
        <f t="shared" si="16"/>
        <v>0.33333333333333331</v>
      </c>
      <c r="O91" s="535">
        <f t="shared" si="16"/>
        <v>0.33333333333333331</v>
      </c>
      <c r="P91" s="535">
        <f t="shared" si="16"/>
        <v>0.33333333333333331</v>
      </c>
      <c r="Q91" s="535">
        <f t="shared" si="17"/>
        <v>0.33329999999999999</v>
      </c>
      <c r="R91" s="503"/>
    </row>
    <row r="92" spans="1:18" ht="15" customHeight="1">
      <c r="A92" s="478"/>
      <c r="B92" s="564"/>
      <c r="C92" s="551" t="s">
        <v>530</v>
      </c>
      <c r="D92" s="572"/>
      <c r="E92" s="572"/>
      <c r="F92" s="572"/>
      <c r="H92" s="573">
        <v>2820968</v>
      </c>
      <c r="I92" s="573">
        <f t="shared" si="14"/>
        <v>2820968</v>
      </c>
      <c r="J92" s="573">
        <f t="shared" si="14"/>
        <v>2820968</v>
      </c>
      <c r="K92" s="573">
        <f t="shared" si="15"/>
        <v>2820968</v>
      </c>
      <c r="L92" s="573">
        <f t="shared" si="16"/>
        <v>2820968</v>
      </c>
      <c r="M92" s="573">
        <f t="shared" si="16"/>
        <v>2820968</v>
      </c>
      <c r="N92" s="573">
        <f t="shared" si="16"/>
        <v>2820968</v>
      </c>
      <c r="O92" s="573">
        <f t="shared" si="16"/>
        <v>2820968</v>
      </c>
      <c r="P92" s="573">
        <f t="shared" si="16"/>
        <v>2820968</v>
      </c>
      <c r="Q92" s="573">
        <f t="shared" si="17"/>
        <v>2820968</v>
      </c>
      <c r="R92" s="503"/>
    </row>
    <row r="93" spans="1:18" ht="15" customHeight="1">
      <c r="A93" s="478"/>
      <c r="B93" s="564"/>
      <c r="C93" s="551" t="s">
        <v>531</v>
      </c>
      <c r="D93" s="572"/>
      <c r="E93" s="572"/>
      <c r="F93" s="572"/>
      <c r="H93" s="573">
        <v>1303632</v>
      </c>
      <c r="I93" s="573">
        <f t="shared" si="14"/>
        <v>1303632</v>
      </c>
      <c r="J93" s="573">
        <f t="shared" si="14"/>
        <v>1303632</v>
      </c>
      <c r="K93" s="573">
        <f t="shared" si="15"/>
        <v>1303632</v>
      </c>
      <c r="L93" s="573">
        <f t="shared" si="16"/>
        <v>1303632</v>
      </c>
      <c r="M93" s="573">
        <f t="shared" si="16"/>
        <v>1303632</v>
      </c>
      <c r="N93" s="573">
        <f t="shared" si="16"/>
        <v>1303632</v>
      </c>
      <c r="O93" s="573">
        <f t="shared" si="16"/>
        <v>1303632</v>
      </c>
      <c r="P93" s="573">
        <f t="shared" si="16"/>
        <v>1303632</v>
      </c>
      <c r="Q93" s="573">
        <f t="shared" si="17"/>
        <v>1303632</v>
      </c>
      <c r="R93" s="503"/>
    </row>
    <row r="94" spans="1:18" ht="15" customHeight="1">
      <c r="A94" s="478"/>
      <c r="B94" s="564"/>
      <c r="C94" s="551" t="s">
        <v>532</v>
      </c>
      <c r="D94" s="572"/>
      <c r="E94" s="572"/>
      <c r="F94" s="572"/>
      <c r="H94" s="573">
        <v>52313</v>
      </c>
      <c r="I94" s="573">
        <f t="shared" si="14"/>
        <v>52313</v>
      </c>
      <c r="J94" s="573">
        <f t="shared" si="14"/>
        <v>52313</v>
      </c>
      <c r="K94" s="573">
        <f t="shared" si="15"/>
        <v>52313</v>
      </c>
      <c r="L94" s="573">
        <f t="shared" si="16"/>
        <v>52313</v>
      </c>
      <c r="M94" s="573">
        <f t="shared" si="16"/>
        <v>52313</v>
      </c>
      <c r="N94" s="573">
        <f t="shared" si="16"/>
        <v>52313</v>
      </c>
      <c r="O94" s="573">
        <f t="shared" si="16"/>
        <v>52313</v>
      </c>
      <c r="P94" s="573">
        <f t="shared" si="16"/>
        <v>52313</v>
      </c>
      <c r="Q94" s="573">
        <f t="shared" si="17"/>
        <v>52313</v>
      </c>
      <c r="R94" s="503"/>
    </row>
    <row r="95" spans="1:18" ht="15" customHeight="1">
      <c r="A95" s="478"/>
      <c r="B95" s="564"/>
      <c r="C95" s="551" t="s">
        <v>533</v>
      </c>
      <c r="D95" s="566"/>
      <c r="E95" s="566"/>
      <c r="F95" s="566"/>
      <c r="H95" s="535">
        <f>H94/H93</f>
        <v>4.012865593971305E-2</v>
      </c>
      <c r="I95" s="535">
        <f t="shared" si="14"/>
        <v>4.012865593971305E-2</v>
      </c>
      <c r="J95" s="535">
        <f t="shared" si="14"/>
        <v>4.012865593971305E-2</v>
      </c>
      <c r="K95" s="535">
        <f t="shared" si="15"/>
        <v>4.012865593971305E-2</v>
      </c>
      <c r="L95" s="535">
        <f t="shared" si="16"/>
        <v>4.012865593971305E-2</v>
      </c>
      <c r="M95" s="535">
        <f t="shared" si="16"/>
        <v>4.012865593971305E-2</v>
      </c>
      <c r="N95" s="535">
        <f t="shared" si="16"/>
        <v>4.012865593971305E-2</v>
      </c>
      <c r="O95" s="535">
        <f t="shared" si="16"/>
        <v>4.012865593971305E-2</v>
      </c>
      <c r="P95" s="535">
        <f t="shared" si="16"/>
        <v>4.012865593971305E-2</v>
      </c>
      <c r="Q95" s="535">
        <f t="shared" si="17"/>
        <v>4.0099999999999997E-2</v>
      </c>
      <c r="R95" s="503"/>
    </row>
    <row r="96" spans="1:18" ht="15" customHeight="1">
      <c r="A96" s="478"/>
      <c r="B96" s="564"/>
      <c r="C96" s="551" t="s">
        <v>534</v>
      </c>
      <c r="D96" s="552"/>
      <c r="E96" s="552"/>
      <c r="F96" s="552"/>
      <c r="H96" s="553">
        <f>H93/H92</f>
        <v>0.46212222187561147</v>
      </c>
      <c r="I96" s="553">
        <f t="shared" si="14"/>
        <v>0.46212222187561147</v>
      </c>
      <c r="J96" s="553">
        <f t="shared" si="14"/>
        <v>0.46212222187561147</v>
      </c>
      <c r="K96" s="553">
        <f t="shared" si="15"/>
        <v>0.46212222187561147</v>
      </c>
      <c r="L96" s="553">
        <f t="shared" si="16"/>
        <v>0.46212222187561147</v>
      </c>
      <c r="M96" s="553">
        <f t="shared" si="16"/>
        <v>0.46212222187561147</v>
      </c>
      <c r="N96" s="553">
        <f t="shared" si="16"/>
        <v>0.46212222187561147</v>
      </c>
      <c r="O96" s="553">
        <f t="shared" si="16"/>
        <v>0.46212222187561147</v>
      </c>
      <c r="P96" s="553">
        <f t="shared" si="16"/>
        <v>0.46212222187561147</v>
      </c>
      <c r="Q96" s="553">
        <f t="shared" si="17"/>
        <v>0.46210000000000001</v>
      </c>
      <c r="R96" s="503"/>
    </row>
    <row r="97" spans="1:18" ht="15" customHeight="1">
      <c r="A97" s="478"/>
      <c r="B97" s="564"/>
      <c r="C97" s="551" t="s">
        <v>535</v>
      </c>
      <c r="D97" s="566"/>
      <c r="E97" s="566"/>
      <c r="F97" s="574" t="s">
        <v>536</v>
      </c>
      <c r="H97" s="535">
        <f>H91*H95*H96</f>
        <v>6.181447881247382E-3</v>
      </c>
      <c r="I97" s="535">
        <f t="shared" si="14"/>
        <v>6.181447881247382E-3</v>
      </c>
      <c r="J97" s="535">
        <f t="shared" si="14"/>
        <v>6.181447881247382E-3</v>
      </c>
      <c r="K97" s="535">
        <f t="shared" si="15"/>
        <v>6.181447881247382E-3</v>
      </c>
      <c r="L97" s="535">
        <f t="shared" si="16"/>
        <v>6.181447881247382E-3</v>
      </c>
      <c r="M97" s="535">
        <f t="shared" si="16"/>
        <v>6.181447881247382E-3</v>
      </c>
      <c r="N97" s="535">
        <f t="shared" si="16"/>
        <v>6.181447881247382E-3</v>
      </c>
      <c r="O97" s="535">
        <f t="shared" si="16"/>
        <v>6.181447881247382E-3</v>
      </c>
      <c r="P97" s="535">
        <f t="shared" si="16"/>
        <v>6.181447881247382E-3</v>
      </c>
      <c r="Q97" s="535">
        <f t="shared" si="17"/>
        <v>6.1999999999999998E-3</v>
      </c>
      <c r="R97" s="503"/>
    </row>
    <row r="98" spans="1:18" ht="3.75" customHeight="1">
      <c r="B98" s="575"/>
      <c r="C98" s="576"/>
      <c r="D98" s="577"/>
      <c r="E98" s="577"/>
      <c r="F98" s="577"/>
      <c r="H98" s="558"/>
      <c r="I98" s="558"/>
      <c r="J98" s="558"/>
      <c r="K98" s="558"/>
      <c r="L98" s="558"/>
      <c r="M98" s="558"/>
      <c r="N98" s="558"/>
      <c r="O98" s="558"/>
      <c r="P98" s="558"/>
      <c r="Q98" s="558"/>
    </row>
    <row r="99" spans="1:18" s="532" customFormat="1" ht="15" customHeight="1">
      <c r="B99" s="137"/>
      <c r="C99" s="138" t="s">
        <v>537</v>
      </c>
      <c r="D99" s="138"/>
      <c r="E99" s="138"/>
      <c r="F99" s="529"/>
      <c r="G99" s="233"/>
      <c r="H99" s="137"/>
      <c r="I99" s="234"/>
      <c r="J99" s="234"/>
      <c r="K99" s="234"/>
      <c r="L99" s="234"/>
      <c r="M99" s="234"/>
      <c r="N99" s="234"/>
      <c r="O99" s="234"/>
      <c r="P99" s="234"/>
      <c r="Q99" s="530"/>
    </row>
    <row r="100" spans="1:18" ht="15" customHeight="1">
      <c r="A100" s="478"/>
      <c r="B100" s="482" t="s">
        <v>1</v>
      </c>
      <c r="C100" s="483" t="s">
        <v>138</v>
      </c>
      <c r="D100" s="516" t="s">
        <v>538</v>
      </c>
      <c r="E100" s="517" t="s">
        <v>539</v>
      </c>
      <c r="F100" s="574" t="s">
        <v>540</v>
      </c>
      <c r="H100" s="535">
        <f>((1/12)/12)+((1/12)/12)+((1/3)*((1/12)/12))</f>
        <v>1.6203703703703703E-2</v>
      </c>
      <c r="I100" s="535">
        <f t="shared" ref="I100:J105" si="18">H100</f>
        <v>1.6203703703703703E-2</v>
      </c>
      <c r="J100" s="535">
        <f t="shared" si="18"/>
        <v>1.6203703703703703E-2</v>
      </c>
      <c r="K100" s="535">
        <f t="shared" ref="K100:K105" si="19">I100</f>
        <v>1.6203703703703703E-2</v>
      </c>
      <c r="L100" s="535">
        <f t="shared" ref="L100:P105" si="20">K100</f>
        <v>1.6203703703703703E-2</v>
      </c>
      <c r="M100" s="535">
        <f t="shared" si="20"/>
        <v>1.6203703703703703E-2</v>
      </c>
      <c r="N100" s="535">
        <f t="shared" si="20"/>
        <v>1.6203703703703703E-2</v>
      </c>
      <c r="O100" s="535">
        <f t="shared" si="20"/>
        <v>1.6203703703703703E-2</v>
      </c>
      <c r="P100" s="535">
        <f t="shared" si="20"/>
        <v>1.6203703703703703E-2</v>
      </c>
      <c r="Q100" s="535">
        <f t="shared" ref="Q100:Q108" si="21">IFERROR(ROUND(IF($Q$17="Simples", INDEX(H100:P100,MATCH($Q$18,$H$18:$P$18,1)), INDEX(H100:P100,MATCH($Q$17,$H$15:$P$15,0)) ),4),"")</f>
        <v>1.6199999999999999E-2</v>
      </c>
      <c r="R100" s="503"/>
    </row>
    <row r="101" spans="1:18" ht="15" customHeight="1">
      <c r="A101" s="478"/>
      <c r="B101" s="482" t="s">
        <v>4</v>
      </c>
      <c r="C101" s="483" t="s">
        <v>139</v>
      </c>
      <c r="D101" s="516" t="s">
        <v>541</v>
      </c>
      <c r="E101" s="517" t="s">
        <v>542</v>
      </c>
      <c r="F101" s="517" t="s">
        <v>519</v>
      </c>
      <c r="H101" s="535">
        <f>(H84/$D$5)/$D$10</f>
        <v>1.3888888888888888E-2</v>
      </c>
      <c r="I101" s="535">
        <f t="shared" si="18"/>
        <v>1.3888888888888888E-2</v>
      </c>
      <c r="J101" s="535">
        <f t="shared" si="18"/>
        <v>1.3888888888888888E-2</v>
      </c>
      <c r="K101" s="535">
        <f t="shared" si="19"/>
        <v>1.3888888888888888E-2</v>
      </c>
      <c r="L101" s="535">
        <f t="shared" si="20"/>
        <v>1.3888888888888888E-2</v>
      </c>
      <c r="M101" s="535">
        <f t="shared" si="20"/>
        <v>1.3888888888888888E-2</v>
      </c>
      <c r="N101" s="535">
        <f t="shared" si="20"/>
        <v>1.3888888888888888E-2</v>
      </c>
      <c r="O101" s="535">
        <f t="shared" si="20"/>
        <v>1.3888888888888888E-2</v>
      </c>
      <c r="P101" s="535">
        <f t="shared" si="20"/>
        <v>1.3888888888888888E-2</v>
      </c>
      <c r="Q101" s="535">
        <f t="shared" si="21"/>
        <v>1.3899999999999999E-2</v>
      </c>
      <c r="R101" s="503"/>
    </row>
    <row r="102" spans="1:18" ht="15" customHeight="1">
      <c r="A102" s="478"/>
      <c r="B102" s="482" t="s">
        <v>6</v>
      </c>
      <c r="C102" s="483" t="s">
        <v>140</v>
      </c>
      <c r="D102" s="516" t="s">
        <v>543</v>
      </c>
      <c r="E102" s="517" t="s">
        <v>544</v>
      </c>
      <c r="F102" s="517" t="s">
        <v>522</v>
      </c>
      <c r="H102" s="535">
        <f>((H85/$D$5)/$D$10*H86)</f>
        <v>2.0833333333333332E-4</v>
      </c>
      <c r="I102" s="535">
        <f t="shared" si="18"/>
        <v>2.0833333333333332E-4</v>
      </c>
      <c r="J102" s="535">
        <f t="shared" si="18"/>
        <v>2.0833333333333332E-4</v>
      </c>
      <c r="K102" s="535">
        <f t="shared" si="19"/>
        <v>2.0833333333333332E-4</v>
      </c>
      <c r="L102" s="535">
        <f t="shared" si="20"/>
        <v>2.0833333333333332E-4</v>
      </c>
      <c r="M102" s="535">
        <f t="shared" si="20"/>
        <v>2.0833333333333332E-4</v>
      </c>
      <c r="N102" s="535">
        <f t="shared" si="20"/>
        <v>2.0833333333333332E-4</v>
      </c>
      <c r="O102" s="535">
        <f t="shared" si="20"/>
        <v>2.0833333333333332E-4</v>
      </c>
      <c r="P102" s="535">
        <f t="shared" si="20"/>
        <v>2.0833333333333332E-4</v>
      </c>
      <c r="Q102" s="535">
        <f t="shared" si="21"/>
        <v>2.0000000000000001E-4</v>
      </c>
      <c r="R102" s="503"/>
    </row>
    <row r="103" spans="1:18" ht="15" customHeight="1">
      <c r="A103" s="478"/>
      <c r="B103" s="482" t="s">
        <v>9</v>
      </c>
      <c r="C103" s="483" t="s">
        <v>141</v>
      </c>
      <c r="D103" s="516" t="s">
        <v>545</v>
      </c>
      <c r="E103" s="517" t="s">
        <v>546</v>
      </c>
      <c r="F103" s="517" t="s">
        <v>547</v>
      </c>
      <c r="H103" s="535">
        <f>H87/$D$5/$D$10</f>
        <v>8.2222222222222228E-3</v>
      </c>
      <c r="I103" s="535">
        <f t="shared" si="18"/>
        <v>8.2222222222222228E-3</v>
      </c>
      <c r="J103" s="535">
        <f t="shared" si="18"/>
        <v>8.2222222222222228E-3</v>
      </c>
      <c r="K103" s="535">
        <f t="shared" si="19"/>
        <v>8.2222222222222228E-3</v>
      </c>
      <c r="L103" s="535">
        <f t="shared" si="20"/>
        <v>8.2222222222222228E-3</v>
      </c>
      <c r="M103" s="535">
        <f t="shared" si="20"/>
        <v>8.2222222222222228E-3</v>
      </c>
      <c r="N103" s="535">
        <f t="shared" si="20"/>
        <v>8.2222222222222228E-3</v>
      </c>
      <c r="O103" s="535">
        <f t="shared" si="20"/>
        <v>8.2222222222222228E-3</v>
      </c>
      <c r="P103" s="535">
        <f t="shared" si="20"/>
        <v>8.2222222222222228E-3</v>
      </c>
      <c r="Q103" s="535">
        <f t="shared" si="21"/>
        <v>8.2000000000000007E-3</v>
      </c>
      <c r="R103" s="503"/>
    </row>
    <row r="104" spans="1:18" ht="15" customHeight="1">
      <c r="A104" s="478"/>
      <c r="B104" s="482" t="s">
        <v>12</v>
      </c>
      <c r="C104" s="483" t="s">
        <v>142</v>
      </c>
      <c r="D104" s="516" t="s">
        <v>548</v>
      </c>
      <c r="E104" s="517" t="s">
        <v>549</v>
      </c>
      <c r="F104" s="517" t="s">
        <v>526</v>
      </c>
      <c r="H104" s="535">
        <f>(H89/$D$5/$D$10)*H88</f>
        <v>3.2499999999999999E-4</v>
      </c>
      <c r="I104" s="535">
        <f t="shared" si="18"/>
        <v>3.2499999999999999E-4</v>
      </c>
      <c r="J104" s="535">
        <f t="shared" si="18"/>
        <v>3.2499999999999999E-4</v>
      </c>
      <c r="K104" s="535">
        <f t="shared" si="19"/>
        <v>3.2499999999999999E-4</v>
      </c>
      <c r="L104" s="535">
        <f t="shared" si="20"/>
        <v>3.2499999999999999E-4</v>
      </c>
      <c r="M104" s="535">
        <f t="shared" si="20"/>
        <v>3.2499999999999999E-4</v>
      </c>
      <c r="N104" s="535">
        <f t="shared" si="20"/>
        <v>3.2499999999999999E-4</v>
      </c>
      <c r="O104" s="535">
        <f t="shared" si="20"/>
        <v>3.2499999999999999E-4</v>
      </c>
      <c r="P104" s="535">
        <f t="shared" si="20"/>
        <v>3.2499999999999999E-4</v>
      </c>
      <c r="Q104" s="535">
        <f t="shared" si="21"/>
        <v>2.9999999999999997E-4</v>
      </c>
      <c r="R104" s="503"/>
    </row>
    <row r="105" spans="1:18" ht="15" customHeight="1">
      <c r="A105" s="478"/>
      <c r="B105" s="482" t="s">
        <v>15</v>
      </c>
      <c r="C105" s="483" t="s">
        <v>143</v>
      </c>
      <c r="D105" s="516" t="s">
        <v>550</v>
      </c>
      <c r="E105" s="517" t="s">
        <v>551</v>
      </c>
      <c r="F105" s="574" t="s">
        <v>536</v>
      </c>
      <c r="H105" s="535">
        <f>((1/12)+((1/3)*(1/12)))*H97</f>
        <v>6.868275423608202E-4</v>
      </c>
      <c r="I105" s="535">
        <f t="shared" si="18"/>
        <v>6.868275423608202E-4</v>
      </c>
      <c r="J105" s="535">
        <f t="shared" si="18"/>
        <v>6.868275423608202E-4</v>
      </c>
      <c r="K105" s="535">
        <f t="shared" si="19"/>
        <v>6.868275423608202E-4</v>
      </c>
      <c r="L105" s="535">
        <f t="shared" si="20"/>
        <v>6.868275423608202E-4</v>
      </c>
      <c r="M105" s="535">
        <f t="shared" si="20"/>
        <v>6.868275423608202E-4</v>
      </c>
      <c r="N105" s="535">
        <f t="shared" si="20"/>
        <v>6.868275423608202E-4</v>
      </c>
      <c r="O105" s="535">
        <f t="shared" si="20"/>
        <v>6.868275423608202E-4</v>
      </c>
      <c r="P105" s="535">
        <f t="shared" si="20"/>
        <v>6.868275423608202E-4</v>
      </c>
      <c r="Q105" s="535">
        <f t="shared" si="21"/>
        <v>6.9999999999999999E-4</v>
      </c>
      <c r="R105" s="503"/>
    </row>
    <row r="106" spans="1:18" ht="15" customHeight="1">
      <c r="A106" s="478"/>
      <c r="B106" s="482" t="s">
        <v>17</v>
      </c>
      <c r="C106" s="483" t="s">
        <v>144</v>
      </c>
      <c r="D106" s="516" t="s">
        <v>552</v>
      </c>
      <c r="E106" s="517"/>
      <c r="F106" s="517" t="s">
        <v>553</v>
      </c>
      <c r="H106" s="578">
        <f t="shared" ref="H106:P106" si="22">SUM(H100:H105)*H51</f>
        <v>1.4548871054107302E-2</v>
      </c>
      <c r="I106" s="578">
        <f t="shared" si="22"/>
        <v>1.4548871054107302E-2</v>
      </c>
      <c r="J106" s="578">
        <f t="shared" si="22"/>
        <v>1.2255842464057781E-2</v>
      </c>
      <c r="K106" s="578">
        <f t="shared" si="22"/>
        <v>1.2255842464057781E-2</v>
      </c>
      <c r="L106" s="578">
        <f t="shared" si="22"/>
        <v>1.2255842464057781E-2</v>
      </c>
      <c r="M106" s="578">
        <f t="shared" si="22"/>
        <v>1.2255842464057781E-2</v>
      </c>
      <c r="N106" s="578">
        <f t="shared" si="22"/>
        <v>1.2255842464057781E-2</v>
      </c>
      <c r="O106" s="578">
        <f t="shared" si="22"/>
        <v>1.2255842464057781E-2</v>
      </c>
      <c r="P106" s="578">
        <f t="shared" si="22"/>
        <v>1.2255842464057781E-2</v>
      </c>
      <c r="Q106" s="578">
        <f t="shared" si="21"/>
        <v>1.4500000000000001E-2</v>
      </c>
      <c r="R106" s="503"/>
    </row>
    <row r="107" spans="1:18" ht="15" customHeight="1">
      <c r="A107" s="478"/>
      <c r="B107" s="482" t="s">
        <v>20</v>
      </c>
      <c r="C107" s="483" t="s">
        <v>145</v>
      </c>
      <c r="D107" s="516" t="s">
        <v>554</v>
      </c>
      <c r="E107" s="517"/>
      <c r="F107" s="517" t="s">
        <v>555</v>
      </c>
      <c r="H107" s="579">
        <v>37.96</v>
      </c>
      <c r="I107" s="579">
        <f>H107</f>
        <v>37.96</v>
      </c>
      <c r="J107" s="579">
        <f>I107</f>
        <v>37.96</v>
      </c>
      <c r="K107" s="579">
        <f>I107</f>
        <v>37.96</v>
      </c>
      <c r="L107" s="579">
        <f t="shared" ref="L107:P108" si="23">K107</f>
        <v>37.96</v>
      </c>
      <c r="M107" s="579">
        <f t="shared" si="23"/>
        <v>37.96</v>
      </c>
      <c r="N107" s="579">
        <f t="shared" si="23"/>
        <v>37.96</v>
      </c>
      <c r="O107" s="579">
        <f t="shared" si="23"/>
        <v>37.96</v>
      </c>
      <c r="P107" s="579">
        <f t="shared" si="23"/>
        <v>37.96</v>
      </c>
      <c r="Q107" s="580">
        <f t="shared" si="21"/>
        <v>37.96</v>
      </c>
      <c r="R107" s="503"/>
    </row>
    <row r="108" spans="1:18" ht="15" customHeight="1">
      <c r="A108" s="478"/>
      <c r="B108" s="482" t="s">
        <v>22</v>
      </c>
      <c r="C108" s="483" t="s">
        <v>146</v>
      </c>
      <c r="D108" s="516" t="s">
        <v>556</v>
      </c>
      <c r="E108" s="517"/>
      <c r="F108" s="517" t="s">
        <v>555</v>
      </c>
      <c r="H108" s="579">
        <v>37.96</v>
      </c>
      <c r="I108" s="579">
        <f>H108</f>
        <v>37.96</v>
      </c>
      <c r="J108" s="579">
        <f>I108</f>
        <v>37.96</v>
      </c>
      <c r="K108" s="579">
        <f>I108</f>
        <v>37.96</v>
      </c>
      <c r="L108" s="579">
        <f t="shared" si="23"/>
        <v>37.96</v>
      </c>
      <c r="M108" s="579">
        <f t="shared" si="23"/>
        <v>37.96</v>
      </c>
      <c r="N108" s="579">
        <f t="shared" si="23"/>
        <v>37.96</v>
      </c>
      <c r="O108" s="579">
        <f t="shared" si="23"/>
        <v>37.96</v>
      </c>
      <c r="P108" s="579">
        <f t="shared" si="23"/>
        <v>37.96</v>
      </c>
      <c r="Q108" s="580">
        <f t="shared" si="21"/>
        <v>37.96</v>
      </c>
      <c r="R108" s="503"/>
    </row>
    <row r="109" spans="1:18" ht="3.75" customHeight="1">
      <c r="H109" s="12"/>
      <c r="I109" s="12"/>
      <c r="J109" s="12"/>
      <c r="K109" s="12"/>
      <c r="L109" s="12"/>
      <c r="M109" s="12"/>
      <c r="N109" s="12"/>
      <c r="O109" s="12"/>
      <c r="P109" s="12"/>
      <c r="Q109" s="12"/>
    </row>
    <row r="110" spans="1:18" s="532" customFormat="1" ht="15" customHeight="1">
      <c r="B110" s="137"/>
      <c r="C110" s="138" t="s">
        <v>557</v>
      </c>
      <c r="D110" s="138"/>
      <c r="E110" s="138"/>
      <c r="F110" s="529"/>
      <c r="G110" s="233"/>
      <c r="H110" s="137"/>
      <c r="I110" s="234"/>
      <c r="J110" s="234"/>
      <c r="K110" s="234"/>
      <c r="L110" s="234"/>
      <c r="M110" s="234"/>
      <c r="N110" s="234"/>
      <c r="O110" s="234"/>
      <c r="P110" s="234"/>
      <c r="Q110" s="530"/>
    </row>
    <row r="111" spans="1:18" ht="15" customHeight="1">
      <c r="B111" s="717" t="s">
        <v>1</v>
      </c>
      <c r="C111" s="515" t="s">
        <v>558</v>
      </c>
      <c r="D111" s="516" t="s">
        <v>559</v>
      </c>
      <c r="E111" s="517" t="s">
        <v>560</v>
      </c>
      <c r="F111" s="517" t="s">
        <v>561</v>
      </c>
      <c r="H111" s="579"/>
      <c r="I111" s="579"/>
      <c r="J111" s="579"/>
      <c r="K111" s="579"/>
      <c r="L111" s="579"/>
      <c r="M111" s="579"/>
      <c r="N111" s="579"/>
      <c r="O111" s="579"/>
      <c r="P111" s="579"/>
      <c r="Q111" s="580"/>
      <c r="R111" s="503"/>
    </row>
    <row r="112" spans="1:18" ht="15" customHeight="1">
      <c r="B112" s="717"/>
      <c r="C112" s="515" t="s">
        <v>562</v>
      </c>
      <c r="D112" s="516" t="s">
        <v>563</v>
      </c>
      <c r="E112" s="517" t="s">
        <v>560</v>
      </c>
      <c r="F112" s="517" t="s">
        <v>564</v>
      </c>
      <c r="H112" s="579"/>
      <c r="I112" s="579"/>
      <c r="J112" s="579"/>
      <c r="K112" s="579"/>
      <c r="L112" s="579"/>
      <c r="M112" s="579"/>
      <c r="N112" s="579"/>
      <c r="O112" s="579"/>
      <c r="P112" s="579"/>
      <c r="Q112" s="580"/>
      <c r="R112" s="503"/>
    </row>
    <row r="113" spans="1:18" ht="15" customHeight="1">
      <c r="B113" s="581"/>
      <c r="C113" s="582"/>
      <c r="D113" s="583"/>
      <c r="E113" s="584"/>
      <c r="F113" s="584"/>
      <c r="H113" s="12"/>
      <c r="I113" s="12"/>
      <c r="J113" s="12"/>
      <c r="K113" s="12"/>
      <c r="L113" s="12"/>
      <c r="M113" s="12"/>
      <c r="N113" s="12"/>
      <c r="O113" s="12"/>
      <c r="P113" s="12"/>
      <c r="Q113" s="12"/>
    </row>
    <row r="114" spans="1:18" s="233" customFormat="1" ht="15" customHeight="1">
      <c r="B114" s="14"/>
      <c r="C114" s="15" t="s">
        <v>565</v>
      </c>
      <c r="D114" s="15"/>
      <c r="E114" s="15"/>
      <c r="F114" s="15"/>
      <c r="H114" s="15"/>
      <c r="I114" s="15"/>
      <c r="J114" s="15"/>
      <c r="K114" s="15"/>
      <c r="L114" s="15"/>
      <c r="M114" s="15"/>
      <c r="N114" s="15"/>
      <c r="O114" s="15"/>
      <c r="P114" s="15"/>
      <c r="Q114" s="15"/>
    </row>
    <row r="115" spans="1:18" ht="5.25" customHeight="1">
      <c r="R115" s="503"/>
    </row>
    <row r="116" spans="1:18" ht="15" customHeight="1">
      <c r="A116" s="478"/>
      <c r="B116" s="137"/>
      <c r="C116" s="138" t="s">
        <v>566</v>
      </c>
      <c r="D116" s="138"/>
      <c r="E116" s="138"/>
      <c r="F116" s="529"/>
      <c r="H116" s="585"/>
      <c r="I116" s="138"/>
      <c r="J116" s="138"/>
      <c r="K116" s="138"/>
      <c r="L116" s="138"/>
      <c r="M116" s="138"/>
      <c r="N116" s="138"/>
      <c r="O116" s="138"/>
      <c r="P116" s="138"/>
      <c r="Q116" s="529"/>
      <c r="R116" s="503"/>
    </row>
    <row r="117" spans="1:18" ht="15" customHeight="1">
      <c r="B117" s="142" t="s">
        <v>1</v>
      </c>
      <c r="C117" s="586" t="s">
        <v>154</v>
      </c>
      <c r="D117" s="587"/>
      <c r="E117" s="587" t="s">
        <v>567</v>
      </c>
      <c r="F117" s="587" t="s">
        <v>568</v>
      </c>
      <c r="H117" s="588"/>
      <c r="I117" s="588"/>
      <c r="J117" s="588"/>
      <c r="K117" s="588"/>
      <c r="L117" s="588"/>
      <c r="M117" s="588"/>
      <c r="N117" s="588"/>
      <c r="O117" s="588"/>
      <c r="P117" s="588"/>
      <c r="Q117" s="588"/>
      <c r="R117" s="503"/>
    </row>
    <row r="118" spans="1:18" ht="15" customHeight="1">
      <c r="B118" s="142" t="s">
        <v>4</v>
      </c>
      <c r="C118" s="586" t="s">
        <v>155</v>
      </c>
      <c r="D118" s="587"/>
      <c r="E118" s="588"/>
      <c r="F118" s="589" t="s">
        <v>569</v>
      </c>
      <c r="H118" s="588"/>
      <c r="I118" s="588"/>
      <c r="J118" s="588"/>
      <c r="K118" s="588"/>
      <c r="L118" s="588"/>
      <c r="M118" s="588"/>
      <c r="N118" s="588"/>
      <c r="O118" s="588"/>
      <c r="P118" s="588"/>
      <c r="Q118" s="588"/>
      <c r="R118" s="503"/>
    </row>
    <row r="119" spans="1:18" ht="5.25" customHeight="1">
      <c r="R119" s="503"/>
    </row>
    <row r="120" spans="1:18" s="232" customFormat="1" ht="5.25" customHeight="1">
      <c r="G120"/>
      <c r="R120" s="503"/>
    </row>
    <row r="121" spans="1:18" ht="15" customHeight="1">
      <c r="A121" s="478"/>
      <c r="B121" s="137"/>
      <c r="C121" s="138" t="s">
        <v>570</v>
      </c>
      <c r="D121" s="138"/>
      <c r="E121" s="138"/>
      <c r="F121" s="529"/>
      <c r="H121" s="585"/>
      <c r="I121" s="138"/>
      <c r="J121" s="138"/>
      <c r="K121" s="138"/>
      <c r="L121" s="138"/>
      <c r="M121" s="138"/>
      <c r="N121" s="138"/>
      <c r="O121" s="138"/>
      <c r="P121" s="138"/>
      <c r="Q121" s="529"/>
      <c r="R121" s="503"/>
    </row>
    <row r="122" spans="1:18" ht="15" customHeight="1">
      <c r="B122" s="590" t="s">
        <v>571</v>
      </c>
      <c r="C122" s="591" t="s">
        <v>221</v>
      </c>
      <c r="D122" s="483"/>
      <c r="E122" s="592"/>
      <c r="F122" s="483" t="s">
        <v>568</v>
      </c>
      <c r="H122" s="592"/>
      <c r="I122" s="592"/>
      <c r="J122" s="592"/>
      <c r="K122" s="592"/>
      <c r="L122" s="592"/>
      <c r="M122" s="592"/>
      <c r="N122" s="592"/>
      <c r="O122" s="592"/>
      <c r="P122" s="592"/>
      <c r="Q122" s="592"/>
      <c r="R122" s="503"/>
    </row>
    <row r="123" spans="1:18" ht="15" customHeight="1">
      <c r="B123" s="593" t="s">
        <v>572</v>
      </c>
      <c r="C123" s="594" t="s">
        <v>226</v>
      </c>
      <c r="D123" s="595"/>
      <c r="E123" s="596"/>
      <c r="F123" s="595" t="s">
        <v>568</v>
      </c>
      <c r="H123" s="596"/>
      <c r="I123" s="596"/>
      <c r="J123" s="596"/>
      <c r="K123" s="596"/>
      <c r="L123" s="596"/>
      <c r="M123" s="596"/>
      <c r="N123" s="596"/>
      <c r="O123" s="596"/>
      <c r="P123" s="596"/>
      <c r="Q123" s="596"/>
      <c r="R123" s="503"/>
    </row>
    <row r="124" spans="1:18" ht="15" customHeight="1">
      <c r="B124" s="290" t="s">
        <v>573</v>
      </c>
      <c r="C124" s="597" t="s">
        <v>230</v>
      </c>
      <c r="D124" s="595"/>
      <c r="E124" s="596"/>
      <c r="F124" s="595" t="s">
        <v>568</v>
      </c>
      <c r="H124" s="596"/>
      <c r="I124" s="596"/>
      <c r="J124" s="596"/>
      <c r="K124" s="596"/>
      <c r="L124" s="596"/>
      <c r="M124" s="596"/>
      <c r="N124" s="596"/>
      <c r="O124" s="596"/>
      <c r="P124" s="596"/>
      <c r="Q124" s="596"/>
      <c r="R124" s="503"/>
    </row>
    <row r="125" spans="1:18" ht="15" customHeight="1">
      <c r="B125" s="598" t="s">
        <v>574</v>
      </c>
      <c r="C125" s="599" t="s">
        <v>575</v>
      </c>
      <c r="D125" s="595"/>
      <c r="E125" s="596"/>
      <c r="F125" s="595" t="s">
        <v>568</v>
      </c>
      <c r="H125" s="596"/>
      <c r="I125" s="596"/>
      <c r="J125" s="596"/>
      <c r="K125" s="596"/>
      <c r="L125" s="596"/>
      <c r="M125" s="596"/>
      <c r="N125" s="596"/>
      <c r="O125" s="596"/>
      <c r="P125" s="596"/>
      <c r="Q125" s="596"/>
      <c r="R125" s="503"/>
    </row>
    <row r="126" spans="1:18" ht="15" customHeight="1">
      <c r="B126" s="307" t="s">
        <v>576</v>
      </c>
      <c r="C126" s="600" t="s">
        <v>236</v>
      </c>
      <c r="D126" s="483"/>
      <c r="E126" s="592"/>
      <c r="F126" s="592"/>
      <c r="H126" s="592"/>
      <c r="I126" s="592"/>
      <c r="J126" s="592"/>
      <c r="K126" s="592"/>
      <c r="L126" s="592"/>
      <c r="M126" s="592"/>
      <c r="N126" s="592"/>
      <c r="O126" s="592"/>
      <c r="P126" s="592"/>
      <c r="Q126" s="592"/>
      <c r="R126" s="503"/>
    </row>
    <row r="127" spans="1:18" ht="5.25" customHeight="1">
      <c r="B127" s="258"/>
      <c r="C127" s="327"/>
      <c r="D127" s="327"/>
      <c r="E127" s="327"/>
      <c r="F127" s="327"/>
      <c r="H127" s="327"/>
      <c r="I127" s="327"/>
      <c r="J127" s="327"/>
      <c r="K127" s="327"/>
      <c r="L127" s="327"/>
      <c r="M127" s="327"/>
      <c r="N127" s="327"/>
      <c r="O127" s="327"/>
      <c r="P127" s="327"/>
      <c r="Q127" s="327"/>
      <c r="R127" s="503"/>
    </row>
    <row r="128" spans="1:18" ht="15" customHeight="1">
      <c r="A128" s="478"/>
      <c r="B128" s="137"/>
      <c r="C128" s="138" t="s">
        <v>577</v>
      </c>
      <c r="D128" s="138"/>
      <c r="E128" s="138"/>
      <c r="F128" s="529"/>
      <c r="H128" s="585"/>
      <c r="I128" s="138"/>
      <c r="J128" s="138"/>
      <c r="K128" s="138"/>
      <c r="L128" s="138"/>
      <c r="M128" s="138"/>
      <c r="N128" s="138"/>
      <c r="O128" s="138"/>
      <c r="P128" s="138"/>
      <c r="Q128" s="529"/>
      <c r="R128" s="503"/>
    </row>
    <row r="129" spans="1:18" ht="15" customHeight="1">
      <c r="B129" s="329" t="s">
        <v>578</v>
      </c>
      <c r="C129" s="601" t="s">
        <v>243</v>
      </c>
      <c r="D129" s="483"/>
      <c r="E129" s="483" t="s">
        <v>579</v>
      </c>
      <c r="F129" s="483"/>
      <c r="H129" s="592"/>
      <c r="I129" s="592"/>
      <c r="J129" s="592"/>
      <c r="K129" s="592"/>
      <c r="L129" s="592"/>
      <c r="M129" s="592"/>
      <c r="N129" s="592"/>
      <c r="O129" s="592"/>
      <c r="P129" s="592"/>
      <c r="Q129" s="592"/>
      <c r="R129" s="503"/>
    </row>
    <row r="130" spans="1:18" ht="15" customHeight="1">
      <c r="B130" s="329" t="s">
        <v>580</v>
      </c>
      <c r="C130" s="601" t="s">
        <v>244</v>
      </c>
      <c r="D130" s="483"/>
      <c r="E130" s="483" t="s">
        <v>581</v>
      </c>
      <c r="F130" s="483"/>
      <c r="H130" s="592"/>
      <c r="I130" s="592"/>
      <c r="J130" s="592"/>
      <c r="K130" s="592"/>
      <c r="L130" s="592"/>
      <c r="M130" s="592"/>
      <c r="N130" s="592"/>
      <c r="O130" s="592"/>
      <c r="P130" s="592"/>
      <c r="Q130" s="592"/>
      <c r="R130" s="503"/>
    </row>
    <row r="131" spans="1:18" ht="15" customHeight="1">
      <c r="B131" s="602" t="s">
        <v>582</v>
      </c>
      <c r="C131" s="603" t="s">
        <v>245</v>
      </c>
      <c r="D131" s="483"/>
      <c r="E131" s="592"/>
      <c r="F131" s="592"/>
      <c r="H131" s="592"/>
      <c r="I131" s="592"/>
      <c r="J131" s="592"/>
      <c r="K131" s="592"/>
      <c r="L131" s="592"/>
      <c r="M131" s="592"/>
      <c r="N131" s="592"/>
      <c r="O131" s="592"/>
      <c r="P131" s="592"/>
      <c r="Q131" s="592"/>
      <c r="R131" s="503"/>
    </row>
    <row r="132" spans="1:18" ht="15" customHeight="1">
      <c r="B132" s="329" t="s">
        <v>583</v>
      </c>
      <c r="C132" s="601" t="s">
        <v>248</v>
      </c>
      <c r="D132" s="483"/>
      <c r="E132" s="592"/>
      <c r="F132" s="592"/>
      <c r="H132" s="592"/>
      <c r="I132" s="592"/>
      <c r="J132" s="592"/>
      <c r="K132" s="592"/>
      <c r="L132" s="592"/>
      <c r="M132" s="592"/>
      <c r="N132" s="592"/>
      <c r="O132" s="592"/>
      <c r="P132" s="592"/>
      <c r="Q132" s="592"/>
      <c r="R132" s="503"/>
    </row>
    <row r="133" spans="1:18" ht="15" customHeight="1">
      <c r="B133" s="334" t="s">
        <v>584</v>
      </c>
      <c r="C133" s="600" t="s">
        <v>249</v>
      </c>
      <c r="D133" s="483"/>
      <c r="E133" s="483" t="s">
        <v>585</v>
      </c>
      <c r="F133" s="483"/>
      <c r="H133" s="592"/>
      <c r="I133" s="592"/>
      <c r="J133" s="592"/>
      <c r="K133" s="592"/>
      <c r="L133" s="592"/>
      <c r="M133" s="592"/>
      <c r="N133" s="592"/>
      <c r="O133" s="592"/>
      <c r="P133" s="592"/>
      <c r="Q133" s="592"/>
      <c r="R133" s="503"/>
    </row>
    <row r="134" spans="1:18" ht="5.25" customHeight="1">
      <c r="B134" s="258"/>
      <c r="C134" s="327"/>
      <c r="D134" s="327"/>
      <c r="E134" s="327"/>
      <c r="F134" s="327"/>
      <c r="H134" s="327"/>
      <c r="I134" s="327"/>
      <c r="J134" s="327"/>
      <c r="K134" s="327"/>
      <c r="L134" s="327"/>
      <c r="M134" s="327"/>
      <c r="N134" s="327"/>
      <c r="O134" s="327"/>
      <c r="P134" s="327"/>
      <c r="Q134" s="327"/>
      <c r="R134" s="503"/>
    </row>
    <row r="135" spans="1:18" ht="15" customHeight="1">
      <c r="A135" s="478"/>
      <c r="B135" s="137"/>
      <c r="C135" s="138" t="s">
        <v>586</v>
      </c>
      <c r="D135" s="138"/>
      <c r="E135" s="138"/>
      <c r="F135" s="529"/>
      <c r="H135" s="585"/>
      <c r="I135" s="138"/>
      <c r="J135" s="138"/>
      <c r="K135" s="138"/>
      <c r="L135" s="138"/>
      <c r="M135" s="138"/>
      <c r="N135" s="138"/>
      <c r="O135" s="138"/>
      <c r="P135" s="138"/>
      <c r="Q135" s="529"/>
      <c r="R135" s="503"/>
    </row>
    <row r="136" spans="1:18" ht="15" customHeight="1">
      <c r="B136" s="604" t="s">
        <v>587</v>
      </c>
      <c r="C136" s="591" t="s">
        <v>254</v>
      </c>
      <c r="D136" s="483"/>
      <c r="E136" s="592"/>
      <c r="F136" s="592"/>
      <c r="H136" s="592"/>
      <c r="I136" s="592"/>
      <c r="J136" s="592"/>
      <c r="K136" s="592"/>
      <c r="L136" s="592"/>
      <c r="M136" s="592"/>
      <c r="N136" s="592"/>
      <c r="O136" s="592"/>
      <c r="P136" s="592"/>
      <c r="Q136" s="592"/>
      <c r="R136" s="503"/>
    </row>
    <row r="137" spans="1:18" ht="15" customHeight="1">
      <c r="B137" s="329" t="s">
        <v>588</v>
      </c>
      <c r="C137" s="601" t="s">
        <v>257</v>
      </c>
      <c r="D137" s="483"/>
      <c r="E137" s="592"/>
      <c r="F137" s="483" t="s">
        <v>589</v>
      </c>
      <c r="H137" s="592"/>
      <c r="I137" s="592"/>
      <c r="J137" s="592"/>
      <c r="K137" s="592"/>
      <c r="L137" s="592"/>
      <c r="M137" s="592"/>
      <c r="N137" s="592"/>
      <c r="O137" s="592"/>
      <c r="P137" s="592"/>
      <c r="Q137" s="592"/>
      <c r="R137" s="503"/>
    </row>
    <row r="138" spans="1:18" ht="15" customHeight="1">
      <c r="B138" s="581"/>
      <c r="C138" s="582"/>
      <c r="D138" s="583"/>
      <c r="E138" s="584"/>
      <c r="F138" s="584"/>
      <c r="H138" s="605"/>
      <c r="I138" s="605"/>
      <c r="J138" s="605"/>
      <c r="K138" s="605"/>
      <c r="L138" s="605"/>
      <c r="M138" s="605"/>
      <c r="N138" s="605"/>
      <c r="O138" s="605"/>
      <c r="P138" s="605"/>
      <c r="Q138" s="606"/>
      <c r="R138" s="503"/>
    </row>
    <row r="139" spans="1:18" s="233" customFormat="1" ht="15" customHeight="1">
      <c r="B139" s="14"/>
      <c r="C139" s="15" t="s">
        <v>590</v>
      </c>
      <c r="D139" s="15"/>
      <c r="E139" s="15"/>
      <c r="F139" s="372"/>
      <c r="H139" s="14"/>
      <c r="I139" s="513"/>
      <c r="J139" s="513"/>
      <c r="K139" s="513"/>
      <c r="L139" s="513"/>
      <c r="M139" s="513"/>
      <c r="N139" s="513"/>
      <c r="O139" s="513"/>
      <c r="P139" s="513"/>
      <c r="Q139" s="17"/>
    </row>
    <row r="140" spans="1:18" s="233" customFormat="1" ht="3.75" customHeight="1">
      <c r="H140" s="135"/>
      <c r="I140" s="135"/>
      <c r="J140" s="135"/>
      <c r="K140" s="135"/>
      <c r="L140" s="135"/>
      <c r="M140" s="135"/>
      <c r="N140" s="135"/>
      <c r="O140" s="135"/>
      <c r="P140" s="135"/>
      <c r="Q140" s="135"/>
    </row>
    <row r="141" spans="1:18" s="532" customFormat="1" ht="15" customHeight="1">
      <c r="B141" s="137"/>
      <c r="C141" s="138" t="s">
        <v>158</v>
      </c>
      <c r="D141" s="138"/>
      <c r="E141" s="138"/>
      <c r="F141" s="529"/>
      <c r="G141" s="233"/>
      <c r="H141" s="137"/>
      <c r="I141" s="234"/>
      <c r="J141" s="234"/>
      <c r="K141" s="234"/>
      <c r="L141" s="234"/>
      <c r="M141" s="234"/>
      <c r="N141" s="234"/>
      <c r="O141" s="234"/>
      <c r="P141" s="234"/>
      <c r="Q141" s="530"/>
    </row>
    <row r="142" spans="1:18" ht="15" customHeight="1">
      <c r="A142" s="478"/>
      <c r="B142" s="482" t="s">
        <v>1</v>
      </c>
      <c r="C142" s="483" t="s">
        <v>159</v>
      </c>
      <c r="D142" s="483"/>
      <c r="E142" s="483"/>
      <c r="F142" s="517" t="s">
        <v>591</v>
      </c>
      <c r="H142" s="535">
        <v>0.05</v>
      </c>
      <c r="I142" s="535">
        <f>H142</f>
        <v>0.05</v>
      </c>
      <c r="J142" s="535">
        <f>I142</f>
        <v>0.05</v>
      </c>
      <c r="K142" s="535">
        <f>I142</f>
        <v>0.05</v>
      </c>
      <c r="L142" s="535">
        <f t="shared" ref="L142:P143" si="24">K142</f>
        <v>0.05</v>
      </c>
      <c r="M142" s="535">
        <f t="shared" si="24"/>
        <v>0.05</v>
      </c>
      <c r="N142" s="535">
        <f t="shared" si="24"/>
        <v>0.05</v>
      </c>
      <c r="O142" s="535">
        <f t="shared" si="24"/>
        <v>0.05</v>
      </c>
      <c r="P142" s="535">
        <f t="shared" si="24"/>
        <v>0.05</v>
      </c>
      <c r="Q142" s="535">
        <f>IFERROR(ROUND(IF($Q$17="Simples", INDEX(H142:P142,MATCH($Q$18,$H$18:$P$18,1)), INDEX(H142:P142,MATCH($Q$17,$H$15:$P$15,0)) ),4),"")</f>
        <v>0.05</v>
      </c>
      <c r="R142" s="503"/>
    </row>
    <row r="143" spans="1:18" ht="15" customHeight="1">
      <c r="A143" s="478"/>
      <c r="B143" s="482" t="s">
        <v>4</v>
      </c>
      <c r="C143" s="483" t="s">
        <v>160</v>
      </c>
      <c r="D143" s="483"/>
      <c r="E143" s="483"/>
      <c r="F143" s="517" t="s">
        <v>592</v>
      </c>
      <c r="H143" s="535">
        <v>0.1</v>
      </c>
      <c r="I143" s="535">
        <f>H143</f>
        <v>0.1</v>
      </c>
      <c r="J143" s="535">
        <f>I143</f>
        <v>0.1</v>
      </c>
      <c r="K143" s="535">
        <f>I143</f>
        <v>0.1</v>
      </c>
      <c r="L143" s="535">
        <f t="shared" si="24"/>
        <v>0.1</v>
      </c>
      <c r="M143" s="535">
        <f t="shared" si="24"/>
        <v>0.1</v>
      </c>
      <c r="N143" s="535">
        <f t="shared" si="24"/>
        <v>0.1</v>
      </c>
      <c r="O143" s="535">
        <f t="shared" si="24"/>
        <v>0.1</v>
      </c>
      <c r="P143" s="535">
        <f t="shared" si="24"/>
        <v>0.1</v>
      </c>
      <c r="Q143" s="535">
        <f>IFERROR(ROUND(IF($Q$17="Simples", INDEX(H143:P143,MATCH($Q$18,$H$18:$P$18,1)), INDEX(H143:P143,MATCH($Q$17,$H$15:$P$15,0)) ),4),"")</f>
        <v>0.1</v>
      </c>
      <c r="R143" s="503"/>
    </row>
    <row r="144" spans="1:18" ht="3.75" customHeight="1">
      <c r="H144" s="12"/>
      <c r="I144" s="12"/>
      <c r="J144" s="12"/>
      <c r="K144" s="12"/>
      <c r="L144" s="12"/>
      <c r="M144" s="12"/>
      <c r="N144" s="12"/>
      <c r="O144" s="12"/>
      <c r="P144" s="12"/>
      <c r="Q144" s="12"/>
    </row>
    <row r="145" spans="1:18" s="532" customFormat="1" ht="15" customHeight="1">
      <c r="B145" s="137"/>
      <c r="C145" s="138" t="s">
        <v>162</v>
      </c>
      <c r="D145" s="138"/>
      <c r="E145" s="138"/>
      <c r="F145" s="529"/>
      <c r="G145" s="233"/>
      <c r="H145" s="137"/>
      <c r="I145" s="234"/>
      <c r="J145" s="234"/>
      <c r="K145" s="234"/>
      <c r="L145" s="234"/>
      <c r="M145" s="234"/>
      <c r="N145" s="234"/>
      <c r="O145" s="234"/>
      <c r="P145" s="234"/>
      <c r="Q145" s="530"/>
    </row>
    <row r="146" spans="1:18" ht="15" customHeight="1">
      <c r="A146" s="478"/>
      <c r="B146" s="514" t="s">
        <v>1</v>
      </c>
      <c r="C146" s="515" t="s">
        <v>163</v>
      </c>
      <c r="D146" s="483"/>
      <c r="E146" s="483"/>
      <c r="F146" s="517" t="s">
        <v>593</v>
      </c>
      <c r="H146" s="535">
        <v>0.03</v>
      </c>
      <c r="I146" s="535">
        <v>7.5999999999999998E-2</v>
      </c>
      <c r="J146" s="535"/>
      <c r="K146" s="535" t="str">
        <f>IFERROR(((Proposta!$J$10*K$19-K$18)/Proposta!$J$10)*12.82%,"")</f>
        <v/>
      </c>
      <c r="L146" s="535" t="str">
        <f>IFERROR(((Proposta!$J$10*L$19-L$18)/Proposta!$J$10)*14.05%,"")</f>
        <v/>
      </c>
      <c r="M146" s="535" t="str">
        <f>IFERROR(((Proposta!$J$10*M$19-M$18)/Proposta!$J$10)*13.64%,"")</f>
        <v/>
      </c>
      <c r="N146" s="535" t="str">
        <f>IFERROR(((Proposta!$J$10*N$19-N$18)/Proposta!$J$10)*14%,"")</f>
        <v/>
      </c>
      <c r="O146" s="535" t="str">
        <f>IFERROR(((Proposta!$J$10*O$19-O$18)/Proposta!$J$10)*12.82%,"")</f>
        <v/>
      </c>
      <c r="P146" s="535" t="str">
        <f>IFERROR(((Proposta!$J$10*P$19-P$18)/Proposta!$J$10)*16.03%,"")</f>
        <v/>
      </c>
      <c r="Q146" s="535">
        <f>IFERROR(ROUND(IF($Q$17="Simples", INDEX(H146:P146,MATCH($Q$18,$H$18:$P$18,1)), INDEX(H146:P146,MATCH($Q$17,$H$15:$P$15,0)) ),4),"")</f>
        <v>0.03</v>
      </c>
      <c r="R146" s="503"/>
    </row>
    <row r="147" spans="1:18" ht="15" customHeight="1">
      <c r="A147" s="478"/>
      <c r="B147" s="514" t="s">
        <v>4</v>
      </c>
      <c r="C147" s="515" t="s">
        <v>164</v>
      </c>
      <c r="D147" s="483"/>
      <c r="E147" s="483"/>
      <c r="F147" s="517" t="s">
        <v>593</v>
      </c>
      <c r="H147" s="535">
        <v>6.4999999999999997E-3</v>
      </c>
      <c r="I147" s="535">
        <v>1.6500000000000001E-2</v>
      </c>
      <c r="J147" s="535">
        <v>6.4999999999999997E-3</v>
      </c>
      <c r="K147" s="535" t="str">
        <f>IFERROR(((Proposta!$J$10*K$19-K$18)/Proposta!$J$10)*2.78%,"")</f>
        <v/>
      </c>
      <c r="L147" s="535" t="str">
        <f>IFERROR(((Proposta!$J$10*L$19-L$18)/Proposta!$J$10)*3.05%,"")</f>
        <v/>
      </c>
      <c r="M147" s="535" t="str">
        <f>IFERROR(((Proposta!$J$10*M$19-M$18)/Proposta!$J$10)*2.96%,"")</f>
        <v/>
      </c>
      <c r="N147" s="535" t="str">
        <f>IFERROR(((Proposta!$J$10*N$19-N$18)/Proposta!$J$10)*3%,"")</f>
        <v/>
      </c>
      <c r="O147" s="535" t="str">
        <f>IFERROR(((Proposta!$J$10*O$19-O$18)/Proposta!$J$10)*2.78%,"")</f>
        <v/>
      </c>
      <c r="P147" s="535" t="str">
        <f>IFERROR(((Proposta!$J$10*P$19-P$18)/Proposta!$J$10)*3.47%,"")</f>
        <v/>
      </c>
      <c r="Q147" s="535">
        <f>IFERROR(ROUND(IF($Q$17="Simples", INDEX(H147:P147,MATCH($Q$18,$H$18:$P$18,1)), INDEX(H147:P147,MATCH($Q$17,$H$15:$P$15,0)) ),4),"")</f>
        <v>6.4999999999999997E-3</v>
      </c>
      <c r="R147" s="503"/>
    </row>
    <row r="148" spans="1:18" ht="15" customHeight="1">
      <c r="A148" s="478"/>
      <c r="B148" s="514" t="s">
        <v>6</v>
      </c>
      <c r="C148" s="515" t="s">
        <v>165</v>
      </c>
      <c r="D148" s="483"/>
      <c r="E148" s="483"/>
      <c r="F148" s="517" t="s">
        <v>593</v>
      </c>
      <c r="H148" s="535">
        <v>0.05</v>
      </c>
      <c r="I148" s="535">
        <v>0.05</v>
      </c>
      <c r="J148" s="535">
        <v>2.5000000000000001E-2</v>
      </c>
      <c r="K148" s="535" t="str">
        <f>IFERROR(((Proposta!$J$10*K$19-K$18)/Proposta!$J$10)*33.5%,"")</f>
        <v/>
      </c>
      <c r="L148" s="535" t="str">
        <f>IFERROR(((Proposta!$J$10*L$19-L$18)/Proposta!$J$10)*32%,"")</f>
        <v/>
      </c>
      <c r="M148" s="535" t="str">
        <f>IFERROR(((Proposta!$J$10*M$19-M$18)/Proposta!$J$10)*32.5%,"")</f>
        <v/>
      </c>
      <c r="N148" s="535" t="str">
        <f>IFERROR(((Proposta!$J$10*N$19-N$18)/Proposta!$J$10)*33%,"")</f>
        <v/>
      </c>
      <c r="O148" s="535" t="str">
        <f>IFERROR(((Proposta!$J$10*O$19-O$18)/Proposta!$J$10)*33.5%,"")</f>
        <v/>
      </c>
      <c r="P148" s="535" t="str">
        <f>IFERROR(((Proposta!$J$10*P$19-P$18)/Proposta!$J$10)*30.5%,"")</f>
        <v/>
      </c>
      <c r="Q148" s="535">
        <f>IFERROR(ROUND(IF($Q$17="Simples", INDEX(H148:P148,MATCH($Q$18,$H$18:$P$18,1)), INDEX(H148:P148,MATCH($Q$17,$H$15:$P$15,0)) ),4),"")</f>
        <v>0.05</v>
      </c>
      <c r="R148" s="503"/>
    </row>
    <row r="149" spans="1:18" ht="15" customHeight="1">
      <c r="B149" s="514" t="s">
        <v>9</v>
      </c>
      <c r="C149" s="515" t="s">
        <v>167</v>
      </c>
      <c r="D149" s="483"/>
      <c r="E149" s="483"/>
      <c r="F149" s="517"/>
      <c r="H149" s="579"/>
      <c r="I149" s="579"/>
      <c r="J149" s="579"/>
      <c r="K149" s="579"/>
      <c r="L149" s="579"/>
      <c r="M149" s="579"/>
      <c r="N149" s="579"/>
      <c r="O149" s="579"/>
      <c r="P149" s="579"/>
      <c r="Q149" s="580">
        <f>IFERROR(ROUND(IF($Q$17="Simples", INDEX(H149:P149,MATCH($Q$18,$H$18:$P$18,1)), INDEX(H149:P149,MATCH($Q$17,$H$15:$P$15,0)) ),4),"")</f>
        <v>0</v>
      </c>
    </row>
    <row r="151" spans="1:18" ht="15" customHeight="1">
      <c r="B151" s="14"/>
      <c r="C151" s="15" t="s">
        <v>280</v>
      </c>
      <c r="D151" s="15"/>
      <c r="E151" s="15"/>
      <c r="F151" s="372"/>
      <c r="G151" s="233"/>
      <c r="H151" s="14"/>
      <c r="I151" s="513"/>
      <c r="J151" s="513"/>
      <c r="K151" s="513"/>
      <c r="L151" s="513"/>
      <c r="M151" s="513"/>
      <c r="N151" s="513"/>
      <c r="O151" s="513"/>
      <c r="P151" s="513"/>
      <c r="Q151" s="17"/>
    </row>
    <row r="152" spans="1:18" ht="4.5" customHeight="1">
      <c r="B152" s="233"/>
      <c r="C152" s="233"/>
      <c r="D152" s="233"/>
      <c r="E152" s="233"/>
      <c r="F152" s="233"/>
      <c r="G152" s="233"/>
      <c r="H152" s="135"/>
      <c r="I152" s="135"/>
      <c r="J152" s="135"/>
      <c r="K152" s="135"/>
      <c r="L152" s="135"/>
      <c r="M152" s="135"/>
      <c r="N152" s="135"/>
      <c r="O152" s="135"/>
      <c r="P152" s="135"/>
      <c r="Q152" s="135"/>
    </row>
    <row r="153" spans="1:18" ht="15" customHeight="1">
      <c r="B153" s="137"/>
      <c r="C153" s="138" t="s">
        <v>594</v>
      </c>
      <c r="D153" s="138"/>
      <c r="E153" s="138"/>
      <c r="F153" s="529"/>
      <c r="G153" s="233"/>
      <c r="H153" s="137"/>
      <c r="I153" s="234"/>
      <c r="J153" s="234"/>
      <c r="K153" s="234"/>
      <c r="L153" s="234"/>
      <c r="M153" s="234"/>
      <c r="N153" s="234"/>
      <c r="O153" s="234"/>
      <c r="P153" s="234"/>
      <c r="Q153" s="530"/>
      <c r="R153" s="503"/>
    </row>
    <row r="154" spans="1:18" ht="15" customHeight="1">
      <c r="B154" s="474" t="s">
        <v>1</v>
      </c>
      <c r="C154" s="374" t="s">
        <v>288</v>
      </c>
      <c r="D154" s="483"/>
      <c r="E154" s="483" t="s">
        <v>595</v>
      </c>
      <c r="F154" s="517" t="s">
        <v>596</v>
      </c>
      <c r="H154" s="535"/>
      <c r="I154" s="535"/>
      <c r="J154" s="535"/>
      <c r="K154" s="535"/>
      <c r="L154" s="535"/>
      <c r="M154" s="535"/>
      <c r="N154" s="535"/>
      <c r="O154" s="535"/>
      <c r="P154" s="535"/>
      <c r="Q154" s="607">
        <v>800</v>
      </c>
    </row>
    <row r="155" spans="1:18" ht="15" customHeight="1">
      <c r="B155" s="474" t="s">
        <v>4</v>
      </c>
      <c r="C155" s="374" t="s">
        <v>290</v>
      </c>
      <c r="D155" s="483"/>
      <c r="E155" s="483" t="s">
        <v>595</v>
      </c>
      <c r="F155" s="517"/>
      <c r="H155" s="535"/>
      <c r="I155" s="535"/>
      <c r="J155" s="535"/>
      <c r="K155" s="535"/>
      <c r="L155" s="535"/>
      <c r="M155" s="535"/>
      <c r="N155" s="535"/>
      <c r="O155" s="535"/>
      <c r="P155" s="535"/>
      <c r="Q155" s="607">
        <v>800</v>
      </c>
    </row>
    <row r="156" spans="1:18" ht="15" customHeight="1">
      <c r="B156" s="474" t="s">
        <v>6</v>
      </c>
      <c r="C156" s="374" t="s">
        <v>292</v>
      </c>
      <c r="D156" s="483"/>
      <c r="E156" s="483" t="s">
        <v>595</v>
      </c>
      <c r="F156" s="517"/>
      <c r="H156" s="535"/>
      <c r="I156" s="535"/>
      <c r="J156" s="535"/>
      <c r="K156" s="535"/>
      <c r="L156" s="535"/>
      <c r="M156" s="535"/>
      <c r="N156" s="535"/>
      <c r="O156" s="535"/>
      <c r="P156" s="535"/>
      <c r="Q156" s="607">
        <v>360</v>
      </c>
    </row>
    <row r="157" spans="1:18" ht="15" customHeight="1">
      <c r="B157" s="474" t="s">
        <v>9</v>
      </c>
      <c r="C157" s="374" t="s">
        <v>294</v>
      </c>
      <c r="D157" s="483"/>
      <c r="E157" s="483" t="s">
        <v>595</v>
      </c>
      <c r="F157" s="517"/>
      <c r="H157" s="535"/>
      <c r="I157" s="535"/>
      <c r="J157" s="535"/>
      <c r="K157" s="535"/>
      <c r="L157" s="535"/>
      <c r="M157" s="535"/>
      <c r="N157" s="535"/>
      <c r="O157" s="535"/>
      <c r="P157" s="535"/>
      <c r="Q157" s="607">
        <v>1500</v>
      </c>
    </row>
    <row r="158" spans="1:18" ht="15" customHeight="1">
      <c r="B158" s="474" t="s">
        <v>12</v>
      </c>
      <c r="C158" s="374" t="s">
        <v>296</v>
      </c>
      <c r="D158" s="483"/>
      <c r="E158" s="483" t="s">
        <v>595</v>
      </c>
      <c r="F158" s="517"/>
      <c r="H158" s="535"/>
      <c r="I158" s="535"/>
      <c r="J158" s="535"/>
      <c r="K158" s="535"/>
      <c r="L158" s="535"/>
      <c r="M158" s="535"/>
      <c r="N158" s="535"/>
      <c r="O158" s="535"/>
      <c r="P158" s="535"/>
      <c r="Q158" s="607">
        <v>1200</v>
      </c>
    </row>
    <row r="159" spans="1:18" ht="15" customHeight="1">
      <c r="B159" s="474" t="s">
        <v>15</v>
      </c>
      <c r="C159" s="374" t="s">
        <v>298</v>
      </c>
      <c r="D159" s="483"/>
      <c r="E159" s="483" t="s">
        <v>595</v>
      </c>
      <c r="F159" s="517"/>
      <c r="H159" s="535"/>
      <c r="I159" s="535"/>
      <c r="J159" s="535"/>
      <c r="K159" s="535"/>
      <c r="L159" s="535"/>
      <c r="M159" s="535"/>
      <c r="N159" s="535"/>
      <c r="O159" s="535"/>
      <c r="P159" s="535"/>
      <c r="Q159" s="607">
        <v>1000</v>
      </c>
    </row>
    <row r="160" spans="1:18" ht="15" customHeight="1">
      <c r="B160" s="474" t="s">
        <v>17</v>
      </c>
      <c r="C160" s="374" t="s">
        <v>300</v>
      </c>
      <c r="D160" s="483"/>
      <c r="E160" s="483" t="s">
        <v>595</v>
      </c>
      <c r="F160" s="517"/>
      <c r="H160" s="535"/>
      <c r="I160" s="535"/>
      <c r="J160" s="535"/>
      <c r="K160" s="535"/>
      <c r="L160" s="535"/>
      <c r="M160" s="535"/>
      <c r="N160" s="535"/>
      <c r="O160" s="535"/>
      <c r="P160" s="535"/>
      <c r="Q160" s="607">
        <v>200</v>
      </c>
    </row>
    <row r="161" spans="2:18" ht="4.5" customHeight="1">
      <c r="C161" s="381"/>
      <c r="Q161" s="608"/>
    </row>
    <row r="162" spans="2:18" ht="15" customHeight="1">
      <c r="B162" s="137"/>
      <c r="C162" s="138" t="s">
        <v>597</v>
      </c>
      <c r="D162" s="138"/>
      <c r="E162" s="138"/>
      <c r="F162" s="529"/>
      <c r="G162" s="233"/>
      <c r="H162" s="137"/>
      <c r="I162" s="234"/>
      <c r="J162" s="234"/>
      <c r="K162" s="234"/>
      <c r="L162" s="234"/>
      <c r="M162" s="234"/>
      <c r="N162" s="234"/>
      <c r="O162" s="234"/>
      <c r="P162" s="234"/>
      <c r="Q162" s="609"/>
      <c r="R162" s="503"/>
    </row>
    <row r="163" spans="2:18" ht="15" customHeight="1">
      <c r="B163" s="474" t="s">
        <v>1</v>
      </c>
      <c r="C163" s="374" t="s">
        <v>303</v>
      </c>
      <c r="D163" s="483"/>
      <c r="E163" s="483" t="s">
        <v>595</v>
      </c>
      <c r="F163" s="517"/>
      <c r="H163" s="535"/>
      <c r="I163" s="535"/>
      <c r="J163" s="535"/>
      <c r="K163" s="535"/>
      <c r="L163" s="535"/>
      <c r="M163" s="535"/>
      <c r="N163" s="535"/>
      <c r="O163" s="535"/>
      <c r="P163" s="535"/>
      <c r="Q163" s="607">
        <v>1800</v>
      </c>
    </row>
    <row r="164" spans="2:18" ht="15" customHeight="1">
      <c r="B164" s="474" t="s">
        <v>4</v>
      </c>
      <c r="C164" s="374" t="s">
        <v>305</v>
      </c>
      <c r="D164" s="483"/>
      <c r="E164" s="483" t="s">
        <v>595</v>
      </c>
      <c r="F164" s="517"/>
      <c r="H164" s="535"/>
      <c r="I164" s="535"/>
      <c r="J164" s="535"/>
      <c r="K164" s="535"/>
      <c r="L164" s="535"/>
      <c r="M164" s="535"/>
      <c r="N164" s="535"/>
      <c r="O164" s="535"/>
      <c r="P164" s="535"/>
      <c r="Q164" s="607">
        <v>6000</v>
      </c>
    </row>
    <row r="165" spans="2:18" ht="15" customHeight="1">
      <c r="B165" s="474" t="s">
        <v>6</v>
      </c>
      <c r="C165" s="374" t="s">
        <v>598</v>
      </c>
      <c r="D165" s="483"/>
      <c r="E165" s="589" t="s">
        <v>595</v>
      </c>
      <c r="F165" s="517"/>
      <c r="H165" s="535"/>
      <c r="I165" s="535"/>
      <c r="J165" s="535"/>
      <c r="K165" s="535"/>
      <c r="L165" s="535"/>
      <c r="M165" s="535"/>
      <c r="N165" s="535"/>
      <c r="O165" s="535"/>
      <c r="P165" s="535"/>
      <c r="Q165" s="607">
        <v>1800</v>
      </c>
    </row>
    <row r="166" spans="2:18" ht="15" customHeight="1">
      <c r="B166" s="474" t="s">
        <v>9</v>
      </c>
      <c r="C166" s="374" t="s">
        <v>599</v>
      </c>
      <c r="D166" s="483"/>
      <c r="E166" s="589" t="s">
        <v>595</v>
      </c>
      <c r="F166" s="517"/>
      <c r="H166" s="535"/>
      <c r="I166" s="535"/>
      <c r="J166" s="535"/>
      <c r="K166" s="535"/>
      <c r="L166" s="535"/>
      <c r="M166" s="535"/>
      <c r="N166" s="535"/>
      <c r="O166" s="535"/>
      <c r="P166" s="535"/>
      <c r="Q166" s="607">
        <v>1800</v>
      </c>
    </row>
    <row r="167" spans="2:18" ht="15" customHeight="1">
      <c r="B167" s="474" t="s">
        <v>12</v>
      </c>
      <c r="C167" s="374" t="s">
        <v>600</v>
      </c>
      <c r="D167" s="483"/>
      <c r="E167" s="589" t="s">
        <v>595</v>
      </c>
      <c r="F167" s="517"/>
      <c r="H167" s="535"/>
      <c r="I167" s="535"/>
      <c r="J167" s="535"/>
      <c r="K167" s="535"/>
      <c r="L167" s="535"/>
      <c r="M167" s="535"/>
      <c r="N167" s="535"/>
      <c r="O167" s="535"/>
      <c r="P167" s="535"/>
      <c r="Q167" s="607">
        <v>1800</v>
      </c>
    </row>
    <row r="168" spans="2:18" ht="15" customHeight="1">
      <c r="B168" s="474" t="s">
        <v>15</v>
      </c>
      <c r="C168" s="374" t="s">
        <v>313</v>
      </c>
      <c r="D168" s="483"/>
      <c r="E168" s="483" t="s">
        <v>595</v>
      </c>
      <c r="F168" s="517"/>
      <c r="H168" s="535"/>
      <c r="I168" s="535"/>
      <c r="J168" s="535"/>
      <c r="K168" s="535"/>
      <c r="L168" s="535"/>
      <c r="M168" s="535"/>
      <c r="N168" s="535"/>
      <c r="O168" s="535"/>
      <c r="P168" s="535"/>
      <c r="Q168" s="607">
        <v>100000</v>
      </c>
    </row>
    <row r="169" spans="2:18" ht="4.5" customHeight="1">
      <c r="C169" s="381"/>
      <c r="Q169" s="608"/>
    </row>
    <row r="170" spans="2:18" ht="15" customHeight="1">
      <c r="B170" s="137"/>
      <c r="C170" s="138" t="s">
        <v>601</v>
      </c>
      <c r="D170" s="138"/>
      <c r="E170" s="138"/>
      <c r="F170" s="529"/>
      <c r="G170" s="233"/>
      <c r="H170" s="137"/>
      <c r="I170" s="234"/>
      <c r="J170" s="234"/>
      <c r="K170" s="234"/>
      <c r="L170" s="234"/>
      <c r="M170" s="234"/>
      <c r="N170" s="234"/>
      <c r="O170" s="234"/>
      <c r="P170" s="234"/>
      <c r="Q170" s="609"/>
      <c r="R170" s="503"/>
    </row>
    <row r="171" spans="2:18" ht="15" customHeight="1">
      <c r="B171" s="474" t="s">
        <v>1</v>
      </c>
      <c r="C171" s="374" t="s">
        <v>602</v>
      </c>
      <c r="D171" s="483"/>
      <c r="E171" s="483" t="s">
        <v>595</v>
      </c>
      <c r="F171" s="517"/>
      <c r="H171" s="535"/>
      <c r="I171" s="535"/>
      <c r="J171" s="535"/>
      <c r="K171" s="535"/>
      <c r="L171" s="535"/>
      <c r="M171" s="535"/>
      <c r="N171" s="535"/>
      <c r="O171" s="535"/>
      <c r="P171" s="535"/>
      <c r="Q171" s="607">
        <v>130</v>
      </c>
    </row>
    <row r="172" spans="2:18" ht="15" customHeight="1">
      <c r="B172" s="474" t="s">
        <v>4</v>
      </c>
      <c r="C172" s="374" t="s">
        <v>603</v>
      </c>
      <c r="D172" s="483"/>
      <c r="E172" s="483" t="s">
        <v>595</v>
      </c>
      <c r="F172" s="517"/>
      <c r="H172" s="535"/>
      <c r="I172" s="535"/>
      <c r="J172" s="535"/>
      <c r="K172" s="535"/>
      <c r="L172" s="535"/>
      <c r="M172" s="535"/>
      <c r="N172" s="535"/>
      <c r="O172" s="535"/>
      <c r="P172" s="535"/>
      <c r="Q172" s="607">
        <v>300</v>
      </c>
    </row>
    <row r="173" spans="2:18" ht="15" customHeight="1">
      <c r="B173" s="474" t="s">
        <v>6</v>
      </c>
      <c r="C173" s="374" t="s">
        <v>604</v>
      </c>
      <c r="D173" s="483"/>
      <c r="E173" s="483" t="s">
        <v>595</v>
      </c>
      <c r="F173" s="517"/>
      <c r="H173" s="535"/>
      <c r="I173" s="535"/>
      <c r="J173" s="535"/>
      <c r="K173" s="535"/>
      <c r="L173" s="535"/>
      <c r="M173" s="535"/>
      <c r="N173" s="535"/>
      <c r="O173" s="535"/>
      <c r="P173" s="535"/>
      <c r="Q173" s="607">
        <v>300</v>
      </c>
    </row>
    <row r="174" spans="2:18" ht="4.5" customHeight="1">
      <c r="C174" s="381"/>
      <c r="Q174" s="608"/>
    </row>
    <row r="175" spans="2:18" ht="15" customHeight="1">
      <c r="B175" s="137"/>
      <c r="C175" s="138" t="s">
        <v>605</v>
      </c>
      <c r="D175" s="138"/>
      <c r="E175" s="138"/>
      <c r="F175" s="529"/>
      <c r="G175" s="233"/>
      <c r="H175" s="137"/>
      <c r="I175" s="234"/>
      <c r="J175" s="234"/>
      <c r="K175" s="234"/>
      <c r="L175" s="234"/>
      <c r="M175" s="234"/>
      <c r="N175" s="234"/>
      <c r="O175" s="234"/>
      <c r="P175" s="234"/>
      <c r="Q175" s="609"/>
      <c r="R175" s="503"/>
    </row>
    <row r="176" spans="2:18" ht="15" customHeight="1">
      <c r="B176" s="474" t="s">
        <v>1</v>
      </c>
      <c r="C176" s="374" t="s">
        <v>606</v>
      </c>
      <c r="D176" s="483"/>
      <c r="E176" s="483" t="s">
        <v>595</v>
      </c>
      <c r="F176" s="517"/>
      <c r="H176" s="535"/>
      <c r="I176" s="535"/>
      <c r="J176" s="535"/>
      <c r="K176" s="535"/>
      <c r="L176" s="535"/>
      <c r="M176" s="535"/>
      <c r="N176" s="535"/>
      <c r="O176" s="535"/>
      <c r="P176" s="535"/>
      <c r="Q176" s="607">
        <v>130</v>
      </c>
    </row>
    <row r="177" spans="2:18" ht="4.5" customHeight="1">
      <c r="C177" s="381"/>
      <c r="Q177" s="608"/>
    </row>
    <row r="178" spans="2:18" ht="15" customHeight="1">
      <c r="B178" s="137"/>
      <c r="C178" s="138" t="s">
        <v>607</v>
      </c>
      <c r="D178" s="138"/>
      <c r="E178" s="138"/>
      <c r="F178" s="529"/>
      <c r="G178" s="233"/>
      <c r="H178" s="137"/>
      <c r="I178" s="234"/>
      <c r="J178" s="234"/>
      <c r="K178" s="234"/>
      <c r="L178" s="234"/>
      <c r="M178" s="234"/>
      <c r="N178" s="234"/>
      <c r="O178" s="234"/>
      <c r="P178" s="234"/>
      <c r="Q178" s="609"/>
      <c r="R178" s="503"/>
    </row>
    <row r="179" spans="2:18" ht="15" customHeight="1">
      <c r="B179" s="474" t="s">
        <v>1</v>
      </c>
      <c r="C179" s="374" t="s">
        <v>326</v>
      </c>
      <c r="D179" s="483"/>
      <c r="E179" s="483" t="s">
        <v>595</v>
      </c>
      <c r="F179" s="517"/>
      <c r="H179" s="535"/>
      <c r="I179" s="535"/>
      <c r="J179" s="535"/>
      <c r="K179" s="535"/>
      <c r="L179" s="535"/>
      <c r="M179" s="535"/>
      <c r="N179" s="535"/>
      <c r="O179" s="535"/>
      <c r="P179" s="535"/>
      <c r="Q179" s="607">
        <v>360</v>
      </c>
    </row>
  </sheetData>
  <sheetProtection algorithmName="SHA-512" hashValue="6jtV8uYv/bVcstTmH8FL5QThJaQ28G0NSYA/A5LMSITTakxUYGmc3YmcrAP3hPihkoVuMMQ5jQF9rqNwvqsw5g==" saltValue="JO9+mLgPlhg6IRdM7OV4uA==" spinCount="100000" sheet="1" objects="1" scenarios="1"/>
  <mergeCells count="12">
    <mergeCell ref="B47:B49"/>
    <mergeCell ref="B111:B112"/>
    <mergeCell ref="H14:Q14"/>
    <mergeCell ref="H15:H16"/>
    <mergeCell ref="I15:I16"/>
    <mergeCell ref="J15:J16"/>
    <mergeCell ref="Q15:Q16"/>
    <mergeCell ref="B14:B16"/>
    <mergeCell ref="C14:C16"/>
    <mergeCell ref="D14:D16"/>
    <mergeCell ref="E14:E16"/>
    <mergeCell ref="F14:F16"/>
  </mergeCells>
  <hyperlinks>
    <hyperlink ref="F97" r:id="rId1"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0000000}"/>
    <hyperlink ref="F100" r:id="rId2" location="/documento/acordao-completo/*/KEY%253AACORDAO-COMPLETO-40423/DTRELEVANCIA%2520desc/0/sinonimos%253Dfalse" display="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_x000a_Para fins de cálculo a base a ser utilizada é o total da remuneração para que não haja dupla incidência de férias. adicional de férias e décimo-terceiro." xr:uid="{00000000-0004-0000-0700-000001000000}"/>
    <hyperlink ref="F105" r:id="rId3"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2000000}"/>
    <hyperlink ref="C117" location="'Mat Individual e Uniformes func'!A1" display="Material Individual e Uniformes" xr:uid="{00000000-0004-0000-0700-000003000000}"/>
    <hyperlink ref="C118" location="'Mat Coletivo e Equipamentos'!A1" display="Material Coletivo e Equipamentos" xr:uid="{00000000-0004-0000-0700-000004000000}"/>
  </hyperlink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634"/>
  <sheetViews>
    <sheetView showGridLines="0" topLeftCell="B1" zoomScale="85" zoomScaleNormal="85" workbookViewId="0">
      <pane ySplit="1" topLeftCell="A4" activePane="bottomLeft" state="frozen"/>
      <selection activeCell="B1" sqref="B1"/>
      <selection pane="bottomLeft" activeCell="F22" sqref="F22"/>
    </sheetView>
  </sheetViews>
  <sheetFormatPr defaultRowHeight="14.4"/>
  <cols>
    <col min="1" max="1" width="29.33203125" style="469" customWidth="1"/>
    <col min="2" max="2" width="7.44140625" style="239" customWidth="1"/>
    <col min="3" max="3" width="16.5546875" style="610" customWidth="1"/>
    <col min="4" max="4" width="21" customWidth="1"/>
    <col min="5" max="5" width="16.109375" customWidth="1"/>
    <col min="6" max="6" width="17.5546875" customWidth="1"/>
    <col min="7" max="7" width="17.33203125" style="251" customWidth="1"/>
    <col min="8" max="8" width="17.33203125" style="611" customWidth="1"/>
    <col min="9" max="9" width="19" style="251" customWidth="1"/>
    <col min="10" max="10" width="13.88671875" customWidth="1"/>
    <col min="11" max="11" width="19" customWidth="1"/>
    <col min="12" max="12" width="19.88671875" customWidth="1"/>
    <col min="13" max="13" width="18.109375" customWidth="1"/>
    <col min="14" max="14" width="14.5546875" customWidth="1"/>
    <col min="15" max="20" width="12.6640625" customWidth="1"/>
    <col min="21" max="1025" width="8.6640625" customWidth="1"/>
  </cols>
  <sheetData>
    <row r="1" spans="1:20" s="618" customFormat="1" ht="72">
      <c r="A1" s="612" t="s">
        <v>608</v>
      </c>
      <c r="B1" s="612" t="s">
        <v>609</v>
      </c>
      <c r="C1" s="613" t="s">
        <v>610</v>
      </c>
      <c r="D1" s="612" t="s">
        <v>611</v>
      </c>
      <c r="E1" s="614" t="s">
        <v>612</v>
      </c>
      <c r="F1" s="614" t="s">
        <v>613</v>
      </c>
      <c r="G1" s="615" t="s">
        <v>614</v>
      </c>
      <c r="H1" s="616" t="s">
        <v>615</v>
      </c>
      <c r="I1" s="617" t="s">
        <v>616</v>
      </c>
      <c r="J1" s="617" t="s">
        <v>617</v>
      </c>
      <c r="K1" s="617" t="s">
        <v>618</v>
      </c>
      <c r="L1" s="617" t="s">
        <v>619</v>
      </c>
      <c r="M1" s="617" t="s">
        <v>620</v>
      </c>
      <c r="N1" s="617" t="s">
        <v>621</v>
      </c>
      <c r="O1" s="617" t="s">
        <v>622</v>
      </c>
      <c r="P1" s="617" t="s">
        <v>623</v>
      </c>
      <c r="Q1" s="617" t="s">
        <v>624</v>
      </c>
      <c r="R1" s="617" t="s">
        <v>625</v>
      </c>
      <c r="S1" s="617" t="s">
        <v>626</v>
      </c>
      <c r="T1" s="617" t="s">
        <v>165</v>
      </c>
    </row>
    <row r="2" spans="1:20" s="618" customFormat="1">
      <c r="A2" s="619"/>
      <c r="B2" s="619"/>
      <c r="C2" s="620"/>
      <c r="D2" s="619"/>
      <c r="E2" s="621"/>
      <c r="F2" s="621"/>
      <c r="G2" s="622"/>
      <c r="H2" s="623"/>
      <c r="I2" s="624"/>
      <c r="J2" s="624"/>
      <c r="K2" s="624"/>
      <c r="L2" s="624"/>
      <c r="M2" s="624"/>
      <c r="N2" s="624"/>
      <c r="O2" s="624"/>
      <c r="P2" s="624"/>
      <c r="Q2" s="624"/>
      <c r="R2" s="624"/>
      <c r="S2" s="624"/>
      <c r="T2" s="624"/>
    </row>
    <row r="3" spans="1:20" s="633" customFormat="1">
      <c r="A3" s="625" t="s">
        <v>627</v>
      </c>
      <c r="B3" s="626">
        <v>4141</v>
      </c>
      <c r="C3" s="625" t="s">
        <v>57</v>
      </c>
      <c r="D3" s="627" t="s">
        <v>628</v>
      </c>
      <c r="E3" s="628">
        <v>45658</v>
      </c>
      <c r="F3" s="628">
        <v>46022</v>
      </c>
      <c r="G3" s="629">
        <v>1653.58</v>
      </c>
      <c r="H3" s="630">
        <v>220</v>
      </c>
      <c r="I3" s="629">
        <v>25.42</v>
      </c>
      <c r="J3" s="629">
        <f t="shared" ref="J3:J16" si="0">I3/2</f>
        <v>12.71</v>
      </c>
      <c r="K3" s="626"/>
      <c r="L3" s="626"/>
      <c r="M3" s="631"/>
      <c r="N3" s="631" t="s">
        <v>629</v>
      </c>
      <c r="O3" s="631"/>
      <c r="P3" s="631">
        <v>0.06</v>
      </c>
      <c r="Q3" s="631">
        <v>0.19</v>
      </c>
      <c r="R3" s="629">
        <v>24.1</v>
      </c>
      <c r="S3" s="629"/>
      <c r="T3" s="632">
        <v>0.05</v>
      </c>
    </row>
    <row r="4" spans="1:20" s="239" customFormat="1">
      <c r="A4" s="634" t="s">
        <v>630</v>
      </c>
      <c r="B4" s="635">
        <v>4110</v>
      </c>
      <c r="C4" s="634" t="s">
        <v>57</v>
      </c>
      <c r="D4" s="635" t="s">
        <v>628</v>
      </c>
      <c r="E4" s="636">
        <v>45658</v>
      </c>
      <c r="F4" s="628">
        <v>46022</v>
      </c>
      <c r="G4" s="637">
        <v>2161.09</v>
      </c>
      <c r="H4" s="638">
        <v>220</v>
      </c>
      <c r="I4" s="629">
        <v>25.42</v>
      </c>
      <c r="J4" s="639">
        <f t="shared" si="0"/>
        <v>12.71</v>
      </c>
      <c r="K4" s="635"/>
      <c r="L4" s="635"/>
      <c r="M4" s="640"/>
      <c r="N4" s="640" t="s">
        <v>629</v>
      </c>
      <c r="O4" s="640"/>
      <c r="P4" s="640">
        <v>0.06</v>
      </c>
      <c r="Q4" s="640">
        <v>0.19</v>
      </c>
      <c r="R4" s="639">
        <v>24.1</v>
      </c>
      <c r="S4" s="639"/>
      <c r="T4" s="641">
        <v>0.05</v>
      </c>
    </row>
    <row r="5" spans="1:20" s="239" customFormat="1">
      <c r="A5" s="634" t="s">
        <v>631</v>
      </c>
      <c r="B5" s="635">
        <v>5143</v>
      </c>
      <c r="C5" s="634" t="s">
        <v>57</v>
      </c>
      <c r="D5" s="635" t="s">
        <v>628</v>
      </c>
      <c r="E5" s="636">
        <v>45658</v>
      </c>
      <c r="F5" s="636">
        <v>46022</v>
      </c>
      <c r="G5" s="637">
        <v>1653.58</v>
      </c>
      <c r="H5" s="638">
        <v>220</v>
      </c>
      <c r="I5" s="642">
        <v>25.42</v>
      </c>
      <c r="J5" s="639">
        <f t="shared" si="0"/>
        <v>12.71</v>
      </c>
      <c r="K5" s="635"/>
      <c r="L5" s="635"/>
      <c r="M5" s="640"/>
      <c r="N5" s="640" t="s">
        <v>629</v>
      </c>
      <c r="O5" s="640"/>
      <c r="P5" s="640">
        <v>0.06</v>
      </c>
      <c r="Q5" s="640">
        <v>0.19</v>
      </c>
      <c r="R5" s="639">
        <v>24.1</v>
      </c>
      <c r="S5" s="639"/>
      <c r="T5" s="641">
        <v>0.05</v>
      </c>
    </row>
    <row r="6" spans="1:20" s="239" customFormat="1">
      <c r="A6" s="634" t="s">
        <v>632</v>
      </c>
      <c r="B6" s="635">
        <v>5135</v>
      </c>
      <c r="C6" s="634" t="s">
        <v>57</v>
      </c>
      <c r="D6" s="635" t="s">
        <v>628</v>
      </c>
      <c r="E6" s="636">
        <v>45658</v>
      </c>
      <c r="F6" s="636">
        <v>46022</v>
      </c>
      <c r="G6" s="637">
        <v>1653.58</v>
      </c>
      <c r="H6" s="643">
        <v>220</v>
      </c>
      <c r="I6" s="629">
        <v>25.42</v>
      </c>
      <c r="J6" s="639">
        <f t="shared" si="0"/>
        <v>12.71</v>
      </c>
      <c r="K6" s="635"/>
      <c r="L6" s="635"/>
      <c r="M6" s="640">
        <v>0.2</v>
      </c>
      <c r="N6" s="640" t="s">
        <v>629</v>
      </c>
      <c r="O6" s="640"/>
      <c r="P6" s="640">
        <v>0.06</v>
      </c>
      <c r="Q6" s="644">
        <v>0.19</v>
      </c>
      <c r="R6" s="639">
        <v>24.1</v>
      </c>
      <c r="S6" s="639"/>
      <c r="T6" s="641">
        <v>0.05</v>
      </c>
    </row>
    <row r="7" spans="1:20" s="239" customFormat="1">
      <c r="A7" s="634" t="s">
        <v>633</v>
      </c>
      <c r="B7" s="635">
        <v>5142</v>
      </c>
      <c r="C7" s="634" t="s">
        <v>57</v>
      </c>
      <c r="D7" s="635" t="s">
        <v>628</v>
      </c>
      <c r="E7" s="636">
        <v>45658</v>
      </c>
      <c r="F7" s="636">
        <v>46022</v>
      </c>
      <c r="G7" s="637">
        <v>1949.91</v>
      </c>
      <c r="H7" s="643">
        <v>220</v>
      </c>
      <c r="I7" s="639">
        <v>25.42</v>
      </c>
      <c r="J7" s="639">
        <f t="shared" si="0"/>
        <v>12.71</v>
      </c>
      <c r="K7" s="635"/>
      <c r="L7" s="635"/>
      <c r="M7" s="640">
        <v>0.4</v>
      </c>
      <c r="N7" s="640" t="s">
        <v>629</v>
      </c>
      <c r="O7" s="640"/>
      <c r="P7" s="640">
        <v>0.06</v>
      </c>
      <c r="Q7" s="644">
        <v>0.19</v>
      </c>
      <c r="R7" s="639">
        <v>24.1</v>
      </c>
      <c r="S7" s="639"/>
      <c r="T7" s="641">
        <v>0.05</v>
      </c>
    </row>
    <row r="8" spans="1:20">
      <c r="A8" s="634" t="s">
        <v>634</v>
      </c>
      <c r="B8" s="635">
        <v>5134</v>
      </c>
      <c r="C8" s="634" t="s">
        <v>57</v>
      </c>
      <c r="D8" s="635" t="s">
        <v>628</v>
      </c>
      <c r="E8" s="636">
        <v>45658</v>
      </c>
      <c r="F8" s="636">
        <v>46022</v>
      </c>
      <c r="G8" s="637">
        <v>1653.58</v>
      </c>
      <c r="H8" s="643">
        <v>220</v>
      </c>
      <c r="I8" s="639">
        <v>25.42</v>
      </c>
      <c r="J8" s="639">
        <f t="shared" si="0"/>
        <v>12.71</v>
      </c>
      <c r="K8" s="634"/>
      <c r="L8" s="634"/>
      <c r="M8" s="640">
        <v>0.2</v>
      </c>
      <c r="N8" s="640" t="s">
        <v>629</v>
      </c>
      <c r="O8" s="640"/>
      <c r="P8" s="640">
        <v>0.06</v>
      </c>
      <c r="Q8" s="644">
        <v>0.19</v>
      </c>
      <c r="R8" s="639">
        <v>24.1</v>
      </c>
      <c r="S8" s="639"/>
      <c r="T8" s="641">
        <v>0.05</v>
      </c>
    </row>
    <row r="9" spans="1:20">
      <c r="A9" s="634" t="s">
        <v>635</v>
      </c>
      <c r="B9" s="635">
        <v>5132</v>
      </c>
      <c r="C9" s="634" t="s">
        <v>57</v>
      </c>
      <c r="D9" s="635" t="s">
        <v>628</v>
      </c>
      <c r="E9" s="636">
        <v>45658</v>
      </c>
      <c r="F9" s="636">
        <v>46022</v>
      </c>
      <c r="G9" s="637">
        <v>1736.16</v>
      </c>
      <c r="H9" s="643">
        <v>220</v>
      </c>
      <c r="I9" s="639">
        <v>25.42</v>
      </c>
      <c r="J9" s="639">
        <f t="shared" si="0"/>
        <v>12.71</v>
      </c>
      <c r="K9" s="634"/>
      <c r="L9" s="634"/>
      <c r="M9" s="640">
        <v>0.2</v>
      </c>
      <c r="N9" s="640" t="s">
        <v>629</v>
      </c>
      <c r="O9" s="640"/>
      <c r="P9" s="640">
        <v>0.06</v>
      </c>
      <c r="Q9" s="644">
        <v>0.19</v>
      </c>
      <c r="R9" s="639">
        <v>24.1</v>
      </c>
      <c r="S9" s="639"/>
      <c r="T9" s="641">
        <v>0.05</v>
      </c>
    </row>
    <row r="10" spans="1:20">
      <c r="A10" s="634" t="s">
        <v>278</v>
      </c>
      <c r="B10" s="635">
        <v>5143</v>
      </c>
      <c r="C10" s="634" t="s">
        <v>57</v>
      </c>
      <c r="D10" s="635" t="s">
        <v>628</v>
      </c>
      <c r="E10" s="636">
        <v>45658</v>
      </c>
      <c r="F10" s="636">
        <v>46022</v>
      </c>
      <c r="G10" s="637">
        <v>1653.58</v>
      </c>
      <c r="H10" s="643">
        <v>220</v>
      </c>
      <c r="I10" s="639">
        <v>25.42</v>
      </c>
      <c r="J10" s="639">
        <f t="shared" si="0"/>
        <v>12.71</v>
      </c>
      <c r="K10" s="634"/>
      <c r="L10" s="634"/>
      <c r="M10" s="640">
        <v>0.4</v>
      </c>
      <c r="N10" s="640" t="s">
        <v>629</v>
      </c>
      <c r="O10" s="640"/>
      <c r="P10" s="640">
        <v>0.06</v>
      </c>
      <c r="Q10" s="644">
        <v>0.19</v>
      </c>
      <c r="R10" s="639">
        <v>24.1</v>
      </c>
      <c r="S10" s="639"/>
      <c r="T10" s="641">
        <v>2.5000000000000001E-2</v>
      </c>
    </row>
    <row r="11" spans="1:20">
      <c r="A11" s="645" t="s">
        <v>636</v>
      </c>
      <c r="B11" s="635">
        <v>5174</v>
      </c>
      <c r="C11" s="634" t="s">
        <v>57</v>
      </c>
      <c r="D11" s="635" t="s">
        <v>628</v>
      </c>
      <c r="E11" s="636">
        <v>45658</v>
      </c>
      <c r="F11" s="636">
        <v>46022</v>
      </c>
      <c r="G11" s="637">
        <v>1991.06</v>
      </c>
      <c r="H11" s="643">
        <v>220</v>
      </c>
      <c r="I11" s="639">
        <v>25.42</v>
      </c>
      <c r="J11" s="639">
        <f t="shared" si="0"/>
        <v>12.71</v>
      </c>
      <c r="K11" s="634"/>
      <c r="L11" s="634"/>
      <c r="M11" s="640"/>
      <c r="N11" s="640" t="s">
        <v>629</v>
      </c>
      <c r="O11" s="640"/>
      <c r="P11" s="640">
        <v>0.06</v>
      </c>
      <c r="Q11" s="644">
        <v>0.19</v>
      </c>
      <c r="R11" s="639">
        <v>24.1</v>
      </c>
      <c r="S11" s="639"/>
      <c r="T11" s="641">
        <v>2.5000000000000001E-2</v>
      </c>
    </row>
    <row r="12" spans="1:20">
      <c r="A12" s="645" t="s">
        <v>637</v>
      </c>
      <c r="B12" s="635">
        <v>4221</v>
      </c>
      <c r="C12" s="634" t="s">
        <v>57</v>
      </c>
      <c r="D12" s="635" t="s">
        <v>628</v>
      </c>
      <c r="E12" s="636">
        <v>45658</v>
      </c>
      <c r="F12" s="636">
        <v>46022</v>
      </c>
      <c r="G12" s="637">
        <v>1869.5</v>
      </c>
      <c r="H12" s="643">
        <v>220</v>
      </c>
      <c r="I12" s="639">
        <v>25.42</v>
      </c>
      <c r="J12" s="639">
        <f t="shared" si="0"/>
        <v>12.71</v>
      </c>
      <c r="K12" s="634"/>
      <c r="L12" s="634"/>
      <c r="M12" s="640"/>
      <c r="N12" s="640" t="s">
        <v>629</v>
      </c>
      <c r="O12" s="640"/>
      <c r="P12" s="640">
        <v>0.06</v>
      </c>
      <c r="Q12" s="644">
        <v>0.19</v>
      </c>
      <c r="R12" s="639">
        <v>24.1</v>
      </c>
      <c r="S12" s="639"/>
      <c r="T12" s="641">
        <v>2.5000000000000001E-2</v>
      </c>
    </row>
    <row r="13" spans="1:20">
      <c r="A13" s="634" t="s">
        <v>638</v>
      </c>
      <c r="B13" s="635">
        <v>5142</v>
      </c>
      <c r="C13" s="634" t="s">
        <v>57</v>
      </c>
      <c r="D13" s="635" t="s">
        <v>628</v>
      </c>
      <c r="E13" s="636">
        <v>45658</v>
      </c>
      <c r="F13" s="636">
        <v>46022</v>
      </c>
      <c r="G13" s="637">
        <v>1685.25</v>
      </c>
      <c r="H13" s="643">
        <v>220</v>
      </c>
      <c r="I13" s="639">
        <v>25.42</v>
      </c>
      <c r="J13" s="639">
        <f t="shared" si="0"/>
        <v>12.71</v>
      </c>
      <c r="K13" s="634"/>
      <c r="L13" s="634"/>
      <c r="M13" s="640">
        <v>0.2</v>
      </c>
      <c r="N13" s="640" t="s">
        <v>629</v>
      </c>
      <c r="O13" s="640"/>
      <c r="P13" s="640">
        <v>0.06</v>
      </c>
      <c r="Q13" s="644">
        <v>0.19</v>
      </c>
      <c r="R13" s="639">
        <v>24.1</v>
      </c>
      <c r="S13" s="639"/>
      <c r="T13" s="641">
        <v>2.5000000000000001E-2</v>
      </c>
    </row>
    <row r="14" spans="1:20">
      <c r="A14" s="645" t="s">
        <v>279</v>
      </c>
      <c r="B14" s="635">
        <v>5143</v>
      </c>
      <c r="C14" s="634" t="s">
        <v>57</v>
      </c>
      <c r="D14" s="635" t="s">
        <v>628</v>
      </c>
      <c r="E14" s="636">
        <v>45658</v>
      </c>
      <c r="F14" s="636">
        <v>46022</v>
      </c>
      <c r="G14" s="637">
        <v>2101.14</v>
      </c>
      <c r="H14" s="643">
        <v>220</v>
      </c>
      <c r="I14" s="639">
        <v>25.42</v>
      </c>
      <c r="J14" s="639">
        <f t="shared" si="0"/>
        <v>12.71</v>
      </c>
      <c r="K14" s="634"/>
      <c r="L14" s="634"/>
      <c r="M14" s="640"/>
      <c r="N14" s="640" t="s">
        <v>629</v>
      </c>
      <c r="O14" s="640">
        <v>0.3</v>
      </c>
      <c r="P14" s="640">
        <v>0.06</v>
      </c>
      <c r="Q14" s="644">
        <v>0.19</v>
      </c>
      <c r="R14" s="639">
        <v>24.1</v>
      </c>
      <c r="S14" s="639"/>
      <c r="T14" s="641">
        <v>2.5000000000000001E-2</v>
      </c>
    </row>
    <row r="15" spans="1:20">
      <c r="A15" s="645" t="s">
        <v>639</v>
      </c>
      <c r="B15" s="635">
        <v>4227</v>
      </c>
      <c r="C15" s="634" t="s">
        <v>57</v>
      </c>
      <c r="D15" s="635" t="s">
        <v>628</v>
      </c>
      <c r="E15" s="636">
        <v>45658</v>
      </c>
      <c r="F15" s="636">
        <v>46022</v>
      </c>
      <c r="G15" s="637">
        <v>1991.06</v>
      </c>
      <c r="H15" s="643">
        <v>220</v>
      </c>
      <c r="I15" s="639">
        <v>25.42</v>
      </c>
      <c r="J15" s="639">
        <f t="shared" si="0"/>
        <v>12.71</v>
      </c>
      <c r="K15" s="634"/>
      <c r="L15" s="634"/>
      <c r="M15" s="640"/>
      <c r="N15" s="640" t="s">
        <v>629</v>
      </c>
      <c r="O15" s="640"/>
      <c r="P15" s="640">
        <v>0.06</v>
      </c>
      <c r="Q15" s="644">
        <v>0.19</v>
      </c>
      <c r="R15" s="639">
        <v>24.1</v>
      </c>
      <c r="S15" s="639"/>
      <c r="T15" s="641">
        <v>0.05</v>
      </c>
    </row>
    <row r="16" spans="1:20">
      <c r="A16" s="645" t="s">
        <v>640</v>
      </c>
      <c r="B16" s="635">
        <v>4222</v>
      </c>
      <c r="C16" s="634" t="s">
        <v>57</v>
      </c>
      <c r="D16" s="635" t="s">
        <v>628</v>
      </c>
      <c r="E16" s="636">
        <v>45658</v>
      </c>
      <c r="F16" s="636">
        <v>46022</v>
      </c>
      <c r="G16" s="637">
        <v>1869.5</v>
      </c>
      <c r="H16" s="643">
        <v>180</v>
      </c>
      <c r="I16" s="639">
        <v>25.42</v>
      </c>
      <c r="J16" s="639">
        <f t="shared" si="0"/>
        <v>12.71</v>
      </c>
      <c r="K16" s="634"/>
      <c r="L16" s="634"/>
      <c r="M16" s="640"/>
      <c r="N16" s="640" t="s">
        <v>629</v>
      </c>
      <c r="O16" s="640"/>
      <c r="P16" s="640">
        <v>0.06</v>
      </c>
      <c r="Q16" s="644">
        <v>0.19</v>
      </c>
      <c r="R16" s="639">
        <v>24.1</v>
      </c>
      <c r="S16" s="639"/>
      <c r="T16" s="641">
        <v>0.05</v>
      </c>
    </row>
    <row r="17" spans="1:20">
      <c r="A17" s="645" t="s">
        <v>641</v>
      </c>
      <c r="B17" s="635">
        <v>5173</v>
      </c>
      <c r="C17" s="634" t="s">
        <v>642</v>
      </c>
      <c r="D17" s="646" t="s">
        <v>643</v>
      </c>
      <c r="E17" s="636">
        <v>45323</v>
      </c>
      <c r="F17" s="636">
        <v>45688</v>
      </c>
      <c r="G17" s="637">
        <v>1977.8</v>
      </c>
      <c r="H17" s="643">
        <v>220</v>
      </c>
      <c r="I17" s="639">
        <v>27</v>
      </c>
      <c r="J17" s="639"/>
      <c r="K17" s="634"/>
      <c r="L17" s="647">
        <f>G17/H17*1.3/6</f>
        <v>1.9478333333333335</v>
      </c>
      <c r="M17" s="640"/>
      <c r="N17" s="640" t="s">
        <v>28</v>
      </c>
      <c r="O17" s="640">
        <v>0.3</v>
      </c>
      <c r="P17" s="640">
        <v>0.06</v>
      </c>
      <c r="Q17" s="644">
        <v>0.2</v>
      </c>
      <c r="R17" s="639"/>
      <c r="S17" s="639">
        <f>$R$4</f>
        <v>24.1</v>
      </c>
      <c r="T17" s="641">
        <v>2.5000000000000001E-2</v>
      </c>
    </row>
    <row r="18" spans="1:20">
      <c r="A18" s="645" t="s">
        <v>644</v>
      </c>
      <c r="B18" s="635">
        <v>7823</v>
      </c>
      <c r="C18" s="634" t="s">
        <v>645</v>
      </c>
      <c r="D18" s="646" t="s">
        <v>646</v>
      </c>
      <c r="E18" s="636">
        <v>45566</v>
      </c>
      <c r="F18" s="636">
        <v>45930</v>
      </c>
      <c r="G18" s="637">
        <f>2091.44</f>
        <v>2091.44</v>
      </c>
      <c r="H18" s="643">
        <v>220</v>
      </c>
      <c r="I18" s="639">
        <v>30</v>
      </c>
      <c r="J18" s="639"/>
      <c r="K18" s="634"/>
      <c r="L18" s="634"/>
      <c r="M18" s="640"/>
      <c r="N18" s="640" t="s">
        <v>28</v>
      </c>
      <c r="O18" s="640"/>
      <c r="P18" s="640">
        <v>0.06</v>
      </c>
      <c r="Q18" s="644">
        <v>0.2</v>
      </c>
      <c r="R18" s="639"/>
      <c r="S18" s="639">
        <f>$R$4</f>
        <v>24.1</v>
      </c>
      <c r="T18" s="641">
        <v>2.5000000000000001E-2</v>
      </c>
    </row>
    <row r="19" spans="1:20">
      <c r="A19" s="645" t="s">
        <v>51</v>
      </c>
      <c r="B19" s="635">
        <v>7823</v>
      </c>
      <c r="C19" s="634" t="s">
        <v>645</v>
      </c>
      <c r="D19" s="646" t="s">
        <v>646</v>
      </c>
      <c r="E19" s="636">
        <v>45566</v>
      </c>
      <c r="F19" s="636">
        <v>45930</v>
      </c>
      <c r="G19" s="637">
        <f>2159.19</f>
        <v>2159.19</v>
      </c>
      <c r="H19" s="643">
        <v>220</v>
      </c>
      <c r="I19" s="639">
        <v>30</v>
      </c>
      <c r="J19" s="639"/>
      <c r="K19" s="634"/>
      <c r="L19" s="634"/>
      <c r="M19" s="640"/>
      <c r="N19" s="640" t="s">
        <v>28</v>
      </c>
      <c r="O19" s="640"/>
      <c r="P19" s="640">
        <v>0.06</v>
      </c>
      <c r="Q19" s="644">
        <v>0.2</v>
      </c>
      <c r="R19" s="639"/>
      <c r="S19" s="639">
        <f>$R$4</f>
        <v>24.1</v>
      </c>
      <c r="T19" s="641">
        <v>2.5000000000000001E-2</v>
      </c>
    </row>
    <row r="20" spans="1:20">
      <c r="A20" s="634" t="s">
        <v>647</v>
      </c>
      <c r="B20" s="635">
        <v>7825</v>
      </c>
      <c r="C20" s="634" t="s">
        <v>645</v>
      </c>
      <c r="D20" s="646" t="s">
        <v>646</v>
      </c>
      <c r="E20" s="636">
        <v>45566</v>
      </c>
      <c r="F20" s="636">
        <v>45930</v>
      </c>
      <c r="G20" s="637">
        <f>2123.47</f>
        <v>2123.4699999999998</v>
      </c>
      <c r="H20" s="643">
        <v>220</v>
      </c>
      <c r="I20" s="639">
        <v>30</v>
      </c>
      <c r="J20" s="639"/>
      <c r="K20" s="634"/>
      <c r="L20" s="634"/>
      <c r="M20" s="640"/>
      <c r="N20" s="640" t="s">
        <v>28</v>
      </c>
      <c r="O20" s="640"/>
      <c r="P20" s="640">
        <v>0.06</v>
      </c>
      <c r="Q20" s="644">
        <v>0.2</v>
      </c>
      <c r="R20" s="639"/>
      <c r="S20" s="639">
        <f>$R$4</f>
        <v>24.1</v>
      </c>
      <c r="T20" s="641">
        <v>2.5000000000000001E-2</v>
      </c>
    </row>
    <row r="21" spans="1:20">
      <c r="A21" s="648" t="s">
        <v>648</v>
      </c>
      <c r="B21" s="649">
        <v>7825</v>
      </c>
      <c r="C21" s="650" t="s">
        <v>645</v>
      </c>
      <c r="D21" s="651" t="s">
        <v>646</v>
      </c>
      <c r="E21" s="652">
        <v>45566</v>
      </c>
      <c r="F21" s="652">
        <v>45930</v>
      </c>
      <c r="G21" s="653">
        <f>2176.43</f>
        <v>2176.4299999999998</v>
      </c>
      <c r="H21" s="654">
        <v>220</v>
      </c>
      <c r="I21" s="655">
        <v>30</v>
      </c>
      <c r="J21" s="655"/>
      <c r="K21" s="650"/>
      <c r="L21" s="650"/>
      <c r="M21" s="656"/>
      <c r="N21" s="656" t="s">
        <v>28</v>
      </c>
      <c r="O21" s="656"/>
      <c r="P21" s="656">
        <v>0.06</v>
      </c>
      <c r="Q21" s="657">
        <v>0.2</v>
      </c>
      <c r="R21" s="655"/>
      <c r="S21" s="655">
        <f>$R$4</f>
        <v>24.1</v>
      </c>
      <c r="T21" s="658">
        <v>2.5000000000000001E-2</v>
      </c>
    </row>
    <row r="22" spans="1:20">
      <c r="E22" s="659"/>
      <c r="F22" s="659"/>
      <c r="R22" s="660"/>
      <c r="S22" s="660"/>
      <c r="T22" s="660"/>
    </row>
    <row r="23" spans="1:20">
      <c r="E23" s="659"/>
      <c r="F23" s="659"/>
      <c r="R23" s="660"/>
      <c r="S23" s="660"/>
      <c r="T23" s="660"/>
    </row>
    <row r="24" spans="1:20">
      <c r="E24" s="659"/>
      <c r="F24" s="659"/>
      <c r="R24" s="660"/>
      <c r="S24" s="660"/>
      <c r="T24" s="660"/>
    </row>
    <row r="25" spans="1:20">
      <c r="E25" s="659"/>
      <c r="F25" s="659"/>
      <c r="R25" s="660"/>
      <c r="S25" s="660"/>
      <c r="T25" s="660"/>
    </row>
    <row r="30" spans="1:20">
      <c r="B30" s="661"/>
      <c r="E30" s="659"/>
      <c r="F30" s="659"/>
    </row>
    <row r="32" spans="1:20">
      <c r="E32" s="659"/>
      <c r="F32" s="659"/>
    </row>
    <row r="33" spans="2:6">
      <c r="B33" s="661"/>
      <c r="E33" s="659"/>
      <c r="F33" s="659"/>
    </row>
    <row r="34" spans="2:6">
      <c r="E34" s="659"/>
      <c r="F34" s="659"/>
    </row>
    <row r="35" spans="2:6">
      <c r="E35" s="659"/>
      <c r="F35" s="659"/>
    </row>
    <row r="43" spans="2:6">
      <c r="E43" s="659"/>
      <c r="F43" s="659"/>
    </row>
    <row r="45" spans="2:6">
      <c r="B45" s="661"/>
    </row>
    <row r="46" spans="2:6">
      <c r="E46" s="659"/>
      <c r="F46" s="659"/>
    </row>
    <row r="47" spans="2:6">
      <c r="E47" s="659"/>
      <c r="F47" s="659"/>
    </row>
    <row r="48" spans="2:6">
      <c r="E48" s="659"/>
      <c r="F48" s="659"/>
    </row>
    <row r="49" spans="1:6">
      <c r="E49" s="659"/>
      <c r="F49" s="659"/>
    </row>
    <row r="50" spans="1:6">
      <c r="E50" s="659"/>
      <c r="F50" s="659"/>
    </row>
    <row r="51" spans="1:6">
      <c r="E51" s="659"/>
      <c r="F51" s="659"/>
    </row>
    <row r="52" spans="1:6">
      <c r="E52" s="659"/>
      <c r="F52" s="659"/>
    </row>
    <row r="53" spans="1:6">
      <c r="E53" s="659"/>
      <c r="F53" s="659"/>
    </row>
    <row r="54" spans="1:6">
      <c r="E54" s="659"/>
      <c r="F54" s="659"/>
    </row>
    <row r="55" spans="1:6">
      <c r="E55" s="659"/>
      <c r="F55" s="659"/>
    </row>
    <row r="56" spans="1:6">
      <c r="E56" s="659"/>
      <c r="F56" s="659"/>
    </row>
    <row r="57" spans="1:6">
      <c r="E57" s="659"/>
      <c r="F57" s="659"/>
    </row>
    <row r="58" spans="1:6">
      <c r="E58" s="659"/>
      <c r="F58" s="659"/>
    </row>
    <row r="59" spans="1:6">
      <c r="E59" s="659"/>
      <c r="F59" s="659"/>
    </row>
    <row r="63" spans="1:6">
      <c r="A63" s="662"/>
      <c r="B63" s="661"/>
      <c r="C63" s="663"/>
      <c r="E63" s="659"/>
      <c r="F63" s="659"/>
    </row>
    <row r="64" spans="1:6">
      <c r="A64" s="662"/>
      <c r="B64" s="661"/>
      <c r="C64" s="663"/>
      <c r="E64" s="659"/>
      <c r="F64" s="659"/>
    </row>
    <row r="65" spans="2:6">
      <c r="E65" s="659"/>
      <c r="F65" s="659"/>
    </row>
    <row r="66" spans="2:6">
      <c r="E66" s="659"/>
      <c r="F66" s="659"/>
    </row>
    <row r="67" spans="2:6">
      <c r="E67" s="659"/>
      <c r="F67" s="659"/>
    </row>
    <row r="68" spans="2:6">
      <c r="E68" s="659"/>
      <c r="F68" s="659"/>
    </row>
    <row r="69" spans="2:6">
      <c r="E69" s="659"/>
      <c r="F69" s="659"/>
    </row>
    <row r="70" spans="2:6">
      <c r="E70" s="659"/>
      <c r="F70" s="659"/>
    </row>
    <row r="71" spans="2:6">
      <c r="E71" s="659"/>
      <c r="F71" s="659"/>
    </row>
    <row r="72" spans="2:6">
      <c r="E72" s="659"/>
      <c r="F72" s="659"/>
    </row>
    <row r="73" spans="2:6">
      <c r="E73" s="659"/>
      <c r="F73" s="659"/>
    </row>
    <row r="74" spans="2:6">
      <c r="E74" s="659"/>
      <c r="F74" s="659"/>
    </row>
    <row r="75" spans="2:6">
      <c r="E75" s="659"/>
      <c r="F75" s="659"/>
    </row>
    <row r="76" spans="2:6">
      <c r="B76" s="661"/>
      <c r="E76" s="659"/>
      <c r="F76" s="659"/>
    </row>
    <row r="77" spans="2:6">
      <c r="E77" s="659"/>
      <c r="F77" s="659"/>
    </row>
    <row r="78" spans="2:6">
      <c r="C78" s="663"/>
      <c r="E78" s="659"/>
      <c r="F78" s="659"/>
    </row>
    <row r="79" spans="2:6">
      <c r="E79" s="659"/>
      <c r="F79" s="659"/>
    </row>
    <row r="80" spans="2:6">
      <c r="E80" s="659"/>
      <c r="F80" s="659"/>
    </row>
    <row r="85" spans="1:10">
      <c r="E85" s="659"/>
      <c r="F85" s="659"/>
    </row>
    <row r="88" spans="1:10">
      <c r="C88" s="663"/>
      <c r="E88" s="659"/>
      <c r="F88" s="659"/>
    </row>
    <row r="89" spans="1:10">
      <c r="A89" s="662"/>
      <c r="E89" s="659"/>
      <c r="F89" s="659"/>
    </row>
    <row r="90" spans="1:10">
      <c r="A90" s="662"/>
      <c r="E90" s="659"/>
      <c r="F90" s="659"/>
    </row>
    <row r="91" spans="1:10">
      <c r="E91" s="659"/>
      <c r="F91" s="659"/>
    </row>
    <row r="92" spans="1:10">
      <c r="A92" s="664"/>
      <c r="D92" s="239"/>
      <c r="E92" s="665"/>
      <c r="F92" s="665"/>
      <c r="G92" s="442"/>
      <c r="H92" s="666"/>
      <c r="I92" s="442"/>
      <c r="J92" s="239"/>
    </row>
    <row r="93" spans="1:10">
      <c r="A93" s="664"/>
      <c r="D93" s="239"/>
      <c r="E93" s="665"/>
      <c r="F93" s="665"/>
      <c r="G93" s="442"/>
      <c r="H93" s="666"/>
      <c r="I93" s="442"/>
      <c r="J93" s="239"/>
    </row>
    <row r="94" spans="1:10">
      <c r="A94" s="664"/>
      <c r="D94" s="239"/>
      <c r="E94" s="665"/>
      <c r="F94" s="665"/>
      <c r="G94" s="442"/>
      <c r="H94" s="666"/>
      <c r="I94" s="442"/>
      <c r="J94" s="239"/>
    </row>
    <row r="95" spans="1:10">
      <c r="A95" s="664"/>
      <c r="D95" s="239"/>
      <c r="E95" s="665"/>
      <c r="F95" s="665"/>
      <c r="G95" s="442"/>
      <c r="H95" s="666"/>
      <c r="I95" s="442"/>
      <c r="J95" s="239"/>
    </row>
    <row r="103" spans="2:9" s="610" customFormat="1">
      <c r="B103" s="239"/>
      <c r="G103" s="251"/>
      <c r="H103" s="611"/>
      <c r="I103" s="251"/>
    </row>
    <row r="104" spans="2:9" s="610" customFormat="1">
      <c r="B104" s="239"/>
      <c r="G104" s="251"/>
      <c r="H104" s="611"/>
      <c r="I104" s="251"/>
    </row>
    <row r="105" spans="2:9" s="610" customFormat="1">
      <c r="B105" s="239"/>
      <c r="G105" s="251"/>
      <c r="H105" s="611"/>
      <c r="I105" s="251"/>
    </row>
    <row r="106" spans="2:9" s="610" customFormat="1">
      <c r="B106" s="239"/>
      <c r="G106" s="251"/>
      <c r="H106" s="611"/>
      <c r="I106" s="251"/>
    </row>
    <row r="107" spans="2:9" s="610" customFormat="1">
      <c r="B107" s="239"/>
      <c r="G107" s="251"/>
      <c r="H107" s="611"/>
      <c r="I107" s="251"/>
    </row>
    <row r="108" spans="2:9" s="610" customFormat="1">
      <c r="B108" s="239"/>
      <c r="G108" s="251"/>
      <c r="H108" s="611"/>
      <c r="I108" s="251"/>
    </row>
    <row r="109" spans="2:9" s="610" customFormat="1">
      <c r="B109" s="239"/>
      <c r="G109" s="251"/>
      <c r="H109" s="611"/>
      <c r="I109" s="251"/>
    </row>
    <row r="110" spans="2:9" s="610" customFormat="1">
      <c r="B110" s="239"/>
      <c r="G110" s="251"/>
      <c r="H110" s="611"/>
      <c r="I110" s="251"/>
    </row>
    <row r="111" spans="2:9" s="610" customFormat="1">
      <c r="B111" s="239"/>
      <c r="G111" s="251"/>
      <c r="H111" s="611"/>
      <c r="I111" s="251"/>
    </row>
    <row r="112" spans="2:9" s="610" customFormat="1">
      <c r="B112" s="239"/>
      <c r="G112" s="251"/>
      <c r="H112" s="611"/>
      <c r="I112" s="251"/>
    </row>
    <row r="113" spans="2:9" s="610" customFormat="1">
      <c r="B113" s="239"/>
      <c r="G113" s="251"/>
      <c r="H113" s="611"/>
      <c r="I113" s="251"/>
    </row>
    <row r="114" spans="2:9" s="610" customFormat="1">
      <c r="B114" s="239"/>
      <c r="G114" s="251"/>
      <c r="H114" s="611"/>
      <c r="I114" s="251"/>
    </row>
    <row r="115" spans="2:9" s="610" customFormat="1">
      <c r="B115" s="239"/>
      <c r="G115" s="251"/>
      <c r="H115" s="611"/>
      <c r="I115" s="251"/>
    </row>
    <row r="116" spans="2:9" s="610" customFormat="1">
      <c r="B116" s="239"/>
      <c r="G116" s="251"/>
      <c r="H116" s="611"/>
      <c r="I116" s="251"/>
    </row>
    <row r="117" spans="2:9" s="610" customFormat="1">
      <c r="B117" s="239"/>
      <c r="G117" s="251"/>
      <c r="H117" s="611"/>
      <c r="I117" s="251"/>
    </row>
    <row r="118" spans="2:9" s="610" customFormat="1">
      <c r="B118" s="239"/>
      <c r="G118" s="251"/>
      <c r="H118" s="611"/>
      <c r="I118" s="251"/>
    </row>
    <row r="119" spans="2:9" s="610" customFormat="1">
      <c r="B119" s="239"/>
      <c r="G119" s="251"/>
      <c r="H119" s="611"/>
      <c r="I119" s="251"/>
    </row>
    <row r="120" spans="2:9" s="610" customFormat="1">
      <c r="B120" s="239"/>
      <c r="G120" s="251"/>
      <c r="H120" s="611"/>
      <c r="I120" s="251"/>
    </row>
    <row r="121" spans="2:9" s="610" customFormat="1">
      <c r="B121" s="239"/>
      <c r="G121" s="251"/>
      <c r="H121" s="611"/>
      <c r="I121" s="251"/>
    </row>
    <row r="122" spans="2:9" s="610" customFormat="1">
      <c r="B122" s="239"/>
      <c r="G122" s="251"/>
      <c r="H122" s="611"/>
      <c r="I122" s="251"/>
    </row>
    <row r="123" spans="2:9" s="610" customFormat="1">
      <c r="B123" s="239"/>
      <c r="G123" s="251"/>
      <c r="H123" s="611"/>
      <c r="I123" s="251"/>
    </row>
    <row r="124" spans="2:9" s="610" customFormat="1">
      <c r="B124" s="239"/>
      <c r="G124" s="251"/>
      <c r="H124" s="611"/>
      <c r="I124" s="251"/>
    </row>
    <row r="125" spans="2:9" s="610" customFormat="1">
      <c r="B125" s="239"/>
      <c r="G125" s="251"/>
      <c r="H125" s="611"/>
      <c r="I125" s="251"/>
    </row>
    <row r="126" spans="2:9" s="610" customFormat="1">
      <c r="B126" s="239"/>
      <c r="G126" s="251"/>
      <c r="H126" s="611"/>
      <c r="I126" s="251"/>
    </row>
    <row r="127" spans="2:9" s="610" customFormat="1">
      <c r="B127" s="239"/>
      <c r="G127" s="251"/>
      <c r="H127" s="611"/>
      <c r="I127" s="251"/>
    </row>
    <row r="128" spans="2:9" s="610" customFormat="1">
      <c r="B128" s="239"/>
      <c r="G128" s="251"/>
      <c r="H128" s="611"/>
      <c r="I128" s="251"/>
    </row>
    <row r="129" spans="1:9" s="610" customFormat="1">
      <c r="B129" s="239"/>
      <c r="G129" s="251"/>
      <c r="H129" s="611"/>
      <c r="I129" s="251"/>
    </row>
    <row r="130" spans="1:9" s="610" customFormat="1">
      <c r="B130" s="239"/>
      <c r="G130" s="251"/>
      <c r="H130" s="611"/>
      <c r="I130" s="251"/>
    </row>
    <row r="131" spans="1:9" s="610" customFormat="1">
      <c r="B131" s="239"/>
      <c r="G131" s="251"/>
      <c r="H131" s="611"/>
      <c r="I131" s="251"/>
    </row>
    <row r="132" spans="1:9" s="610" customFormat="1">
      <c r="B132" s="239"/>
      <c r="G132" s="251"/>
      <c r="H132" s="611"/>
      <c r="I132" s="251"/>
    </row>
    <row r="133" spans="1:9" s="610" customFormat="1">
      <c r="B133" s="239"/>
      <c r="G133" s="251"/>
      <c r="H133" s="611"/>
      <c r="I133" s="251"/>
    </row>
    <row r="134" spans="1:9" s="610" customFormat="1">
      <c r="B134" s="239"/>
      <c r="G134" s="251"/>
      <c r="H134" s="611"/>
      <c r="I134" s="251"/>
    </row>
    <row r="135" spans="1:9" s="610" customFormat="1">
      <c r="B135" s="239"/>
      <c r="G135" s="251"/>
      <c r="H135" s="611"/>
      <c r="I135" s="251"/>
    </row>
    <row r="136" spans="1:9" s="610" customFormat="1">
      <c r="B136" s="239"/>
      <c r="G136" s="251"/>
      <c r="H136" s="611"/>
      <c r="I136" s="251"/>
    </row>
    <row r="137" spans="1:9" s="610" customFormat="1">
      <c r="B137" s="239"/>
      <c r="G137" s="251"/>
      <c r="H137" s="611"/>
      <c r="I137" s="251"/>
    </row>
    <row r="138" spans="1:9" s="610" customFormat="1">
      <c r="B138" s="239"/>
      <c r="G138" s="251"/>
      <c r="H138" s="611"/>
      <c r="I138" s="251"/>
    </row>
    <row r="139" spans="1:9" s="610" customFormat="1">
      <c r="B139" s="239"/>
      <c r="G139" s="251"/>
      <c r="H139" s="611"/>
      <c r="I139" s="251"/>
    </row>
    <row r="140" spans="1:9" s="610" customFormat="1">
      <c r="B140" s="239"/>
      <c r="G140" s="251"/>
      <c r="H140" s="611"/>
      <c r="I140" s="251"/>
    </row>
    <row r="141" spans="1:9" s="610" customFormat="1">
      <c r="B141" s="239"/>
      <c r="G141" s="251"/>
      <c r="H141" s="611"/>
      <c r="I141" s="251"/>
    </row>
    <row r="142" spans="1:9" s="610" customFormat="1">
      <c r="A142" s="469"/>
      <c r="B142" s="239"/>
      <c r="G142" s="251"/>
      <c r="H142" s="611"/>
      <c r="I142" s="251"/>
    </row>
    <row r="143" spans="1:9" s="610" customFormat="1">
      <c r="A143" s="469"/>
      <c r="B143" s="239"/>
      <c r="G143" s="251"/>
      <c r="H143" s="611"/>
      <c r="I143" s="251"/>
    </row>
    <row r="144" spans="1:9" s="610" customFormat="1">
      <c r="A144" s="469"/>
      <c r="B144" s="239"/>
      <c r="G144" s="251"/>
      <c r="H144" s="611"/>
      <c r="I144" s="251"/>
    </row>
    <row r="145" spans="1:9" s="610" customFormat="1">
      <c r="A145" s="469"/>
      <c r="B145" s="239"/>
      <c r="G145" s="251"/>
      <c r="H145" s="611"/>
      <c r="I145" s="251"/>
    </row>
    <row r="146" spans="1:9" s="610" customFormat="1">
      <c r="A146" s="469"/>
      <c r="B146" s="239"/>
      <c r="G146" s="251"/>
      <c r="H146" s="611"/>
      <c r="I146" s="251"/>
    </row>
    <row r="147" spans="1:9" s="610" customFormat="1">
      <c r="A147" s="469"/>
      <c r="B147" s="239"/>
      <c r="G147" s="251"/>
      <c r="H147" s="611"/>
      <c r="I147" s="251"/>
    </row>
    <row r="148" spans="1:9" s="610" customFormat="1">
      <c r="A148" s="469"/>
      <c r="B148" s="239"/>
      <c r="G148" s="251"/>
      <c r="H148" s="611"/>
      <c r="I148" s="251"/>
    </row>
    <row r="149" spans="1:9" s="610" customFormat="1">
      <c r="A149" s="469"/>
      <c r="B149" s="239"/>
      <c r="G149" s="251"/>
      <c r="H149" s="611"/>
      <c r="I149" s="251"/>
    </row>
    <row r="150" spans="1:9" s="610" customFormat="1">
      <c r="A150" s="469"/>
      <c r="B150" s="239"/>
      <c r="G150" s="251"/>
      <c r="H150" s="611"/>
      <c r="I150" s="251"/>
    </row>
    <row r="151" spans="1:9" s="610" customFormat="1">
      <c r="A151" s="469"/>
      <c r="B151" s="239"/>
      <c r="G151" s="251"/>
      <c r="H151" s="611"/>
      <c r="I151" s="251"/>
    </row>
    <row r="152" spans="1:9" s="610" customFormat="1">
      <c r="A152" s="469"/>
      <c r="B152" s="239"/>
      <c r="G152" s="251"/>
      <c r="H152" s="611"/>
      <c r="I152" s="251"/>
    </row>
    <row r="153" spans="1:9" s="610" customFormat="1">
      <c r="A153" s="469"/>
      <c r="B153" s="239"/>
      <c r="G153" s="251"/>
      <c r="H153" s="611"/>
      <c r="I153" s="251"/>
    </row>
    <row r="154" spans="1:9" s="610" customFormat="1">
      <c r="A154" s="469"/>
      <c r="B154" s="239"/>
      <c r="G154" s="251"/>
      <c r="H154" s="611"/>
      <c r="I154" s="251"/>
    </row>
    <row r="155" spans="1:9" s="610" customFormat="1">
      <c r="A155" s="469"/>
      <c r="B155" s="239"/>
      <c r="G155" s="251"/>
      <c r="H155" s="611"/>
      <c r="I155" s="251"/>
    </row>
    <row r="156" spans="1:9" s="610" customFormat="1">
      <c r="A156" s="469"/>
      <c r="B156" s="239"/>
      <c r="G156" s="251"/>
      <c r="H156" s="611"/>
      <c r="I156" s="251"/>
    </row>
    <row r="157" spans="1:9" s="610" customFormat="1">
      <c r="A157" s="469"/>
      <c r="B157" s="239"/>
      <c r="G157" s="251"/>
      <c r="H157" s="611"/>
      <c r="I157" s="251"/>
    </row>
    <row r="158" spans="1:9" s="610" customFormat="1">
      <c r="A158" s="469"/>
      <c r="B158" s="239"/>
      <c r="G158" s="251"/>
      <c r="H158" s="611"/>
      <c r="I158" s="251"/>
    </row>
    <row r="159" spans="1:9" s="610" customFormat="1">
      <c r="A159" s="469"/>
      <c r="B159" s="239"/>
      <c r="G159" s="251"/>
      <c r="H159" s="611"/>
      <c r="I159" s="251"/>
    </row>
    <row r="160" spans="1:9" s="610" customFormat="1">
      <c r="A160" s="469"/>
      <c r="B160" s="239"/>
      <c r="G160" s="251"/>
      <c r="H160" s="611"/>
      <c r="I160" s="251"/>
    </row>
    <row r="161" spans="1:9" s="610" customFormat="1">
      <c r="A161" s="469"/>
      <c r="B161" s="239"/>
      <c r="G161" s="251"/>
      <c r="H161" s="611"/>
      <c r="I161" s="251"/>
    </row>
    <row r="162" spans="1:9" s="610" customFormat="1">
      <c r="A162" s="469"/>
      <c r="B162" s="239"/>
      <c r="G162" s="251"/>
      <c r="H162" s="611"/>
      <c r="I162" s="251"/>
    </row>
    <row r="163" spans="1:9" s="610" customFormat="1">
      <c r="A163" s="469"/>
      <c r="B163" s="239"/>
      <c r="G163" s="251"/>
      <c r="H163" s="611"/>
      <c r="I163" s="251"/>
    </row>
    <row r="164" spans="1:9" s="610" customFormat="1">
      <c r="A164" s="469"/>
      <c r="B164" s="239"/>
      <c r="G164" s="251"/>
      <c r="H164" s="611"/>
      <c r="I164" s="251"/>
    </row>
    <row r="165" spans="1:9" s="610" customFormat="1">
      <c r="A165" s="469"/>
      <c r="B165" s="239"/>
      <c r="G165" s="251"/>
      <c r="H165" s="611"/>
      <c r="I165" s="251"/>
    </row>
    <row r="166" spans="1:9" s="610" customFormat="1">
      <c r="A166" s="469"/>
      <c r="B166" s="239"/>
      <c r="G166" s="251"/>
      <c r="H166" s="611"/>
      <c r="I166" s="251"/>
    </row>
    <row r="167" spans="1:9" s="610" customFormat="1">
      <c r="A167" s="469"/>
      <c r="B167" s="239"/>
      <c r="G167" s="251"/>
      <c r="H167" s="611"/>
      <c r="I167" s="251"/>
    </row>
    <row r="168" spans="1:9" s="610" customFormat="1">
      <c r="A168" s="469"/>
      <c r="B168" s="239"/>
      <c r="G168" s="251"/>
      <c r="H168" s="611"/>
      <c r="I168" s="251"/>
    </row>
    <row r="169" spans="1:9" s="610" customFormat="1">
      <c r="A169" s="469"/>
      <c r="B169" s="239"/>
      <c r="G169" s="251"/>
      <c r="H169" s="611"/>
      <c r="I169" s="251"/>
    </row>
    <row r="170" spans="1:9" s="610" customFormat="1">
      <c r="A170" s="469"/>
      <c r="B170" s="239"/>
      <c r="G170" s="251"/>
      <c r="H170" s="611"/>
      <c r="I170" s="251"/>
    </row>
    <row r="171" spans="1:9" s="610" customFormat="1">
      <c r="A171" s="469"/>
      <c r="B171" s="239"/>
      <c r="G171" s="251"/>
      <c r="H171" s="611"/>
      <c r="I171" s="251"/>
    </row>
    <row r="172" spans="1:9" s="610" customFormat="1">
      <c r="A172" s="469"/>
      <c r="B172" s="239"/>
      <c r="G172" s="251"/>
      <c r="H172" s="611"/>
      <c r="I172" s="251"/>
    </row>
    <row r="173" spans="1:9" s="610" customFormat="1">
      <c r="A173" s="469"/>
      <c r="B173" s="239"/>
      <c r="G173" s="251"/>
      <c r="H173" s="611"/>
      <c r="I173" s="251"/>
    </row>
    <row r="174" spans="1:9" s="610" customFormat="1">
      <c r="A174" s="469"/>
      <c r="B174" s="239"/>
      <c r="G174" s="251"/>
      <c r="H174" s="611"/>
      <c r="I174" s="251"/>
    </row>
    <row r="175" spans="1:9" s="610" customFormat="1">
      <c r="A175" s="469"/>
      <c r="B175" s="239"/>
      <c r="G175" s="251"/>
      <c r="H175" s="611"/>
      <c r="I175" s="251"/>
    </row>
    <row r="176" spans="1:9" s="610" customFormat="1">
      <c r="A176" s="469"/>
      <c r="B176" s="239"/>
      <c r="G176" s="251"/>
      <c r="H176" s="611"/>
      <c r="I176" s="251"/>
    </row>
    <row r="177" spans="1:9" s="610" customFormat="1">
      <c r="A177" s="469"/>
      <c r="B177" s="239"/>
      <c r="G177" s="251"/>
      <c r="H177" s="611"/>
      <c r="I177" s="251"/>
    </row>
    <row r="178" spans="1:9" s="610" customFormat="1">
      <c r="A178" s="469"/>
      <c r="B178" s="239"/>
      <c r="G178" s="251"/>
      <c r="H178" s="611"/>
      <c r="I178" s="251"/>
    </row>
    <row r="179" spans="1:9" s="610" customFormat="1">
      <c r="A179" s="469"/>
      <c r="B179" s="239"/>
      <c r="G179" s="251"/>
      <c r="H179" s="611"/>
      <c r="I179" s="251"/>
    </row>
    <row r="180" spans="1:9" s="610" customFormat="1">
      <c r="A180" s="469"/>
      <c r="B180" s="239"/>
      <c r="G180" s="251"/>
      <c r="H180" s="611"/>
      <c r="I180" s="251"/>
    </row>
    <row r="181" spans="1:9" s="610" customFormat="1">
      <c r="A181" s="469"/>
      <c r="B181" s="239"/>
      <c r="G181" s="251"/>
      <c r="H181" s="611"/>
      <c r="I181" s="251"/>
    </row>
    <row r="182" spans="1:9" s="610" customFormat="1">
      <c r="A182" s="469"/>
      <c r="B182" s="239"/>
      <c r="G182" s="251"/>
      <c r="H182" s="611"/>
      <c r="I182" s="251"/>
    </row>
    <row r="183" spans="1:9" s="610" customFormat="1">
      <c r="A183" s="469"/>
      <c r="B183" s="239"/>
      <c r="G183" s="251"/>
      <c r="H183" s="611"/>
      <c r="I183" s="251"/>
    </row>
    <row r="184" spans="1:9" s="610" customFormat="1">
      <c r="A184" s="469"/>
      <c r="B184" s="239"/>
      <c r="G184" s="251"/>
      <c r="H184" s="611"/>
      <c r="I184" s="251"/>
    </row>
    <row r="185" spans="1:9" s="610" customFormat="1">
      <c r="A185" s="469"/>
      <c r="B185" s="239"/>
      <c r="G185" s="251"/>
      <c r="H185" s="611"/>
      <c r="I185" s="251"/>
    </row>
    <row r="186" spans="1:9" s="610" customFormat="1">
      <c r="A186" s="469"/>
      <c r="B186" s="239"/>
      <c r="G186" s="251"/>
      <c r="H186" s="611"/>
      <c r="I186" s="251"/>
    </row>
    <row r="187" spans="1:9" s="610" customFormat="1">
      <c r="A187" s="469"/>
      <c r="B187" s="239"/>
      <c r="G187" s="251"/>
      <c r="H187" s="611"/>
      <c r="I187" s="251"/>
    </row>
    <row r="188" spans="1:9" s="610" customFormat="1">
      <c r="A188" s="469"/>
      <c r="B188" s="239"/>
      <c r="G188" s="251"/>
      <c r="H188" s="611"/>
      <c r="I188" s="251"/>
    </row>
    <row r="189" spans="1:9" s="610" customFormat="1">
      <c r="A189" s="469"/>
      <c r="B189" s="239"/>
      <c r="G189" s="251"/>
      <c r="H189" s="611"/>
      <c r="I189" s="251"/>
    </row>
    <row r="190" spans="1:9" s="610" customFormat="1">
      <c r="A190" s="469"/>
      <c r="B190" s="239"/>
      <c r="G190" s="251"/>
      <c r="H190" s="611"/>
      <c r="I190" s="251"/>
    </row>
    <row r="191" spans="1:9" s="610" customFormat="1">
      <c r="A191" s="469"/>
      <c r="B191" s="239"/>
      <c r="G191" s="251"/>
      <c r="H191" s="611"/>
      <c r="I191" s="251"/>
    </row>
    <row r="192" spans="1:9" s="610" customFormat="1">
      <c r="A192" s="469"/>
      <c r="B192" s="239"/>
      <c r="G192" s="251"/>
      <c r="H192" s="611"/>
      <c r="I192" s="251"/>
    </row>
    <row r="193" spans="1:9" s="610" customFormat="1">
      <c r="A193" s="469"/>
      <c r="B193" s="239"/>
      <c r="G193" s="251"/>
      <c r="H193" s="611"/>
      <c r="I193" s="251"/>
    </row>
    <row r="194" spans="1:9" s="610" customFormat="1">
      <c r="A194" s="469"/>
      <c r="B194" s="239"/>
      <c r="G194" s="251"/>
      <c r="H194" s="611"/>
      <c r="I194" s="251"/>
    </row>
    <row r="195" spans="1:9" s="610" customFormat="1">
      <c r="A195" s="469"/>
      <c r="B195" s="239"/>
      <c r="G195" s="251"/>
      <c r="H195" s="611"/>
      <c r="I195" s="251"/>
    </row>
    <row r="196" spans="1:9" s="610" customFormat="1">
      <c r="A196" s="469"/>
      <c r="B196" s="239"/>
      <c r="G196" s="251"/>
      <c r="H196" s="611"/>
      <c r="I196" s="251"/>
    </row>
    <row r="197" spans="1:9" s="610" customFormat="1">
      <c r="A197" s="469"/>
      <c r="B197" s="239"/>
      <c r="G197" s="251"/>
      <c r="H197" s="611"/>
      <c r="I197" s="251"/>
    </row>
    <row r="198" spans="1:9" s="610" customFormat="1">
      <c r="A198" s="469"/>
      <c r="B198" s="239"/>
      <c r="G198" s="251"/>
      <c r="H198" s="611"/>
      <c r="I198" s="251"/>
    </row>
    <row r="199" spans="1:9" s="610" customFormat="1">
      <c r="A199" s="469"/>
      <c r="B199" s="239"/>
      <c r="G199" s="251"/>
      <c r="H199" s="611"/>
      <c r="I199" s="251"/>
    </row>
    <row r="200" spans="1:9" s="610" customFormat="1">
      <c r="A200" s="469"/>
      <c r="B200" s="239"/>
      <c r="G200" s="251"/>
      <c r="H200" s="611"/>
      <c r="I200" s="251"/>
    </row>
    <row r="201" spans="1:9" s="610" customFormat="1">
      <c r="A201" s="469"/>
      <c r="B201" s="239"/>
      <c r="G201" s="251"/>
      <c r="H201" s="611"/>
      <c r="I201" s="251"/>
    </row>
    <row r="202" spans="1:9" s="610" customFormat="1">
      <c r="A202" s="469"/>
      <c r="B202" s="239"/>
      <c r="G202" s="251"/>
      <c r="H202" s="611"/>
      <c r="I202" s="251"/>
    </row>
    <row r="203" spans="1:9" s="610" customFormat="1">
      <c r="A203" s="469"/>
      <c r="B203" s="239"/>
      <c r="G203" s="251"/>
      <c r="H203" s="611"/>
      <c r="I203" s="251"/>
    </row>
    <row r="204" spans="1:9" s="610" customFormat="1">
      <c r="A204" s="469"/>
      <c r="B204" s="239"/>
      <c r="G204" s="251"/>
      <c r="H204" s="611"/>
      <c r="I204" s="251"/>
    </row>
    <row r="205" spans="1:9" s="610" customFormat="1">
      <c r="A205" s="469"/>
      <c r="B205" s="239"/>
      <c r="G205" s="251"/>
      <c r="H205" s="611"/>
      <c r="I205" s="251"/>
    </row>
    <row r="206" spans="1:9" s="610" customFormat="1">
      <c r="A206" s="469"/>
      <c r="B206" s="239"/>
      <c r="G206" s="251"/>
      <c r="H206" s="611"/>
      <c r="I206" s="251"/>
    </row>
    <row r="207" spans="1:9" s="610" customFormat="1">
      <c r="A207" s="469"/>
      <c r="B207" s="239"/>
      <c r="G207" s="251"/>
      <c r="H207" s="611"/>
      <c r="I207" s="251"/>
    </row>
    <row r="208" spans="1:9" s="610" customFormat="1">
      <c r="A208" s="469"/>
      <c r="B208" s="239"/>
      <c r="G208" s="251"/>
      <c r="H208" s="611"/>
      <c r="I208" s="251"/>
    </row>
    <row r="209" spans="1:9" s="610" customFormat="1">
      <c r="A209" s="469"/>
      <c r="B209" s="239"/>
      <c r="G209" s="251"/>
      <c r="H209" s="611"/>
      <c r="I209" s="251"/>
    </row>
    <row r="210" spans="1:9" s="610" customFormat="1">
      <c r="A210" s="469"/>
      <c r="B210" s="239"/>
      <c r="G210" s="251"/>
      <c r="H210" s="611"/>
      <c r="I210" s="251"/>
    </row>
    <row r="211" spans="1:9" s="610" customFormat="1">
      <c r="A211" s="469"/>
      <c r="B211" s="239"/>
      <c r="G211" s="251"/>
      <c r="H211" s="611"/>
      <c r="I211" s="251"/>
    </row>
    <row r="212" spans="1:9" s="610" customFormat="1">
      <c r="A212" s="469"/>
      <c r="B212" s="239"/>
      <c r="G212" s="251"/>
      <c r="H212" s="611"/>
      <c r="I212" s="251"/>
    </row>
    <row r="213" spans="1:9" s="610" customFormat="1">
      <c r="A213" s="469"/>
      <c r="B213" s="239"/>
      <c r="G213" s="251"/>
      <c r="H213" s="611"/>
      <c r="I213" s="251"/>
    </row>
    <row r="214" spans="1:9" s="610" customFormat="1">
      <c r="A214" s="469"/>
      <c r="B214" s="239"/>
      <c r="G214" s="251"/>
      <c r="H214" s="611"/>
      <c r="I214" s="251"/>
    </row>
    <row r="215" spans="1:9" s="610" customFormat="1">
      <c r="A215" s="469"/>
      <c r="B215" s="239"/>
      <c r="G215" s="251"/>
      <c r="H215" s="611"/>
      <c r="I215" s="251"/>
    </row>
    <row r="216" spans="1:9" s="610" customFormat="1">
      <c r="A216" s="469"/>
      <c r="B216" s="239"/>
      <c r="G216" s="251"/>
      <c r="H216" s="611"/>
      <c r="I216" s="251"/>
    </row>
    <row r="217" spans="1:9" s="610" customFormat="1">
      <c r="A217" s="469"/>
      <c r="B217" s="239"/>
      <c r="G217" s="251"/>
      <c r="H217" s="611"/>
      <c r="I217" s="251"/>
    </row>
    <row r="218" spans="1:9" s="610" customFormat="1">
      <c r="A218" s="469"/>
      <c r="B218" s="239"/>
      <c r="G218" s="251"/>
      <c r="H218" s="611"/>
      <c r="I218" s="251"/>
    </row>
    <row r="219" spans="1:9" s="610" customFormat="1">
      <c r="A219" s="469"/>
      <c r="B219" s="239"/>
      <c r="G219" s="251"/>
      <c r="H219" s="611"/>
      <c r="I219" s="251"/>
    </row>
    <row r="220" spans="1:9" s="610" customFormat="1">
      <c r="A220" s="469"/>
      <c r="B220" s="239"/>
      <c r="G220" s="251"/>
      <c r="H220" s="611"/>
      <c r="I220" s="251"/>
    </row>
    <row r="221" spans="1:9" s="610" customFormat="1">
      <c r="A221" s="469"/>
      <c r="B221" s="239"/>
      <c r="G221" s="251"/>
      <c r="H221" s="611"/>
      <c r="I221" s="251"/>
    </row>
    <row r="222" spans="1:9" s="610" customFormat="1">
      <c r="A222" s="469"/>
      <c r="B222" s="239"/>
      <c r="G222" s="251"/>
      <c r="H222" s="611"/>
      <c r="I222" s="251"/>
    </row>
    <row r="223" spans="1:9" s="610" customFormat="1">
      <c r="A223" s="469"/>
      <c r="B223" s="239"/>
      <c r="G223" s="251"/>
      <c r="H223" s="611"/>
      <c r="I223" s="251"/>
    </row>
    <row r="224" spans="1:9" s="610" customFormat="1">
      <c r="A224" s="469"/>
      <c r="B224" s="239"/>
      <c r="G224" s="251"/>
      <c r="H224" s="611"/>
      <c r="I224" s="251"/>
    </row>
    <row r="225" spans="1:9" s="610" customFormat="1">
      <c r="A225" s="469"/>
      <c r="B225" s="239"/>
      <c r="G225" s="251"/>
      <c r="H225" s="611"/>
      <c r="I225" s="251"/>
    </row>
    <row r="226" spans="1:9" s="610" customFormat="1">
      <c r="A226" s="469"/>
      <c r="B226" s="239"/>
      <c r="G226" s="251"/>
      <c r="H226" s="611"/>
      <c r="I226" s="251"/>
    </row>
    <row r="227" spans="1:9" s="610" customFormat="1">
      <c r="A227" s="469"/>
      <c r="B227" s="239"/>
      <c r="G227" s="251"/>
      <c r="H227" s="611"/>
      <c r="I227" s="251"/>
    </row>
    <row r="228" spans="1:9" s="610" customFormat="1">
      <c r="A228" s="469"/>
      <c r="B228" s="239"/>
      <c r="G228" s="251"/>
      <c r="H228" s="611"/>
      <c r="I228" s="251"/>
    </row>
    <row r="229" spans="1:9" s="610" customFormat="1">
      <c r="A229" s="469"/>
      <c r="B229" s="239"/>
      <c r="G229" s="251"/>
      <c r="H229" s="611"/>
      <c r="I229" s="251"/>
    </row>
    <row r="230" spans="1:9" s="610" customFormat="1">
      <c r="A230" s="469"/>
      <c r="B230" s="239"/>
      <c r="G230" s="251"/>
      <c r="H230" s="611"/>
      <c r="I230" s="251"/>
    </row>
    <row r="231" spans="1:9" s="610" customFormat="1">
      <c r="A231" s="469"/>
      <c r="B231" s="239"/>
      <c r="G231" s="251"/>
      <c r="H231" s="611"/>
      <c r="I231" s="251"/>
    </row>
    <row r="232" spans="1:9" s="610" customFormat="1">
      <c r="A232" s="469"/>
      <c r="B232" s="239"/>
      <c r="G232" s="251"/>
      <c r="H232" s="611"/>
      <c r="I232" s="251"/>
    </row>
    <row r="233" spans="1:9" s="610" customFormat="1">
      <c r="A233" s="469"/>
      <c r="B233" s="239"/>
      <c r="G233" s="251"/>
      <c r="H233" s="611"/>
      <c r="I233" s="251"/>
    </row>
    <row r="234" spans="1:9" s="610" customFormat="1">
      <c r="A234" s="469"/>
      <c r="B234" s="239"/>
      <c r="G234" s="251"/>
      <c r="H234" s="611"/>
      <c r="I234" s="251"/>
    </row>
    <row r="235" spans="1:9" s="610" customFormat="1">
      <c r="A235" s="469"/>
      <c r="B235" s="239"/>
      <c r="G235" s="251"/>
      <c r="H235" s="611"/>
      <c r="I235" s="251"/>
    </row>
    <row r="236" spans="1:9" s="610" customFormat="1">
      <c r="A236" s="469"/>
      <c r="B236" s="239"/>
      <c r="G236" s="251"/>
      <c r="H236" s="611"/>
      <c r="I236" s="251"/>
    </row>
    <row r="237" spans="1:9" s="610" customFormat="1">
      <c r="A237" s="469"/>
      <c r="B237" s="239"/>
      <c r="G237" s="251"/>
      <c r="H237" s="611"/>
      <c r="I237" s="251"/>
    </row>
    <row r="238" spans="1:9" s="610" customFormat="1">
      <c r="A238" s="469"/>
      <c r="B238" s="239"/>
      <c r="G238" s="251"/>
      <c r="H238" s="611"/>
      <c r="I238" s="251"/>
    </row>
    <row r="239" spans="1:9" s="610" customFormat="1">
      <c r="A239" s="469"/>
      <c r="B239" s="239"/>
      <c r="G239" s="251"/>
      <c r="H239" s="611"/>
      <c r="I239" s="251"/>
    </row>
    <row r="240" spans="1:9" s="610" customFormat="1">
      <c r="A240" s="469"/>
      <c r="B240" s="239"/>
      <c r="G240" s="251"/>
      <c r="H240" s="611"/>
      <c r="I240" s="251"/>
    </row>
    <row r="241" spans="1:9" s="610" customFormat="1">
      <c r="A241" s="469"/>
      <c r="B241" s="239"/>
      <c r="G241" s="251"/>
      <c r="H241" s="611"/>
      <c r="I241" s="251"/>
    </row>
    <row r="242" spans="1:9" s="610" customFormat="1">
      <c r="A242" s="469"/>
      <c r="B242" s="239"/>
      <c r="G242" s="251"/>
      <c r="H242" s="611"/>
      <c r="I242" s="251"/>
    </row>
    <row r="243" spans="1:9" s="610" customFormat="1">
      <c r="A243" s="469"/>
      <c r="B243" s="239"/>
      <c r="G243" s="251"/>
      <c r="H243" s="611"/>
      <c r="I243" s="251"/>
    </row>
    <row r="244" spans="1:9" s="610" customFormat="1">
      <c r="A244" s="469"/>
      <c r="B244" s="239"/>
      <c r="G244" s="251"/>
      <c r="H244" s="611"/>
      <c r="I244" s="251"/>
    </row>
    <row r="245" spans="1:9" s="610" customFormat="1">
      <c r="A245" s="469"/>
      <c r="B245" s="239"/>
      <c r="G245" s="251"/>
      <c r="H245" s="611"/>
      <c r="I245" s="251"/>
    </row>
    <row r="246" spans="1:9" s="610" customFormat="1">
      <c r="A246" s="469"/>
      <c r="B246" s="239"/>
      <c r="G246" s="251"/>
      <c r="H246" s="611"/>
      <c r="I246" s="251"/>
    </row>
    <row r="247" spans="1:9" s="610" customFormat="1">
      <c r="A247" s="469"/>
      <c r="B247" s="239"/>
      <c r="G247" s="251"/>
      <c r="H247" s="611"/>
      <c r="I247" s="251"/>
    </row>
    <row r="248" spans="1:9" s="610" customFormat="1">
      <c r="A248" s="469"/>
      <c r="B248" s="239"/>
      <c r="G248" s="251"/>
      <c r="H248" s="611"/>
      <c r="I248" s="251"/>
    </row>
    <row r="249" spans="1:9" s="610" customFormat="1">
      <c r="A249" s="469"/>
      <c r="B249" s="239"/>
      <c r="G249" s="251"/>
      <c r="H249" s="611"/>
      <c r="I249" s="251"/>
    </row>
    <row r="250" spans="1:9" s="610" customFormat="1">
      <c r="A250" s="469"/>
      <c r="B250" s="239"/>
      <c r="G250" s="251"/>
      <c r="H250" s="611"/>
      <c r="I250" s="251"/>
    </row>
    <row r="251" spans="1:9" s="610" customFormat="1">
      <c r="A251" s="469"/>
      <c r="B251" s="239"/>
      <c r="G251" s="251"/>
      <c r="H251" s="611"/>
      <c r="I251" s="251"/>
    </row>
    <row r="252" spans="1:9" s="610" customFormat="1">
      <c r="A252" s="469"/>
      <c r="B252" s="239"/>
      <c r="G252" s="251"/>
      <c r="H252" s="611"/>
      <c r="I252" s="251"/>
    </row>
    <row r="253" spans="1:9" s="610" customFormat="1">
      <c r="A253" s="469"/>
      <c r="B253" s="239"/>
      <c r="G253" s="251"/>
      <c r="H253" s="611"/>
      <c r="I253" s="251"/>
    </row>
    <row r="254" spans="1:9" s="610" customFormat="1">
      <c r="A254" s="469"/>
      <c r="B254" s="239"/>
      <c r="G254" s="251"/>
      <c r="H254" s="611"/>
      <c r="I254" s="251"/>
    </row>
    <row r="255" spans="1:9" s="610" customFormat="1">
      <c r="A255" s="469"/>
      <c r="B255" s="239"/>
      <c r="G255" s="251"/>
      <c r="H255" s="611"/>
      <c r="I255" s="251"/>
    </row>
    <row r="256" spans="1:9" s="610" customFormat="1">
      <c r="A256" s="469"/>
      <c r="B256" s="239"/>
      <c r="G256" s="251"/>
      <c r="H256" s="611"/>
      <c r="I256" s="251"/>
    </row>
    <row r="257" spans="1:9" s="610" customFormat="1">
      <c r="A257" s="469"/>
      <c r="B257" s="239"/>
      <c r="G257" s="251"/>
      <c r="H257" s="611"/>
      <c r="I257" s="251"/>
    </row>
    <row r="258" spans="1:9" s="610" customFormat="1">
      <c r="A258" s="469"/>
      <c r="B258" s="239"/>
      <c r="G258" s="251"/>
      <c r="H258" s="611"/>
      <c r="I258" s="251"/>
    </row>
    <row r="259" spans="1:9" s="610" customFormat="1">
      <c r="A259" s="469"/>
      <c r="B259" s="239"/>
      <c r="G259" s="251"/>
      <c r="H259" s="611"/>
      <c r="I259" s="251"/>
    </row>
    <row r="260" spans="1:9" s="610" customFormat="1">
      <c r="A260" s="469"/>
      <c r="B260" s="239"/>
      <c r="G260" s="251"/>
      <c r="H260" s="611"/>
      <c r="I260" s="251"/>
    </row>
    <row r="261" spans="1:9" s="610" customFormat="1">
      <c r="A261" s="469"/>
      <c r="B261" s="239"/>
      <c r="G261" s="251"/>
      <c r="H261" s="611"/>
      <c r="I261" s="251"/>
    </row>
    <row r="262" spans="1:9" s="610" customFormat="1">
      <c r="A262" s="469"/>
      <c r="B262" s="239"/>
      <c r="G262" s="251"/>
      <c r="H262" s="611"/>
      <c r="I262" s="251"/>
    </row>
    <row r="263" spans="1:9" s="610" customFormat="1">
      <c r="A263" s="469"/>
      <c r="B263" s="239"/>
      <c r="G263" s="251"/>
      <c r="H263" s="611"/>
      <c r="I263" s="251"/>
    </row>
    <row r="264" spans="1:9" s="610" customFormat="1">
      <c r="A264" s="469"/>
      <c r="B264" s="239"/>
      <c r="G264" s="251"/>
      <c r="H264" s="611"/>
      <c r="I264" s="251"/>
    </row>
    <row r="265" spans="1:9" s="610" customFormat="1">
      <c r="A265" s="469"/>
      <c r="B265" s="239"/>
      <c r="G265" s="251"/>
      <c r="H265" s="611"/>
      <c r="I265" s="251"/>
    </row>
    <row r="266" spans="1:9" s="610" customFormat="1">
      <c r="A266" s="469"/>
      <c r="B266" s="239"/>
      <c r="G266" s="251"/>
      <c r="H266" s="611"/>
      <c r="I266" s="251"/>
    </row>
    <row r="267" spans="1:9" s="610" customFormat="1">
      <c r="A267" s="469"/>
      <c r="B267" s="239"/>
      <c r="G267" s="251"/>
      <c r="H267" s="611"/>
      <c r="I267" s="251"/>
    </row>
    <row r="268" spans="1:9" s="610" customFormat="1">
      <c r="A268" s="469"/>
      <c r="B268" s="239"/>
      <c r="G268" s="251"/>
      <c r="H268" s="611"/>
      <c r="I268" s="251"/>
    </row>
    <row r="269" spans="1:9" s="610" customFormat="1">
      <c r="A269" s="469"/>
      <c r="B269" s="239"/>
      <c r="G269" s="251"/>
      <c r="H269" s="611"/>
      <c r="I269" s="251"/>
    </row>
    <row r="270" spans="1:9" s="610" customFormat="1">
      <c r="A270" s="469"/>
      <c r="B270" s="239"/>
      <c r="G270" s="251"/>
      <c r="H270" s="611"/>
      <c r="I270" s="251"/>
    </row>
    <row r="271" spans="1:9" s="610" customFormat="1">
      <c r="A271" s="469"/>
      <c r="B271" s="239"/>
      <c r="G271" s="251"/>
      <c r="H271" s="611"/>
      <c r="I271" s="251"/>
    </row>
    <row r="272" spans="1:9" s="610" customFormat="1">
      <c r="A272" s="469"/>
      <c r="B272" s="239"/>
      <c r="G272" s="251"/>
      <c r="H272" s="611"/>
      <c r="I272" s="251"/>
    </row>
    <row r="273" spans="1:9" s="610" customFormat="1">
      <c r="A273" s="469"/>
      <c r="B273" s="239"/>
      <c r="G273" s="251"/>
      <c r="H273" s="611"/>
      <c r="I273" s="251"/>
    </row>
    <row r="274" spans="1:9" s="610" customFormat="1">
      <c r="A274" s="469"/>
      <c r="B274" s="239"/>
      <c r="G274" s="251"/>
      <c r="H274" s="611"/>
      <c r="I274" s="251"/>
    </row>
    <row r="275" spans="1:9" s="610" customFormat="1">
      <c r="A275" s="469"/>
      <c r="B275" s="239"/>
      <c r="G275" s="251"/>
      <c r="H275" s="611"/>
      <c r="I275" s="251"/>
    </row>
    <row r="276" spans="1:9" s="610" customFormat="1">
      <c r="A276" s="469"/>
      <c r="B276" s="239"/>
      <c r="G276" s="251"/>
      <c r="H276" s="611"/>
      <c r="I276" s="251"/>
    </row>
    <row r="277" spans="1:9" s="610" customFormat="1">
      <c r="A277" s="469"/>
      <c r="B277" s="239"/>
      <c r="G277" s="251"/>
      <c r="H277" s="611"/>
      <c r="I277" s="251"/>
    </row>
    <row r="278" spans="1:9" s="610" customFormat="1">
      <c r="A278" s="469"/>
      <c r="B278" s="239"/>
      <c r="G278" s="251"/>
      <c r="H278" s="611"/>
      <c r="I278" s="251"/>
    </row>
    <row r="279" spans="1:9" s="610" customFormat="1">
      <c r="A279" s="469"/>
      <c r="B279" s="239"/>
      <c r="G279" s="251"/>
      <c r="H279" s="611"/>
      <c r="I279" s="251"/>
    </row>
    <row r="280" spans="1:9" s="610" customFormat="1">
      <c r="A280" s="469"/>
      <c r="B280" s="239"/>
      <c r="G280" s="251"/>
      <c r="H280" s="611"/>
      <c r="I280" s="251"/>
    </row>
    <row r="281" spans="1:9" s="610" customFormat="1">
      <c r="A281" s="469"/>
      <c r="B281" s="239"/>
      <c r="G281" s="251"/>
      <c r="H281" s="611"/>
      <c r="I281" s="251"/>
    </row>
    <row r="282" spans="1:9" s="610" customFormat="1">
      <c r="A282" s="469"/>
      <c r="B282" s="239"/>
      <c r="G282" s="251"/>
      <c r="H282" s="611"/>
      <c r="I282" s="251"/>
    </row>
    <row r="283" spans="1:9" s="610" customFormat="1">
      <c r="A283" s="469"/>
      <c r="B283" s="239"/>
      <c r="G283" s="251"/>
      <c r="H283" s="611"/>
      <c r="I283" s="251"/>
    </row>
    <row r="284" spans="1:9" s="610" customFormat="1">
      <c r="A284" s="469"/>
      <c r="B284" s="239"/>
      <c r="G284" s="251"/>
      <c r="H284" s="611"/>
      <c r="I284" s="251"/>
    </row>
    <row r="285" spans="1:9" s="610" customFormat="1">
      <c r="A285" s="469"/>
      <c r="B285" s="239"/>
      <c r="G285" s="251"/>
      <c r="H285" s="611"/>
      <c r="I285" s="251"/>
    </row>
    <row r="286" spans="1:9" s="610" customFormat="1">
      <c r="A286" s="469"/>
      <c r="B286" s="239"/>
      <c r="G286" s="251"/>
      <c r="H286" s="611"/>
      <c r="I286" s="251"/>
    </row>
    <row r="287" spans="1:9" s="610" customFormat="1">
      <c r="A287" s="469"/>
      <c r="B287" s="239"/>
      <c r="G287" s="251"/>
      <c r="H287" s="611"/>
      <c r="I287" s="251"/>
    </row>
    <row r="288" spans="1:9" s="610" customFormat="1">
      <c r="A288" s="469"/>
      <c r="B288" s="239"/>
      <c r="G288" s="251"/>
      <c r="H288" s="611"/>
      <c r="I288" s="251"/>
    </row>
    <row r="289" spans="1:9" s="610" customFormat="1">
      <c r="A289" s="469"/>
      <c r="B289" s="239"/>
      <c r="G289" s="251"/>
      <c r="H289" s="611"/>
      <c r="I289" s="251"/>
    </row>
    <row r="290" spans="1:9" s="610" customFormat="1">
      <c r="A290" s="469"/>
      <c r="B290" s="239"/>
      <c r="G290" s="251"/>
      <c r="H290" s="611"/>
      <c r="I290" s="251"/>
    </row>
    <row r="291" spans="1:9" s="610" customFormat="1">
      <c r="A291" s="469"/>
      <c r="B291" s="239"/>
      <c r="G291" s="251"/>
      <c r="H291" s="611"/>
      <c r="I291" s="251"/>
    </row>
    <row r="292" spans="1:9" s="610" customFormat="1">
      <c r="A292" s="469"/>
      <c r="B292" s="239"/>
      <c r="G292" s="251"/>
      <c r="H292" s="611"/>
      <c r="I292" s="251"/>
    </row>
    <row r="293" spans="1:9" s="610" customFormat="1">
      <c r="A293" s="469"/>
      <c r="B293" s="239"/>
      <c r="G293" s="251"/>
      <c r="H293" s="611"/>
      <c r="I293" s="251"/>
    </row>
    <row r="294" spans="1:9" s="610" customFormat="1">
      <c r="A294" s="469"/>
      <c r="B294" s="239"/>
      <c r="G294" s="251"/>
      <c r="H294" s="611"/>
      <c r="I294" s="251"/>
    </row>
    <row r="295" spans="1:9" s="610" customFormat="1">
      <c r="A295" s="469"/>
      <c r="B295" s="239"/>
      <c r="G295" s="251"/>
      <c r="H295" s="611"/>
      <c r="I295" s="251"/>
    </row>
    <row r="296" spans="1:9" s="610" customFormat="1">
      <c r="A296" s="469"/>
      <c r="B296" s="239"/>
      <c r="G296" s="251"/>
      <c r="H296" s="611"/>
      <c r="I296" s="251"/>
    </row>
    <row r="297" spans="1:9" s="610" customFormat="1">
      <c r="A297" s="469"/>
      <c r="B297" s="239"/>
      <c r="G297" s="251"/>
      <c r="H297" s="611"/>
      <c r="I297" s="251"/>
    </row>
    <row r="298" spans="1:9" s="610" customFormat="1">
      <c r="A298" s="469"/>
      <c r="B298" s="239"/>
      <c r="G298" s="251"/>
      <c r="H298" s="611"/>
      <c r="I298" s="251"/>
    </row>
    <row r="299" spans="1:9" s="610" customFormat="1">
      <c r="A299" s="469"/>
      <c r="B299" s="239"/>
      <c r="G299" s="251"/>
      <c r="H299" s="611"/>
      <c r="I299" s="251"/>
    </row>
    <row r="300" spans="1:9" s="610" customFormat="1">
      <c r="A300" s="469"/>
      <c r="B300" s="239"/>
      <c r="G300" s="251"/>
      <c r="H300" s="611"/>
      <c r="I300" s="251"/>
    </row>
    <row r="301" spans="1:9" s="610" customFormat="1">
      <c r="A301" s="469"/>
      <c r="B301" s="239"/>
      <c r="G301" s="251"/>
      <c r="H301" s="611"/>
      <c r="I301" s="251"/>
    </row>
    <row r="302" spans="1:9" s="610" customFormat="1">
      <c r="A302" s="469"/>
      <c r="B302" s="239"/>
      <c r="G302" s="251"/>
      <c r="H302" s="611"/>
      <c r="I302" s="251"/>
    </row>
    <row r="303" spans="1:9" s="610" customFormat="1">
      <c r="A303" s="469"/>
      <c r="B303" s="239"/>
      <c r="G303" s="251"/>
      <c r="H303" s="611"/>
      <c r="I303" s="251"/>
    </row>
    <row r="304" spans="1:9" s="610" customFormat="1">
      <c r="A304" s="469"/>
      <c r="B304" s="239"/>
      <c r="G304" s="251"/>
      <c r="H304" s="611"/>
      <c r="I304" s="251"/>
    </row>
    <row r="305" spans="1:9" s="610" customFormat="1">
      <c r="A305" s="469"/>
      <c r="B305" s="239"/>
      <c r="G305" s="251"/>
      <c r="H305" s="611"/>
      <c r="I305" s="251"/>
    </row>
    <row r="306" spans="1:9" s="610" customFormat="1">
      <c r="A306" s="469"/>
      <c r="B306" s="239"/>
      <c r="G306" s="251"/>
      <c r="H306" s="611"/>
      <c r="I306" s="251"/>
    </row>
    <row r="307" spans="1:9" s="610" customFormat="1">
      <c r="A307" s="469"/>
      <c r="B307" s="239"/>
      <c r="G307" s="251"/>
      <c r="H307" s="611"/>
      <c r="I307" s="251"/>
    </row>
    <row r="308" spans="1:9" s="610" customFormat="1">
      <c r="A308" s="469"/>
      <c r="B308" s="239"/>
      <c r="G308" s="251"/>
      <c r="H308" s="611"/>
      <c r="I308" s="251"/>
    </row>
    <row r="309" spans="1:9" s="610" customFormat="1">
      <c r="A309" s="469"/>
      <c r="B309" s="239"/>
      <c r="G309" s="251"/>
      <c r="H309" s="611"/>
      <c r="I309" s="251"/>
    </row>
    <row r="310" spans="1:9" s="610" customFormat="1">
      <c r="A310" s="469"/>
      <c r="B310" s="239"/>
      <c r="G310" s="251"/>
      <c r="H310" s="611"/>
      <c r="I310" s="251"/>
    </row>
    <row r="311" spans="1:9" s="610" customFormat="1">
      <c r="A311" s="469"/>
      <c r="B311" s="239"/>
      <c r="G311" s="251"/>
      <c r="H311" s="611"/>
      <c r="I311" s="251"/>
    </row>
    <row r="312" spans="1:9" s="610" customFormat="1">
      <c r="A312" s="469"/>
      <c r="B312" s="239"/>
      <c r="G312" s="251"/>
      <c r="H312" s="611"/>
      <c r="I312" s="251"/>
    </row>
    <row r="313" spans="1:9" s="610" customFormat="1">
      <c r="A313" s="469"/>
      <c r="B313" s="239"/>
      <c r="G313" s="251"/>
      <c r="H313" s="611"/>
      <c r="I313" s="251"/>
    </row>
    <row r="314" spans="1:9" s="610" customFormat="1">
      <c r="A314" s="469"/>
      <c r="B314" s="239"/>
      <c r="G314" s="251"/>
      <c r="H314" s="611"/>
      <c r="I314" s="251"/>
    </row>
    <row r="315" spans="1:9" s="610" customFormat="1">
      <c r="A315" s="469"/>
      <c r="B315" s="239"/>
      <c r="G315" s="251"/>
      <c r="H315" s="611"/>
      <c r="I315" s="251"/>
    </row>
    <row r="316" spans="1:9" s="610" customFormat="1">
      <c r="A316" s="469"/>
      <c r="B316" s="239"/>
      <c r="G316" s="251"/>
      <c r="H316" s="611"/>
      <c r="I316" s="251"/>
    </row>
    <row r="317" spans="1:9" s="610" customFormat="1">
      <c r="A317" s="469"/>
      <c r="B317" s="239"/>
      <c r="G317" s="251"/>
      <c r="H317" s="611"/>
      <c r="I317" s="251"/>
    </row>
    <row r="318" spans="1:9" s="610" customFormat="1">
      <c r="A318" s="469"/>
      <c r="B318" s="239"/>
      <c r="G318" s="251"/>
      <c r="H318" s="611"/>
      <c r="I318" s="251"/>
    </row>
    <row r="319" spans="1:9" s="610" customFormat="1">
      <c r="A319" s="469"/>
      <c r="B319" s="239"/>
      <c r="G319" s="251"/>
      <c r="H319" s="611"/>
      <c r="I319" s="251"/>
    </row>
    <row r="320" spans="1:9" s="610" customFormat="1">
      <c r="A320" s="469"/>
      <c r="B320" s="239"/>
      <c r="G320" s="251"/>
      <c r="H320" s="611"/>
      <c r="I320" s="251"/>
    </row>
    <row r="321" spans="1:9" s="610" customFormat="1">
      <c r="A321" s="469"/>
      <c r="B321" s="239"/>
      <c r="G321" s="251"/>
      <c r="H321" s="611"/>
      <c r="I321" s="251"/>
    </row>
    <row r="322" spans="1:9" s="610" customFormat="1">
      <c r="A322" s="469"/>
      <c r="B322" s="239"/>
      <c r="G322" s="251"/>
      <c r="H322" s="611"/>
      <c r="I322" s="251"/>
    </row>
    <row r="323" spans="1:9" s="610" customFormat="1">
      <c r="A323" s="469"/>
      <c r="B323" s="239"/>
      <c r="G323" s="251"/>
      <c r="H323" s="611"/>
      <c r="I323" s="251"/>
    </row>
    <row r="324" spans="1:9" s="610" customFormat="1">
      <c r="A324" s="469"/>
      <c r="B324" s="239"/>
      <c r="G324" s="251"/>
      <c r="H324" s="611"/>
      <c r="I324" s="251"/>
    </row>
    <row r="325" spans="1:9" s="610" customFormat="1">
      <c r="A325" s="469"/>
      <c r="B325" s="239"/>
      <c r="G325" s="251"/>
      <c r="H325" s="611"/>
      <c r="I325" s="251"/>
    </row>
    <row r="326" spans="1:9" s="610" customFormat="1">
      <c r="A326" s="469"/>
      <c r="B326" s="239"/>
      <c r="G326" s="251"/>
      <c r="H326" s="611"/>
      <c r="I326" s="251"/>
    </row>
    <row r="327" spans="1:9" s="610" customFormat="1">
      <c r="A327" s="469"/>
      <c r="B327" s="239"/>
      <c r="G327" s="251"/>
      <c r="H327" s="611"/>
      <c r="I327" s="251"/>
    </row>
    <row r="328" spans="1:9" s="610" customFormat="1">
      <c r="A328" s="469"/>
      <c r="B328" s="239"/>
      <c r="G328" s="251"/>
      <c r="H328" s="611"/>
      <c r="I328" s="251"/>
    </row>
    <row r="329" spans="1:9" s="610" customFormat="1">
      <c r="A329" s="469"/>
      <c r="B329" s="239"/>
      <c r="G329" s="251"/>
      <c r="H329" s="611"/>
      <c r="I329" s="251"/>
    </row>
    <row r="330" spans="1:9" s="610" customFormat="1">
      <c r="A330" s="469"/>
      <c r="B330" s="239"/>
      <c r="G330" s="251"/>
      <c r="H330" s="611"/>
      <c r="I330" s="251"/>
    </row>
    <row r="331" spans="1:9" s="610" customFormat="1">
      <c r="A331" s="469"/>
      <c r="B331" s="239"/>
      <c r="G331" s="251"/>
      <c r="H331" s="611"/>
      <c r="I331" s="251"/>
    </row>
    <row r="332" spans="1:9" s="610" customFormat="1">
      <c r="A332" s="469"/>
      <c r="B332" s="239"/>
      <c r="G332" s="251"/>
      <c r="H332" s="611"/>
      <c r="I332" s="251"/>
    </row>
    <row r="333" spans="1:9" s="610" customFormat="1">
      <c r="A333" s="469"/>
      <c r="B333" s="239"/>
      <c r="G333" s="251"/>
      <c r="H333" s="611"/>
      <c r="I333" s="251"/>
    </row>
    <row r="334" spans="1:9" s="610" customFormat="1">
      <c r="A334" s="469"/>
      <c r="B334" s="239"/>
      <c r="G334" s="251"/>
      <c r="H334" s="611"/>
      <c r="I334" s="251"/>
    </row>
    <row r="335" spans="1:9" s="610" customFormat="1">
      <c r="A335" s="469"/>
      <c r="B335" s="239"/>
      <c r="G335" s="251"/>
      <c r="H335" s="611"/>
      <c r="I335" s="251"/>
    </row>
    <row r="336" spans="1:9" s="610" customFormat="1">
      <c r="A336" s="469"/>
      <c r="B336" s="239"/>
      <c r="G336" s="251"/>
      <c r="H336" s="611"/>
      <c r="I336" s="251"/>
    </row>
    <row r="337" spans="1:9" s="610" customFormat="1">
      <c r="A337" s="469"/>
      <c r="B337" s="239"/>
      <c r="G337" s="251"/>
      <c r="H337" s="611"/>
      <c r="I337" s="251"/>
    </row>
    <row r="338" spans="1:9" s="610" customFormat="1">
      <c r="A338" s="469"/>
      <c r="B338" s="239"/>
      <c r="G338" s="251"/>
      <c r="H338" s="611"/>
      <c r="I338" s="251"/>
    </row>
    <row r="339" spans="1:9" s="610" customFormat="1">
      <c r="A339" s="469"/>
      <c r="B339" s="239"/>
      <c r="G339" s="251"/>
      <c r="H339" s="611"/>
      <c r="I339" s="251"/>
    </row>
    <row r="340" spans="1:9" s="610" customFormat="1">
      <c r="A340" s="469"/>
      <c r="B340" s="239"/>
      <c r="G340" s="251"/>
      <c r="H340" s="611"/>
      <c r="I340" s="251"/>
    </row>
    <row r="341" spans="1:9" s="610" customFormat="1">
      <c r="A341" s="469"/>
      <c r="B341" s="239"/>
      <c r="G341" s="251"/>
      <c r="H341" s="611"/>
      <c r="I341" s="251"/>
    </row>
    <row r="342" spans="1:9" s="610" customFormat="1">
      <c r="A342" s="469"/>
      <c r="B342" s="239"/>
      <c r="G342" s="251"/>
      <c r="H342" s="611"/>
      <c r="I342" s="251"/>
    </row>
    <row r="343" spans="1:9" s="610" customFormat="1">
      <c r="A343" s="469"/>
      <c r="B343" s="239"/>
      <c r="G343" s="251"/>
      <c r="H343" s="611"/>
      <c r="I343" s="251"/>
    </row>
    <row r="344" spans="1:9" s="610" customFormat="1">
      <c r="A344" s="469"/>
      <c r="B344" s="239"/>
      <c r="G344" s="251"/>
      <c r="H344" s="611"/>
      <c r="I344" s="251"/>
    </row>
    <row r="345" spans="1:9" s="610" customFormat="1">
      <c r="A345" s="469"/>
      <c r="B345" s="239"/>
      <c r="G345" s="251"/>
      <c r="H345" s="611"/>
      <c r="I345" s="251"/>
    </row>
    <row r="346" spans="1:9" s="610" customFormat="1">
      <c r="A346" s="469"/>
      <c r="B346" s="239"/>
      <c r="G346" s="251"/>
      <c r="H346" s="611"/>
      <c r="I346" s="251"/>
    </row>
    <row r="347" spans="1:9" s="610" customFormat="1">
      <c r="A347" s="469"/>
      <c r="B347" s="239"/>
      <c r="G347" s="251"/>
      <c r="H347" s="611"/>
      <c r="I347" s="251"/>
    </row>
    <row r="348" spans="1:9" s="610" customFormat="1">
      <c r="A348" s="469"/>
      <c r="B348" s="239"/>
      <c r="G348" s="251"/>
      <c r="H348" s="611"/>
      <c r="I348" s="251"/>
    </row>
    <row r="349" spans="1:9" s="610" customFormat="1">
      <c r="A349" s="469"/>
      <c r="B349" s="239"/>
      <c r="G349" s="251"/>
      <c r="H349" s="611"/>
      <c r="I349" s="251"/>
    </row>
    <row r="350" spans="1:9" s="610" customFormat="1">
      <c r="A350" s="469"/>
      <c r="B350" s="239"/>
      <c r="G350" s="251"/>
      <c r="H350" s="611"/>
      <c r="I350" s="251"/>
    </row>
    <row r="351" spans="1:9" s="610" customFormat="1">
      <c r="A351" s="469"/>
      <c r="B351" s="239"/>
      <c r="G351" s="251"/>
      <c r="H351" s="611"/>
      <c r="I351" s="251"/>
    </row>
    <row r="352" spans="1:9" s="610" customFormat="1">
      <c r="A352" s="469"/>
      <c r="B352" s="239"/>
      <c r="G352" s="251"/>
      <c r="H352" s="611"/>
      <c r="I352" s="251"/>
    </row>
    <row r="353" spans="1:9" s="610" customFormat="1">
      <c r="A353" s="469"/>
      <c r="B353" s="239"/>
      <c r="G353" s="251"/>
      <c r="H353" s="611"/>
      <c r="I353" s="251"/>
    </row>
    <row r="354" spans="1:9" s="610" customFormat="1">
      <c r="A354" s="469"/>
      <c r="B354" s="239"/>
      <c r="G354" s="251"/>
      <c r="H354" s="611"/>
      <c r="I354" s="251"/>
    </row>
    <row r="355" spans="1:9" s="610" customFormat="1">
      <c r="A355" s="469"/>
      <c r="B355" s="239"/>
      <c r="G355" s="251"/>
      <c r="H355" s="611"/>
      <c r="I355" s="251"/>
    </row>
    <row r="356" spans="1:9" s="610" customFormat="1">
      <c r="A356" s="469"/>
      <c r="B356" s="239"/>
      <c r="G356" s="251"/>
      <c r="H356" s="611"/>
      <c r="I356" s="251"/>
    </row>
    <row r="357" spans="1:9" s="610" customFormat="1">
      <c r="A357" s="469"/>
      <c r="B357" s="239"/>
      <c r="G357" s="251"/>
      <c r="H357" s="611"/>
      <c r="I357" s="251"/>
    </row>
    <row r="358" spans="1:9" s="610" customFormat="1">
      <c r="A358" s="469"/>
      <c r="B358" s="239"/>
      <c r="G358" s="251"/>
      <c r="H358" s="611"/>
      <c r="I358" s="251"/>
    </row>
    <row r="359" spans="1:9" s="610" customFormat="1">
      <c r="A359" s="469"/>
      <c r="B359" s="239"/>
      <c r="G359" s="251"/>
      <c r="H359" s="611"/>
      <c r="I359" s="251"/>
    </row>
    <row r="360" spans="1:9" s="610" customFormat="1">
      <c r="A360" s="469"/>
      <c r="B360" s="239"/>
      <c r="G360" s="251"/>
      <c r="H360" s="611"/>
      <c r="I360" s="251"/>
    </row>
    <row r="361" spans="1:9" s="610" customFormat="1">
      <c r="A361" s="469"/>
      <c r="B361" s="239"/>
      <c r="G361" s="251"/>
      <c r="H361" s="611"/>
      <c r="I361" s="251"/>
    </row>
    <row r="362" spans="1:9" s="610" customFormat="1">
      <c r="A362" s="469"/>
      <c r="B362" s="239"/>
      <c r="G362" s="251"/>
      <c r="H362" s="611"/>
      <c r="I362" s="251"/>
    </row>
    <row r="363" spans="1:9" s="610" customFormat="1">
      <c r="A363" s="469"/>
      <c r="B363" s="239"/>
      <c r="G363" s="251"/>
      <c r="H363" s="611"/>
      <c r="I363" s="251"/>
    </row>
    <row r="364" spans="1:9" s="610" customFormat="1">
      <c r="A364" s="469"/>
      <c r="B364" s="239"/>
      <c r="G364" s="251"/>
      <c r="H364" s="611"/>
      <c r="I364" s="251"/>
    </row>
    <row r="365" spans="1:9" s="610" customFormat="1">
      <c r="A365" s="469"/>
      <c r="B365" s="239"/>
      <c r="G365" s="251"/>
      <c r="H365" s="611"/>
      <c r="I365" s="251"/>
    </row>
    <row r="366" spans="1:9" s="610" customFormat="1">
      <c r="A366" s="469"/>
      <c r="B366" s="239"/>
      <c r="G366" s="251"/>
      <c r="H366" s="611"/>
      <c r="I366" s="251"/>
    </row>
    <row r="367" spans="1:9" s="610" customFormat="1">
      <c r="A367" s="469"/>
      <c r="B367" s="239"/>
      <c r="G367" s="251"/>
      <c r="H367" s="611"/>
      <c r="I367" s="251"/>
    </row>
    <row r="368" spans="1:9" s="610" customFormat="1">
      <c r="A368" s="469"/>
      <c r="B368" s="239"/>
      <c r="G368" s="251"/>
      <c r="H368" s="611"/>
      <c r="I368" s="251"/>
    </row>
    <row r="369" spans="1:9" s="610" customFormat="1">
      <c r="A369" s="469"/>
      <c r="B369" s="239"/>
      <c r="G369" s="251"/>
      <c r="H369" s="611"/>
      <c r="I369" s="251"/>
    </row>
    <row r="370" spans="1:9" s="610" customFormat="1">
      <c r="A370" s="469"/>
      <c r="B370" s="239"/>
      <c r="G370" s="251"/>
      <c r="H370" s="611"/>
      <c r="I370" s="251"/>
    </row>
    <row r="371" spans="1:9" s="610" customFormat="1">
      <c r="A371" s="469"/>
      <c r="B371" s="239"/>
      <c r="G371" s="251"/>
      <c r="H371" s="611"/>
      <c r="I371" s="251"/>
    </row>
    <row r="372" spans="1:9" s="610" customFormat="1">
      <c r="A372" s="469"/>
      <c r="B372" s="239"/>
      <c r="G372" s="251"/>
      <c r="H372" s="611"/>
      <c r="I372" s="251"/>
    </row>
    <row r="373" spans="1:9" s="610" customFormat="1">
      <c r="A373" s="469"/>
      <c r="B373" s="239"/>
      <c r="G373" s="251"/>
      <c r="H373" s="611"/>
      <c r="I373" s="251"/>
    </row>
    <row r="374" spans="1:9" s="610" customFormat="1">
      <c r="A374" s="469"/>
      <c r="B374" s="239"/>
      <c r="G374" s="251"/>
      <c r="H374" s="611"/>
      <c r="I374" s="251"/>
    </row>
    <row r="375" spans="1:9" s="610" customFormat="1">
      <c r="A375" s="469"/>
      <c r="B375" s="239"/>
      <c r="G375" s="251"/>
      <c r="H375" s="611"/>
      <c r="I375" s="251"/>
    </row>
    <row r="376" spans="1:9" s="610" customFormat="1">
      <c r="A376" s="469"/>
      <c r="B376" s="239"/>
      <c r="G376" s="251"/>
      <c r="H376" s="611"/>
      <c r="I376" s="251"/>
    </row>
    <row r="377" spans="1:9" s="610" customFormat="1">
      <c r="A377" s="469"/>
      <c r="B377" s="239"/>
      <c r="G377" s="251"/>
      <c r="H377" s="611"/>
      <c r="I377" s="251"/>
    </row>
    <row r="378" spans="1:9" s="610" customFormat="1">
      <c r="A378" s="469"/>
      <c r="B378" s="239"/>
      <c r="G378" s="251"/>
      <c r="H378" s="611"/>
      <c r="I378" s="251"/>
    </row>
    <row r="379" spans="1:9" s="610" customFormat="1">
      <c r="A379" s="469"/>
      <c r="B379" s="239"/>
      <c r="G379" s="251"/>
      <c r="H379" s="611"/>
      <c r="I379" s="251"/>
    </row>
    <row r="380" spans="1:9" s="610" customFormat="1">
      <c r="A380" s="469"/>
      <c r="B380" s="239"/>
      <c r="G380" s="251"/>
      <c r="H380" s="611"/>
      <c r="I380" s="251"/>
    </row>
    <row r="381" spans="1:9" s="610" customFormat="1">
      <c r="A381" s="469"/>
      <c r="B381" s="239"/>
      <c r="G381" s="251"/>
      <c r="H381" s="611"/>
      <c r="I381" s="251"/>
    </row>
    <row r="382" spans="1:9" s="610" customFormat="1">
      <c r="A382" s="469"/>
      <c r="B382" s="239"/>
      <c r="G382" s="251"/>
      <c r="H382" s="611"/>
      <c r="I382" s="251"/>
    </row>
    <row r="383" spans="1:9" s="610" customFormat="1">
      <c r="A383" s="469"/>
      <c r="B383" s="239"/>
      <c r="G383" s="251"/>
      <c r="H383" s="611"/>
      <c r="I383" s="251"/>
    </row>
    <row r="384" spans="1:9" s="610" customFormat="1">
      <c r="A384" s="469"/>
      <c r="B384" s="239"/>
      <c r="G384" s="251"/>
      <c r="H384" s="611"/>
      <c r="I384" s="251"/>
    </row>
    <row r="385" spans="1:9" s="610" customFormat="1">
      <c r="A385" s="469"/>
      <c r="B385" s="239"/>
      <c r="G385" s="251"/>
      <c r="H385" s="611"/>
      <c r="I385" s="251"/>
    </row>
    <row r="386" spans="1:9" s="610" customFormat="1">
      <c r="A386" s="469"/>
      <c r="B386" s="239"/>
      <c r="G386" s="251"/>
      <c r="H386" s="611"/>
      <c r="I386" s="251"/>
    </row>
    <row r="387" spans="1:9" s="610" customFormat="1">
      <c r="A387" s="469"/>
      <c r="B387" s="239"/>
      <c r="G387" s="251"/>
      <c r="H387" s="611"/>
      <c r="I387" s="251"/>
    </row>
    <row r="388" spans="1:9" s="610" customFormat="1">
      <c r="A388" s="469"/>
      <c r="B388" s="239"/>
      <c r="G388" s="251"/>
      <c r="H388" s="611"/>
      <c r="I388" s="251"/>
    </row>
    <row r="389" spans="1:9" s="610" customFormat="1">
      <c r="A389" s="469"/>
      <c r="B389" s="239"/>
      <c r="G389" s="251"/>
      <c r="H389" s="611"/>
      <c r="I389" s="251"/>
    </row>
    <row r="390" spans="1:9" s="610" customFormat="1">
      <c r="A390" s="469"/>
      <c r="B390" s="239"/>
      <c r="G390" s="251"/>
      <c r="H390" s="611"/>
      <c r="I390" s="251"/>
    </row>
    <row r="391" spans="1:9" s="610" customFormat="1">
      <c r="A391" s="469"/>
      <c r="B391" s="239"/>
      <c r="G391" s="251"/>
      <c r="H391" s="611"/>
      <c r="I391" s="251"/>
    </row>
    <row r="392" spans="1:9" s="610" customFormat="1">
      <c r="A392" s="469"/>
      <c r="B392" s="239"/>
      <c r="G392" s="251"/>
      <c r="H392" s="611"/>
      <c r="I392" s="251"/>
    </row>
    <row r="393" spans="1:9" s="610" customFormat="1">
      <c r="A393" s="469"/>
      <c r="B393" s="239"/>
      <c r="G393" s="251"/>
      <c r="H393" s="611"/>
      <c r="I393" s="251"/>
    </row>
    <row r="394" spans="1:9" s="610" customFormat="1">
      <c r="A394" s="469"/>
      <c r="B394" s="239"/>
      <c r="G394" s="251"/>
      <c r="H394" s="611"/>
      <c r="I394" s="251"/>
    </row>
    <row r="395" spans="1:9" s="610" customFormat="1">
      <c r="A395" s="469"/>
      <c r="B395" s="239"/>
      <c r="G395" s="251"/>
      <c r="H395" s="611"/>
      <c r="I395" s="251"/>
    </row>
    <row r="396" spans="1:9" s="610" customFormat="1">
      <c r="A396" s="469"/>
      <c r="B396" s="239"/>
      <c r="G396" s="251"/>
      <c r="H396" s="611"/>
      <c r="I396" s="251"/>
    </row>
    <row r="397" spans="1:9" s="610" customFormat="1">
      <c r="A397" s="469"/>
      <c r="B397" s="239"/>
      <c r="G397" s="251"/>
      <c r="H397" s="611"/>
      <c r="I397" s="251"/>
    </row>
    <row r="398" spans="1:9" s="610" customFormat="1">
      <c r="A398" s="469"/>
      <c r="B398" s="239"/>
      <c r="G398" s="251"/>
      <c r="H398" s="611"/>
      <c r="I398" s="251"/>
    </row>
    <row r="399" spans="1:9" s="610" customFormat="1">
      <c r="A399" s="469"/>
      <c r="B399" s="239"/>
      <c r="G399" s="251"/>
      <c r="H399" s="611"/>
      <c r="I399" s="251"/>
    </row>
    <row r="400" spans="1:9" s="610" customFormat="1">
      <c r="A400" s="469"/>
      <c r="B400" s="239"/>
      <c r="G400" s="251"/>
      <c r="H400" s="611"/>
      <c r="I400" s="251"/>
    </row>
    <row r="401" spans="1:9" s="610" customFormat="1">
      <c r="A401" s="469"/>
      <c r="B401" s="239"/>
      <c r="G401" s="251"/>
      <c r="H401" s="611"/>
      <c r="I401" s="251"/>
    </row>
    <row r="402" spans="1:9" s="610" customFormat="1">
      <c r="A402" s="469"/>
      <c r="B402" s="239"/>
      <c r="G402" s="251"/>
      <c r="H402" s="611"/>
      <c r="I402" s="251"/>
    </row>
    <row r="403" spans="1:9" s="610" customFormat="1">
      <c r="A403" s="469"/>
      <c r="B403" s="239"/>
      <c r="G403" s="251"/>
      <c r="H403" s="611"/>
      <c r="I403" s="251"/>
    </row>
    <row r="404" spans="1:9" s="610" customFormat="1">
      <c r="A404" s="469"/>
      <c r="B404" s="239"/>
      <c r="G404" s="251"/>
      <c r="H404" s="611"/>
      <c r="I404" s="251"/>
    </row>
    <row r="405" spans="1:9" s="610" customFormat="1">
      <c r="A405" s="469"/>
      <c r="B405" s="239"/>
      <c r="G405" s="251"/>
      <c r="H405" s="611"/>
      <c r="I405" s="251"/>
    </row>
    <row r="406" spans="1:9" s="610" customFormat="1">
      <c r="A406" s="469"/>
      <c r="B406" s="239"/>
      <c r="G406" s="251"/>
      <c r="H406" s="611"/>
      <c r="I406" s="251"/>
    </row>
    <row r="407" spans="1:9" s="610" customFormat="1">
      <c r="A407" s="469"/>
      <c r="B407" s="239"/>
      <c r="G407" s="251"/>
      <c r="H407" s="611"/>
      <c r="I407" s="251"/>
    </row>
    <row r="408" spans="1:9" s="610" customFormat="1">
      <c r="A408" s="469"/>
      <c r="B408" s="239"/>
      <c r="G408" s="251"/>
      <c r="H408" s="611"/>
      <c r="I408" s="251"/>
    </row>
    <row r="409" spans="1:9" s="610" customFormat="1">
      <c r="A409" s="469"/>
      <c r="B409" s="239"/>
      <c r="G409" s="251"/>
      <c r="H409" s="611"/>
      <c r="I409" s="251"/>
    </row>
    <row r="410" spans="1:9" s="610" customFormat="1">
      <c r="A410" s="469"/>
      <c r="B410" s="239"/>
      <c r="G410" s="251"/>
      <c r="H410" s="611"/>
      <c r="I410" s="251"/>
    </row>
    <row r="411" spans="1:9" s="610" customFormat="1">
      <c r="A411" s="469"/>
      <c r="B411" s="239"/>
      <c r="G411" s="251"/>
      <c r="H411" s="611"/>
      <c r="I411" s="251"/>
    </row>
    <row r="412" spans="1:9" s="610" customFormat="1">
      <c r="A412" s="469"/>
      <c r="B412" s="239"/>
      <c r="G412" s="251"/>
      <c r="H412" s="611"/>
      <c r="I412" s="251"/>
    </row>
    <row r="413" spans="1:9" s="610" customFormat="1">
      <c r="A413" s="469"/>
      <c r="B413" s="239"/>
      <c r="G413" s="251"/>
      <c r="H413" s="611"/>
      <c r="I413" s="251"/>
    </row>
    <row r="414" spans="1:9" s="610" customFormat="1">
      <c r="A414" s="469"/>
      <c r="B414" s="239"/>
      <c r="G414" s="251"/>
      <c r="H414" s="611"/>
      <c r="I414" s="251"/>
    </row>
    <row r="415" spans="1:9" s="610" customFormat="1">
      <c r="A415" s="469"/>
      <c r="B415" s="239"/>
      <c r="G415" s="251"/>
      <c r="H415" s="611"/>
      <c r="I415" s="251"/>
    </row>
    <row r="416" spans="1:9" s="610" customFormat="1">
      <c r="A416" s="469"/>
      <c r="B416" s="239"/>
      <c r="G416" s="251"/>
      <c r="H416" s="611"/>
      <c r="I416" s="251"/>
    </row>
    <row r="417" spans="1:9" s="610" customFormat="1">
      <c r="A417" s="469"/>
      <c r="B417" s="239"/>
      <c r="G417" s="251"/>
      <c r="H417" s="611"/>
      <c r="I417" s="251"/>
    </row>
    <row r="418" spans="1:9" s="610" customFormat="1">
      <c r="A418" s="469"/>
      <c r="B418" s="239"/>
      <c r="G418" s="251"/>
      <c r="H418" s="611"/>
      <c r="I418" s="251"/>
    </row>
    <row r="419" spans="1:9" s="610" customFormat="1">
      <c r="A419" s="469"/>
      <c r="B419" s="239"/>
      <c r="G419" s="251"/>
      <c r="H419" s="611"/>
      <c r="I419" s="251"/>
    </row>
    <row r="420" spans="1:9" s="610" customFormat="1">
      <c r="A420" s="469"/>
      <c r="B420" s="239"/>
      <c r="G420" s="251"/>
      <c r="H420" s="611"/>
      <c r="I420" s="251"/>
    </row>
    <row r="421" spans="1:9" s="610" customFormat="1">
      <c r="A421" s="469"/>
      <c r="B421" s="239"/>
      <c r="G421" s="251"/>
      <c r="H421" s="611"/>
      <c r="I421" s="251"/>
    </row>
    <row r="422" spans="1:9" s="610" customFormat="1">
      <c r="A422" s="469"/>
      <c r="B422" s="239"/>
      <c r="G422" s="251"/>
      <c r="H422" s="611"/>
      <c r="I422" s="251"/>
    </row>
    <row r="423" spans="1:9" s="610" customFormat="1">
      <c r="A423" s="469"/>
      <c r="B423" s="239"/>
      <c r="G423" s="251"/>
      <c r="H423" s="611"/>
      <c r="I423" s="251"/>
    </row>
    <row r="424" spans="1:9" s="610" customFormat="1">
      <c r="A424" s="469"/>
      <c r="B424" s="239"/>
      <c r="G424" s="251"/>
      <c r="H424" s="611"/>
      <c r="I424" s="251"/>
    </row>
    <row r="425" spans="1:9" s="610" customFormat="1">
      <c r="A425" s="469"/>
      <c r="B425" s="239"/>
      <c r="G425" s="251"/>
      <c r="H425" s="611"/>
      <c r="I425" s="251"/>
    </row>
    <row r="426" spans="1:9" s="610" customFormat="1">
      <c r="A426" s="469"/>
      <c r="B426" s="239"/>
      <c r="G426" s="251"/>
      <c r="H426" s="611"/>
      <c r="I426" s="251"/>
    </row>
    <row r="427" spans="1:9" s="610" customFormat="1">
      <c r="A427" s="469"/>
      <c r="B427" s="239"/>
      <c r="G427" s="251"/>
      <c r="H427" s="611"/>
      <c r="I427" s="251"/>
    </row>
    <row r="428" spans="1:9" s="610" customFormat="1">
      <c r="A428" s="469"/>
      <c r="B428" s="239"/>
      <c r="G428" s="251"/>
      <c r="H428" s="611"/>
      <c r="I428" s="251"/>
    </row>
    <row r="429" spans="1:9" s="610" customFormat="1">
      <c r="A429" s="469"/>
      <c r="B429" s="239"/>
      <c r="G429" s="251"/>
      <c r="H429" s="611"/>
      <c r="I429" s="251"/>
    </row>
    <row r="430" spans="1:9" s="610" customFormat="1">
      <c r="A430" s="469"/>
      <c r="B430" s="239"/>
      <c r="G430" s="251"/>
      <c r="H430" s="611"/>
      <c r="I430" s="251"/>
    </row>
    <row r="431" spans="1:9" s="610" customFormat="1">
      <c r="A431" s="469"/>
      <c r="B431" s="239"/>
      <c r="G431" s="251"/>
      <c r="H431" s="611"/>
      <c r="I431" s="251"/>
    </row>
    <row r="432" spans="1:9" s="610" customFormat="1">
      <c r="A432" s="469"/>
      <c r="B432" s="239"/>
      <c r="G432" s="251"/>
      <c r="H432" s="611"/>
      <c r="I432" s="251"/>
    </row>
    <row r="433" spans="1:9" s="610" customFormat="1">
      <c r="A433" s="469"/>
      <c r="B433" s="239"/>
      <c r="G433" s="251"/>
      <c r="H433" s="611"/>
      <c r="I433" s="251"/>
    </row>
    <row r="434" spans="1:9" s="610" customFormat="1">
      <c r="A434" s="469"/>
      <c r="B434" s="239"/>
      <c r="G434" s="251"/>
      <c r="H434" s="611"/>
      <c r="I434" s="251"/>
    </row>
    <row r="435" spans="1:9" s="610" customFormat="1">
      <c r="A435" s="469"/>
      <c r="B435" s="239"/>
      <c r="G435" s="251"/>
      <c r="H435" s="611"/>
      <c r="I435" s="251"/>
    </row>
    <row r="436" spans="1:9" s="610" customFormat="1">
      <c r="A436" s="469"/>
      <c r="B436" s="239"/>
      <c r="G436" s="251"/>
      <c r="H436" s="611"/>
      <c r="I436" s="251"/>
    </row>
    <row r="437" spans="1:9" s="610" customFormat="1">
      <c r="A437" s="469"/>
      <c r="B437" s="239"/>
      <c r="G437" s="251"/>
      <c r="H437" s="611"/>
      <c r="I437" s="251"/>
    </row>
    <row r="438" spans="1:9" s="610" customFormat="1">
      <c r="A438" s="469"/>
      <c r="B438" s="239"/>
      <c r="G438" s="251"/>
      <c r="H438" s="611"/>
      <c r="I438" s="251"/>
    </row>
    <row r="439" spans="1:9" s="610" customFormat="1">
      <c r="A439" s="469"/>
      <c r="B439" s="239"/>
      <c r="G439" s="251"/>
      <c r="H439" s="611"/>
      <c r="I439" s="251"/>
    </row>
    <row r="440" spans="1:9" s="610" customFormat="1">
      <c r="A440" s="469"/>
      <c r="B440" s="239"/>
      <c r="G440" s="251"/>
      <c r="H440" s="611"/>
      <c r="I440" s="251"/>
    </row>
    <row r="441" spans="1:9" s="610" customFormat="1">
      <c r="A441" s="469"/>
      <c r="B441" s="239"/>
      <c r="G441" s="251"/>
      <c r="H441" s="611"/>
      <c r="I441" s="251"/>
    </row>
    <row r="442" spans="1:9" s="610" customFormat="1">
      <c r="A442" s="469"/>
      <c r="B442" s="239"/>
      <c r="G442" s="251"/>
      <c r="H442" s="611"/>
      <c r="I442" s="251"/>
    </row>
    <row r="443" spans="1:9" s="610" customFormat="1">
      <c r="A443" s="469"/>
      <c r="B443" s="239"/>
      <c r="G443" s="251"/>
      <c r="H443" s="611"/>
      <c r="I443" s="251"/>
    </row>
    <row r="444" spans="1:9" s="610" customFormat="1">
      <c r="A444" s="469"/>
      <c r="B444" s="239"/>
      <c r="G444" s="251"/>
      <c r="H444" s="611"/>
      <c r="I444" s="251"/>
    </row>
    <row r="445" spans="1:9" s="610" customFormat="1">
      <c r="A445" s="469"/>
      <c r="B445" s="239"/>
      <c r="G445" s="251"/>
      <c r="H445" s="611"/>
      <c r="I445" s="251"/>
    </row>
    <row r="446" spans="1:9" s="610" customFormat="1">
      <c r="A446" s="469"/>
      <c r="B446" s="239"/>
      <c r="G446" s="251"/>
      <c r="H446" s="611"/>
      <c r="I446" s="251"/>
    </row>
    <row r="447" spans="1:9" s="610" customFormat="1">
      <c r="A447" s="469"/>
      <c r="B447" s="239"/>
      <c r="G447" s="251"/>
      <c r="H447" s="611"/>
      <c r="I447" s="251"/>
    </row>
    <row r="448" spans="1:9" s="610" customFormat="1">
      <c r="A448" s="469"/>
      <c r="B448" s="239"/>
      <c r="G448" s="251"/>
      <c r="H448" s="611"/>
      <c r="I448" s="251"/>
    </row>
    <row r="449" spans="1:9" s="610" customFormat="1">
      <c r="A449" s="469"/>
      <c r="B449" s="239"/>
      <c r="G449" s="251"/>
      <c r="H449" s="611"/>
      <c r="I449" s="251"/>
    </row>
    <row r="450" spans="1:9" s="610" customFormat="1">
      <c r="A450" s="469"/>
      <c r="B450" s="239"/>
      <c r="G450" s="251"/>
      <c r="H450" s="611"/>
      <c r="I450" s="251"/>
    </row>
    <row r="451" spans="1:9" s="610" customFormat="1">
      <c r="A451" s="469"/>
      <c r="B451" s="239"/>
      <c r="G451" s="251"/>
      <c r="H451" s="611"/>
      <c r="I451" s="251"/>
    </row>
    <row r="452" spans="1:9" s="610" customFormat="1">
      <c r="A452" s="469"/>
      <c r="B452" s="239"/>
      <c r="G452" s="251"/>
      <c r="H452" s="611"/>
      <c r="I452" s="251"/>
    </row>
    <row r="453" spans="1:9" s="610" customFormat="1">
      <c r="A453" s="469"/>
      <c r="B453" s="239"/>
      <c r="G453" s="251"/>
      <c r="H453" s="611"/>
      <c r="I453" s="251"/>
    </row>
    <row r="454" spans="1:9" s="610" customFormat="1">
      <c r="A454" s="469"/>
      <c r="B454" s="239"/>
      <c r="G454" s="251"/>
      <c r="H454" s="611"/>
      <c r="I454" s="251"/>
    </row>
    <row r="455" spans="1:9" s="610" customFormat="1">
      <c r="A455" s="469"/>
      <c r="B455" s="239"/>
      <c r="G455" s="251"/>
      <c r="H455" s="611"/>
      <c r="I455" s="251"/>
    </row>
    <row r="456" spans="1:9" s="610" customFormat="1">
      <c r="A456" s="469"/>
      <c r="B456" s="239"/>
      <c r="G456" s="251"/>
      <c r="H456" s="611"/>
      <c r="I456" s="251"/>
    </row>
    <row r="457" spans="1:9" s="610" customFormat="1">
      <c r="A457" s="469"/>
      <c r="B457" s="239"/>
      <c r="G457" s="251"/>
      <c r="H457" s="611"/>
      <c r="I457" s="251"/>
    </row>
    <row r="458" spans="1:9" s="610" customFormat="1">
      <c r="A458" s="469"/>
      <c r="B458" s="239"/>
      <c r="G458" s="251"/>
      <c r="H458" s="611"/>
      <c r="I458" s="251"/>
    </row>
    <row r="459" spans="1:9" s="610" customFormat="1">
      <c r="A459" s="469"/>
      <c r="B459" s="239"/>
      <c r="G459" s="251"/>
      <c r="H459" s="611"/>
      <c r="I459" s="251"/>
    </row>
    <row r="460" spans="1:9" s="610" customFormat="1">
      <c r="A460" s="469"/>
      <c r="B460" s="239"/>
      <c r="G460" s="251"/>
      <c r="H460" s="611"/>
      <c r="I460" s="251"/>
    </row>
    <row r="461" spans="1:9" s="610" customFormat="1">
      <c r="A461" s="469"/>
      <c r="B461" s="239"/>
      <c r="G461" s="251"/>
      <c r="H461" s="611"/>
      <c r="I461" s="251"/>
    </row>
    <row r="462" spans="1:9" s="610" customFormat="1">
      <c r="A462" s="469"/>
      <c r="B462" s="239"/>
      <c r="G462" s="251"/>
      <c r="H462" s="611"/>
      <c r="I462" s="251"/>
    </row>
    <row r="463" spans="1:9" s="610" customFormat="1">
      <c r="A463" s="469"/>
      <c r="B463" s="239"/>
      <c r="G463" s="251"/>
      <c r="H463" s="611"/>
      <c r="I463" s="251"/>
    </row>
    <row r="464" spans="1:9" s="610" customFormat="1">
      <c r="A464" s="469"/>
      <c r="B464" s="239"/>
      <c r="G464" s="251"/>
      <c r="H464" s="611"/>
      <c r="I464" s="251"/>
    </row>
    <row r="465" spans="1:9" s="610" customFormat="1">
      <c r="A465" s="469"/>
      <c r="B465" s="239"/>
      <c r="G465" s="251"/>
      <c r="H465" s="611"/>
      <c r="I465" s="251"/>
    </row>
    <row r="466" spans="1:9" s="610" customFormat="1">
      <c r="A466" s="469"/>
      <c r="B466" s="239"/>
      <c r="G466" s="251"/>
      <c r="H466" s="611"/>
      <c r="I466" s="251"/>
    </row>
    <row r="467" spans="1:9" s="610" customFormat="1">
      <c r="A467" s="469"/>
      <c r="B467" s="239"/>
      <c r="G467" s="251"/>
      <c r="H467" s="611"/>
      <c r="I467" s="251"/>
    </row>
    <row r="468" spans="1:9" s="610" customFormat="1">
      <c r="A468" s="469"/>
      <c r="B468" s="239"/>
      <c r="G468" s="251"/>
      <c r="H468" s="611"/>
      <c r="I468" s="251"/>
    </row>
    <row r="469" spans="1:9" s="610" customFormat="1">
      <c r="A469" s="469"/>
      <c r="B469" s="239"/>
      <c r="G469" s="251"/>
      <c r="H469" s="611"/>
      <c r="I469" s="251"/>
    </row>
    <row r="470" spans="1:9" s="610" customFormat="1">
      <c r="A470" s="469"/>
      <c r="B470" s="239"/>
      <c r="G470" s="251"/>
      <c r="H470" s="611"/>
      <c r="I470" s="251"/>
    </row>
    <row r="471" spans="1:9" s="610" customFormat="1">
      <c r="A471" s="469"/>
      <c r="B471" s="239"/>
      <c r="G471" s="251"/>
      <c r="H471" s="611"/>
      <c r="I471" s="251"/>
    </row>
    <row r="472" spans="1:9" s="610" customFormat="1">
      <c r="A472" s="469"/>
      <c r="B472" s="239"/>
      <c r="G472" s="251"/>
      <c r="H472" s="611"/>
      <c r="I472" s="251"/>
    </row>
    <row r="473" spans="1:9" s="610" customFormat="1">
      <c r="A473" s="469"/>
      <c r="B473" s="239"/>
      <c r="G473" s="251"/>
      <c r="H473" s="611"/>
      <c r="I473" s="251"/>
    </row>
    <row r="474" spans="1:9" s="610" customFormat="1">
      <c r="A474" s="469"/>
      <c r="B474" s="239"/>
      <c r="G474" s="251"/>
      <c r="H474" s="611"/>
      <c r="I474" s="251"/>
    </row>
    <row r="475" spans="1:9" s="610" customFormat="1">
      <c r="A475" s="469"/>
      <c r="B475" s="239"/>
      <c r="G475" s="251"/>
      <c r="H475" s="611"/>
      <c r="I475" s="251"/>
    </row>
    <row r="476" spans="1:9" s="610" customFormat="1">
      <c r="A476" s="469"/>
      <c r="B476" s="239"/>
      <c r="G476" s="251"/>
      <c r="H476" s="611"/>
      <c r="I476" s="251"/>
    </row>
    <row r="477" spans="1:9" s="610" customFormat="1">
      <c r="A477" s="469"/>
      <c r="B477" s="239"/>
      <c r="G477" s="251"/>
      <c r="H477" s="611"/>
      <c r="I477" s="251"/>
    </row>
    <row r="478" spans="1:9" s="610" customFormat="1">
      <c r="A478" s="469"/>
      <c r="B478" s="239"/>
      <c r="G478" s="251"/>
      <c r="H478" s="611"/>
      <c r="I478" s="251"/>
    </row>
    <row r="479" spans="1:9" s="610" customFormat="1">
      <c r="A479" s="469"/>
      <c r="B479" s="239"/>
      <c r="G479" s="251"/>
      <c r="H479" s="611"/>
      <c r="I479" s="251"/>
    </row>
    <row r="480" spans="1:9" s="610" customFormat="1">
      <c r="A480" s="469"/>
      <c r="B480" s="239"/>
      <c r="G480" s="251"/>
      <c r="H480" s="611"/>
      <c r="I480" s="251"/>
    </row>
    <row r="481" spans="1:9" s="610" customFormat="1">
      <c r="A481" s="469"/>
      <c r="B481" s="239"/>
      <c r="G481" s="251"/>
      <c r="H481" s="611"/>
      <c r="I481" s="251"/>
    </row>
    <row r="482" spans="1:9" s="610" customFormat="1">
      <c r="A482" s="469"/>
      <c r="B482" s="239"/>
      <c r="G482" s="251"/>
      <c r="H482" s="611"/>
      <c r="I482" s="251"/>
    </row>
    <row r="483" spans="1:9" s="610" customFormat="1">
      <c r="A483" s="469"/>
      <c r="B483" s="239"/>
      <c r="G483" s="251"/>
      <c r="H483" s="611"/>
      <c r="I483" s="251"/>
    </row>
    <row r="484" spans="1:9" s="610" customFormat="1">
      <c r="A484" s="469"/>
      <c r="B484" s="239"/>
      <c r="G484" s="251"/>
      <c r="H484" s="611"/>
      <c r="I484" s="251"/>
    </row>
    <row r="485" spans="1:9" s="610" customFormat="1">
      <c r="A485" s="469"/>
      <c r="B485" s="239"/>
      <c r="G485" s="251"/>
      <c r="H485" s="611"/>
      <c r="I485" s="251"/>
    </row>
    <row r="486" spans="1:9" s="610" customFormat="1">
      <c r="A486" s="469"/>
      <c r="B486" s="239"/>
      <c r="G486" s="251"/>
      <c r="H486" s="611"/>
      <c r="I486" s="251"/>
    </row>
    <row r="487" spans="1:9" s="610" customFormat="1">
      <c r="A487" s="469"/>
      <c r="B487" s="239"/>
      <c r="G487" s="251"/>
      <c r="H487" s="611"/>
      <c r="I487" s="251"/>
    </row>
    <row r="488" spans="1:9" s="610" customFormat="1">
      <c r="A488" s="469"/>
      <c r="B488" s="239"/>
      <c r="G488" s="251"/>
      <c r="H488" s="611"/>
      <c r="I488" s="251"/>
    </row>
    <row r="489" spans="1:9" s="610" customFormat="1">
      <c r="A489" s="469"/>
      <c r="B489" s="239"/>
      <c r="G489" s="251"/>
      <c r="H489" s="611"/>
      <c r="I489" s="251"/>
    </row>
    <row r="490" spans="1:9" s="610" customFormat="1">
      <c r="A490" s="469"/>
      <c r="B490" s="239"/>
      <c r="G490" s="251"/>
      <c r="H490" s="611"/>
      <c r="I490" s="251"/>
    </row>
    <row r="491" spans="1:9" s="610" customFormat="1">
      <c r="A491" s="469"/>
      <c r="B491" s="239"/>
      <c r="G491" s="251"/>
      <c r="H491" s="611"/>
      <c r="I491" s="251"/>
    </row>
    <row r="492" spans="1:9" s="610" customFormat="1">
      <c r="A492" s="469"/>
      <c r="B492" s="239"/>
      <c r="G492" s="251"/>
      <c r="H492" s="611"/>
      <c r="I492" s="251"/>
    </row>
    <row r="493" spans="1:9" s="610" customFormat="1">
      <c r="A493" s="469"/>
      <c r="B493" s="239"/>
      <c r="G493" s="251"/>
      <c r="H493" s="611"/>
      <c r="I493" s="251"/>
    </row>
    <row r="494" spans="1:9" s="610" customFormat="1">
      <c r="A494" s="469"/>
      <c r="B494" s="239"/>
      <c r="G494" s="251"/>
      <c r="H494" s="611"/>
      <c r="I494" s="251"/>
    </row>
    <row r="495" spans="1:9" s="610" customFormat="1">
      <c r="A495" s="469"/>
      <c r="B495" s="239"/>
      <c r="G495" s="251"/>
      <c r="H495" s="611"/>
      <c r="I495" s="251"/>
    </row>
    <row r="496" spans="1:9" s="610" customFormat="1">
      <c r="A496" s="469"/>
      <c r="B496" s="239"/>
      <c r="G496" s="251"/>
      <c r="H496" s="611"/>
      <c r="I496" s="251"/>
    </row>
    <row r="497" spans="1:9" s="610" customFormat="1">
      <c r="A497" s="469"/>
      <c r="B497" s="239"/>
      <c r="G497" s="251"/>
      <c r="H497" s="611"/>
      <c r="I497" s="251"/>
    </row>
    <row r="498" spans="1:9" s="610" customFormat="1">
      <c r="A498" s="469"/>
      <c r="B498" s="239"/>
      <c r="G498" s="251"/>
      <c r="H498" s="611"/>
      <c r="I498" s="251"/>
    </row>
    <row r="499" spans="1:9" s="610" customFormat="1">
      <c r="A499" s="469"/>
      <c r="B499" s="239"/>
      <c r="G499" s="251"/>
      <c r="H499" s="611"/>
      <c r="I499" s="251"/>
    </row>
    <row r="500" spans="1:9" s="610" customFormat="1">
      <c r="A500" s="469"/>
      <c r="B500" s="239"/>
      <c r="G500" s="251"/>
      <c r="H500" s="611"/>
      <c r="I500" s="251"/>
    </row>
    <row r="501" spans="1:9" s="610" customFormat="1">
      <c r="A501" s="469"/>
      <c r="B501" s="239"/>
      <c r="G501" s="251"/>
      <c r="H501" s="611"/>
      <c r="I501" s="251"/>
    </row>
    <row r="502" spans="1:9" s="610" customFormat="1">
      <c r="A502" s="469"/>
      <c r="B502" s="239"/>
      <c r="G502" s="251"/>
      <c r="H502" s="611"/>
      <c r="I502" s="251"/>
    </row>
    <row r="503" spans="1:9" s="610" customFormat="1">
      <c r="A503" s="469"/>
      <c r="B503" s="239"/>
      <c r="G503" s="251"/>
      <c r="H503" s="611"/>
      <c r="I503" s="251"/>
    </row>
    <row r="504" spans="1:9" s="610" customFormat="1">
      <c r="A504" s="469"/>
      <c r="B504" s="239"/>
      <c r="G504" s="251"/>
      <c r="H504" s="611"/>
      <c r="I504" s="251"/>
    </row>
    <row r="505" spans="1:9" s="610" customFormat="1">
      <c r="A505" s="469"/>
      <c r="B505" s="239"/>
      <c r="G505" s="251"/>
      <c r="H505" s="611"/>
      <c r="I505" s="251"/>
    </row>
    <row r="506" spans="1:9" s="610" customFormat="1">
      <c r="A506" s="469"/>
      <c r="B506" s="239"/>
      <c r="G506" s="251"/>
      <c r="H506" s="611"/>
      <c r="I506" s="251"/>
    </row>
    <row r="507" spans="1:9" s="610" customFormat="1">
      <c r="A507" s="469"/>
      <c r="B507" s="239"/>
      <c r="G507" s="251"/>
      <c r="H507" s="611"/>
      <c r="I507" s="251"/>
    </row>
    <row r="508" spans="1:9" s="610" customFormat="1">
      <c r="A508" s="469"/>
      <c r="B508" s="239"/>
      <c r="G508" s="251"/>
      <c r="H508" s="611"/>
      <c r="I508" s="251"/>
    </row>
    <row r="509" spans="1:9" s="610" customFormat="1">
      <c r="A509" s="469"/>
      <c r="B509" s="239"/>
      <c r="G509" s="251"/>
      <c r="H509" s="611"/>
      <c r="I509" s="251"/>
    </row>
    <row r="510" spans="1:9" s="610" customFormat="1">
      <c r="A510" s="469"/>
      <c r="B510" s="239"/>
      <c r="G510" s="251"/>
      <c r="H510" s="611"/>
      <c r="I510" s="251"/>
    </row>
    <row r="511" spans="1:9" s="610" customFormat="1">
      <c r="A511" s="469"/>
      <c r="B511" s="239"/>
      <c r="G511" s="251"/>
      <c r="H511" s="611"/>
      <c r="I511" s="251"/>
    </row>
    <row r="512" spans="1:9" s="610" customFormat="1">
      <c r="A512" s="469"/>
      <c r="B512" s="239"/>
      <c r="G512" s="251"/>
      <c r="H512" s="611"/>
      <c r="I512" s="251"/>
    </row>
    <row r="513" spans="1:9" s="610" customFormat="1">
      <c r="A513" s="469"/>
      <c r="B513" s="239"/>
      <c r="G513" s="251"/>
      <c r="H513" s="611"/>
      <c r="I513" s="251"/>
    </row>
    <row r="514" spans="1:9" s="610" customFormat="1">
      <c r="A514" s="469"/>
      <c r="B514" s="239"/>
      <c r="G514" s="251"/>
      <c r="H514" s="611"/>
      <c r="I514" s="251"/>
    </row>
    <row r="515" spans="1:9" s="610" customFormat="1">
      <c r="A515" s="469"/>
      <c r="B515" s="239"/>
      <c r="G515" s="251"/>
      <c r="H515" s="611"/>
      <c r="I515" s="251"/>
    </row>
    <row r="516" spans="1:9" s="610" customFormat="1">
      <c r="A516" s="469"/>
      <c r="B516" s="239"/>
      <c r="G516" s="251"/>
      <c r="H516" s="611"/>
      <c r="I516" s="251"/>
    </row>
    <row r="517" spans="1:9" s="610" customFormat="1">
      <c r="A517" s="469"/>
      <c r="B517" s="239"/>
      <c r="G517" s="251"/>
      <c r="H517" s="611"/>
      <c r="I517" s="251"/>
    </row>
    <row r="518" spans="1:9" s="610" customFormat="1">
      <c r="A518" s="469"/>
      <c r="B518" s="239"/>
      <c r="G518" s="251"/>
      <c r="H518" s="611"/>
      <c r="I518" s="251"/>
    </row>
    <row r="519" spans="1:9" s="610" customFormat="1">
      <c r="A519" s="469"/>
      <c r="B519" s="239"/>
      <c r="G519" s="251"/>
      <c r="H519" s="611"/>
      <c r="I519" s="251"/>
    </row>
    <row r="520" spans="1:9" s="610" customFormat="1">
      <c r="A520" s="469"/>
      <c r="B520" s="239"/>
      <c r="G520" s="251"/>
      <c r="H520" s="611"/>
      <c r="I520" s="251"/>
    </row>
    <row r="521" spans="1:9" s="610" customFormat="1">
      <c r="A521" s="469"/>
      <c r="B521" s="239"/>
      <c r="G521" s="251"/>
      <c r="H521" s="611"/>
      <c r="I521" s="251"/>
    </row>
    <row r="522" spans="1:9" s="610" customFormat="1">
      <c r="A522" s="469"/>
      <c r="B522" s="239"/>
      <c r="G522" s="251"/>
      <c r="H522" s="611"/>
      <c r="I522" s="251"/>
    </row>
    <row r="523" spans="1:9" s="610" customFormat="1">
      <c r="A523" s="469"/>
      <c r="B523" s="239"/>
      <c r="G523" s="251"/>
      <c r="H523" s="611"/>
      <c r="I523" s="251"/>
    </row>
    <row r="524" spans="1:9" s="610" customFormat="1">
      <c r="A524" s="469"/>
      <c r="B524" s="239"/>
      <c r="G524" s="251"/>
      <c r="H524" s="611"/>
      <c r="I524" s="251"/>
    </row>
    <row r="525" spans="1:9" s="610" customFormat="1">
      <c r="A525" s="469"/>
      <c r="B525" s="239"/>
      <c r="G525" s="251"/>
      <c r="H525" s="611"/>
      <c r="I525" s="251"/>
    </row>
    <row r="526" spans="1:9" s="610" customFormat="1">
      <c r="A526" s="469"/>
      <c r="B526" s="239"/>
      <c r="G526" s="251"/>
      <c r="H526" s="611"/>
      <c r="I526" s="251"/>
    </row>
    <row r="527" spans="1:9" s="610" customFormat="1">
      <c r="A527" s="469"/>
      <c r="B527" s="239"/>
      <c r="G527" s="251"/>
      <c r="H527" s="611"/>
      <c r="I527" s="251"/>
    </row>
    <row r="528" spans="1:9" s="610" customFormat="1">
      <c r="A528" s="469"/>
      <c r="B528" s="239"/>
      <c r="G528" s="251"/>
      <c r="H528" s="611"/>
      <c r="I528" s="251"/>
    </row>
    <row r="529" spans="1:9" s="610" customFormat="1">
      <c r="A529" s="469"/>
      <c r="B529" s="239"/>
      <c r="G529" s="251"/>
      <c r="H529" s="611"/>
      <c r="I529" s="251"/>
    </row>
    <row r="530" spans="1:9" s="610" customFormat="1">
      <c r="A530" s="469"/>
      <c r="B530" s="239"/>
      <c r="G530" s="251"/>
      <c r="H530" s="611"/>
      <c r="I530" s="251"/>
    </row>
    <row r="531" spans="1:9" s="610" customFormat="1">
      <c r="A531" s="469"/>
      <c r="B531" s="239"/>
      <c r="G531" s="251"/>
      <c r="H531" s="611"/>
      <c r="I531" s="251"/>
    </row>
    <row r="532" spans="1:9" s="610" customFormat="1">
      <c r="A532" s="469"/>
      <c r="B532" s="239"/>
      <c r="G532" s="251"/>
      <c r="H532" s="611"/>
      <c r="I532" s="251"/>
    </row>
    <row r="533" spans="1:9" s="610" customFormat="1">
      <c r="A533" s="469"/>
      <c r="B533" s="239"/>
      <c r="G533" s="251"/>
      <c r="H533" s="611"/>
      <c r="I533" s="251"/>
    </row>
    <row r="534" spans="1:9" s="610" customFormat="1">
      <c r="A534" s="469"/>
      <c r="B534" s="239"/>
      <c r="G534" s="251"/>
      <c r="H534" s="611"/>
      <c r="I534" s="251"/>
    </row>
    <row r="535" spans="1:9" s="610" customFormat="1">
      <c r="A535" s="469"/>
      <c r="B535" s="239"/>
      <c r="G535" s="251"/>
      <c r="H535" s="611"/>
      <c r="I535" s="251"/>
    </row>
    <row r="536" spans="1:9" s="610" customFormat="1">
      <c r="A536" s="469"/>
      <c r="B536" s="239"/>
      <c r="G536" s="251"/>
      <c r="H536" s="611"/>
      <c r="I536" s="251"/>
    </row>
    <row r="537" spans="1:9" s="610" customFormat="1">
      <c r="A537" s="469"/>
      <c r="B537" s="239"/>
      <c r="G537" s="251"/>
      <c r="H537" s="611"/>
      <c r="I537" s="251"/>
    </row>
    <row r="538" spans="1:9" s="610" customFormat="1">
      <c r="A538" s="469"/>
      <c r="B538" s="239"/>
      <c r="G538" s="251"/>
      <c r="H538" s="611"/>
      <c r="I538" s="251"/>
    </row>
    <row r="539" spans="1:9" s="610" customFormat="1">
      <c r="A539" s="469"/>
      <c r="B539" s="239"/>
      <c r="G539" s="251"/>
      <c r="H539" s="611"/>
      <c r="I539" s="251"/>
    </row>
    <row r="540" spans="1:9" s="610" customFormat="1">
      <c r="A540" s="469"/>
      <c r="B540" s="239"/>
      <c r="G540" s="251"/>
      <c r="H540" s="611"/>
      <c r="I540" s="251"/>
    </row>
    <row r="541" spans="1:9" s="610" customFormat="1">
      <c r="A541" s="469"/>
      <c r="B541" s="239"/>
      <c r="G541" s="251"/>
      <c r="H541" s="611"/>
      <c r="I541" s="251"/>
    </row>
    <row r="542" spans="1:9" s="610" customFormat="1">
      <c r="A542" s="469"/>
      <c r="B542" s="239"/>
      <c r="G542" s="251"/>
      <c r="H542" s="611"/>
      <c r="I542" s="251"/>
    </row>
    <row r="543" spans="1:9" s="610" customFormat="1">
      <c r="A543" s="469"/>
      <c r="B543" s="239"/>
      <c r="G543" s="251"/>
      <c r="H543" s="611"/>
      <c r="I543" s="251"/>
    </row>
    <row r="544" spans="1:9" s="610" customFormat="1">
      <c r="A544" s="469"/>
      <c r="B544" s="239"/>
      <c r="G544" s="251"/>
      <c r="H544" s="611"/>
      <c r="I544" s="251"/>
    </row>
    <row r="545" spans="1:9" s="610" customFormat="1">
      <c r="A545" s="469"/>
      <c r="B545" s="239"/>
      <c r="G545" s="251"/>
      <c r="H545" s="611"/>
      <c r="I545" s="251"/>
    </row>
    <row r="546" spans="1:9" s="610" customFormat="1">
      <c r="A546" s="469"/>
      <c r="B546" s="239"/>
      <c r="G546" s="251"/>
      <c r="H546" s="611"/>
      <c r="I546" s="251"/>
    </row>
    <row r="547" spans="1:9" s="610" customFormat="1">
      <c r="A547" s="469"/>
      <c r="B547" s="239"/>
      <c r="G547" s="251"/>
      <c r="H547" s="611"/>
      <c r="I547" s="251"/>
    </row>
    <row r="548" spans="1:9" s="610" customFormat="1">
      <c r="A548" s="469"/>
      <c r="B548" s="239"/>
      <c r="G548" s="251"/>
      <c r="H548" s="611"/>
      <c r="I548" s="251"/>
    </row>
    <row r="549" spans="1:9" s="610" customFormat="1">
      <c r="A549" s="469"/>
      <c r="B549" s="239"/>
      <c r="G549" s="251"/>
      <c r="H549" s="611"/>
      <c r="I549" s="251"/>
    </row>
    <row r="550" spans="1:9" s="610" customFormat="1">
      <c r="A550" s="469"/>
      <c r="B550" s="239"/>
      <c r="G550" s="251"/>
      <c r="H550" s="611"/>
      <c r="I550" s="251"/>
    </row>
    <row r="551" spans="1:9" s="610" customFormat="1">
      <c r="A551" s="469"/>
      <c r="B551" s="239"/>
      <c r="G551" s="251"/>
      <c r="H551" s="611"/>
      <c r="I551" s="251"/>
    </row>
    <row r="552" spans="1:9" s="610" customFormat="1">
      <c r="A552" s="469"/>
      <c r="B552" s="239"/>
      <c r="G552" s="251"/>
      <c r="H552" s="611"/>
      <c r="I552" s="251"/>
    </row>
    <row r="553" spans="1:9" s="610" customFormat="1">
      <c r="A553" s="469"/>
      <c r="B553" s="239"/>
      <c r="G553" s="251"/>
      <c r="H553" s="611"/>
      <c r="I553" s="251"/>
    </row>
    <row r="554" spans="1:9" s="610" customFormat="1">
      <c r="A554" s="469"/>
      <c r="B554" s="239"/>
      <c r="G554" s="251"/>
      <c r="H554" s="611"/>
      <c r="I554" s="251"/>
    </row>
    <row r="555" spans="1:9" s="610" customFormat="1">
      <c r="A555" s="469"/>
      <c r="B555" s="239"/>
      <c r="G555" s="251"/>
      <c r="H555" s="611"/>
      <c r="I555" s="251"/>
    </row>
    <row r="556" spans="1:9" s="610" customFormat="1">
      <c r="A556" s="469"/>
      <c r="B556" s="239"/>
      <c r="G556" s="251"/>
      <c r="H556" s="611"/>
      <c r="I556" s="251"/>
    </row>
    <row r="557" spans="1:9" s="610" customFormat="1">
      <c r="A557" s="469"/>
      <c r="B557" s="239"/>
      <c r="G557" s="251"/>
      <c r="H557" s="611"/>
      <c r="I557" s="251"/>
    </row>
    <row r="558" spans="1:9" s="610" customFormat="1">
      <c r="A558" s="469"/>
      <c r="B558" s="239"/>
      <c r="G558" s="251"/>
      <c r="H558" s="611"/>
      <c r="I558" s="251"/>
    </row>
    <row r="559" spans="1:9" s="610" customFormat="1">
      <c r="A559" s="469"/>
      <c r="B559" s="239"/>
      <c r="G559" s="251"/>
      <c r="H559" s="611"/>
      <c r="I559" s="251"/>
    </row>
    <row r="560" spans="1:9" s="610" customFormat="1">
      <c r="A560" s="469"/>
      <c r="B560" s="239"/>
      <c r="G560" s="251"/>
      <c r="H560" s="611"/>
      <c r="I560" s="251"/>
    </row>
    <row r="561" spans="1:9" s="610" customFormat="1">
      <c r="A561" s="469"/>
      <c r="B561" s="239"/>
      <c r="G561" s="251"/>
      <c r="H561" s="611"/>
      <c r="I561" s="251"/>
    </row>
    <row r="562" spans="1:9" s="610" customFormat="1">
      <c r="A562" s="469"/>
      <c r="B562" s="239"/>
      <c r="G562" s="251"/>
      <c r="H562" s="611"/>
      <c r="I562" s="251"/>
    </row>
    <row r="563" spans="1:9" s="610" customFormat="1">
      <c r="A563" s="469"/>
      <c r="B563" s="239"/>
      <c r="G563" s="251"/>
      <c r="H563" s="611"/>
      <c r="I563" s="251"/>
    </row>
    <row r="564" spans="1:9" s="610" customFormat="1">
      <c r="A564" s="469"/>
      <c r="B564" s="239"/>
      <c r="G564" s="251"/>
      <c r="H564" s="611"/>
      <c r="I564" s="251"/>
    </row>
    <row r="565" spans="1:9" s="610" customFormat="1">
      <c r="A565" s="469"/>
      <c r="B565" s="239"/>
      <c r="G565" s="251"/>
      <c r="H565" s="611"/>
      <c r="I565" s="251"/>
    </row>
    <row r="566" spans="1:9" s="610" customFormat="1">
      <c r="A566" s="469"/>
      <c r="B566" s="239"/>
      <c r="G566" s="251"/>
      <c r="H566" s="611"/>
      <c r="I566" s="251"/>
    </row>
    <row r="567" spans="1:9" s="610" customFormat="1">
      <c r="A567" s="469"/>
      <c r="B567" s="239"/>
      <c r="G567" s="251"/>
      <c r="H567" s="611"/>
      <c r="I567" s="251"/>
    </row>
    <row r="568" spans="1:9" s="610" customFormat="1">
      <c r="A568" s="469"/>
      <c r="B568" s="239"/>
      <c r="G568" s="251"/>
      <c r="H568" s="611"/>
      <c r="I568" s="251"/>
    </row>
    <row r="569" spans="1:9" s="610" customFormat="1">
      <c r="A569" s="469"/>
      <c r="B569" s="239"/>
      <c r="G569" s="251"/>
      <c r="H569" s="611"/>
      <c r="I569" s="251"/>
    </row>
    <row r="570" spans="1:9" s="610" customFormat="1">
      <c r="A570" s="469"/>
      <c r="B570" s="239"/>
      <c r="G570" s="251"/>
      <c r="H570" s="611"/>
      <c r="I570" s="251"/>
    </row>
    <row r="571" spans="1:9" s="610" customFormat="1">
      <c r="A571" s="469"/>
      <c r="B571" s="239"/>
      <c r="G571" s="251"/>
      <c r="H571" s="611"/>
      <c r="I571" s="251"/>
    </row>
    <row r="572" spans="1:9" s="610" customFormat="1">
      <c r="A572" s="469"/>
      <c r="B572" s="239"/>
      <c r="G572" s="251"/>
      <c r="H572" s="611"/>
      <c r="I572" s="251"/>
    </row>
    <row r="573" spans="1:9" s="610" customFormat="1">
      <c r="A573" s="469"/>
      <c r="B573" s="239"/>
      <c r="G573" s="251"/>
      <c r="H573" s="611"/>
      <c r="I573" s="251"/>
    </row>
    <row r="574" spans="1:9" s="610" customFormat="1">
      <c r="A574" s="469"/>
      <c r="B574" s="239"/>
      <c r="G574" s="251"/>
      <c r="H574" s="611"/>
      <c r="I574" s="251"/>
    </row>
    <row r="575" spans="1:9" s="610" customFormat="1">
      <c r="A575" s="469"/>
      <c r="B575" s="239"/>
      <c r="G575" s="251"/>
      <c r="H575" s="611"/>
      <c r="I575" s="251"/>
    </row>
    <row r="576" spans="1:9" s="610" customFormat="1">
      <c r="A576" s="469"/>
      <c r="B576" s="239"/>
      <c r="G576" s="251"/>
      <c r="H576" s="611"/>
      <c r="I576" s="251"/>
    </row>
    <row r="577" spans="1:9" s="610" customFormat="1">
      <c r="A577" s="469"/>
      <c r="B577" s="239"/>
      <c r="G577" s="251"/>
      <c r="H577" s="611"/>
      <c r="I577" s="251"/>
    </row>
    <row r="578" spans="1:9" s="610" customFormat="1">
      <c r="A578" s="469"/>
      <c r="B578" s="239"/>
      <c r="G578" s="251"/>
      <c r="H578" s="611"/>
      <c r="I578" s="251"/>
    </row>
    <row r="579" spans="1:9" s="610" customFormat="1">
      <c r="A579" s="469"/>
      <c r="B579" s="239"/>
      <c r="G579" s="251"/>
      <c r="H579" s="611"/>
      <c r="I579" s="251"/>
    </row>
    <row r="580" spans="1:9" s="610" customFormat="1">
      <c r="A580" s="469"/>
      <c r="B580" s="239"/>
      <c r="G580" s="251"/>
      <c r="H580" s="611"/>
      <c r="I580" s="251"/>
    </row>
    <row r="581" spans="1:9" s="610" customFormat="1">
      <c r="A581" s="469"/>
      <c r="B581" s="239"/>
      <c r="G581" s="251"/>
      <c r="H581" s="611"/>
      <c r="I581" s="251"/>
    </row>
    <row r="582" spans="1:9" s="610" customFormat="1">
      <c r="A582" s="469"/>
      <c r="B582" s="239"/>
      <c r="G582" s="251"/>
      <c r="H582" s="611"/>
      <c r="I582" s="251"/>
    </row>
    <row r="583" spans="1:9" s="610" customFormat="1">
      <c r="A583" s="469"/>
      <c r="B583" s="239"/>
      <c r="G583" s="251"/>
      <c r="H583" s="611"/>
      <c r="I583" s="251"/>
    </row>
    <row r="584" spans="1:9" s="610" customFormat="1">
      <c r="A584" s="469"/>
      <c r="B584" s="239"/>
      <c r="G584" s="251"/>
      <c r="H584" s="611"/>
      <c r="I584" s="251"/>
    </row>
    <row r="585" spans="1:9" s="610" customFormat="1">
      <c r="A585" s="469"/>
      <c r="B585" s="239"/>
      <c r="G585" s="251"/>
      <c r="H585" s="611"/>
      <c r="I585" s="251"/>
    </row>
    <row r="586" spans="1:9" s="610" customFormat="1">
      <c r="A586" s="469"/>
      <c r="B586" s="239"/>
      <c r="G586" s="251"/>
      <c r="H586" s="611"/>
      <c r="I586" s="251"/>
    </row>
    <row r="587" spans="1:9" s="610" customFormat="1">
      <c r="A587" s="469"/>
      <c r="B587" s="239"/>
      <c r="G587" s="251"/>
      <c r="H587" s="611"/>
      <c r="I587" s="251"/>
    </row>
    <row r="588" spans="1:9" s="610" customFormat="1">
      <c r="A588" s="469"/>
      <c r="B588" s="239"/>
      <c r="G588" s="251"/>
      <c r="H588" s="611"/>
      <c r="I588" s="251"/>
    </row>
    <row r="589" spans="1:9" s="610" customFormat="1">
      <c r="A589" s="469"/>
      <c r="B589" s="239"/>
      <c r="G589" s="251"/>
      <c r="H589" s="611"/>
      <c r="I589" s="251"/>
    </row>
    <row r="590" spans="1:9" s="610" customFormat="1">
      <c r="A590" s="469"/>
      <c r="B590" s="239"/>
      <c r="G590" s="251"/>
      <c r="H590" s="611"/>
      <c r="I590" s="251"/>
    </row>
    <row r="591" spans="1:9" s="610" customFormat="1">
      <c r="A591" s="469"/>
      <c r="B591" s="239"/>
      <c r="G591" s="251"/>
      <c r="H591" s="611"/>
      <c r="I591" s="251"/>
    </row>
    <row r="592" spans="1:9" s="610" customFormat="1">
      <c r="A592" s="469"/>
      <c r="B592" s="239"/>
      <c r="G592" s="251"/>
      <c r="H592" s="611"/>
      <c r="I592" s="251"/>
    </row>
    <row r="593" spans="1:9" s="610" customFormat="1">
      <c r="A593" s="469"/>
      <c r="B593" s="239"/>
      <c r="G593" s="251"/>
      <c r="H593" s="611"/>
      <c r="I593" s="251"/>
    </row>
    <row r="594" spans="1:9" s="610" customFormat="1">
      <c r="A594" s="469"/>
      <c r="B594" s="239"/>
      <c r="G594" s="251"/>
      <c r="H594" s="611"/>
      <c r="I594" s="251"/>
    </row>
    <row r="595" spans="1:9" s="610" customFormat="1">
      <c r="A595" s="469"/>
      <c r="B595" s="239"/>
      <c r="G595" s="251"/>
      <c r="H595" s="611"/>
      <c r="I595" s="251"/>
    </row>
    <row r="596" spans="1:9" s="610" customFormat="1">
      <c r="A596" s="469"/>
      <c r="B596" s="239"/>
      <c r="G596" s="251"/>
      <c r="H596" s="611"/>
      <c r="I596" s="251"/>
    </row>
    <row r="597" spans="1:9" s="610" customFormat="1">
      <c r="A597" s="469"/>
      <c r="B597" s="239"/>
      <c r="G597" s="251"/>
      <c r="H597" s="611"/>
      <c r="I597" s="251"/>
    </row>
    <row r="598" spans="1:9" s="610" customFormat="1">
      <c r="A598" s="469"/>
      <c r="B598" s="239"/>
      <c r="G598" s="251"/>
      <c r="H598" s="611"/>
      <c r="I598" s="251"/>
    </row>
    <row r="599" spans="1:9" s="610" customFormat="1">
      <c r="A599" s="469"/>
      <c r="B599" s="239"/>
      <c r="G599" s="251"/>
      <c r="H599" s="611"/>
      <c r="I599" s="251"/>
    </row>
    <row r="600" spans="1:9" s="610" customFormat="1">
      <c r="A600" s="469"/>
      <c r="B600" s="239"/>
      <c r="G600" s="251"/>
      <c r="H600" s="611"/>
      <c r="I600" s="251"/>
    </row>
    <row r="601" spans="1:9" s="610" customFormat="1">
      <c r="A601" s="469"/>
      <c r="B601" s="239"/>
      <c r="G601" s="251"/>
      <c r="H601" s="611"/>
      <c r="I601" s="251"/>
    </row>
    <row r="602" spans="1:9" s="610" customFormat="1">
      <c r="A602" s="469"/>
      <c r="B602" s="239"/>
      <c r="G602" s="251"/>
      <c r="H602" s="611"/>
      <c r="I602" s="251"/>
    </row>
    <row r="603" spans="1:9" s="610" customFormat="1">
      <c r="A603" s="469"/>
      <c r="B603" s="239"/>
      <c r="G603" s="251"/>
      <c r="H603" s="611"/>
      <c r="I603" s="251"/>
    </row>
    <row r="604" spans="1:9" s="610" customFormat="1">
      <c r="A604" s="469"/>
      <c r="B604" s="239"/>
      <c r="G604" s="251"/>
      <c r="H604" s="611"/>
      <c r="I604" s="251"/>
    </row>
    <row r="605" spans="1:9" s="610" customFormat="1">
      <c r="A605" s="469"/>
      <c r="B605" s="239"/>
      <c r="G605" s="251"/>
      <c r="H605" s="611"/>
      <c r="I605" s="251"/>
    </row>
    <row r="606" spans="1:9" s="610" customFormat="1">
      <c r="A606" s="469"/>
      <c r="B606" s="239"/>
      <c r="G606" s="251"/>
      <c r="H606" s="611"/>
      <c r="I606" s="251"/>
    </row>
    <row r="607" spans="1:9" s="610" customFormat="1">
      <c r="A607" s="469"/>
      <c r="B607" s="239"/>
      <c r="G607" s="251"/>
      <c r="H607" s="611"/>
      <c r="I607" s="251"/>
    </row>
    <row r="608" spans="1:9" s="610" customFormat="1">
      <c r="A608" s="469"/>
      <c r="B608" s="239"/>
      <c r="G608" s="251"/>
      <c r="H608" s="611"/>
      <c r="I608" s="251"/>
    </row>
    <row r="609" spans="1:9" s="610" customFormat="1">
      <c r="A609" s="469"/>
      <c r="B609" s="239"/>
      <c r="G609" s="251"/>
      <c r="H609" s="611"/>
      <c r="I609" s="251"/>
    </row>
    <row r="610" spans="1:9" s="610" customFormat="1">
      <c r="A610" s="469"/>
      <c r="B610" s="239"/>
      <c r="G610" s="251"/>
      <c r="H610" s="611"/>
      <c r="I610" s="251"/>
    </row>
    <row r="611" spans="1:9" s="610" customFormat="1">
      <c r="A611" s="469"/>
      <c r="B611" s="239"/>
      <c r="G611" s="251"/>
      <c r="H611" s="611"/>
      <c r="I611" s="251"/>
    </row>
    <row r="612" spans="1:9" s="610" customFormat="1">
      <c r="A612" s="469"/>
      <c r="B612" s="239"/>
      <c r="G612" s="251"/>
      <c r="H612" s="611"/>
      <c r="I612" s="251"/>
    </row>
    <row r="613" spans="1:9" s="610" customFormat="1">
      <c r="A613" s="469"/>
      <c r="B613" s="239"/>
      <c r="G613" s="251"/>
      <c r="H613" s="611"/>
      <c r="I613" s="251"/>
    </row>
    <row r="614" spans="1:9" s="610" customFormat="1">
      <c r="A614" s="469"/>
      <c r="B614" s="239"/>
      <c r="G614" s="251"/>
      <c r="H614" s="611"/>
      <c r="I614" s="251"/>
    </row>
    <row r="615" spans="1:9" s="610" customFormat="1">
      <c r="A615" s="469"/>
      <c r="B615" s="239"/>
      <c r="G615" s="251"/>
      <c r="H615" s="611"/>
      <c r="I615" s="251"/>
    </row>
    <row r="616" spans="1:9" s="610" customFormat="1">
      <c r="A616" s="469"/>
      <c r="B616" s="239"/>
      <c r="G616" s="251"/>
      <c r="H616" s="611"/>
      <c r="I616" s="251"/>
    </row>
    <row r="617" spans="1:9" s="610" customFormat="1">
      <c r="A617" s="469"/>
      <c r="B617" s="239"/>
      <c r="G617" s="251"/>
      <c r="H617" s="611"/>
      <c r="I617" s="251"/>
    </row>
    <row r="618" spans="1:9" s="610" customFormat="1">
      <c r="A618" s="469"/>
      <c r="B618" s="239"/>
      <c r="G618" s="251"/>
      <c r="H618" s="611"/>
      <c r="I618" s="251"/>
    </row>
    <row r="619" spans="1:9" s="610" customFormat="1">
      <c r="A619" s="469"/>
      <c r="B619" s="239"/>
      <c r="G619" s="251"/>
      <c r="H619" s="611"/>
      <c r="I619" s="251"/>
    </row>
    <row r="620" spans="1:9" s="610" customFormat="1">
      <c r="A620" s="469"/>
      <c r="B620" s="239"/>
      <c r="G620" s="251"/>
      <c r="H620" s="611"/>
      <c r="I620" s="251"/>
    </row>
    <row r="621" spans="1:9" s="610" customFormat="1">
      <c r="A621" s="469"/>
      <c r="B621" s="239"/>
      <c r="G621" s="251"/>
      <c r="H621" s="611"/>
      <c r="I621" s="251"/>
    </row>
    <row r="622" spans="1:9" s="610" customFormat="1">
      <c r="A622" s="469"/>
      <c r="B622" s="239"/>
      <c r="G622" s="251"/>
      <c r="H622" s="611"/>
      <c r="I622" s="251"/>
    </row>
    <row r="623" spans="1:9" s="610" customFormat="1">
      <c r="A623" s="469"/>
      <c r="B623" s="239"/>
      <c r="G623" s="251"/>
      <c r="H623" s="611"/>
      <c r="I623" s="251"/>
    </row>
    <row r="624" spans="1:9" s="610" customFormat="1">
      <c r="A624" s="469"/>
      <c r="B624" s="239"/>
      <c r="G624" s="251"/>
      <c r="H624" s="611"/>
      <c r="I624" s="251"/>
    </row>
    <row r="625" spans="1:9" s="610" customFormat="1">
      <c r="A625" s="469"/>
      <c r="B625" s="239"/>
      <c r="G625" s="251"/>
      <c r="H625" s="611"/>
      <c r="I625" s="251"/>
    </row>
    <row r="626" spans="1:9" s="610" customFormat="1">
      <c r="A626" s="469"/>
      <c r="B626" s="239"/>
      <c r="G626" s="251"/>
      <c r="H626" s="611"/>
      <c r="I626" s="251"/>
    </row>
    <row r="627" spans="1:9" s="610" customFormat="1">
      <c r="A627" s="469"/>
      <c r="B627" s="239"/>
      <c r="G627" s="251"/>
      <c r="H627" s="611"/>
      <c r="I627" s="251"/>
    </row>
    <row r="628" spans="1:9" s="610" customFormat="1">
      <c r="A628" s="469"/>
      <c r="B628" s="239"/>
      <c r="G628" s="251"/>
      <c r="H628" s="611"/>
      <c r="I628" s="251"/>
    </row>
    <row r="629" spans="1:9" s="610" customFormat="1">
      <c r="A629" s="469"/>
      <c r="B629" s="239"/>
      <c r="G629" s="251"/>
      <c r="H629" s="611"/>
      <c r="I629" s="251"/>
    </row>
    <row r="630" spans="1:9" s="610" customFormat="1">
      <c r="A630" s="469"/>
      <c r="B630" s="239"/>
      <c r="G630" s="251"/>
      <c r="H630" s="611"/>
      <c r="I630" s="251"/>
    </row>
    <row r="631" spans="1:9" s="469" customFormat="1">
      <c r="B631" s="239"/>
      <c r="C631" s="610"/>
      <c r="G631" s="251"/>
      <c r="H631" s="611"/>
      <c r="I631" s="251"/>
    </row>
    <row r="632" spans="1:9" s="469" customFormat="1">
      <c r="B632" s="239"/>
      <c r="C632" s="610"/>
      <c r="G632" s="251"/>
      <c r="H632" s="611"/>
      <c r="I632" s="251"/>
    </row>
    <row r="633" spans="1:9" s="469" customFormat="1">
      <c r="B633" s="239"/>
      <c r="C633" s="610"/>
      <c r="G633" s="251"/>
      <c r="H633" s="611"/>
      <c r="I633" s="251"/>
    </row>
    <row r="634" spans="1:9" s="469" customFormat="1">
      <c r="B634" s="239"/>
      <c r="C634" s="610"/>
      <c r="G634" s="251"/>
      <c r="H634" s="611"/>
      <c r="I634" s="251"/>
    </row>
  </sheetData>
  <sheetProtection algorithmName="SHA-512" hashValue="h5a9tQfYrDn5EJ61S4Eb2mfJsHKXGhdlDO5Vvh649p8IIi9yNICBBuqYpK5oABd/LjpQMta0q3ff8GqxipFz1g==" saltValue="QGlOBA3fFwYqF6O/rrdrqA==" spinCount="100000" sheet="1" objects="1" scenarios="1"/>
  <autoFilter ref="A1:S634" xr:uid="{00000000-0009-0000-0000-000008000000}"/>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6"/>
  <sheetViews>
    <sheetView showGridLines="0" zoomScaleNormal="100" workbookViewId="0">
      <selection activeCell="J6" sqref="J6"/>
    </sheetView>
  </sheetViews>
  <sheetFormatPr defaultRowHeight="14.4"/>
  <cols>
    <col min="1" max="1" width="70.44140625" customWidth="1"/>
    <col min="2" max="4" width="8.6640625" customWidth="1"/>
    <col min="5" max="5" width="59.88671875" customWidth="1"/>
    <col min="6" max="6" width="9.88671875" customWidth="1"/>
    <col min="7" max="7" width="13" style="239" customWidth="1"/>
    <col min="8" max="9" width="8.6640625" customWidth="1"/>
    <col min="10" max="10" width="60.44140625" customWidth="1"/>
    <col min="11" max="1025" width="8.6640625" customWidth="1"/>
  </cols>
  <sheetData>
    <row r="1" spans="1:10">
      <c r="A1" s="667"/>
      <c r="D1" s="667"/>
      <c r="E1" s="667"/>
      <c r="F1" s="667"/>
      <c r="G1" s="667"/>
      <c r="I1" s="667"/>
      <c r="J1" s="667"/>
    </row>
    <row r="2" spans="1:10">
      <c r="A2" s="668" t="s">
        <v>649</v>
      </c>
      <c r="D2" s="669" t="str">
        <f t="shared" ref="D2:D29" si="0">IF(AND(G2&gt;0,ISNUMBER(G2)),ROW(),"")</f>
        <v/>
      </c>
      <c r="E2" s="669" t="str">
        <f>Produtividade!C192</f>
        <v>2.1 - Áreas internas</v>
      </c>
      <c r="F2" s="669"/>
      <c r="G2" s="670" t="str">
        <f>IFERROR(INDEX(Produtividade!L:L,MATCH(E2,Produtividade!C:C,0)),"")</f>
        <v>Área contratada</v>
      </c>
      <c r="I2" s="669" t="str">
        <f t="shared" ref="I2:I29" si="1">IFERROR(SMALL(D:D,ROW()-1),"")</f>
        <v/>
      </c>
      <c r="J2" s="669" t="str">
        <f t="shared" ref="J2:J29" si="2">IF($I2="","",INDEX(E:E,MATCH($I2,$D:$D,0)))</f>
        <v/>
      </c>
    </row>
    <row r="3" spans="1:10">
      <c r="A3" s="668" t="s">
        <v>650</v>
      </c>
      <c r="D3" s="669" t="str">
        <f t="shared" si="0"/>
        <v/>
      </c>
      <c r="E3" s="669" t="str">
        <f>Produtividade!C193</f>
        <v>Pisos acarpetados</v>
      </c>
      <c r="F3" s="669" t="s">
        <v>651</v>
      </c>
      <c r="G3" s="670">
        <f>IFERROR(INDEX(Produtividade!L:L,MATCH(E3,Produtividade!C:C,0)),"")</f>
        <v>0</v>
      </c>
      <c r="I3" s="669" t="str">
        <f t="shared" si="1"/>
        <v/>
      </c>
      <c r="J3" s="669" t="str">
        <f t="shared" si="2"/>
        <v/>
      </c>
    </row>
    <row r="4" spans="1:10">
      <c r="A4" s="668" t="s">
        <v>652</v>
      </c>
      <c r="D4" s="669" t="str">
        <f t="shared" si="0"/>
        <v/>
      </c>
      <c r="E4" s="669" t="str">
        <f>Produtividade!C194</f>
        <v>Pisos Frios</v>
      </c>
      <c r="F4" s="669" t="s">
        <v>651</v>
      </c>
      <c r="G4" s="670">
        <f>IFERROR(INDEX(Produtividade!L:L,MATCH(E4,Produtividade!C:C,0)),"")</f>
        <v>0</v>
      </c>
      <c r="I4" s="669" t="str">
        <f t="shared" si="1"/>
        <v/>
      </c>
      <c r="J4" s="669" t="str">
        <f t="shared" si="2"/>
        <v/>
      </c>
    </row>
    <row r="5" spans="1:10">
      <c r="A5" s="668" t="s">
        <v>653</v>
      </c>
      <c r="D5" s="669" t="str">
        <f t="shared" si="0"/>
        <v/>
      </c>
      <c r="E5" s="669" t="str">
        <f>Produtividade!C195</f>
        <v>Laboratoriais</v>
      </c>
      <c r="F5" s="669" t="s">
        <v>651</v>
      </c>
      <c r="G5" s="670">
        <f>IFERROR(INDEX(Produtividade!L:L,MATCH(E5,Produtividade!C:C,0)),"")</f>
        <v>0</v>
      </c>
      <c r="I5" s="669" t="str">
        <f t="shared" si="1"/>
        <v/>
      </c>
      <c r="J5" s="669" t="str">
        <f t="shared" si="2"/>
        <v/>
      </c>
    </row>
    <row r="6" spans="1:10">
      <c r="A6" s="668" t="s">
        <v>654</v>
      </c>
      <c r="D6" s="669" t="str">
        <f t="shared" si="0"/>
        <v/>
      </c>
      <c r="E6" s="669" t="str">
        <f>Produtividade!C196</f>
        <v>Almoxarifados/galpões</v>
      </c>
      <c r="F6" s="669" t="s">
        <v>651</v>
      </c>
      <c r="G6" s="670">
        <f>IFERROR(INDEX(Produtividade!L:L,MATCH(E6,Produtividade!C:C,0)),"")</f>
        <v>0</v>
      </c>
      <c r="I6" s="669" t="str">
        <f t="shared" si="1"/>
        <v/>
      </c>
      <c r="J6" s="669" t="str">
        <f t="shared" si="2"/>
        <v/>
      </c>
    </row>
    <row r="7" spans="1:10">
      <c r="A7" s="668" t="s">
        <v>655</v>
      </c>
      <c r="D7" s="669" t="str">
        <f t="shared" si="0"/>
        <v/>
      </c>
      <c r="E7" s="669" t="str">
        <f>Produtividade!C197</f>
        <v>Oficinas</v>
      </c>
      <c r="F7" s="669" t="s">
        <v>651</v>
      </c>
      <c r="G7" s="670">
        <f>IFERROR(INDEX(Produtividade!L:L,MATCH(E7,Produtividade!C:C,0)),"")</f>
        <v>0</v>
      </c>
      <c r="I7" s="669" t="str">
        <f t="shared" si="1"/>
        <v/>
      </c>
      <c r="J7" s="669" t="str">
        <f t="shared" si="2"/>
        <v/>
      </c>
    </row>
    <row r="8" spans="1:10">
      <c r="A8" s="668" t="s">
        <v>656</v>
      </c>
      <c r="D8" s="669" t="str">
        <f t="shared" si="0"/>
        <v/>
      </c>
      <c r="E8" s="669" t="str">
        <f>Produtividade!C198</f>
        <v>Áreas com espaços livres - saguão, hall e salão</v>
      </c>
      <c r="F8" s="669" t="s">
        <v>651</v>
      </c>
      <c r="G8" s="670">
        <f>IFERROR(INDEX(Produtividade!L:L,MATCH(E8,Produtividade!C:C,0)),"")</f>
        <v>0</v>
      </c>
      <c r="I8" s="669" t="str">
        <f t="shared" si="1"/>
        <v/>
      </c>
      <c r="J8" s="669" t="str">
        <f t="shared" si="2"/>
        <v/>
      </c>
    </row>
    <row r="9" spans="1:10">
      <c r="A9" s="668" t="s">
        <v>657</v>
      </c>
      <c r="D9" s="669" t="str">
        <f t="shared" si="0"/>
        <v/>
      </c>
      <c r="E9" s="669" t="str">
        <f>Produtividade!C199</f>
        <v>Banheiros</v>
      </c>
      <c r="F9" s="669" t="s">
        <v>651</v>
      </c>
      <c r="G9" s="670">
        <f>IFERROR(INDEX(Produtividade!L:L,MATCH(E9,Produtividade!C:C,0)),"")</f>
        <v>0</v>
      </c>
      <c r="I9" s="669" t="str">
        <f t="shared" si="1"/>
        <v/>
      </c>
      <c r="J9" s="669" t="str">
        <f t="shared" si="2"/>
        <v/>
      </c>
    </row>
    <row r="10" spans="1:10">
      <c r="A10" s="668" t="s">
        <v>658</v>
      </c>
      <c r="D10" s="669" t="str">
        <f t="shared" si="0"/>
        <v/>
      </c>
      <c r="E10" s="669">
        <f>Produtividade!C200</f>
        <v>0</v>
      </c>
      <c r="F10" s="669"/>
      <c r="G10" s="670" t="str">
        <f>IFERROR(INDEX(Produtividade!L:L,MATCH(E10,Produtividade!C:C,0)),"")</f>
        <v/>
      </c>
      <c r="I10" s="669" t="str">
        <f t="shared" si="1"/>
        <v/>
      </c>
      <c r="J10" s="669" t="str">
        <f t="shared" si="2"/>
        <v/>
      </c>
    </row>
    <row r="11" spans="1:10">
      <c r="A11" s="668" t="s">
        <v>659</v>
      </c>
      <c r="D11" s="669" t="str">
        <f t="shared" si="0"/>
        <v/>
      </c>
      <c r="E11" s="669" t="str">
        <f>Produtividade!C201</f>
        <v>2.2 - Áreas externas</v>
      </c>
      <c r="F11" s="669"/>
      <c r="G11" s="670">
        <f>IFERROR(INDEX(Produtividade!L:L,MATCH(E11,Produtividade!C:C,0)),"")</f>
        <v>0</v>
      </c>
      <c r="I11" s="669" t="str">
        <f t="shared" si="1"/>
        <v/>
      </c>
      <c r="J11" s="669" t="str">
        <f t="shared" si="2"/>
        <v/>
      </c>
    </row>
    <row r="12" spans="1:10">
      <c r="A12" s="668" t="s">
        <v>660</v>
      </c>
      <c r="D12" s="669" t="str">
        <f t="shared" si="0"/>
        <v/>
      </c>
      <c r="E12" s="669" t="str">
        <f>Produtividade!C202</f>
        <v>Pisos pavimentados adjacentes/contíguos às edificações</v>
      </c>
      <c r="F12" s="669" t="s">
        <v>661</v>
      </c>
      <c r="G12" s="670">
        <f>IFERROR(INDEX(Produtividade!L:L,MATCH(E12,Produtividade!C:C,0)),"")</f>
        <v>0</v>
      </c>
      <c r="I12" s="669" t="str">
        <f t="shared" si="1"/>
        <v/>
      </c>
      <c r="J12" s="669" t="str">
        <f t="shared" si="2"/>
        <v/>
      </c>
    </row>
    <row r="13" spans="1:10">
      <c r="A13" s="668" t="s">
        <v>662</v>
      </c>
      <c r="D13" s="669" t="str">
        <f t="shared" si="0"/>
        <v/>
      </c>
      <c r="E13" s="669" t="str">
        <f>Produtividade!C203</f>
        <v>Varrição de passeios e arruamentos</v>
      </c>
      <c r="F13" s="669" t="s">
        <v>661</v>
      </c>
      <c r="G13" s="670">
        <f>IFERROR(INDEX(Produtividade!L:L,MATCH(E13,Produtividade!C:C,0)),"")</f>
        <v>0</v>
      </c>
      <c r="I13" s="669" t="str">
        <f t="shared" si="1"/>
        <v/>
      </c>
      <c r="J13" s="669" t="str">
        <f t="shared" si="2"/>
        <v/>
      </c>
    </row>
    <row r="14" spans="1:10">
      <c r="A14" s="668" t="s">
        <v>663</v>
      </c>
      <c r="D14" s="669" t="str">
        <f t="shared" si="0"/>
        <v/>
      </c>
      <c r="E14" s="669" t="str">
        <f>Produtividade!C204</f>
        <v>Pátios e áreas verdes com alta frequência (semanal)</v>
      </c>
      <c r="F14" s="669" t="s">
        <v>661</v>
      </c>
      <c r="G14" s="670">
        <f>IFERROR(INDEX(Produtividade!L:L,MATCH(E14,Produtividade!C:C,0)),"")</f>
        <v>0</v>
      </c>
      <c r="I14" s="669" t="str">
        <f t="shared" si="1"/>
        <v/>
      </c>
      <c r="J14" s="669" t="str">
        <f t="shared" si="2"/>
        <v/>
      </c>
    </row>
    <row r="15" spans="1:10">
      <c r="A15" s="668" t="s">
        <v>664</v>
      </c>
      <c r="D15" s="669" t="str">
        <f t="shared" si="0"/>
        <v/>
      </c>
      <c r="E15" s="669" t="str">
        <f>Produtividade!C205</f>
        <v>Pátios e áreas verdes com média frequência (quinzenal)</v>
      </c>
      <c r="F15" s="669" t="s">
        <v>661</v>
      </c>
      <c r="G15" s="670">
        <f>IFERROR(INDEX(Produtividade!L:L,MATCH(E15,Produtividade!C:C,0)),"")</f>
        <v>0</v>
      </c>
      <c r="I15" s="669" t="str">
        <f t="shared" si="1"/>
        <v/>
      </c>
      <c r="J15" s="669" t="str">
        <f t="shared" si="2"/>
        <v/>
      </c>
    </row>
    <row r="16" spans="1:10">
      <c r="A16" s="668" t="s">
        <v>665</v>
      </c>
      <c r="D16" s="669" t="str">
        <f t="shared" si="0"/>
        <v/>
      </c>
      <c r="E16" s="669" t="str">
        <f>Produtividade!C206</f>
        <v>Pátios e áreas verdes com baixa frequência (mensal)</v>
      </c>
      <c r="F16" s="669" t="s">
        <v>661</v>
      </c>
      <c r="G16" s="670">
        <f>IFERROR(INDEX(Produtividade!L:L,MATCH(E16,Produtividade!C:C,0)),"")</f>
        <v>0</v>
      </c>
      <c r="I16" s="669" t="str">
        <f t="shared" si="1"/>
        <v/>
      </c>
      <c r="J16" s="669" t="str">
        <f t="shared" si="2"/>
        <v/>
      </c>
    </row>
    <row r="17" spans="1:10">
      <c r="A17" s="668" t="s">
        <v>666</v>
      </c>
      <c r="D17" s="669" t="str">
        <f t="shared" si="0"/>
        <v/>
      </c>
      <c r="E17" s="669" t="str">
        <f>Produtividade!C207</f>
        <v>Coleta de detritos em pátios e áreas verdes com frequência diária</v>
      </c>
      <c r="F17" s="669" t="s">
        <v>661</v>
      </c>
      <c r="G17" s="670">
        <f>IFERROR(INDEX(Produtividade!L:L,MATCH(E17,Produtividade!C:C,0)),"")</f>
        <v>0</v>
      </c>
      <c r="I17" s="669" t="str">
        <f t="shared" si="1"/>
        <v/>
      </c>
      <c r="J17" s="669" t="str">
        <f t="shared" si="2"/>
        <v/>
      </c>
    </row>
    <row r="18" spans="1:10">
      <c r="A18" s="668" t="s">
        <v>667</v>
      </c>
      <c r="D18" s="669" t="str">
        <f t="shared" si="0"/>
        <v/>
      </c>
      <c r="E18" s="669">
        <f>Produtividade!C208</f>
        <v>0</v>
      </c>
      <c r="F18" s="669"/>
      <c r="G18" s="670" t="str">
        <f>IFERROR(INDEX(Produtividade!L:L,MATCH(E18,Produtividade!C:C,0)),"")</f>
        <v/>
      </c>
      <c r="I18" s="669" t="str">
        <f t="shared" si="1"/>
        <v/>
      </c>
      <c r="J18" s="669" t="str">
        <f t="shared" si="2"/>
        <v/>
      </c>
    </row>
    <row r="19" spans="1:10">
      <c r="A19" s="668" t="s">
        <v>668</v>
      </c>
      <c r="D19" s="669" t="str">
        <f t="shared" si="0"/>
        <v/>
      </c>
      <c r="E19" s="669" t="str">
        <f>Produtividade!C209</f>
        <v>2.3 - Esquadrias externas</v>
      </c>
      <c r="F19" s="669"/>
      <c r="G19" s="670">
        <f>IFERROR(INDEX(Produtividade!L:L,MATCH(E19,Produtividade!C:C,0)),"")</f>
        <v>0</v>
      </c>
      <c r="I19" s="669" t="str">
        <f t="shared" si="1"/>
        <v/>
      </c>
      <c r="J19" s="669" t="str">
        <f t="shared" si="2"/>
        <v/>
      </c>
    </row>
    <row r="20" spans="1:10">
      <c r="A20" s="668" t="s">
        <v>669</v>
      </c>
      <c r="D20" s="669" t="str">
        <f t="shared" si="0"/>
        <v/>
      </c>
      <c r="E20" s="669" t="str">
        <f>Produtividade!C210</f>
        <v>Face externa com exposição a situação de risco (trimestral)</v>
      </c>
      <c r="F20" s="669" t="s">
        <v>670</v>
      </c>
      <c r="G20" s="670">
        <f>IFERROR(INDEX(Produtividade!L:L,MATCH(E20,Produtividade!C:C,0)),"")</f>
        <v>0</v>
      </c>
      <c r="I20" t="str">
        <f t="shared" si="1"/>
        <v/>
      </c>
      <c r="J20" t="str">
        <f t="shared" si="2"/>
        <v/>
      </c>
    </row>
    <row r="21" spans="1:10">
      <c r="A21" s="668" t="s">
        <v>3</v>
      </c>
      <c r="D21" s="669" t="str">
        <f t="shared" si="0"/>
        <v/>
      </c>
      <c r="E21" s="669" t="str">
        <f>Produtividade!C211</f>
        <v>Face externa - sem exposição a situação de risco (trimestral)</v>
      </c>
      <c r="F21" s="669" t="s">
        <v>670</v>
      </c>
      <c r="G21" s="670">
        <f>IFERROR(INDEX(Produtividade!L:L,MATCH(E21,Produtividade!C:C,0)),"")</f>
        <v>0</v>
      </c>
      <c r="I21" t="str">
        <f t="shared" si="1"/>
        <v/>
      </c>
      <c r="J21" t="str">
        <f t="shared" si="2"/>
        <v/>
      </c>
    </row>
    <row r="22" spans="1:10">
      <c r="A22" s="668" t="s">
        <v>671</v>
      </c>
      <c r="D22" s="669" t="str">
        <f t="shared" si="0"/>
        <v/>
      </c>
      <c r="E22" s="669" t="str">
        <f>Produtividade!C212</f>
        <v>Face interna - sem exposição a situação de risco (quinzenal)</v>
      </c>
      <c r="F22" s="669" t="s">
        <v>670</v>
      </c>
      <c r="G22" s="670">
        <f>IFERROR(INDEX(Produtividade!L:L,MATCH(E22,Produtividade!C:C,0)),"")</f>
        <v>0</v>
      </c>
      <c r="I22" t="str">
        <f t="shared" si="1"/>
        <v/>
      </c>
      <c r="J22" t="str">
        <f t="shared" si="2"/>
        <v/>
      </c>
    </row>
    <row r="23" spans="1:10">
      <c r="A23" s="668" t="s">
        <v>672</v>
      </c>
      <c r="D23" s="669" t="str">
        <f t="shared" si="0"/>
        <v/>
      </c>
      <c r="E23" s="669">
        <f>Produtividade!C213</f>
        <v>0</v>
      </c>
      <c r="F23" s="669"/>
      <c r="G23" s="670" t="str">
        <f>IFERROR(INDEX(Produtividade!L:L,MATCH(E23,Produtividade!C:C,0)),"")</f>
        <v/>
      </c>
      <c r="I23" t="str">
        <f t="shared" si="1"/>
        <v/>
      </c>
      <c r="J23" t="str">
        <f t="shared" si="2"/>
        <v/>
      </c>
    </row>
    <row r="24" spans="1:10">
      <c r="A24" s="668" t="s">
        <v>673</v>
      </c>
      <c r="D24" s="669" t="str">
        <f t="shared" si="0"/>
        <v/>
      </c>
      <c r="E24" s="669" t="str">
        <f>Produtividade!C214</f>
        <v>2.4 - Fachadas</v>
      </c>
      <c r="F24" s="669"/>
      <c r="G24" s="670">
        <f>IFERROR(INDEX(Produtividade!L:L,MATCH(E24,Produtividade!C:C,0)),"")</f>
        <v>0</v>
      </c>
      <c r="I24" t="str">
        <f t="shared" si="1"/>
        <v/>
      </c>
      <c r="J24" t="str">
        <f t="shared" si="2"/>
        <v/>
      </c>
    </row>
    <row r="25" spans="1:10">
      <c r="A25" s="668" t="s">
        <v>674</v>
      </c>
      <c r="D25" s="669" t="str">
        <f t="shared" si="0"/>
        <v/>
      </c>
      <c r="E25" s="669" t="str">
        <f>Produtividade!C215</f>
        <v>Fachadas Envidraçadas (trimestral)</v>
      </c>
      <c r="F25" s="669" t="s">
        <v>675</v>
      </c>
      <c r="G25" s="670">
        <f>IFERROR(INDEX(Produtividade!L:L,MATCH(E25,Produtividade!C:C,0)),"")</f>
        <v>0</v>
      </c>
      <c r="I25" t="str">
        <f t="shared" si="1"/>
        <v/>
      </c>
      <c r="J25" t="str">
        <f t="shared" si="2"/>
        <v/>
      </c>
    </row>
    <row r="26" spans="1:10">
      <c r="A26" s="668" t="s">
        <v>676</v>
      </c>
      <c r="D26" s="669" t="str">
        <f t="shared" si="0"/>
        <v/>
      </c>
      <c r="E26" s="669">
        <f>Produtividade!C216</f>
        <v>0</v>
      </c>
      <c r="F26" s="669"/>
      <c r="G26" s="670" t="str">
        <f>IFERROR(INDEX(Produtividade!L:L,MATCH(E26,Produtividade!C:C,0)),"")</f>
        <v/>
      </c>
      <c r="I26" t="str">
        <f t="shared" si="1"/>
        <v/>
      </c>
      <c r="J26" t="str">
        <f t="shared" si="2"/>
        <v/>
      </c>
    </row>
    <row r="27" spans="1:10">
      <c r="A27" s="668" t="s">
        <v>677</v>
      </c>
      <c r="D27" s="669" t="str">
        <f t="shared" si="0"/>
        <v/>
      </c>
      <c r="E27" s="669" t="str">
        <f>Produtividade!C217</f>
        <v>2.5 - Áreas Hospitalares</v>
      </c>
      <c r="F27" s="669"/>
      <c r="G27" s="670">
        <f>IFERROR(INDEX(Produtividade!L:L,MATCH(E27,Produtividade!C:C,0)),"")</f>
        <v>0</v>
      </c>
      <c r="I27" t="str">
        <f t="shared" si="1"/>
        <v/>
      </c>
      <c r="J27" t="str">
        <f t="shared" si="2"/>
        <v/>
      </c>
    </row>
    <row r="28" spans="1:10">
      <c r="A28" s="668" t="s">
        <v>678</v>
      </c>
      <c r="D28" s="669" t="str">
        <f t="shared" si="0"/>
        <v/>
      </c>
      <c r="E28" s="669" t="str">
        <f>Produtividade!C218</f>
        <v>Áreas Hospitalares e assemelhadas</v>
      </c>
      <c r="F28" s="669" t="s">
        <v>679</v>
      </c>
      <c r="G28" s="670">
        <f>IFERROR(INDEX(Produtividade!L:L,MATCH(E28,Produtividade!C:C,0)),"")</f>
        <v>0</v>
      </c>
      <c r="I28" t="str">
        <f t="shared" si="1"/>
        <v/>
      </c>
      <c r="J28" t="str">
        <f t="shared" si="2"/>
        <v/>
      </c>
    </row>
    <row r="29" spans="1:10">
      <c r="A29" s="668" t="s">
        <v>680</v>
      </c>
      <c r="D29" s="669" t="str">
        <f t="shared" si="0"/>
        <v/>
      </c>
      <c r="E29" s="669">
        <f>Produtividade!C219</f>
        <v>0</v>
      </c>
      <c r="F29" s="669"/>
      <c r="G29" s="670" t="str">
        <f>IFERROR(INDEX(Produtividade!L:L,MATCH(E29,Produtividade!C:C,0)),"")</f>
        <v/>
      </c>
      <c r="I29" t="str">
        <f t="shared" si="1"/>
        <v/>
      </c>
      <c r="J29" t="str">
        <f t="shared" si="2"/>
        <v/>
      </c>
    </row>
    <row r="30" spans="1:10">
      <c r="A30" s="668"/>
    </row>
    <row r="31" spans="1:10">
      <c r="A31" s="668"/>
    </row>
    <row r="32" spans="1:10">
      <c r="A32" s="668"/>
    </row>
    <row r="33" spans="1:1">
      <c r="A33" s="668"/>
    </row>
    <row r="34" spans="1:1">
      <c r="A34" s="668"/>
    </row>
    <row r="35" spans="1:1">
      <c r="A35" s="668"/>
    </row>
    <row r="36" spans="1:1">
      <c r="A36" s="671"/>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2">
      <formula>$H$5=1</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Alexandre Machry</dc:creator>
  <dc:description/>
  <cp:lastModifiedBy>Fabio Goulart</cp:lastModifiedBy>
  <cp:revision>1</cp:revision>
  <cp:lastPrinted>2023-11-16T17:30:01Z</cp:lastPrinted>
  <dcterms:created xsi:type="dcterms:W3CDTF">2015-06-05T18:19:34Z</dcterms:created>
  <dcterms:modified xsi:type="dcterms:W3CDTF">2025-05-01T15:24:32Z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