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EstaPastaDeTrabalho"/>
  <mc:AlternateContent xmlns:mc="http://schemas.openxmlformats.org/markup-compatibility/2006">
    <mc:Choice Requires="x15">
      <x15ac:absPath xmlns:x15ac="http://schemas.microsoft.com/office/spreadsheetml/2010/11/ac" url="\\pmpa-fs3\smap-celic$\CPRE\_PREGÃO ELETRÔNICO\2026\PE 305_2026 - Locação de Veículo Automóvel - SMIDH\"/>
    </mc:Choice>
  </mc:AlternateContent>
  <xr:revisionPtr revIDLastSave="0" documentId="8_{93312C58-4CD5-4564-A79D-634FDEAD81BD}" xr6:coauthVersionLast="47" xr6:coauthVersionMax="47" xr10:uidLastSave="{00000000-0000-0000-0000-000000000000}"/>
  <bookViews>
    <workbookView xWindow="-120" yWindow="-120" windowWidth="29040" windowHeight="15720" tabRatio="802" activeTab="7"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Produtividade!$B$16:$B$159</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62" i="5" l="1"/>
  <c r="F109" i="24"/>
  <c r="G109" i="24"/>
  <c r="H109" i="24"/>
  <c r="I109" i="24"/>
  <c r="E109" i="24"/>
  <c r="E107" i="25"/>
  <c r="E145" i="25"/>
  <c r="F145" i="25"/>
  <c r="G145" i="25"/>
  <c r="H145" i="25"/>
  <c r="I145" i="25"/>
  <c r="J145" i="25"/>
  <c r="K145" i="25"/>
  <c r="L145" i="25"/>
  <c r="M145" i="25"/>
  <c r="N145" i="25"/>
  <c r="O145" i="25"/>
  <c r="P145" i="25"/>
  <c r="Q145" i="25"/>
  <c r="R145" i="25"/>
  <c r="S145" i="25"/>
  <c r="T145" i="25"/>
  <c r="U145" i="25"/>
  <c r="V145" i="25"/>
  <c r="W145" i="25"/>
  <c r="X145" i="25"/>
  <c r="H7" i="9"/>
  <c r="H8" i="9"/>
  <c r="I8" i="9" s="1"/>
  <c r="E7" i="9"/>
  <c r="E8" i="9"/>
  <c r="E9" i="9"/>
  <c r="E10" i="9"/>
  <c r="E11" i="9"/>
  <c r="E12" i="9"/>
  <c r="E13" i="9"/>
  <c r="E14" i="9"/>
  <c r="E15" i="9"/>
  <c r="E16" i="9"/>
  <c r="E17" i="9"/>
  <c r="E6" i="9"/>
  <c r="H9" i="9"/>
  <c r="H10" i="9"/>
  <c r="H11" i="9"/>
  <c r="H12" i="9"/>
  <c r="H13" i="9"/>
  <c r="I13" i="9" s="1"/>
  <c r="H14" i="9"/>
  <c r="I14" i="9" s="1"/>
  <c r="G7" i="9"/>
  <c r="G8" i="9"/>
  <c r="G9" i="9"/>
  <c r="G10" i="9"/>
  <c r="G11" i="9"/>
  <c r="G6" i="9"/>
  <c r="H6" i="9"/>
  <c r="I9" i="9"/>
  <c r="I10" i="9"/>
  <c r="I12"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L17" i="18"/>
  <c r="F41" i="6"/>
  <c r="G41" i="6"/>
  <c r="H41" i="6"/>
  <c r="I41" i="6"/>
  <c r="E41" i="6"/>
  <c r="F166" i="25"/>
  <c r="I7" i="9" l="1"/>
  <c r="I11" i="9"/>
  <c r="I6" i="9"/>
  <c r="G6" i="3"/>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2"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F6" i="3"/>
  <c r="G12" i="9" l="1"/>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4" i="24" l="1"/>
  <c r="E144" i="25" l="1"/>
  <c r="F144" i="25"/>
  <c r="G144" i="25"/>
  <c r="H144" i="25"/>
  <c r="I144" i="25"/>
  <c r="J144" i="25"/>
  <c r="K144" i="25"/>
  <c r="L144" i="25"/>
  <c r="M144" i="25"/>
  <c r="N144" i="25"/>
  <c r="O144" i="25"/>
  <c r="P144" i="25"/>
  <c r="Q144" i="25"/>
  <c r="R144" i="25"/>
  <c r="S144" i="25"/>
  <c r="T144" i="25"/>
  <c r="U144" i="25"/>
  <c r="V144" i="25"/>
  <c r="W144" i="25"/>
  <c r="X144" i="25"/>
  <c r="G144" i="24"/>
  <c r="H144" i="24"/>
  <c r="I144" i="24"/>
  <c r="E144" i="24"/>
  <c r="G145" i="24"/>
  <c r="H145" i="24"/>
  <c r="I145" i="24"/>
  <c r="E23" i="25"/>
  <c r="E109" i="25" s="1"/>
  <c r="E113" i="25" s="1"/>
  <c r="E76" i="6" l="1"/>
  <c r="E20" i="25"/>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1" i="25" l="1"/>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8" i="24" l="1"/>
  <c r="K215" i="24"/>
  <c r="K214" i="24"/>
  <c r="K213" i="24"/>
  <c r="E28" i="24"/>
  <c r="K221" i="24"/>
  <c r="K219" i="24"/>
  <c r="K216" i="24"/>
  <c r="K211" i="24"/>
  <c r="K210" i="24"/>
  <c r="K209" i="24"/>
  <c r="K207" i="24"/>
  <c r="K198" i="24"/>
  <c r="K199" i="24"/>
  <c r="K200" i="24"/>
  <c r="K201" i="24"/>
  <c r="K202" i="24"/>
  <c r="K203" i="24"/>
  <c r="K205" i="24"/>
  <c r="K206" i="24"/>
  <c r="K196" i="24"/>
  <c r="K208" i="24"/>
  <c r="K197" i="24"/>
  <c r="K222"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H57" i="25" s="1"/>
  <c r="G21" i="25"/>
  <c r="F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6" i="24"/>
  <c r="G166" i="24"/>
  <c r="H166" i="24"/>
  <c r="E166"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3" i="24"/>
  <c r="G113" i="24"/>
  <c r="H113" i="24"/>
  <c r="G146" i="24"/>
  <c r="H146" i="24"/>
  <c r="H59" i="24"/>
  <c r="G59" i="24"/>
  <c r="F59" i="24"/>
  <c r="H37" i="24"/>
  <c r="G37" i="24"/>
  <c r="F37" i="24"/>
  <c r="H34" i="24"/>
  <c r="G34" i="24"/>
  <c r="F34" i="24"/>
  <c r="F62" i="6" l="1"/>
  <c r="F57" i="6"/>
  <c r="F33" i="6"/>
  <c r="H163" i="25"/>
  <c r="H164" i="25"/>
  <c r="H167" i="25"/>
  <c r="H168" i="25"/>
  <c r="H169" i="25" l="1"/>
  <c r="H171" i="25" s="1"/>
  <c r="I4" i="1"/>
  <c r="J4" i="1" s="1"/>
  <c r="I3" i="1"/>
  <c r="J3" i="1" s="1"/>
  <c r="E93" i="25" l="1"/>
  <c r="E96" i="25" s="1"/>
  <c r="H184" i="25"/>
  <c r="H190" i="25" s="1"/>
  <c r="H177" i="25"/>
  <c r="H20" i="5" s="1"/>
  <c r="H178" i="25"/>
  <c r="E39" i="25" l="1"/>
  <c r="E42" i="25"/>
  <c r="E35" i="25"/>
  <c r="E91" i="25"/>
  <c r="E114" i="25" s="1"/>
  <c r="H176" i="25"/>
  <c r="G20" i="5" s="1"/>
  <c r="H179" i="25"/>
  <c r="I20" i="5" s="1"/>
  <c r="I178" i="24"/>
  <c r="I177" i="24"/>
  <c r="I176"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2"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51"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6" i="24"/>
  <c r="I153" i="24"/>
  <c r="I146" i="24"/>
  <c r="I113" i="24"/>
  <c r="E113"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3" i="24"/>
  <c r="I189" i="24" s="1"/>
  <c r="I179" i="24"/>
  <c r="I32" i="24"/>
  <c r="I91" i="24" s="1"/>
  <c r="I114" i="24" s="1"/>
  <c r="I57" i="24"/>
  <c r="I96" i="24"/>
  <c r="I100" i="24"/>
  <c r="I106" i="24"/>
  <c r="E45" i="24"/>
  <c r="I45" i="24"/>
  <c r="H39" i="24" l="1"/>
  <c r="H91" i="24"/>
  <c r="H114" i="24" s="1"/>
  <c r="H45" i="24"/>
  <c r="E39" i="24"/>
  <c r="G39" i="24"/>
  <c r="F39" i="24"/>
  <c r="F114" i="24"/>
  <c r="F35" i="24"/>
  <c r="F42" i="24"/>
  <c r="G42" i="24"/>
  <c r="G35" i="24"/>
  <c r="G114"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30"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4"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3"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3" i="24"/>
  <c r="D164" i="24"/>
  <c r="D119" i="24"/>
  <c r="D74" i="24"/>
  <c r="D75" i="24"/>
  <c r="D138" i="24"/>
  <c r="D77" i="24"/>
  <c r="D120" i="24"/>
  <c r="D66" i="24"/>
  <c r="D80" i="24"/>
  <c r="D132" i="24"/>
  <c r="D134" i="24"/>
  <c r="D72" i="24"/>
  <c r="D73" i="24"/>
  <c r="D79" i="24"/>
  <c r="D159" i="24"/>
  <c r="D124" i="24"/>
  <c r="D130" i="24"/>
  <c r="D122" i="24"/>
  <c r="D121" i="24"/>
  <c r="D67" i="24"/>
  <c r="D76" i="24"/>
  <c r="D82" i="24"/>
  <c r="D137" i="24"/>
  <c r="D158" i="24"/>
  <c r="D131" i="24"/>
  <c r="D135" i="24"/>
  <c r="D133" i="24"/>
  <c r="G158" i="25" l="1"/>
  <c r="G159" i="25" s="1"/>
  <c r="G160" i="25" s="1"/>
  <c r="F182" i="25"/>
  <c r="G182" i="25"/>
  <c r="G188" i="25" s="1"/>
  <c r="H182" i="25"/>
  <c r="H188" i="25" s="1"/>
  <c r="E182" i="25"/>
  <c r="H67" i="24"/>
  <c r="H135" i="24" s="1"/>
  <c r="E67" i="24"/>
  <c r="E135" i="24" s="1"/>
  <c r="G67" i="24"/>
  <c r="G135" i="24" s="1"/>
  <c r="F67" i="24"/>
  <c r="G66" i="24"/>
  <c r="F66" i="24"/>
  <c r="H66" i="24"/>
  <c r="E66" i="24"/>
  <c r="F77" i="24"/>
  <c r="G77" i="24"/>
  <c r="H77" i="24"/>
  <c r="E77" i="24"/>
  <c r="H75" i="24"/>
  <c r="E75" i="24"/>
  <c r="G75" i="24"/>
  <c r="F75" i="24"/>
  <c r="G119" i="24"/>
  <c r="H119" i="24"/>
  <c r="F119" i="24"/>
  <c r="E119" i="24"/>
  <c r="H82" i="24"/>
  <c r="E82" i="24"/>
  <c r="G82" i="24"/>
  <c r="F82" i="24"/>
  <c r="H124" i="24"/>
  <c r="G124" i="24"/>
  <c r="F124" i="24"/>
  <c r="E124" i="24"/>
  <c r="H72" i="24"/>
  <c r="F72" i="24"/>
  <c r="G72" i="24"/>
  <c r="E72" i="24"/>
  <c r="E137" i="24"/>
  <c r="F137" i="24"/>
  <c r="G137" i="24"/>
  <c r="H137" i="24"/>
  <c r="E76" i="24"/>
  <c r="F76" i="24"/>
  <c r="H76" i="24"/>
  <c r="G76" i="24"/>
  <c r="H120" i="24"/>
  <c r="G120" i="24"/>
  <c r="F120" i="24"/>
  <c r="E120" i="24"/>
  <c r="G123" i="24"/>
  <c r="E123" i="24"/>
  <c r="H123" i="24"/>
  <c r="F123" i="24"/>
  <c r="G74" i="24"/>
  <c r="H74" i="24"/>
  <c r="E74" i="24"/>
  <c r="F74" i="24"/>
  <c r="F122" i="24"/>
  <c r="E122" i="24"/>
  <c r="G122" i="24"/>
  <c r="H122" i="24"/>
  <c r="H121" i="24"/>
  <c r="F121" i="24"/>
  <c r="E121" i="24"/>
  <c r="G121" i="24"/>
  <c r="H130" i="24"/>
  <c r="E130" i="24"/>
  <c r="F130" i="24"/>
  <c r="G130" i="24"/>
  <c r="F73" i="24"/>
  <c r="G73" i="24"/>
  <c r="H73" i="24"/>
  <c r="E73" i="24"/>
  <c r="I67" i="24"/>
  <c r="I66" i="24"/>
  <c r="D81" i="24"/>
  <c r="I76" i="24"/>
  <c r="I120" i="24"/>
  <c r="I74" i="24"/>
  <c r="I82" i="24"/>
  <c r="I122" i="24"/>
  <c r="I124" i="24"/>
  <c r="C78" i="24"/>
  <c r="I72" i="24"/>
  <c r="I77" i="24"/>
  <c r="I75" i="24"/>
  <c r="I119" i="24"/>
  <c r="I137" i="24"/>
  <c r="I121" i="24"/>
  <c r="I73" i="24"/>
  <c r="I123" i="24"/>
  <c r="I51" i="8"/>
  <c r="K38" i="8"/>
  <c r="G163" i="25" l="1"/>
  <c r="G168" i="25"/>
  <c r="G167" i="25"/>
  <c r="G164" i="25"/>
  <c r="I106" i="8"/>
  <c r="I78" i="8"/>
  <c r="F188" i="25"/>
  <c r="H185" i="25"/>
  <c r="H191" i="25" s="1"/>
  <c r="K20" i="5" s="1"/>
  <c r="E188" i="25"/>
  <c r="D68" i="24"/>
  <c r="E133" i="24"/>
  <c r="F131" i="24"/>
  <c r="G134" i="24"/>
  <c r="H134" i="24"/>
  <c r="H132" i="24"/>
  <c r="G131" i="24"/>
  <c r="H131" i="24"/>
  <c r="G133" i="24"/>
  <c r="H133" i="24"/>
  <c r="E134" i="24"/>
  <c r="F133" i="24"/>
  <c r="F132" i="24"/>
  <c r="F135" i="24"/>
  <c r="G81" i="24"/>
  <c r="G83" i="24" s="1"/>
  <c r="F81" i="24"/>
  <c r="F83" i="24" s="1"/>
  <c r="H81" i="24"/>
  <c r="H83" i="24" s="1"/>
  <c r="E81" i="24"/>
  <c r="E83" i="24" s="1"/>
  <c r="E131" i="24"/>
  <c r="F134" i="24"/>
  <c r="F125" i="24"/>
  <c r="F138" i="24" s="1"/>
  <c r="E132" i="24"/>
  <c r="H125" i="24"/>
  <c r="H138" i="24" s="1"/>
  <c r="G125" i="24"/>
  <c r="G138" i="24" s="1"/>
  <c r="G132"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6" i="24"/>
  <c r="I133" i="24"/>
  <c r="E125" i="24"/>
  <c r="E138" i="24" s="1"/>
  <c r="I81" i="24"/>
  <c r="I83" i="24" s="1"/>
  <c r="I125" i="24"/>
  <c r="I138" i="24" s="1"/>
  <c r="I132" i="24"/>
  <c r="I131" i="24"/>
  <c r="I135" i="24"/>
  <c r="I134" i="24"/>
  <c r="I38" i="8"/>
  <c r="G169" i="25" l="1"/>
  <c r="G171" i="25" s="1"/>
  <c r="J20" i="5"/>
  <c r="G68" i="24"/>
  <c r="G69" i="24" s="1"/>
  <c r="G116" i="24" s="1"/>
  <c r="E68" i="24"/>
  <c r="E69" i="24" s="1"/>
  <c r="E116" i="24" s="1"/>
  <c r="I68" i="24"/>
  <c r="I69" i="24" s="1"/>
  <c r="H68" i="24"/>
  <c r="H69" i="24" s="1"/>
  <c r="H116" i="24" s="1"/>
  <c r="F68" i="24"/>
  <c r="F69" i="24" s="1"/>
  <c r="F116" i="24" s="1"/>
  <c r="H136" i="24"/>
  <c r="H139" i="24" s="1"/>
  <c r="H148" i="24" s="1"/>
  <c r="G136" i="24"/>
  <c r="G139" i="24" s="1"/>
  <c r="G148" i="24" s="1"/>
  <c r="F136" i="24"/>
  <c r="F139" i="24" s="1"/>
  <c r="E136" i="24"/>
  <c r="E139" i="24" s="1"/>
  <c r="I116" i="24"/>
  <c r="I136" i="24"/>
  <c r="I139" i="24" s="1"/>
  <c r="I148" i="24" s="1"/>
  <c r="G184" i="25" l="1"/>
  <c r="G177" i="25"/>
  <c r="H19" i="5" s="1"/>
  <c r="G178" i="25"/>
  <c r="I182" i="24"/>
  <c r="I158" i="24"/>
  <c r="G179" i="25" l="1"/>
  <c r="I19" i="5" s="1"/>
  <c r="G176" i="25"/>
  <c r="G19" i="5" s="1"/>
  <c r="G190" i="25"/>
  <c r="G185" i="25"/>
  <c r="I188" i="24"/>
  <c r="I159" i="24"/>
  <c r="I160" i="24" s="1"/>
  <c r="F79" i="6"/>
  <c r="F81" i="6" s="1"/>
  <c r="G191" i="25" l="1"/>
  <c r="K19" i="5" s="1"/>
  <c r="J19" i="5"/>
  <c r="F93" i="6"/>
  <c r="I168" i="24"/>
  <c r="I163" i="24"/>
  <c r="I164" i="24"/>
  <c r="I167" i="24"/>
  <c r="F86" i="6" l="1"/>
  <c r="H37" i="5" s="1"/>
  <c r="F89" i="6"/>
  <c r="G37" i="5" s="1"/>
  <c r="F98" i="6"/>
  <c r="F94" i="6"/>
  <c r="I169" i="24"/>
  <c r="I171" i="24" s="1"/>
  <c r="I184" i="24" s="1"/>
  <c r="I185" i="24" s="1"/>
  <c r="I37" i="5" l="1"/>
  <c r="F99" i="6"/>
  <c r="I190" i="24"/>
  <c r="J37" i="5" l="1"/>
  <c r="F100" i="6"/>
  <c r="K37" i="5" s="1"/>
  <c r="G29" i="24" l="1"/>
  <c r="H27" i="24"/>
  <c r="H29" i="24" s="1"/>
  <c r="H182" i="24" l="1"/>
  <c r="G182" i="24"/>
  <c r="H188" i="24" l="1"/>
  <c r="G188" i="24"/>
  <c r="E32" i="6" l="1"/>
  <c r="E38" i="6" s="1"/>
  <c r="E52" i="6" s="1"/>
  <c r="E57" i="6" l="1"/>
  <c r="E33" i="6"/>
  <c r="E34" i="6" s="1"/>
  <c r="E58" i="6"/>
  <c r="E62" i="6"/>
  <c r="E63" i="6" l="1"/>
  <c r="E92" i="6" s="1"/>
  <c r="E68" i="6" s="1"/>
  <c r="E69" i="6" s="1"/>
  <c r="E70" i="6" l="1"/>
  <c r="E78" i="6" s="1"/>
  <c r="E97" i="6"/>
  <c r="J61" i="5" s="1"/>
  <c r="E77" i="6"/>
  <c r="E73" i="6" l="1"/>
  <c r="E74" i="6"/>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5" i="24"/>
  <c r="E146" i="24" s="1"/>
  <c r="E148" i="24" s="1"/>
  <c r="F145" i="24"/>
  <c r="F146" i="24" s="1"/>
  <c r="F148"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2" i="24" l="1"/>
  <c r="F188" i="24" s="1"/>
  <c r="E182" i="24"/>
  <c r="E188" i="24" s="1"/>
  <c r="S4" i="3"/>
  <c r="Z4" i="3"/>
  <c r="AA4" i="3"/>
  <c r="P4" i="3"/>
  <c r="AC4" i="3"/>
  <c r="J4" i="3"/>
  <c r="U4" i="3"/>
  <c r="K4" i="3"/>
  <c r="R4" i="3"/>
  <c r="V4" i="3"/>
  <c r="M4" i="3"/>
  <c r="H151" i="24" s="1"/>
  <c r="H152" i="24" s="1"/>
  <c r="Y4" i="3"/>
  <c r="O4" i="3"/>
  <c r="W4" i="3"/>
  <c r="AB4" i="3"/>
  <c r="X4" i="3"/>
  <c r="N4" i="3"/>
  <c r="Q4" i="3"/>
  <c r="L4" i="3"/>
  <c r="G151" i="24" s="1"/>
  <c r="G152" i="24" s="1"/>
  <c r="T4" i="3"/>
  <c r="E151" i="24" l="1"/>
  <c r="E152" i="24" s="1"/>
  <c r="E153" i="24" s="1"/>
  <c r="E151" i="25"/>
  <c r="J58" i="5"/>
  <c r="K58" i="5" s="1"/>
  <c r="F151" i="24"/>
  <c r="F152" i="24" s="1"/>
  <c r="F153" i="24" s="1"/>
  <c r="F151" i="25"/>
  <c r="H153" i="24"/>
  <c r="G153" i="24"/>
  <c r="J59" i="5" l="1"/>
  <c r="K59" i="5" s="1"/>
  <c r="G183" i="24"/>
  <c r="G158" i="24"/>
  <c r="H158" i="24"/>
  <c r="H183" i="24"/>
  <c r="F183" i="24"/>
  <c r="F158" i="24"/>
  <c r="F159" i="24" l="1"/>
  <c r="F160" i="24" s="1"/>
  <c r="H189" i="24"/>
  <c r="G159" i="24"/>
  <c r="G160" i="24" s="1"/>
  <c r="F189" i="24"/>
  <c r="H159" i="24"/>
  <c r="H160" i="24" s="1"/>
  <c r="G189" i="24"/>
  <c r="E158" i="24"/>
  <c r="E183" i="24"/>
  <c r="H167" i="24" l="1"/>
  <c r="H163" i="24"/>
  <c r="H168" i="24"/>
  <c r="H164" i="24"/>
  <c r="G167" i="24"/>
  <c r="G168" i="24"/>
  <c r="G163" i="24"/>
  <c r="G164" i="24"/>
  <c r="F164" i="24"/>
  <c r="F163" i="24"/>
  <c r="F167" i="24"/>
  <c r="F168" i="24"/>
  <c r="E189" i="24"/>
  <c r="E159" i="24"/>
  <c r="E160" i="24" l="1"/>
  <c r="E164" i="24" s="1"/>
  <c r="G169" i="24"/>
  <c r="G171" i="24" s="1"/>
  <c r="G184" i="24" s="1"/>
  <c r="F169" i="24"/>
  <c r="F171" i="24" s="1"/>
  <c r="H169" i="24"/>
  <c r="H171" i="24" s="1"/>
  <c r="E168" i="24" l="1"/>
  <c r="E167" i="24"/>
  <c r="E163" i="24"/>
  <c r="G177" i="24"/>
  <c r="G178" i="24"/>
  <c r="G179" i="24" s="1"/>
  <c r="H184" i="24"/>
  <c r="H177" i="24"/>
  <c r="H178" i="24"/>
  <c r="F184" i="24"/>
  <c r="F178" i="24"/>
  <c r="F177" i="24"/>
  <c r="G190" i="24"/>
  <c r="G185" i="24"/>
  <c r="G191" i="24" s="1"/>
  <c r="E169" i="24" l="1"/>
  <c r="E171" i="24" s="1"/>
  <c r="G176" i="24"/>
  <c r="G218" i="24" s="1"/>
  <c r="H176" i="24"/>
  <c r="H179" i="24"/>
  <c r="F179" i="24"/>
  <c r="F176" i="24"/>
  <c r="F190" i="24"/>
  <c r="F185" i="24"/>
  <c r="F191" i="24" s="1"/>
  <c r="H190" i="24"/>
  <c r="H185" i="24"/>
  <c r="H191" i="24" s="1"/>
  <c r="G213" i="24" l="1"/>
  <c r="E184" i="24"/>
  <c r="E178" i="24"/>
  <c r="E177" i="24"/>
  <c r="F198" i="24"/>
  <c r="F200" i="24"/>
  <c r="F221" i="24"/>
  <c r="F208" i="24"/>
  <c r="F214" i="24"/>
  <c r="F202" i="24"/>
  <c r="F199" i="24"/>
  <c r="F201" i="24"/>
  <c r="F209" i="24"/>
  <c r="F197" i="24"/>
  <c r="F207" i="24"/>
  <c r="F205" i="24"/>
  <c r="F196" i="24"/>
  <c r="F215" i="24"/>
  <c r="F210" i="24"/>
  <c r="F206" i="24"/>
  <c r="H218" i="24"/>
  <c r="M218" i="24" s="1"/>
  <c r="N218" i="24" s="1"/>
  <c r="O218" i="24" s="1"/>
  <c r="H213" i="24"/>
  <c r="M213" i="24" l="1"/>
  <c r="N213" i="24" s="1"/>
  <c r="O213" i="24" s="1"/>
  <c r="E176" i="24"/>
  <c r="E179" i="24"/>
  <c r="E203" i="24" s="1"/>
  <c r="E190" i="24"/>
  <c r="E185" i="24"/>
  <c r="E191" i="24" s="1"/>
  <c r="E208" i="24" l="1"/>
  <c r="M208" i="24" s="1"/>
  <c r="N208" i="24" s="1"/>
  <c r="O208" i="24" s="1"/>
  <c r="E221" i="24"/>
  <c r="M221" i="24" s="1"/>
  <c r="N221" i="24" s="1"/>
  <c r="O221" i="24" s="1"/>
  <c r="E199" i="24"/>
  <c r="M199" i="24" s="1"/>
  <c r="N199" i="24" s="1"/>
  <c r="O199" i="24" s="1"/>
  <c r="E196" i="24"/>
  <c r="M196" i="24" s="1"/>
  <c r="N196" i="24" s="1"/>
  <c r="O196" i="24" s="1"/>
  <c r="E207" i="24"/>
  <c r="M207" i="24" s="1"/>
  <c r="N207" i="24" s="1"/>
  <c r="O207" i="24" s="1"/>
  <c r="E215" i="24"/>
  <c r="M215" i="24" s="1"/>
  <c r="N215" i="24" s="1"/>
  <c r="O215" i="24" s="1"/>
  <c r="E205" i="24"/>
  <c r="M205" i="24" s="1"/>
  <c r="N205" i="24" s="1"/>
  <c r="O205" i="24" s="1"/>
  <c r="E201" i="24"/>
  <c r="M201" i="24" s="1"/>
  <c r="N201" i="24" s="1"/>
  <c r="O201" i="24" s="1"/>
  <c r="E197" i="24"/>
  <c r="M197" i="24" s="1"/>
  <c r="N197" i="24" s="1"/>
  <c r="O197" i="24" s="1"/>
  <c r="E210" i="24"/>
  <c r="M210" i="24" s="1"/>
  <c r="N210" i="24" s="1"/>
  <c r="O210" i="24" s="1"/>
  <c r="E209" i="24"/>
  <c r="M209" i="24" s="1"/>
  <c r="N209" i="24" s="1"/>
  <c r="O209" i="24" s="1"/>
  <c r="E202" i="24"/>
  <c r="M202" i="24" s="1"/>
  <c r="N202" i="24" s="1"/>
  <c r="O202" i="24" s="1"/>
  <c r="E214" i="24"/>
  <c r="M214" i="24" s="1"/>
  <c r="N214" i="24" s="1"/>
  <c r="O214" i="24" s="1"/>
  <c r="E200" i="24"/>
  <c r="M200" i="24" s="1"/>
  <c r="N200" i="24" s="1"/>
  <c r="O200" i="24" s="1"/>
  <c r="E206" i="24"/>
  <c r="M206" i="24" s="1"/>
  <c r="N206" i="24" s="1"/>
  <c r="O206" i="24" s="1"/>
  <c r="E198" i="24"/>
  <c r="M198" i="24" s="1"/>
  <c r="N198" i="24" s="1"/>
  <c r="O198" i="24" s="1"/>
  <c r="I4" i="9"/>
  <c r="F153" i="25" l="1"/>
  <c r="E152" i="25"/>
  <c r="J60" i="5" s="1"/>
  <c r="E153" i="25" l="1"/>
  <c r="F158" i="25"/>
  <c r="F183" i="25"/>
  <c r="E158" i="25" l="1"/>
  <c r="E159" i="25" s="1"/>
  <c r="E183" i="25"/>
  <c r="E189" i="25" s="1"/>
  <c r="F159" i="25"/>
  <c r="F160" i="25" s="1"/>
  <c r="K60" i="5"/>
  <c r="J62" i="5"/>
  <c r="K62" i="5" s="1"/>
  <c r="F18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77" i="25" s="1"/>
  <c r="E184" i="25" l="1"/>
  <c r="H17" i="5"/>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<sst xmlns="http://schemas.openxmlformats.org/spreadsheetml/2006/main" count="1555" uniqueCount="748">
  <si>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</si>
  <si>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</si>
  <si>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</si>
  <si>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</si>
  <si>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</si>
  <si>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</si>
  <si>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</si>
  <si>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</si>
  <si>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</si>
  <si>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</si>
  <si>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</si>
  <si>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</si>
  <si>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</si>
  <si>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</si>
  <si>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</si>
  <si>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</si>
  <si>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</si>
  <si>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</si>
  <si>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</si>
  <si>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</si>
  <si>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</si>
  <si>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</si>
  <si>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</si>
  <si>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</si>
  <si>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</si>
  <si>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</si>
  <si>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</si>
  <si>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</si>
  <si>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</si>
  <si>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</si>
  <si>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</si>
  <si>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</si>
  <si>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</si>
  <si>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</si>
  <si>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</si>
  <si>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</si>
  <si>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</si>
  <si>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</si>
  <si>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</si>
  <si>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</si>
  <si>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</si>
  <si>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</si>
  <si>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</si>
  <si>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</si>
  <si>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</si>
  <si>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</si>
  <si>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</si>
  <si>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</si>
  <si>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</si>
  <si>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</si>
  <si>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</si>
  <si>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</si>
  <si>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</si>
  <si>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</si>
  <si>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</si>
  <si>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</si>
  <si>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</si>
  <si>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</si>
  <si>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</si>
  <si>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</si>
  <si>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</si>
  <si>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</si>
  <si>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</si>
  <si>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</si>
  <si>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</si>
  <si>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</si>
  <si>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</si>
  <si>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</si>
  <si>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</si>
  <si>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</si>
  <si>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</si>
  <si>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</si>
  <si>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</si>
  <si>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</si>
  <si>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</si>
  <si>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</si>
  <si>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</si>
  <si>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</si>
  <si>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</si>
  <si>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</si>
  <si>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</si>
  <si>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</si>
  <si>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</si>
  <si>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</si>
  <si>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</si>
  <si>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</si>
  <si>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</si>
  <si>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</si>
  <si>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</si>
  <si>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</si>
  <si>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</si>
  <si>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</si>
  <si>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</si>
  <si>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</si>
  <si>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</si>
  <si>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</si>
  <si>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</si>
  <si>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</si>
  <si>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</si>
  <si>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</si>
  <si>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</si>
  <si>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</si>
  <si>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</si>
  <si>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</si>
  <si>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</si>
  <si>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</si>
  <si>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</si>
  <si>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</si>
  <si>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</si>
  <si>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</si>
  <si>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</si>
  <si>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</si>
  <si>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</si>
  <si>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</si>
  <si>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</si>
  <si>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</si>
  <si>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</si>
  <si>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</si>
  <si>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</si>
  <si>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</si>
  <si>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</si>
  <si>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</si>
  <si>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</si>
  <si>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</si>
  <si>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</si>
  <si>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</si>
  <si>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</si>
  <si>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</si>
  <si>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</si>
  <si>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</si>
  <si>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</si>
  <si>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</si>
  <si>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</si>
  <si>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</si>
  <si>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</si>
  <si>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</si>
  <si>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</si>
  <si>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</si>
  <si>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</si>
  <si>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</si>
  <si>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</si>
  <si>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</si>
  <si>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</si>
  <si>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</si>
  <si>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</si>
  <si>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</si>
  <si>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</si>
  <si>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</si>
  <si>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</si>
  <si>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</si>
  <si>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</si>
  <si>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</si>
  <si>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</si>
  <si>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</si>
  <si>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</si>
  <si>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</si>
  <si>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</si>
  <si>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</si>
  <si>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</si>
  <si>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</si>
  <si>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</si>
  <si>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</si>
  <si>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</si>
  <si>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</si>
  <si>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</si>
  <si>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</si>
  <si>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</si>
  <si>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</si>
  <si>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</si>
  <si>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</si>
  <si>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</si>
  <si>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</si>
  <si>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</si>
  <si>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</si>
  <si>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</si>
  <si>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</si>
  <si>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</si>
  <si>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</si>
  <si>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</si>
  <si>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</si>
  <si>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</si>
  <si>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</si>
  <si>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</si>
  <si>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</si>
  <si>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</si>
  <si>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</si>
  <si>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</si>
  <si>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</si>
  <si>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</si>
  <si>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</si>
  <si>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</si>
  <si>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</si>
  <si>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</si>
  <si>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</si>
  <si>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</si>
  <si>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</si>
  <si>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</si>
  <si>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</si>
  <si>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</si>
  <si>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</si>
  <si>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</si>
  <si>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</si>
  <si>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</si>
  <si>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</si>
  <si>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</si>
  <si>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</si>
  <si>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</si>
  <si>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</si>
  <si>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</si>
  <si>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</si>
  <si>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</si>
  <si>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</si>
  <si>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</si>
  <si>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</si>
  <si>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</si>
  <si>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</si>
  <si>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</si>
  <si>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</si>
  <si>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</si>
  <si>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</si>
  <si>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</si>
  <si>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</si>
  <si>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</si>
  <si>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</si>
  <si>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</si>
  <si>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</si>
  <si>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</si>
  <si>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</si>
  <si>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</si>
  <si>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</si>
  <si>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</si>
  <si>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</si>
  <si>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</si>
  <si>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</si>
  <si>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</si>
  <si>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</si>
  <si>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</si>
  <si>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</si>
  <si>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</si>
  <si>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</si>
  <si>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</si>
  <si>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</si>
  <si>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</si>
  <si>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</si>
  <si>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</si>
  <si>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</si>
  <si>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</si>
  <si>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</si>
  <si>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</si>
  <si>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</si>
  <si>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</si>
  <si>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</si>
  <si>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</si>
  <si>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</si>
  <si>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</si>
  <si>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</si>
  <si>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</si>
  <si>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</si>
  <si>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</si>
  <si>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</si>
  <si>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</si>
  <si>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</si>
  <si>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</si>
  <si>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</si>
  <si>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</si>
  <si>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</si>
  <si>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</si>
  <si>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</si>
  <si>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</si>
  <si>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</si>
  <si>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</si>
  <si>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</si>
  <si>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</si>
  <si>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</si>
  <si>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</si>
  <si>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</si>
  <si>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</si>
  <si>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</si>
  <si>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</si>
  <si>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</si>
  <si>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</si>
  <si>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</si>
  <si>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</si>
  <si>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</si>
  <si>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</si>
  <si>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</si>
  <si>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</si>
  <si>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</si>
  <si>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</si>
  <si>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</si>
  <si>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</si>
  <si>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</si>
  <si>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</si>
  <si>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</si>
  <si>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</si>
  <si>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</si>
  <si>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</si>
  <si>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</si>
  <si>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</si>
  <si>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</si>
  <si>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</si>
  <si>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</si>
  <si>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</si>
  <si>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</si>
  <si>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</si>
  <si>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</si>
  <si>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</si>
  <si>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</si>
  <si>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</si>
  <si>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</si>
  <si>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</si>
  <si>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</si>
  <si>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</si>
  <si>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</si>
  <si>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</si>
  <si>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</si>
  <si>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</si>
  <si>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</si>
  <si>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</si>
  <si>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</si>
  <si>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</si>
  <si>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</si>
  <si>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</si>
  <si>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</si>
  <si>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</si>
  <si>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</si>
  <si>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</si>
  <si>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</si>
  <si>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</si>
  <si>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</si>
  <si>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</si>
  <si>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</si>
  <si>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</si>
  <si>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</si>
  <si>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</si>
  <si>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</si>
  <si>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</si>
  <si>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</si>
  <si>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</si>
  <si>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</si>
  <si>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</si>
  <si>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</si>
  <si>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</si>
  <si>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</si>
  <si>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</si>
  <si>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</si>
  <si>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</si>
  <si>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</si>
  <si>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</si>
  <si>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</si>
  <si>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</si>
  <si>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</si>
  <si>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</si>
  <si>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</si>
  <si>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</si>
  <si>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</si>
  <si>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</si>
  <si>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</si>
  <si>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</si>
  <si>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</si>
  <si>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</si>
  <si>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</si>
  <si>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</si>
  <si>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</si>
  <si>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</si>
  <si>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</si>
  <si>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</si>
  <si>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</si>
  <si>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</si>
  <si>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</si>
  <si>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</si>
  <si>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</si>
  <si>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</si>
  <si>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</si>
  <si>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</si>
  <si>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</si>
  <si>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</si>
  <si>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</si>
  <si>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</si>
  <si>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</si>
  <si>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</si>
  <si>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</si>
  <si>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</si>
  <si>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</si>
  <si>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</si>
  <si>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</si>
  <si>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</si>
  <si>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</si>
  <si>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</si>
  <si>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</si>
  <si>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</si>
  <si>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</si>
  <si>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</si>
  <si>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</si>
  <si>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</si>
  <si>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</si>
  <si>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</si>
  <si>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</si>
  <si>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</si>
  <si>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</si>
  <si>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</si>
  <si>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</si>
  <si>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</si>
  <si>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</si>
  <si>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</si>
  <si>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</si>
  <si>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</si>
  <si>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</si>
  <si>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</si>
  <si>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</si>
  <si>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</si>
  <si>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</si>
  <si>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</si>
  <si>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</si>
  <si>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</si>
  <si>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</si>
  <si>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</si>
  <si>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</si>
  <si>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</si>
  <si>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</si>
  <si>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</si>
  <si>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</si>
  <si>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</si>
  <si>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</si>
  <si>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</si>
  <si>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</si>
  <si>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</si>
  <si>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</si>
  <si>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</si>
  <si>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</si>
  <si>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</si>
  <si>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</si>
  <si>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</si>
  <si>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</si>
  <si>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</si>
  <si>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</si>
  <si>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</si>
  <si>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</si>
  <si>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</si>
  <si>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</si>
  <si>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</si>
  <si>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</si>
  <si>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</si>
  <si>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</si>
  <si>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</si>
  <si>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</si>
  <si>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</si>
  <si>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</si>
  <si>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</si>
  <si>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</si>
  <si>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</si>
  <si>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</si>
  <si>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</si>
  <si>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</si>
  <si>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</si>
  <si>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</si>
  <si>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</si>
  <si>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</si>
  <si>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</si>
  <si>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</si>
  <si>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</si>
  <si>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</si>
  <si>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</si>
  <si>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</si>
  <si>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</si>
  <si>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</si>
  <si>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</si>
  <si>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</si>
  <si>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</si>
  <si>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</si>
  <si>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</si>
  <si>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</si>
  <si>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</si>
  <si>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</si>
  <si>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</si>
  <si>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</si>
  <si>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</si>
  <si>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</si>
  <si>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</si>
  <si>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</si>
  <si>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</si>
  <si>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</si>
  <si>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</si>
  <si>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</si>
  <si>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</si>
  <si>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</si>
  <si>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</si>
  <si>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</si>
  <si>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</si>
  <si>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</si>
  <si>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</si>
  <si>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</si>
  <si>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</si>
  <si>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</si>
  <si>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</si>
  <si>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</si>
  <si>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</si>
  <si>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</si>
  <si>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</si>
  <si>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</si>
  <si>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</si>
  <si>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</si>
  <si>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</si>
  <si>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</si>
  <si>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</si>
  <si>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</si>
  <si>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</si>
  <si>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</si>
  <si>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</si>
  <si>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</si>
  <si>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</si>
  <si>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</si>
  <si>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</si>
  <si>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</si>
  <si>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</si>
  <si>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</si>
  <si>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</si>
  <si>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</si>
  <si>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</si>
  <si>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</si>
  <si>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</si>
  <si>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</si>
  <si>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</si>
  <si>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</si>
  <si>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</si>
  <si>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</si>
  <si>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</si>
  <si>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</si>
  <si>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</si>
  <si>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</si>
  <si>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</si>
  <si>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</si>
  <si>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</si>
  <si>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</si>
  <si>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</si>
  <si>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</si>
  <si>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</si>
  <si>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</si>
  <si>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</si>
  <si>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</si>
  <si>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</si>
  <si>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</si>
  <si>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</si>
  <si>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</si>
  <si>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</si>
  <si>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</si>
  <si>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</si>
  <si>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</si>
  <si>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</si>
  <si>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</si>
  <si>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</si>
  <si>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</si>
  <si>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</si>
  <si>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</si>
  <si>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</si>
  <si>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</si>
  <si>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</si>
  <si>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</si>
  <si>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</si>
  <si>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</si>
  <si>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</si>
  <si>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</si>
  <si>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</si>
  <si>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</si>
  <si>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</si>
  <si>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</si>
  <si>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</si>
  <si>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</si>
  <si>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</si>
  <si>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</si>
  <si>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</si>
  <si>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</si>
  <si>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</si>
  <si>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</si>
  <si>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</si>
  <si>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</si>
  <si>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</si>
  <si>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</si>
  <si>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</si>
  <si>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</si>
  <si>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</si>
  <si>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</si>
  <si>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</si>
  <si>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</si>
  <si>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</si>
  <si>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</si>
  <si>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</si>
  <si>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</si>
  <si>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</si>
  <si>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</si>
  <si>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</si>
  <si>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</si>
  <si>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</si>
  <si>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</si>
  <si>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</si>
  <si>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</si>
  <si>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</si>
  <si>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</si>
  <si>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</si>
  <si>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</si>
  <si>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</si>
  <si>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</si>
  <si>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</si>
  <si>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</si>
  <si>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</si>
  <si>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</si>
  <si>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</si>
  <si>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</si>
  <si>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</si>
  <si>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</si>
  <si>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</si>
  <si>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</si>
  <si>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</si>
  <si>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</si>
  <si>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</si>
  <si>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</si>
  <si>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</si>
  <si>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</si>
  <si>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</si>
  <si>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</si>
  <si>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</si>
  <si>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</si>
  <si>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</si>
  <si>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</si>
  <si>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</si>
  <si>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</si>
  <si>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</si>
  <si>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</si>
  <si>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</si>
  <si>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</si>
  <si>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</si>
  <si>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</si>
  <si>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</si>
  <si>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</si>
  <si>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</si>
  <si>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</si>
  <si>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</si>
  <si>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</si>
  <si>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</si>
  <si>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</si>
  <si>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</si>
  <si>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</si>
  <si>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</si>
  <si>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</si>
  <si>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</si>
  <si>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</si>
  <si>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</si>
  <si>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</si>
  <si>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</si>
  <si>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</si>
  <si>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</si>
  <si>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</si>
  <si>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</si>
  <si>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</si>
  <si>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</si>
  <si>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</si>
  <si>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</si>
  <si>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</si>
  <si>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</si>
  <si>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</si>
  <si>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</si>
  <si>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</si>
  <si>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</si>
  <si>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</si>
  <si>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</si>
  <si>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</si>
  <si>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</si>
  <si>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</si>
  <si>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</si>
  <si>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</si>
  <si>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</si>
  <si>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</si>
  <si>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</si>
  <si>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</si>
  <si>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</si>
  <si>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</si>
  <si>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</si>
  <si>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</si>
  <si>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</si>
  <si>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</si>
  <si>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</si>
  <si>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</si>
  <si>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</si>
  <si>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</si>
  <si>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</si>
  <si>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</si>
  <si>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</si>
  <si>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</si>
  <si>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</si>
  <si>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</si>
  <si>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</si>
  <si>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</si>
  <si>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</si>
  <si>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</si>
  <si>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</si>
  <si>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</si>
  <si>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</si>
  <si>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</si>
  <si>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</si>
  <si>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</si>
  <si>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</si>
  <si>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</si>
  <si>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</si>
  <si>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</si>
  <si>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</si>
  <si>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</si>
  <si>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</si>
  <si>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</si>
  <si>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</si>
  <si>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</si>
  <si>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</si>
  <si>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</si>
  <si>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</si>
  <si>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</si>
  <si>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</si>
  <si>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</si>
  <si>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</si>
  <si>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</si>
  <si>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</si>
  <si>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</si>
  <si>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</si>
  <si>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</si>
  <si>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</si>
  <si>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</si>
  <si>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</si>
  <si>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</si>
  <si>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</si>
  <si>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</si>
  <si>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</si>
  <si>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</si>
  <si>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</si>
  <si>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</si>
  <si>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</si>
  <si>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</si>
  <si>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</si>
  <si>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</si>
  <si>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</si>
  <si>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</si>
  <si>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</si>
  <si>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</si>
  <si>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</si>
  <si>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</si>
  <si>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26.0.000005988-8</t>
  </si>
  <si>
    <t xml:space="preserve"> Contratação de empresa para a prestação de serviços de locação de 01 (um) veículo, com motorista, para atender as demandas da Secretaria Municipal da Inclusão e Desenvolvimento Humano.</t>
  </si>
  <si>
    <t>Georges Alberto Aguiar Frank</t>
  </si>
  <si>
    <t>Mês</t>
  </si>
  <si>
    <t>AUTOMÓVEL DE SERVIÇO - 6 PASSAGEIROS</t>
  </si>
  <si>
    <t>Gasolina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</si>
</sst>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97">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14" fillId="0" borderId="45" xfId="4" applyFont="1" applyFill="1" applyBorder="1" applyAlignment="1" applyProtection="1">
      <alignment horizontal="left" vertical="center" indent="2"/>
      <protection locked="0"/>
    </xf>
    <xf numFmtId="10" fontId="1" fillId="0" borderId="37"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right" vertical="center"/>
      <protection locked="0"/>
    </xf>
    <xf numFmtId="44" fontId="0" fillId="0" borderId="12" xfId="0" applyNumberFormat="1" applyBorder="1" applyAlignment="1">
      <alignment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43">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42" headerRowBorderDxfId="41" tableBorderDxfId="40" totalsRowBorderDxfId="39">
  <autoFilter ref="A1:D44" xr:uid="{D57D3FC6-7EC9-4C5D-A939-BF7C2F66DE85}"/>
  <tableColumns count="4">
    <tableColumn id="3" xr3:uid="{D3336994-4591-4036-A9E5-4C1789AF1A76}" name="Especificação do Objeto" dataDxfId="38"/>
    <tableColumn id="4" xr3:uid="{47AC3AEE-7FC1-40CF-9DCB-3E5A0127214F}" name="Unidade" dataDxfId="37"/>
    <tableColumn id="6" xr3:uid="{C8170DE8-D38F-4FC8-9805-18FF8F0629D3}" name="Valor Unit. (R$)" dataDxfId="36"/>
    <tableColumn id="2" xr3:uid="{CB642EE7-9EA0-4715-B47C-97DDB8E42155}" name="Taxa de depreciação anual" dataDxfId="35"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34" headerRowBorderDxfId="33">
  <autoFilter ref="A1:D22" xr:uid="{7B1027DC-9440-4644-802A-7768442B0A4F}"/>
  <tableColumns count="4">
    <tableColumn id="1" xr3:uid="{7A7B7147-EEF6-4F1F-9C33-DE268660E09E}" name="Especificação do Objeto" dataDxfId="32"/>
    <tableColumn id="2" xr3:uid="{DCB29A08-AA4F-4418-8B57-E8827E7844D5}" name="Unidade" dataDxfId="31"/>
    <tableColumn id="4" xr3:uid="{82247A25-14F8-4D85-B0EB-2C189047A3F8}" name="Valor Unit. (R$)" dataDxfId="30"/>
    <tableColumn id="5" xr3:uid="{AA891141-58FC-4090-8721-81C4D2B22EE1}" name="Taxa de depreciação anual" dataDxfId="2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AB192"/>
  <sheetViews>
    <sheetView showGridLines="0" topLeftCell="A172" zoomScaleNormal="100" workbookViewId="0">
      <selection activeCell="C199" sqref="C199"/>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27" width="9.140625" style="1"/>
    <col min="28" max="28" width="12.140625" style="1" bestFit="1" customWidth="1"/>
    <col min="29"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796" t="str">
        <f>CONCATENATE("PREFEITURA MUNICIPAL DE PORTO ALEGRE
",D5,"
FORMAÇÃO DE PREÇOS DE REFERÊNCIA - CESSÃO DE MÃO DE OBRA")</f>
        <v>PREFEITURA MUNICIPAL DE PORTO ALEGRE
SECRETARIA MUNICIPAL DA INCLUSÃO E DESENVOLVIMENTO HUMANO (SMIDH)
FORMAÇÃO DE PREÇOS DE REFERÊNCIA - CESSÃO DE MÃO DE OBRA</v>
      </c>
      <c r="B2" s="797"/>
      <c r="C2" s="797"/>
      <c r="D2" s="797"/>
      <c r="E2" s="797"/>
      <c r="F2" s="797"/>
      <c r="G2" s="797"/>
      <c r="H2" s="797"/>
      <c r="I2" s="798"/>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00" t="s">
        <v>586</v>
      </c>
      <c r="E5" s="800"/>
      <c r="F5" s="1"/>
      <c r="G5" s="49"/>
      <c r="H5" s="50">
        <v>3</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01"/>
      <c r="E6" s="801"/>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01" t="s">
        <v>742</v>
      </c>
      <c r="E7" s="801"/>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00" t="s">
        <v>743</v>
      </c>
      <c r="E8" s="800"/>
      <c r="F8" s="1"/>
      <c r="G8" s="70"/>
      <c r="H8" s="69"/>
      <c r="I8" s="69"/>
      <c r="J8" s="69"/>
      <c r="K8" s="69"/>
      <c r="L8" s="69"/>
      <c r="M8" s="69"/>
      <c r="N8" s="69"/>
      <c r="O8" s="69"/>
      <c r="P8" s="69"/>
      <c r="Q8" s="69"/>
      <c r="R8" s="69"/>
      <c r="S8" s="69"/>
      <c r="T8" s="69"/>
      <c r="U8" s="69"/>
      <c r="V8" s="69"/>
      <c r="W8" s="69"/>
      <c r="X8" s="69"/>
    </row>
    <row r="9" spans="1:24" customFormat="1">
      <c r="B9" s="116" t="s">
        <v>7</v>
      </c>
      <c r="C9" s="117" t="s">
        <v>460</v>
      </c>
      <c r="D9" s="799" t="s">
        <v>744</v>
      </c>
      <c r="E9" s="799"/>
      <c r="F9" s="1"/>
    </row>
    <row r="10" spans="1:24" customFormat="1">
      <c r="A10" s="1"/>
      <c r="B10" s="115" t="s">
        <v>6</v>
      </c>
      <c r="C10" s="9" t="s">
        <v>461</v>
      </c>
      <c r="D10" s="810">
        <v>46183</v>
      </c>
      <c r="E10" s="810"/>
      <c r="F10" s="1"/>
      <c r="G10" s="1"/>
    </row>
    <row r="11" spans="1:24" customFormat="1">
      <c r="A11" s="1"/>
      <c r="B11" s="115" t="s">
        <v>5</v>
      </c>
      <c r="C11" s="117" t="s">
        <v>444</v>
      </c>
      <c r="D11" s="811" t="s">
        <v>745</v>
      </c>
      <c r="E11" s="811"/>
      <c r="F11" s="1"/>
      <c r="G11" s="1"/>
    </row>
    <row r="12" spans="1:24" customFormat="1">
      <c r="B12" s="116" t="s">
        <v>4</v>
      </c>
      <c r="C12" s="117" t="s">
        <v>400</v>
      </c>
      <c r="D12" s="817">
        <v>12</v>
      </c>
      <c r="E12" s="817"/>
      <c r="F12" s="1"/>
      <c r="G12" s="1"/>
    </row>
    <row r="13" spans="1:24">
      <c r="B13" s="115" t="s">
        <v>113</v>
      </c>
      <c r="C13" s="117" t="s">
        <v>71</v>
      </c>
      <c r="D13" s="811" t="s">
        <v>59</v>
      </c>
      <c r="E13" s="811"/>
    </row>
    <row r="14" spans="1:24">
      <c r="B14" s="116" t="s">
        <v>140</v>
      </c>
      <c r="C14" s="117" t="s">
        <v>267</v>
      </c>
      <c r="D14" s="818"/>
      <c r="E14" s="818"/>
    </row>
    <row r="15" spans="1:24">
      <c r="B15" s="116" t="s">
        <v>229</v>
      </c>
      <c r="C15" s="117" t="s">
        <v>316</v>
      </c>
      <c r="D15" s="819">
        <v>1621</v>
      </c>
      <c r="E15" s="820"/>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9" t="s">
        <v>402</v>
      </c>
      <c r="F17" s="389" t="s">
        <v>403</v>
      </c>
      <c r="G17" s="389" t="s">
        <v>404</v>
      </c>
      <c r="H17" s="389" t="s">
        <v>405</v>
      </c>
      <c r="I17" s="389" t="s">
        <v>406</v>
      </c>
      <c r="J17" s="389" t="s">
        <v>452</v>
      </c>
      <c r="K17" s="389" t="s">
        <v>453</v>
      </c>
      <c r="L17" s="389" t="s">
        <v>454</v>
      </c>
      <c r="M17" s="389" t="s">
        <v>455</v>
      </c>
      <c r="N17" s="389" t="s">
        <v>456</v>
      </c>
      <c r="O17" s="389" t="s">
        <v>566</v>
      </c>
      <c r="P17" s="389" t="s">
        <v>567</v>
      </c>
      <c r="Q17" s="389" t="s">
        <v>568</v>
      </c>
      <c r="R17" s="389" t="s">
        <v>569</v>
      </c>
      <c r="S17" s="389" t="s">
        <v>570</v>
      </c>
      <c r="T17" s="389" t="s">
        <v>571</v>
      </c>
      <c r="U17" s="389" t="s">
        <v>572</v>
      </c>
      <c r="V17" s="389" t="s">
        <v>574</v>
      </c>
      <c r="W17" s="697" t="s">
        <v>575</v>
      </c>
      <c r="X17" s="389" t="s">
        <v>573</v>
      </c>
    </row>
    <row r="18" spans="1:24" s="64" customFormat="1" ht="30">
      <c r="A18" s="104"/>
      <c r="B18" s="114" t="s">
        <v>2</v>
      </c>
      <c r="C18" s="122" t="s">
        <v>270</v>
      </c>
      <c r="D18" s="119"/>
      <c r="E18" s="107" t="s">
        <v>288</v>
      </c>
      <c r="F18" s="107"/>
      <c r="G18" s="107"/>
      <c r="H18" s="107"/>
      <c r="I18" s="107"/>
      <c r="J18" s="107"/>
      <c r="K18" s="107"/>
      <c r="L18" s="107"/>
      <c r="M18" s="107"/>
      <c r="N18" s="107"/>
      <c r="O18" s="107"/>
      <c r="P18" s="107"/>
      <c r="Q18" s="107"/>
      <c r="R18" s="107"/>
      <c r="S18" s="107"/>
      <c r="T18" s="107"/>
      <c r="U18" s="107"/>
      <c r="V18" s="107"/>
      <c r="W18" s="107"/>
      <c r="X18" s="107"/>
    </row>
    <row r="19" spans="1:24" s="291" customFormat="1">
      <c r="A19" s="702"/>
      <c r="B19" s="703" t="s">
        <v>1</v>
      </c>
      <c r="C19" s="704" t="s">
        <v>581</v>
      </c>
      <c r="D19" s="705"/>
      <c r="E19" s="107"/>
      <c r="F19" s="107"/>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7823</v>
      </c>
      <c r="F20" s="108" t="str">
        <f>IFERROR(VLOOKUP(F$18,'Apoio - Posto'!$A:$J,2,FALSE),"")</f>
        <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2091.44</v>
      </c>
      <c r="F21" s="109" t="str">
        <f>IFERROR(VLOOKUP(F$18,'Apoio - Posto'!$A:$AA,7,FALSE),"")</f>
        <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f>IFERROR(VLOOKUP(E$18,'Apoio - Posto'!$A:$AA,8,FALSE),"")</f>
        <v>220</v>
      </c>
      <c r="F22" s="110" t="str">
        <f>IFERROR(VLOOKUP(F$18,'Apoio - Posto'!$A:$AA,8,FALSE),"")</f>
        <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tr">
        <f>IFERROR(VLOOKUP(E$18,'Apoio - Posto'!$A:$J,3,FALSE),"")</f>
        <v>SINDIELV</v>
      </c>
      <c r="F23" s="496" t="str">
        <f>IFERROR(VLOOKUP(F$18,'Apoio - Posto'!$A:$J,3,FALSE),"")</f>
        <v/>
      </c>
      <c r="G23" s="496" t="str">
        <f>IFERROR(VLOOKUP(G$18,'Apoio - Posto'!$A:$J,3,FALSE),"")</f>
        <v/>
      </c>
      <c r="H23" s="496" t="str">
        <f>IFERROR(VLOOKUP(H$18,'Apoio - Posto'!$A:$J,3,FALSE),"")</f>
        <v/>
      </c>
      <c r="I23" s="496" t="str">
        <f>IFERROR(VLOOKUP(I$18,'Apoio - Posto'!$A:$J,3,FALSE),"")</f>
        <v/>
      </c>
      <c r="J23" s="496" t="str">
        <f>IFERROR(VLOOKUP(J$18,'Apoio - Posto'!$A:$J,3,FALSE),"")</f>
        <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f>IFERROR(VLOOKUP(E$18,'Apoio - Posto'!$A:$J,5,FALSE),"")</f>
        <v>45566</v>
      </c>
      <c r="F24" s="111" t="str">
        <f>IFERROR(VLOOKUP(F$18,'Apoio - Posto'!$A:$J,5,FALSE),"")</f>
        <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tr">
        <f>IFERROR(VLOOKUP(E$18,'Apoio - Posto'!$A:$J,4,FALSE),"")</f>
        <v xml:space="preserve"> RS000482/2025</v>
      </c>
      <c r="F25" s="490" t="str">
        <f>IFERROR(VLOOKUP(F$18,'Apoio - Posto'!$A:$J,4,FALSE),"")</f>
        <v/>
      </c>
      <c r="G25" s="490" t="str">
        <f>IFERROR(VLOOKUP(G$18,'Apoio - Posto'!$A:$J,4,FALSE),"")</f>
        <v/>
      </c>
      <c r="H25" s="490" t="str">
        <f>IFERROR(VLOOKUP(H$18,'Apoio - Posto'!$A:$J,4,FALSE),"")</f>
        <v/>
      </c>
      <c r="I25" s="490" t="str">
        <f>IFERROR(VLOOKUP(I$18,'Apoio - Posto'!$A:$J,4,FALSE),"")</f>
        <v/>
      </c>
      <c r="J25" s="490" t="str">
        <f>IFERROR(VLOOKUP(J$18,'Apoio - Posto'!$A:$J,4,FALSE),"")</f>
        <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465</v>
      </c>
      <c r="D26" s="121"/>
      <c r="E26" s="112" t="s">
        <v>478</v>
      </c>
      <c r="F26" s="112"/>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1</v>
      </c>
      <c r="F27" s="108"/>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1</v>
      </c>
      <c r="F28" s="108" t="str">
        <f>IFERROR(VLOOKUP(F26,'Apoio - Regime de Trabalho'!$A:$I,2,FALSE),"")</f>
        <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1</v>
      </c>
      <c r="F29" s="108" t="str">
        <f t="shared" si="0"/>
        <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2091.44</v>
      </c>
      <c r="F32" s="99" t="str">
        <f>IFERROR(F21*VLOOKUP(F26,'Apoio - Regime de Trabalho'!$A:$I,8,FALSE)/(F22),"")</f>
        <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02"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03"/>
      <c r="C34" s="234" t="s">
        <v>105</v>
      </c>
      <c r="D34" s="142"/>
      <c r="E34" s="245">
        <f>IFERROR(VLOOKUP(E$18,'Apoio - Posto'!$A:$AA,15,FALSE),"")</f>
        <v>0</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04"/>
      <c r="C35" s="228"/>
      <c r="D35" s="94" t="s">
        <v>41</v>
      </c>
      <c r="E35" s="101">
        <f>IFERROR((E32)*E34,"")</f>
        <v>0</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05"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05"/>
      <c r="C37" s="102" t="s">
        <v>90</v>
      </c>
      <c r="D37" s="92"/>
      <c r="E37" s="246" t="str">
        <f>IFERROR(VLOOKUP(E$18,'Apoio - Posto'!$A:$AA,14,FALSE),"")</f>
        <v>Salário Mínimo</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05"/>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806"/>
      <c r="C39" s="97"/>
      <c r="D39" s="94" t="s">
        <v>41</v>
      </c>
      <c r="E39" s="101">
        <f t="shared" ref="E39:N39" si="5">IF(E21="","",IFERROR(IF(E37="Salário Base",E$32,IF(E37="Salário Mínimo",$D$15,0))*E38,""))</f>
        <v>0</v>
      </c>
      <c r="F39" s="101" t="str">
        <f t="shared" si="5"/>
        <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02"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03"/>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04"/>
      <c r="C42" s="97"/>
      <c r="D42" s="94" t="s">
        <v>41</v>
      </c>
      <c r="E42" s="101">
        <f>IFERROR(E41*E$32,"")</f>
        <v>0</v>
      </c>
      <c r="F42" s="101" t="str">
        <f t="shared" ref="F42:H42" si="7">IFERROR(F41*F$32,"")</f>
        <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05"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05"/>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05"/>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06"/>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07"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08"/>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09"/>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15"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05"/>
      <c r="C51" s="102" t="s">
        <v>91</v>
      </c>
      <c r="D51" s="158"/>
      <c r="E51" s="159">
        <v>0.5</v>
      </c>
      <c r="F51" s="159"/>
      <c r="G51" s="159"/>
      <c r="H51" s="159"/>
      <c r="I51" s="159"/>
      <c r="J51" s="159"/>
      <c r="K51" s="159"/>
      <c r="L51" s="159"/>
      <c r="M51" s="159"/>
      <c r="N51" s="159"/>
      <c r="O51" s="159"/>
      <c r="P51" s="159"/>
      <c r="Q51" s="159"/>
      <c r="R51" s="159"/>
      <c r="S51" s="159"/>
      <c r="T51" s="159"/>
      <c r="U51" s="159"/>
      <c r="V51" s="159"/>
      <c r="W51" s="159"/>
      <c r="X51" s="159"/>
    </row>
    <row r="52" spans="1:24">
      <c r="A52" s="86"/>
      <c r="B52" s="805"/>
      <c r="C52" s="103" t="s">
        <v>20</v>
      </c>
      <c r="D52" s="143"/>
      <c r="E52" s="150">
        <v>8</v>
      </c>
      <c r="F52" s="150"/>
      <c r="G52" s="150"/>
      <c r="H52" s="150"/>
      <c r="I52" s="150"/>
      <c r="J52" s="150"/>
      <c r="K52" s="150"/>
      <c r="L52" s="150"/>
      <c r="M52" s="150"/>
      <c r="N52" s="150"/>
      <c r="O52" s="150"/>
      <c r="P52" s="150"/>
      <c r="Q52" s="150"/>
      <c r="R52" s="150"/>
      <c r="S52" s="150"/>
      <c r="T52" s="150"/>
      <c r="U52" s="150"/>
      <c r="V52" s="150"/>
      <c r="W52" s="150"/>
      <c r="X52" s="150"/>
    </row>
    <row r="53" spans="1:24">
      <c r="A53" s="86"/>
      <c r="B53" s="806"/>
      <c r="C53" s="88"/>
      <c r="D53" s="94" t="s">
        <v>41</v>
      </c>
      <c r="E53" s="96">
        <f>IFERROR(SUM(E$32,E$35,E$39,E$46)/(VLOOKUP(E$26,'Apoio - Regime de Trabalho'!$A:$I,8,FALSE))*(1+E$51)*E$52,"")</f>
        <v>114.07854545454546</v>
      </c>
      <c r="F53" s="96" t="str">
        <f>IFERROR(SUM(F$32,F$35,F$39,F$46)/(VLOOKUP(F$26,'Apoio - Regime de Trabalho'!$A:$I,8,FALSE))*(1+F$51)*F$52,"")</f>
        <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07"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08"/>
      <c r="C55" s="136" t="s">
        <v>84</v>
      </c>
      <c r="D55" s="142"/>
      <c r="E55" s="419">
        <f>IF(E18="","",IFERROR(SUM(E$46,E49)*20%,""))</f>
        <v>0</v>
      </c>
      <c r="F55" s="419" t="str">
        <f t="shared" ref="F55:N55" si="12">IF(F18="","",IFERROR(SUM(F$46,F49)*20%,""))</f>
        <v/>
      </c>
      <c r="G55" s="419" t="str">
        <f t="shared" si="12"/>
        <v/>
      </c>
      <c r="H55" s="419" t="str">
        <f t="shared" si="12"/>
        <v/>
      </c>
      <c r="I55" s="419" t="str">
        <f t="shared" si="12"/>
        <v/>
      </c>
      <c r="J55" s="419" t="str">
        <f t="shared" si="12"/>
        <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808"/>
      <c r="C56" s="162" t="s">
        <v>83</v>
      </c>
      <c r="D56" s="144" t="s">
        <v>323</v>
      </c>
      <c r="E56" s="420">
        <f t="shared" ref="E56:N56" si="14">IFERROR(IF(E18="","",IF(D56="Não",0,E53*20%)),"")</f>
        <v>22.815709090909095</v>
      </c>
      <c r="F56" s="420" t="str">
        <f t="shared" si="14"/>
        <v/>
      </c>
      <c r="G56" s="420" t="str">
        <f t="shared" si="14"/>
        <v/>
      </c>
      <c r="H56" s="420" t="str">
        <f t="shared" si="14"/>
        <v/>
      </c>
      <c r="I56" s="420" t="str">
        <f t="shared" si="14"/>
        <v/>
      </c>
      <c r="J56" s="420" t="str">
        <f t="shared" si="14"/>
        <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808"/>
      <c r="C57" s="162" t="s">
        <v>138</v>
      </c>
      <c r="D57" s="144"/>
      <c r="E57" s="420">
        <f t="shared" ref="E57:N57" si="25">IF(E21="","",IFERROR(E$59*20%,""))</f>
        <v>0</v>
      </c>
      <c r="F57" s="420" t="str">
        <f t="shared" si="25"/>
        <v/>
      </c>
      <c r="G57" s="420" t="str">
        <f t="shared" si="25"/>
        <v/>
      </c>
      <c r="H57" s="420" t="str">
        <f t="shared" si="25"/>
        <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809"/>
      <c r="C58" s="100"/>
      <c r="D58" s="94" t="s">
        <v>41</v>
      </c>
      <c r="E58" s="207">
        <f>IF(SUM(E55:E57)=0,"",SUM(E55:E57))</f>
        <v>22.815709090909095</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0</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2228.3342545454543</v>
      </c>
      <c r="F61" s="156" t="str">
        <f t="shared" si="30"/>
        <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185.62024340363635</v>
      </c>
      <c r="F66" s="99" t="str">
        <f t="shared" ref="F66:U68" si="32">IFERROR($D66*F$61,"")</f>
        <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247.56793567999998</v>
      </c>
      <c r="F67" s="99" t="str">
        <f t="shared" si="32"/>
        <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159.54873262545453</v>
      </c>
      <c r="F68" s="99" t="str">
        <f t="shared" si="32"/>
        <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592.73691170909092</v>
      </c>
      <c r="F69" s="176" t="str">
        <f t="shared" ref="F69:H69" si="34">IF(SUM(F66:F68)=0,"",SUM(F66:F68))</f>
        <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445.6668509090909</v>
      </c>
      <c r="F72" s="137" t="str">
        <f t="shared" si="37"/>
        <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33.42501381818181</v>
      </c>
      <c r="F73" s="137" t="str">
        <f t="shared" si="37"/>
        <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22.283342545454545</v>
      </c>
      <c r="F74" s="137" t="str">
        <f t="shared" si="37"/>
        <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4.4566685090909086</v>
      </c>
      <c r="F75" s="137" t="str">
        <f t="shared" si="37"/>
        <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55.708356363636362</v>
      </c>
      <c r="F76" s="137" t="str">
        <f t="shared" si="37"/>
        <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178.26674036363636</v>
      </c>
      <c r="F77" s="137" t="str">
        <f t="shared" si="37"/>
        <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12"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813"/>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16"/>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814"/>
      <c r="C81" s="391"/>
      <c r="D81" s="659">
        <f>D80*D79</f>
        <v>0.03</v>
      </c>
      <c r="E81" s="169">
        <f>IFERROR($D81*E$61,"")</f>
        <v>66.85002763636362</v>
      </c>
      <c r="F81" s="169" t="str">
        <f t="shared" ref="F81:U82" si="39">IFERROR($D81*F$61,"")</f>
        <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13.370005527272726</v>
      </c>
      <c r="F82" s="137" t="str">
        <f t="shared" si="39"/>
        <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820.02700567272723</v>
      </c>
      <c r="F83" s="176" t="str">
        <f t="shared" ref="F83:H83" si="41">IF((SUM(F72:F77,F81,F82))=0,"",(SUM(F72:F77,F81,F82)))</f>
        <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12"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13"/>
      <c r="C87" s="662" t="s">
        <v>87</v>
      </c>
      <c r="D87" s="663"/>
      <c r="E87" s="416">
        <f>IF(E18="","",5.3)</f>
        <v>5.3</v>
      </c>
      <c r="F87" s="416" t="str">
        <f t="shared" ref="F87:X87" si="44">IF(F18="","",5.3)</f>
        <v/>
      </c>
      <c r="G87" s="416" t="str">
        <f t="shared" si="44"/>
        <v/>
      </c>
      <c r="H87" s="416" t="str">
        <f t="shared" si="44"/>
        <v/>
      </c>
      <c r="I87" s="416" t="str">
        <f t="shared" si="44"/>
        <v/>
      </c>
      <c r="J87" s="416" t="str">
        <f t="shared" si="44"/>
        <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813"/>
      <c r="C88" s="664" t="s">
        <v>108</v>
      </c>
      <c r="D88" s="665"/>
      <c r="E88" s="198">
        <f t="shared" ref="E88:N88" si="45">IF(E18="","",2)</f>
        <v>2</v>
      </c>
      <c r="F88" s="198" t="str">
        <f t="shared" si="45"/>
        <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13"/>
      <c r="C89" s="664" t="s">
        <v>88</v>
      </c>
      <c r="D89" s="666"/>
      <c r="E89" s="199">
        <f>IFERROR(IF(E18="","",VLOOKUP(E26,'Apoio - Regime de Trabalho'!$A:$G,7,FALSE)),"")</f>
        <v>22</v>
      </c>
      <c r="F89" s="199" t="str">
        <f>IFERROR(IF(F18="","",VLOOKUP(F26,'Apoio - Regime de Trabalho'!$A:$G,7,FALSE)),"")</f>
        <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13"/>
      <c r="C90" s="664" t="s">
        <v>22</v>
      </c>
      <c r="D90" s="665"/>
      <c r="E90" s="200">
        <f>IF(E18="","",IFERROR(VLOOKUP(E$18,'Apoio - Posto'!$A:$AA,16,FALSE),6%))</f>
        <v>0.06</v>
      </c>
      <c r="F90" s="200" t="str">
        <f>IF(F18="","",IFERROR(VLOOKUP(F$18,'Apoio - Posto'!$A:$AA,16,FALSE),6%))</f>
        <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14"/>
      <c r="C91" s="219"/>
      <c r="D91" s="667" t="s">
        <v>41</v>
      </c>
      <c r="E91" s="147">
        <f>IFERROR(MAX((E87*E88*E89)-(E$90*E$32),0),"")</f>
        <v>107.71359999999999</v>
      </c>
      <c r="F91" s="147" t="str">
        <f t="shared" ref="F91:N91" si="47">IFERROR(MAX((F87*F88*F89)-(F$90*F$32),0),"")</f>
        <v/>
      </c>
      <c r="G91" s="147" t="str">
        <f>IFERROR(MAX((G87*G88*G89)-(G$90*G$32),0),"")</f>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12"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13"/>
      <c r="C93" s="670" t="s">
        <v>24</v>
      </c>
      <c r="D93" s="671"/>
      <c r="E93" s="202">
        <f>IFERROR(VLOOKUP(E$18,'Apoio - Posto'!$A:$AA,IF(VLOOKUP(E26,'Apoio - Regime de Trabalho'!$A:$I,8,FALSE)&gt;=200,9,10),FALSE),"")</f>
        <v>30</v>
      </c>
      <c r="F93" s="202" t="str">
        <f>IFERROR(VLOOKUP(F$18,'Apoio - Posto'!$A:$AA,IF(VLOOKUP(F26,'Apoio - Regime de Trabalho'!$A:$I,8,FALSE)&gt;=200,9,10),FALSE),"")</f>
        <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13"/>
      <c r="C94" s="672" t="s">
        <v>276</v>
      </c>
      <c r="D94" s="673"/>
      <c r="E94" s="204">
        <f>IFERROR(IF(E18="","",VLOOKUP(E26,'Apoio - Regime de Trabalho'!$A:$G,7,FALSE)),"")</f>
        <v>22</v>
      </c>
      <c r="F94" s="204" t="str">
        <f>IFERROR(IF(F18="","",VLOOKUP(F26,'Apoio - Regime de Trabalho'!$A:$G,7,FALSE)),"")</f>
        <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13"/>
      <c r="C95" s="672" t="s">
        <v>273</v>
      </c>
      <c r="D95" s="673"/>
      <c r="E95" s="205">
        <f>IFERROR(VLOOKUP(E$18,'Apoio - Posto'!$A:$AA,17,FALSE),"")</f>
        <v>0.2</v>
      </c>
      <c r="F95" s="205" t="str">
        <f>IFERROR(VLOOKUP(F$18,'Apoio - Posto'!$A:$AA,17,FALSE),"")</f>
        <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14"/>
      <c r="C96" s="219"/>
      <c r="D96" s="667" t="s">
        <v>41</v>
      </c>
      <c r="E96" s="101">
        <f>IFERROR((E93*E94)-(E$93*E$94*E$95),"")</f>
        <v>528</v>
      </c>
      <c r="F96" s="101" t="str">
        <f t="shared" ref="F96:H96" si="49">IFERROR((F93*F94)-(F$93*F$94*F$95),"")</f>
        <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12"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13"/>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13"/>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814"/>
      <c r="C100" s="219"/>
      <c r="D100" s="667" t="s">
        <v>41</v>
      </c>
      <c r="E100" s="248">
        <f t="shared" ref="E100:N100" si="52">IF(E21="","",IFERROR((E$98)-(E$99*E$98),""))</f>
        <v>0</v>
      </c>
      <c r="F100" s="248" t="str">
        <f t="shared" si="52"/>
        <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f>IFERROR(VLOOKUP(E$18,'Apoio - Posto'!$A:$AA,19,FALSE),"")</f>
        <v>25.52</v>
      </c>
      <c r="F101" s="384" t="str">
        <f>IFERROR(VLOOKUP(F$18,'Apoio - Posto'!$A:$AA,19,FALSE),"")</f>
        <v/>
      </c>
      <c r="G101" s="384" t="str">
        <f>IFERROR(VLOOKUP(G$18,'Apoio - Posto'!$A:$AA,19,FALSE),"")</f>
        <v/>
      </c>
      <c r="H101" s="384" t="str">
        <f>IFERROR(VLOOKUP(H$18,'Apoio - Posto'!$A:$AA,19,FALSE),"")</f>
        <v/>
      </c>
      <c r="I101" s="384" t="str">
        <f>IFERROR(VLOOKUP(I$18,'Apoio - Posto'!$A:$AA,19,FALSE),"")</f>
        <v/>
      </c>
      <c r="J101" s="384" t="str">
        <f>IFERROR(VLOOKUP(J$18,'Apoio - Posto'!$A:$AA,19,FALSE),"")</f>
        <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812"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13"/>
      <c r="C104" s="670" t="s">
        <v>26</v>
      </c>
      <c r="D104" s="680"/>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13"/>
      <c r="C105" s="672" t="s">
        <v>109</v>
      </c>
      <c r="D105" s="673"/>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14"/>
      <c r="C106" s="219"/>
      <c r="D106" s="667" t="s">
        <v>41</v>
      </c>
      <c r="E106" s="207">
        <f t="shared" ref="E106:N106" si="54">IF(E21="","",IFERROR((E104)-(E$105*E$104),""))</f>
        <v>0</v>
      </c>
      <c r="F106" s="207" t="str">
        <f t="shared" si="54"/>
        <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f>IFERROR(VLOOKUP(E$18,'Apoio - Posto'!$A:$AA,18,FALSE),"")</f>
        <v>0</v>
      </c>
      <c r="F107" s="417" t="str">
        <f>IFERROR(VLOOKUP(F$18,'Apoio - Posto'!$A:$AA,18,FALSE),"")</f>
        <v/>
      </c>
      <c r="G107" s="417" t="str">
        <f>IFERROR(VLOOKUP(G$18,'Apoio - Posto'!$A:$AA,18,FALSE),"")</f>
        <v/>
      </c>
      <c r="H107" s="417" t="str">
        <f>IFERROR(VLOOKUP(H$18,'Apoio - Posto'!$A:$AA,18,FALSE),"")</f>
        <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812"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813"/>
      <c r="C109" s="670" t="s">
        <v>272</v>
      </c>
      <c r="D109" s="680"/>
      <c r="E109" s="418" t="str">
        <f>IF(E23="SINDIVIGILANTES",80,
   IF(E23="SINDASSEIO",
      IF(OR(IFERROR(VALUE(LEFT(E26,FIND("h",E26)-1)),0)&gt;30,
            ISNUMBER(FIND("12x36",E26))),
         80,
         40),      ""))</f>
        <v/>
      </c>
      <c r="F109" s="418" t="str">
        <f t="shared" ref="F109:X109" si="56">IF(F23="SINDIVIGILANTES",80,
   IF(F23="SINDASSEIO",
      IF(OR(IFERROR(VALUE(LEFT(F26,FIND("h",F26)-1)),0)&gt;30,
            ISNUMBER(FIND("12x36",F26))),
         80,
         40),      ""))</f>
        <v/>
      </c>
      <c r="G109" s="418" t="str">
        <f t="shared" si="56"/>
        <v/>
      </c>
      <c r="H109" s="418" t="str">
        <f t="shared" si="56"/>
        <v/>
      </c>
      <c r="I109" s="418" t="str">
        <f t="shared" si="56"/>
        <v/>
      </c>
      <c r="J109" s="418" t="str">
        <f t="shared" si="56"/>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813"/>
      <c r="C110" s="672" t="s">
        <v>273</v>
      </c>
      <c r="D110" s="673"/>
      <c r="E110" s="642"/>
      <c r="F110" s="642"/>
      <c r="G110" s="642"/>
      <c r="H110" s="642"/>
      <c r="I110" s="642"/>
      <c r="J110" s="642"/>
      <c r="K110" s="642"/>
      <c r="L110" s="642"/>
      <c r="M110" s="642"/>
      <c r="N110" s="642"/>
      <c r="O110" s="642"/>
      <c r="P110" s="642"/>
      <c r="Q110" s="642"/>
      <c r="R110" s="642"/>
      <c r="S110" s="642"/>
      <c r="T110" s="642"/>
      <c r="U110" s="642"/>
      <c r="V110" s="642"/>
      <c r="W110" s="642"/>
      <c r="X110" s="642"/>
    </row>
    <row r="111" spans="1:24">
      <c r="A111" s="74"/>
      <c r="B111" s="813"/>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813"/>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814"/>
      <c r="C113" s="97"/>
      <c r="D113" s="682" t="s">
        <v>41</v>
      </c>
      <c r="E113" s="209">
        <f>IF(COUNTA(E109,E111)=0,"",IFERROR(E109*(1-E110),0)+IFERROR(E111*(1-E112),0))</f>
        <v>0</v>
      </c>
      <c r="F113" s="209">
        <f t="shared" ref="F113:X113" si="57">IF(COUNTA(F109,F111)=0,"",IFERROR(F109*(1-F110),0)+IFERROR(F111*(1-F112),0))</f>
        <v>0</v>
      </c>
      <c r="G113" s="209">
        <f t="shared" si="57"/>
        <v>0</v>
      </c>
      <c r="H113" s="209">
        <f t="shared" si="57"/>
        <v>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661.23360000000002</v>
      </c>
      <c r="F114" s="192" t="str">
        <f t="shared" si="58"/>
        <v/>
      </c>
      <c r="G114" s="192" t="str">
        <f t="shared" si="58"/>
        <v/>
      </c>
      <c r="H114" s="192" t="str">
        <f t="shared" si="58"/>
        <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2073.9975173818184</v>
      </c>
      <c r="F116" s="155" t="str">
        <f t="shared" si="59"/>
        <v/>
      </c>
      <c r="G116" s="452" t="str">
        <f t="shared" si="59"/>
        <v/>
      </c>
      <c r="H116" s="155" t="str">
        <f t="shared" si="59"/>
        <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9.3590038690909072</v>
      </c>
      <c r="F119" s="99" t="str">
        <f t="shared" si="60"/>
        <v/>
      </c>
      <c r="G119" s="99" t="str">
        <f t="shared" si="60"/>
        <v/>
      </c>
      <c r="H119" s="99" t="str">
        <f t="shared" si="60"/>
        <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0.66850027636363618</v>
      </c>
      <c r="F120" s="99" t="str">
        <f t="shared" si="60"/>
        <v/>
      </c>
      <c r="G120" s="99" t="str">
        <f t="shared" si="60"/>
        <v/>
      </c>
      <c r="H120" s="99" t="str">
        <f t="shared" si="60"/>
        <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6">
        <f>INDEX('Apoio - Notas Explicativas'!Q:Q,MATCH(C121,'Apoio - Notas Explicativas'!C:C,0))</f>
        <v>1E-4</v>
      </c>
      <c r="E121" s="99">
        <f t="shared" si="60"/>
        <v>0.22283342545454543</v>
      </c>
      <c r="F121" s="99" t="str">
        <f t="shared" si="60"/>
        <v/>
      </c>
      <c r="G121" s="99" t="str">
        <f t="shared" si="60"/>
        <v/>
      </c>
      <c r="H121" s="99" t="str">
        <f t="shared" si="60"/>
        <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42.784017687272716</v>
      </c>
      <c r="F122" s="99" t="str">
        <f t="shared" si="60"/>
        <v/>
      </c>
      <c r="G122" s="99" t="str">
        <f t="shared" si="60"/>
        <v/>
      </c>
      <c r="H122" s="99" t="str">
        <f t="shared" si="60"/>
        <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15.821173207272727</v>
      </c>
      <c r="F123" s="99" t="str">
        <f t="shared" si="60"/>
        <v/>
      </c>
      <c r="G123" s="99" t="str">
        <f t="shared" si="60"/>
        <v/>
      </c>
      <c r="H123" s="99" t="str">
        <f t="shared" si="60"/>
        <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89.133370181818179</v>
      </c>
      <c r="F124" s="99" t="str">
        <f t="shared" si="60"/>
        <v/>
      </c>
      <c r="G124" s="99" t="str">
        <f t="shared" si="60"/>
        <v/>
      </c>
      <c r="H124" s="99" t="str">
        <f t="shared" si="60"/>
        <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157.98889864727272</v>
      </c>
      <c r="F125" s="155" t="str">
        <f t="shared" ref="F125:H125" si="62">IF(SUM(F119:F124)=0,"",SUM(F119:F124))</f>
        <v/>
      </c>
      <c r="G125" s="155" t="str">
        <f t="shared" si="62"/>
        <v/>
      </c>
      <c r="H125" s="155" t="str">
        <f t="shared" si="62"/>
        <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8"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8" s="13" customFormat="1">
      <c r="A130" s="78"/>
      <c r="B130" s="87" t="s">
        <v>2</v>
      </c>
      <c r="C130" s="88" t="s">
        <v>35</v>
      </c>
      <c r="D130" s="406">
        <f>INDEX('Apoio - Notas Explicativas'!$Q:$Q,MATCH(C130,'Apoio - Notas Explicativas'!$C:$C,0))</f>
        <v>1.6199999999999999E-2</v>
      </c>
      <c r="E130" s="99">
        <f t="shared" ref="E130:X130" si="65">IF(E21="","",IFERROR($D130*SUM(E$61),""))</f>
        <v>36.099014923636361</v>
      </c>
      <c r="F130" s="137" t="str">
        <f t="shared" si="65"/>
        <v/>
      </c>
      <c r="G130" s="137" t="str">
        <f t="shared" si="65"/>
        <v/>
      </c>
      <c r="H130" s="137" t="str">
        <f t="shared" si="65"/>
        <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8" s="13" customFormat="1">
      <c r="A131" s="78"/>
      <c r="B131" s="87" t="s">
        <v>1</v>
      </c>
      <c r="C131" s="88" t="s">
        <v>187</v>
      </c>
      <c r="D131" s="406">
        <f>INDEX('Apoio - Notas Explicativas'!$Q:$Q,MATCH(C131,'Apoio - Notas Explicativas'!$C:$C,0))</f>
        <v>1.37E-2</v>
      </c>
      <c r="E131" s="99">
        <f t="shared" ref="E131:X131" si="66">IFERROR($D131*(E61+E66+E67),"")</f>
        <v>36.462857340718543</v>
      </c>
      <c r="F131" s="137" t="str">
        <f t="shared" si="66"/>
        <v/>
      </c>
      <c r="G131" s="137" t="str">
        <f t="shared" si="66"/>
        <v/>
      </c>
      <c r="H131" s="137" t="str">
        <f t="shared" si="66"/>
        <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8" s="13" customFormat="1">
      <c r="A132" s="78"/>
      <c r="B132" s="87" t="s">
        <v>0</v>
      </c>
      <c r="C132" s="88" t="s">
        <v>36</v>
      </c>
      <c r="D132" s="406">
        <f>INDEX('Apoio - Notas Explicativas'!$Q:$Q,MATCH(C132,'Apoio - Notas Explicativas'!$C:$C,0))</f>
        <v>2.0000000000000001E-4</v>
      </c>
      <c r="E132" s="99">
        <f t="shared" ref="E132:X132" si="67">IFERROR($D132*(E61+E66+E67),"")</f>
        <v>0.5323044867258182</v>
      </c>
      <c r="F132" s="137" t="str">
        <f t="shared" si="67"/>
        <v/>
      </c>
      <c r="G132" s="137" t="str">
        <f t="shared" si="67"/>
        <v/>
      </c>
      <c r="H132" s="137" t="str">
        <f t="shared" si="67"/>
        <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8" s="13" customFormat="1">
      <c r="A133" s="78"/>
      <c r="B133" s="87" t="s">
        <v>3</v>
      </c>
      <c r="C133" s="88" t="s">
        <v>37</v>
      </c>
      <c r="D133" s="406">
        <f>INDEX('Apoio - Notas Explicativas'!$Q:$Q,MATCH(C133,'Apoio - Notas Explicativas'!$C:$C,0))</f>
        <v>8.0999999999999996E-3</v>
      </c>
      <c r="E133" s="99">
        <f t="shared" ref="E133:X133" si="68">IFERROR($D133*(E61+E66+E67),"")</f>
        <v>21.558331712395635</v>
      </c>
      <c r="F133" s="137" t="str">
        <f t="shared" si="68"/>
        <v/>
      </c>
      <c r="G133" s="137" t="str">
        <f t="shared" si="68"/>
        <v/>
      </c>
      <c r="H133" s="137" t="str">
        <f t="shared" si="68"/>
        <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8" s="13" customFormat="1">
      <c r="A134" s="78"/>
      <c r="B134" s="87" t="s">
        <v>7</v>
      </c>
      <c r="C134" s="88" t="s">
        <v>188</v>
      </c>
      <c r="D134" s="406">
        <f>INDEX('Apoio - Notas Explicativas'!$Q:$Q,MATCH(C134,'Apoio - Notas Explicativas'!$C:$C,0))</f>
        <v>2.9999999999999997E-4</v>
      </c>
      <c r="E134" s="99">
        <f t="shared" ref="E134:X134" si="69">IFERROR($D134*(E61+E66+E67),"")</f>
        <v>0.7984567300887272</v>
      </c>
      <c r="F134" s="137" t="str">
        <f t="shared" si="69"/>
        <v/>
      </c>
      <c r="G134" s="137" t="str">
        <f t="shared" si="69"/>
        <v/>
      </c>
      <c r="H134" s="137" t="str">
        <f t="shared" si="69"/>
        <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c r="AB134" s="795"/>
    </row>
    <row r="135" spans="1:28" s="13" customFormat="1">
      <c r="A135" s="78"/>
      <c r="B135" s="87" t="s">
        <v>6</v>
      </c>
      <c r="C135" s="88" t="s">
        <v>38</v>
      </c>
      <c r="D135" s="406">
        <f>INDEX('Apoio - Notas Explicativas'!$Q:$Q,MATCH(C135,'Apoio - Notas Explicativas'!$C:$C,0))</f>
        <v>6.9999999999999999E-4</v>
      </c>
      <c r="E135" s="99">
        <f t="shared" ref="E135:X135" si="70">IFERROR((E$61+E67)*$D$135,"")</f>
        <v>1.7331315331578181</v>
      </c>
      <c r="F135" s="137" t="str">
        <f t="shared" si="70"/>
        <v/>
      </c>
      <c r="G135" s="137" t="str">
        <f t="shared" si="70"/>
        <v/>
      </c>
      <c r="H135" s="137" t="str">
        <f t="shared" si="70"/>
        <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8" s="13" customFormat="1">
      <c r="A136" s="78"/>
      <c r="B136" s="87" t="s">
        <v>5</v>
      </c>
      <c r="C136" s="88" t="s">
        <v>92</v>
      </c>
      <c r="D136" s="406">
        <f>SUM(D130:D135)*SUM(D81:D82,D72:D77)</f>
        <v>1.4425600000000002E-2</v>
      </c>
      <c r="E136" s="99">
        <f t="shared" ref="E136:X136" si="71">IF(E18="","",SUM(E130:E135)*SUM($D$72:$D$77,$D$81:$D$82))</f>
        <v>35.76374759543404</v>
      </c>
      <c r="F136" s="137" t="str">
        <f t="shared" si="71"/>
        <v/>
      </c>
      <c r="G136" s="137" t="str">
        <f t="shared" si="71"/>
        <v/>
      </c>
      <c r="H136" s="137" t="str">
        <f t="shared" si="71"/>
        <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8" s="13" customFormat="1">
      <c r="A137" s="78"/>
      <c r="B137" s="87" t="s">
        <v>4</v>
      </c>
      <c r="C137" s="88" t="s">
        <v>89</v>
      </c>
      <c r="D137" s="413">
        <f>INDEX('Apoio - Notas Explicativas'!$Q:$Q,MATCH(C137,'Apoio - Notas Explicativas'!$C:$C,0))</f>
        <v>37.96</v>
      </c>
      <c r="E137" s="99">
        <f t="shared" ref="E137:X137" si="72">IFERROR(((E114-SUM(E91,E96))/(30*12))*$D$137,"")</f>
        <v>2.6909422222222203</v>
      </c>
      <c r="F137" s="137" t="str">
        <f t="shared" si="72"/>
        <v/>
      </c>
      <c r="G137" s="137" t="str">
        <f t="shared" si="72"/>
        <v/>
      </c>
      <c r="H137" s="137" t="str">
        <f t="shared" si="72"/>
        <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8" s="13" customFormat="1">
      <c r="A138" s="78"/>
      <c r="B138" s="87" t="s">
        <v>113</v>
      </c>
      <c r="C138" s="88" t="s">
        <v>39</v>
      </c>
      <c r="D138" s="413">
        <f>INDEX('Apoio - Notas Explicativas'!$Q:$Q,MATCH(C138,'Apoio - Notas Explicativas'!$C:$C,0))</f>
        <v>37.96</v>
      </c>
      <c r="E138" s="99">
        <f>IFERROR(((((E$125/12)*$D$138))/30),"")</f>
        <v>16.659051646251314</v>
      </c>
      <c r="F138" s="137" t="str">
        <f t="shared" ref="F138:X138" si="73">IFERROR(((((F$125/12)*$D$138))/30),"")</f>
        <v/>
      </c>
      <c r="G138" s="137" t="str">
        <f t="shared" si="73"/>
        <v/>
      </c>
      <c r="H138" s="137" t="str">
        <f t="shared" si="73"/>
        <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8" s="5" customFormat="1">
      <c r="A139" s="76"/>
      <c r="B139" s="171"/>
      <c r="C139" s="172" t="s">
        <v>120</v>
      </c>
      <c r="D139" s="175"/>
      <c r="E139" s="176">
        <f>IF(SUM(E130:E138)=0,"",SUM(E130:E138))</f>
        <v>152.29783819063044</v>
      </c>
      <c r="F139" s="174" t="str">
        <f t="shared" ref="F139:H139" si="74">IF(SUM(F130:F138)=0,"",SUM(F130:F138))</f>
        <v/>
      </c>
      <c r="G139" s="176" t="str">
        <f t="shared" si="74"/>
        <v/>
      </c>
      <c r="H139" s="174" t="str">
        <f t="shared" si="74"/>
        <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8" customFormat="1"/>
    <row r="141" spans="1:28"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8" s="13" customFormat="1">
      <c r="A142" s="79"/>
      <c r="B142" s="812"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8" s="13" customFormat="1">
      <c r="A143" s="79"/>
      <c r="B143" s="813"/>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8" s="13" customFormat="1">
      <c r="A144" s="79"/>
      <c r="B144" s="813"/>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14"/>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152.29783819063044</v>
      </c>
      <c r="F148" s="155" t="str">
        <f t="shared" ref="F148:H148" si="81">IF(F146="",F139,SUM(F146,F139))</f>
        <v/>
      </c>
      <c r="G148" s="154" t="str">
        <f t="shared" si="81"/>
        <v/>
      </c>
      <c r="H148" s="452" t="str">
        <f t="shared" si="81"/>
        <v/>
      </c>
      <c r="I148" s="452" t="str">
        <f t="shared" ref="I148:N148" si="82">IF(I146="",I139,SUM(I146,I139))</f>
        <v/>
      </c>
      <c r="J148" s="452" t="str">
        <f t="shared" si="82"/>
        <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55.05</v>
      </c>
      <c r="F151" s="99" t="str">
        <f>IF(F18="","",ROUND(IF($D$151&lt;&gt;"",$D$151*SUM(F61,F116,F125,F148),IFERROR('Mat Individual e Uniformes'!K4/Proposta!$J$6,"")),2))</f>
        <v/>
      </c>
      <c r="G151" s="99" t="str">
        <f>IF(G18="","",ROUND(IF($D$151&lt;&gt;"",$D$151*SUM(G61,G116,G125,G148),IFERROR('Mat Individual e Uniformes'!L4/Proposta!$J$6,"")),2))</f>
        <v/>
      </c>
      <c r="H151" s="99" t="str">
        <f>IF(H18="","",ROUND(IF($D$151&lt;&gt;"",$D$151*SUM(H61,H116,H125,H148),IFERROR('Mat Individual e Uniformes'!M4/Proposta!$J$6,"")),2))</f>
        <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t="str">
        <f>IFERROR(
        IF(OR(F18="",$D$152="Não"),       "",
        IF($D$152="Sim",                  'Mat Coletivo e Equipamentos'!$I$4/SUM($E$29:$XX$29),
        ROUND(IF($D$152&lt;&gt;"",$D$152*SUM(F61,F116,F125,F148,F151),
0),2))),0)</f>
        <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55.05</v>
      </c>
      <c r="F153" s="155" t="str">
        <f>IF(F18="","",SUM(F151:F152))</f>
        <v/>
      </c>
      <c r="G153" s="155" t="str">
        <f>IF(G18="","",SUM(G151:G152))</f>
        <v/>
      </c>
      <c r="H153" s="155" t="str">
        <f>IF(H18="","",SUM(H151:H152))</f>
        <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233.38</v>
      </c>
      <c r="F158" s="99" t="str">
        <f t="shared" si="85"/>
        <v/>
      </c>
      <c r="G158" s="99" t="str">
        <f t="shared" si="85"/>
        <v/>
      </c>
      <c r="H158" s="99" t="str">
        <f t="shared" si="85"/>
        <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490.1</v>
      </c>
      <c r="F159" s="99" t="str">
        <f t="shared" si="86"/>
        <v/>
      </c>
      <c r="G159" s="99" t="str">
        <f t="shared" si="86"/>
        <v/>
      </c>
      <c r="H159" s="99" t="str">
        <f t="shared" si="86"/>
        <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723.48</v>
      </c>
      <c r="F160" s="176" t="str">
        <f t="shared" si="87"/>
        <v/>
      </c>
      <c r="G160" s="176" t="str">
        <f t="shared" si="87"/>
        <v/>
      </c>
      <c r="H160" s="176" t="str">
        <f t="shared" si="87"/>
        <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177.05</v>
      </c>
      <c r="F163" s="99" t="str">
        <f t="shared" si="88"/>
        <v/>
      </c>
      <c r="G163" s="99" t="str">
        <f t="shared" si="88"/>
        <v/>
      </c>
      <c r="H163" s="99" t="str">
        <f t="shared" si="88"/>
        <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38.36</v>
      </c>
      <c r="F164" s="99" t="str">
        <f t="shared" si="89"/>
        <v/>
      </c>
      <c r="G164" s="99" t="str">
        <f t="shared" si="89"/>
        <v/>
      </c>
      <c r="H164" s="99" t="str">
        <f t="shared" si="89"/>
        <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15"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805"/>
      <c r="C166" s="136" t="s">
        <v>353</v>
      </c>
      <c r="D166" s="181"/>
      <c r="E166" s="388">
        <f>IF(E18="","",
IF($D$13="Simples",INDEX('Apoio - Notas Explicativas'!$Q:$Q,MATCH($C$165,'Apoio - Notas Explicativas'!$C:$C,0)),
IFERROR(VLOOKUP(E$18,'Apoio - Posto'!$A:$AA,20,FALSE),
INDEX('Apoio - Notas Explicativas'!$Q:$Q,MATCH($C$165,'Apoio - Notas Explicativas'!$C:$C,0))
)))</f>
        <v>0.05</v>
      </c>
      <c r="F166" s="388" t="str">
        <f>IF(F18="","",
IF($D$13="Simples",INDEX('Apoio - Notas Explicativas'!$Q:$Q,MATCH($C$165,'Apoio - Notas Explicativas'!$C:$C,0)),
IFERROR(VLOOKUP(F$18,'Apoio - Posto'!$A:$AA,20,FALSE),
INDEX('Apoio - Notas Explicativas'!$Q:$Q,MATCH($C$165,'Apoio - Notas Explicativas'!$C:$C,0))
)))</f>
        <v/>
      </c>
      <c r="G166" s="388" t="str">
        <f>IF(G18="","",
IF($D$13="Simples",INDEX('Apoio - Notas Explicativas'!$Q:$Q,MATCH($C$165,'Apoio - Notas Explicativas'!$C:$C,0)),
IFERROR(VLOOKUP(G$18,'Apoio - Posto'!$A:$AA,20,FALSE),
INDEX('Apoio - Notas Explicativas'!$Q:$Q,MATCH($C$165,'Apoio - Notas Explicativas'!$C:$C,0))
)))</f>
        <v/>
      </c>
      <c r="H166" s="388" t="str">
        <f>IF(H18="","",
IF($D$13="Simples",INDEX('Apoio - Notas Explicativas'!$Q:$Q,MATCH($C$165,'Apoio - Notas Explicativas'!$C:$C,0)),
IFERROR(VLOOKUP(H$18,'Apoio - Posto'!$A:$AA,20,FALSE),
INDEX('Apoio - Notas Explicativas'!$Q:$Q,MATCH($C$165,'Apoio - Notas Explicativas'!$C:$C,0))
)))</f>
        <v/>
      </c>
      <c r="I166" s="388" t="str">
        <f>IF(I18="","",
IF($D$13="Simples",INDEX('Apoio - Notas Explicativas'!$Q:$Q,MATCH($C$165,'Apoio - Notas Explicativas'!$C:$C,0)),
IFERROR(VLOOKUP(I$18,'Apoio - Posto'!$A:$AA,20,FALSE),
INDEX('Apoio - Notas Explicativas'!$Q:$Q,MATCH($C$165,'Apoio - Notas Explicativas'!$C:$C,0))
)))</f>
        <v/>
      </c>
      <c r="J166" s="388" t="str">
        <f>IF(J18="","",
IF($D$13="Simples",INDEX('Apoio - Notas Explicativas'!$Q:$Q,MATCH($C$165,'Apoio - Notas Explicativas'!$C:$C,0)),
IFERROR(VLOOKUP(J$18,'Apoio - Posto'!$A:$AA,20,FALSE),
INDEX('Apoio - Notas Explicativas'!$Q:$Q,MATCH($C$165,'Apoio - Notas Explicativas'!$C:$C,0))
)))</f>
        <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806"/>
      <c r="C167" s="88"/>
      <c r="D167" s="415" t="s">
        <v>41</v>
      </c>
      <c r="E167" s="147">
        <f t="shared" ref="E167:X167" si="90">IF(E21="","",IFERROR(ROUND(SUM(E$160,E$61,E$116,E$125,E$148,E$153)*E166/(1-SUM($D$163:$D$168,E166)),2),""))</f>
        <v>295.08</v>
      </c>
      <c r="F167" s="147" t="str">
        <f t="shared" si="90"/>
        <v/>
      </c>
      <c r="G167" s="147" t="str">
        <f t="shared" si="90"/>
        <v/>
      </c>
      <c r="H167" s="147" t="str">
        <f t="shared" si="90"/>
        <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t="str">
        <f t="shared" si="91"/>
        <v/>
      </c>
      <c r="G168" s="99" t="str">
        <f t="shared" si="91"/>
        <v/>
      </c>
      <c r="H168" s="99" t="str">
        <f t="shared" si="91"/>
        <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510.49</v>
      </c>
      <c r="F169" s="192" t="str">
        <f t="shared" si="92"/>
        <v/>
      </c>
      <c r="G169" s="192" t="str">
        <f t="shared" si="92"/>
        <v/>
      </c>
      <c r="H169" s="192" t="str">
        <f t="shared" si="92"/>
        <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1233.97</v>
      </c>
      <c r="F171" s="155" t="str">
        <f t="shared" si="93"/>
        <v/>
      </c>
      <c r="G171" s="155" t="str">
        <f t="shared" si="93"/>
        <v/>
      </c>
      <c r="H171" s="155" t="str">
        <f t="shared" si="93"/>
        <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29.51</v>
      </c>
      <c r="F176" s="99" t="str">
        <f>IFERROR(IF(F18="","",ROUND(F178/SUM(F52,INDEX('Apoio - Regime de Trabalho'!$I:$I,MATCH(F26,'Apoio - Regime de Trabalho'!$A:$A,0))),2)),"")</f>
        <v/>
      </c>
      <c r="G176" s="99" t="str">
        <f>IFERROR(IF(G18="","",ROUND(G178/SUM(G52,INDEX('Apoio - Regime de Trabalho'!$I:$I,MATCH(G26,'Apoio - Regime de Trabalho'!$A:$A,0))),2)),"")</f>
        <v/>
      </c>
      <c r="H176" s="99" t="str">
        <f>IFERROR(IF(H18="","",ROUND(H178/SUM(H52,INDEX('Apoio - Regime de Trabalho'!$I:$I,MATCH(H26,'Apoio - Regime de Trabalho'!$A:$A,0))),2)),"")</f>
        <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268.26</v>
      </c>
      <c r="F177" s="99" t="str">
        <f>IF(F18="","",ROUND(SUM(F61,F116,F125,F148,F153,F171)/INDEX('Apoio - Regime de Trabalho'!$G:$G,MATCH(F26,'Apoio - Regime de Trabalho'!$A:$A,0)),2))</f>
        <v/>
      </c>
      <c r="G177" s="99" t="str">
        <f>IF(G18="","",ROUND(SUM(G61,G116,G125,G148,G153,G171)/INDEX('Apoio - Regime de Trabalho'!$G:$G,MATCH(G26,'Apoio - Regime de Trabalho'!$A:$A,0)),2))</f>
        <v/>
      </c>
      <c r="H177" s="99" t="str">
        <f>IF(H18="","",ROUND(SUM(H61,H116,H125,H148,H153,H171)/INDEX('Apoio - Regime de Trabalho'!$G:$G,MATCH(H26,'Apoio - Regime de Trabalho'!$A:$A,0)),2))</f>
        <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5901.64</v>
      </c>
      <c r="F178" s="99" t="str">
        <f t="shared" si="94"/>
        <v/>
      </c>
      <c r="G178" s="99" t="str">
        <f t="shared" si="94"/>
        <v/>
      </c>
      <c r="H178" s="99" t="str">
        <f t="shared" si="94"/>
        <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5901.64</v>
      </c>
      <c r="F179" s="99" t="str">
        <f t="shared" si="95"/>
        <v/>
      </c>
      <c r="G179" s="99" t="str">
        <f t="shared" si="95"/>
        <v/>
      </c>
      <c r="H179" s="99" t="str">
        <f t="shared" si="95"/>
        <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4612.62</v>
      </c>
      <c r="F182" s="99" t="str">
        <f t="shared" si="96"/>
        <v/>
      </c>
      <c r="G182" s="99" t="str">
        <f t="shared" si="96"/>
        <v/>
      </c>
      <c r="H182" s="99" t="str">
        <f t="shared" si="96"/>
        <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55.05</v>
      </c>
      <c r="F183" s="99" t="str">
        <f t="shared" si="97"/>
        <v/>
      </c>
      <c r="G183" s="99" t="str">
        <f t="shared" si="97"/>
        <v/>
      </c>
      <c r="H183" s="99" t="str">
        <f t="shared" si="97"/>
        <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1233.97</v>
      </c>
      <c r="F184" s="99" t="str">
        <f t="shared" si="98"/>
        <v/>
      </c>
      <c r="G184" s="99" t="str">
        <f t="shared" si="98"/>
        <v/>
      </c>
      <c r="H184" s="99" t="str">
        <f t="shared" si="98"/>
        <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5901.64</v>
      </c>
      <c r="F185" s="99" t="str">
        <f t="shared" ref="F185:H185" si="99">IFERROR(ROUND((F182+F183+F184),2),"")</f>
        <v/>
      </c>
      <c r="G185" s="99" t="str">
        <f t="shared" si="99"/>
        <v/>
      </c>
      <c r="H185" s="99" t="str">
        <f t="shared" si="99"/>
        <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55351.44</v>
      </c>
      <c r="F188" s="99" t="str">
        <f t="shared" ref="F188:N188" si="102">IFERROR(ROUND(F182*$D$12,2),"")</f>
        <v/>
      </c>
      <c r="G188" s="99" t="str">
        <f t="shared" si="102"/>
        <v/>
      </c>
      <c r="H188" s="99" t="str">
        <f t="shared" si="102"/>
        <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660.6</v>
      </c>
      <c r="F189" s="99" t="str">
        <f t="shared" ref="F189:N189" si="104">IFERROR(ROUND(F183*$D$12,2),"")</f>
        <v/>
      </c>
      <c r="G189" s="99" t="str">
        <f t="shared" si="104"/>
        <v/>
      </c>
      <c r="H189" s="99" t="str">
        <f t="shared" si="104"/>
        <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14807.64</v>
      </c>
      <c r="F190" s="99" t="str">
        <f t="shared" ref="F190:N190" si="106">IFERROR(ROUND(F184*$D$12,2),"")</f>
        <v/>
      </c>
      <c r="G190" s="99" t="str">
        <f t="shared" si="106"/>
        <v/>
      </c>
      <c r="H190" s="99" t="str">
        <f t="shared" si="106"/>
        <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70819.679999999993</v>
      </c>
      <c r="F191" s="99" t="str">
        <f t="shared" ref="F191:N191" si="108">IFERROR(ROUND(F185*$D$12,2),"")</f>
        <v/>
      </c>
      <c r="G191" s="99" t="str">
        <f t="shared" si="108"/>
        <v/>
      </c>
      <c r="H191" s="99" t="str">
        <f t="shared" si="108"/>
        <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K/FF/G5UPDApy+gYGS/YJ6dWA6KQZvbXfTkr4jJttj6q3SpTMU2UktZHXtM97y742L2z6Q3EuA6528Rn9x4kjg==" saltValue="5IEJRbxCsxi1JVmh1R2tfA==" spinCount="100000" sheet="1" formatCells="0" formatColumns="0" formatRows="0" insertColumns="0" autoFilter="0"/>
  <dataConsolidate link="1"/>
  <mergeCells count="27">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cfRule type="expression" dxfId="28" priority="1">
      <formula>$H$5=1</formula>
    </cfRule>
  </conditionalFormatting>
  <conditionalFormatting sqref="D9:D10">
    <cfRule type="expression" dxfId="27" priority="2">
      <formula>$H$5=2</formula>
    </cfRule>
  </conditionalFormatting>
  <conditionalFormatting sqref="D13:D15 E20:X25 E34:X34 E37:X38 E41:X41 E44:X45 E59:X60 D79:D80 E88:X90 E93:X95 E98:X99 E104:X105 D130:D138 E143:X144">
    <cfRule type="expression" dxfId="26" priority="10">
      <formula>$H$5=2</formula>
    </cfRule>
  </conditionalFormatting>
  <conditionalFormatting sqref="D15 E21:X21 E24:X25 E87:X87 E93:X93 E98:X98 E101:X102 E104:X104 E107:X107">
    <cfRule type="expression" dxfId="25" priority="8">
      <formula>$H$5=4</formula>
    </cfRule>
  </conditionalFormatting>
  <conditionalFormatting sqref="E18:X27 E34:X34 E37:X38 E41:X41 E44:X45 E59:X60 E87:X90 E93:X95 E98:X99 E104:X105 E143:X144">
    <cfRule type="expression" dxfId="24" priority="9">
      <formula>$H$5=1</formula>
    </cfRule>
  </conditionalFormatting>
  <conditionalFormatting sqref="E51:X52">
    <cfRule type="expression" dxfId="23" priority="6">
      <formula>$H$5=1</formula>
    </cfRule>
    <cfRule type="expression" dxfId="22" priority="7">
      <formula>$H$5=2</formula>
    </cfRule>
  </conditionalFormatting>
  <conditionalFormatting sqref="E109:X109">
    <cfRule type="expression" dxfId="21" priority="3">
      <formula>$H$5=4</formula>
    </cfRule>
  </conditionalFormatting>
  <conditionalFormatting sqref="E166:X166">
    <cfRule type="expression" dxfId="20" priority="4">
      <formula>$H$5=1</formula>
    </cfRule>
    <cfRule type="expression" dxfId="19" priority="5">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2"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J14" sqref="J14"/>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24" t="s">
        <v>352</v>
      </c>
      <c r="C2" s="825"/>
      <c r="D2" s="825"/>
      <c r="E2" s="825"/>
      <c r="F2" s="825"/>
      <c r="G2" s="826"/>
      <c r="H2" s="717"/>
      <c r="J2" s="827" t="s">
        <v>401</v>
      </c>
      <c r="K2" s="828"/>
      <c r="L2" s="828"/>
      <c r="M2" s="828"/>
      <c r="N2" s="828"/>
      <c r="O2" s="828"/>
      <c r="P2" s="828"/>
      <c r="Q2" s="828"/>
      <c r="R2" s="828"/>
      <c r="S2" s="828"/>
      <c r="T2" s="828"/>
      <c r="U2" s="828"/>
      <c r="V2" s="828"/>
      <c r="W2" s="828"/>
      <c r="X2" s="828"/>
      <c r="Y2" s="828"/>
      <c r="Z2" s="828"/>
      <c r="AA2" s="828"/>
      <c r="AB2" s="828"/>
      <c r="AC2" s="829"/>
    </row>
    <row r="3" spans="2:29" ht="45">
      <c r="B3" s="641" t="s">
        <v>184</v>
      </c>
      <c r="C3" s="641" t="s">
        <v>40</v>
      </c>
      <c r="D3" s="641" t="s">
        <v>493</v>
      </c>
      <c r="E3" s="641" t="s">
        <v>492</v>
      </c>
      <c r="F3" s="641" t="s">
        <v>41</v>
      </c>
      <c r="G3" s="641" t="s">
        <v>485</v>
      </c>
      <c r="H3" s="641" t="s">
        <v>486</v>
      </c>
      <c r="J3" s="641" t="str">
        <f xml:space="preserve">
IF(IFERROR(SUM(Produtividade!$L$196:$L$221)&gt;0,FALSE()),Produtividade!E17,'Mão de Obra'!E17)</f>
        <v>Posto A</v>
      </c>
      <c r="K3" s="641" t="str">
        <f xml:space="preserve">
IF(IFERROR(SUM(Produtividade!$L$196:$L$221)&gt;0,FALSE()),Produtividade!F17,'Mão de Obra'!F17)</f>
        <v>Posto B</v>
      </c>
      <c r="L3" s="641" t="str">
        <f xml:space="preserve">
IF(IFERROR(SUM(Produtividade!$L$196:$L$221)&gt;0,FALSE()),Produtividade!G17,'Mão de Obra'!G17)</f>
        <v>Posto C</v>
      </c>
      <c r="M3" s="641" t="str">
        <f xml:space="preserve">
IF(IFERROR(SUM(Produtividade!$L$196:$L$221)&gt;0,FALSE()),Produtividade!H17,'Mão de Obra'!H17)</f>
        <v>Posto D</v>
      </c>
      <c r="N3" s="641" t="str">
        <f xml:space="preserve">
IF(IFERROR(SUM(Produtividade!$L$196:$L$221)&gt;0,FALSE()),Produtividade!I17,'Mão de Obra'!I17)</f>
        <v>Posto E</v>
      </c>
      <c r="O3" s="641" t="str">
        <f xml:space="preserve">
IF(IFERROR(SUM(Produtividade!$L$196:$L$221)&gt;0,FALSE()),Produtividade!J17,'Mão de Obra'!J17)</f>
        <v>Posto F</v>
      </c>
      <c r="P3" s="641" t="str">
        <f xml:space="preserve">
IF(IFERROR(SUM(Produtividade!$L$196:$L$221)&gt;0,FALSE()),Produtividade!K17,'Mão de Obra'!K17)</f>
        <v>Posto G</v>
      </c>
      <c r="Q3" s="641" t="str">
        <f xml:space="preserve">
IF(IFERROR(SUM(Produtividade!$L$196:$L$221)&gt;0,FALSE()),Produtividade!L17,'Mão de Obra'!L17)</f>
        <v>Posto H</v>
      </c>
      <c r="R3" s="641" t="str">
        <f xml:space="preserve">
IF(IFERROR(SUM(Produtividade!$L$196:$L$221)&gt;0,FALSE()),Produtividade!M17,'Mão de Obra'!M17)</f>
        <v>Posto I</v>
      </c>
      <c r="S3" s="641" t="str">
        <f xml:space="preserve">
IF(IFERROR(SUM(Produtividade!$L$196:$L$221)&gt;0,FALSE()),Produtividade!N17,'Mão de Obra'!N17)</f>
        <v>Posto J</v>
      </c>
      <c r="T3" s="641" t="str">
        <f xml:space="preserve">
IF(IFERROR(SUM(Produtividade!$L$196:$L$221)&gt;0,FALSE()),Produtividade!O17,'Mão de Obra'!O17)</f>
        <v>Posto K</v>
      </c>
      <c r="U3" s="641" t="str">
        <f xml:space="preserve">
IF(IFERROR(SUM(Produtividade!$L$196:$L$221)&gt;0,FALSE()),Produtividade!P17,'Mão de Obra'!P17)</f>
        <v>Posto L</v>
      </c>
      <c r="V3" s="641" t="str">
        <f xml:space="preserve">
IF(IFERROR(SUM(Produtividade!$L$196:$L$221)&gt;0,FALSE()),Produtividade!Q17,'Mão de Obra'!Q17)</f>
        <v>Posto M</v>
      </c>
      <c r="W3" s="641" t="str">
        <f xml:space="preserve">
IF(IFERROR(SUM(Produtividade!$L$196:$L$221)&gt;0,FALSE()),Produtividade!R17,'Mão de Obra'!R17)</f>
        <v>Posto N</v>
      </c>
      <c r="X3" s="641" t="str">
        <f xml:space="preserve">
IF(IFERROR(SUM(Produtividade!$L$196:$L$221)&gt;0,FALSE()),Produtividade!S17,'Mão de Obra'!S17)</f>
        <v>Posto O</v>
      </c>
      <c r="Y3" s="641" t="str">
        <f xml:space="preserve">
IF(IFERROR(SUM(Produtividade!$L$196:$L$221)&gt;0,FALSE()),Produtividade!T17,'Mão de Obra'!T17)</f>
        <v>Posto P</v>
      </c>
      <c r="Z3" s="641" t="str">
        <f xml:space="preserve">
IF(IFERROR(SUM(Produtividade!$L$196:$L$221)&gt;0,FALSE()),Produtividade!U17,'Mão de Obra'!U17)</f>
        <v>Posto Q</v>
      </c>
      <c r="AA3" s="641" t="str">
        <f xml:space="preserve">
IF(IFERROR(SUM(Produtividade!$L$196:$L$221)&gt;0,FALSE()),Produtividade!V17,'Mão de Obra'!V17)</f>
        <v>Posto R</v>
      </c>
      <c r="AB3" s="641" t="str">
        <f xml:space="preserve">
IF(IFERROR(SUM(Produtividade!$L$196:$L$221)&gt;0,FALSE()),Produtividade!W17,'Mão de Obra'!W17)</f>
        <v>Posto S</v>
      </c>
      <c r="AC3" s="641" t="str">
        <f xml:space="preserve">
IF(IFERROR(SUM(Produtividade!$L$196:$L$221)&gt;0,FALSE()),Produtividade!X17,'Mão de Obra'!X17)</f>
        <v>Posto T</v>
      </c>
    </row>
    <row r="4" spans="2:29">
      <c r="F4" s="821" t="s">
        <v>552</v>
      </c>
      <c r="G4" s="822"/>
      <c r="H4" s="823"/>
      <c r="J4" s="718">
        <f>IFERROR(ROUND(SUMPRODUCT(J6:J1000,$H$6:$H$1000),2),"")</f>
        <v>660.62</v>
      </c>
      <c r="K4" s="718">
        <f t="shared" ref="K4:S4" si="0">IFERROR(ROUND(SUMPRODUCT(K6:K1000,$H$6:$H$1000),2),"")</f>
        <v>0</v>
      </c>
      <c r="L4" s="718">
        <f t="shared" si="0"/>
        <v>0</v>
      </c>
      <c r="M4" s="718">
        <f t="shared" si="0"/>
        <v>0</v>
      </c>
      <c r="N4" s="718">
        <f t="shared" si="0"/>
        <v>0</v>
      </c>
      <c r="O4" s="718">
        <f t="shared" si="0"/>
        <v>0</v>
      </c>
      <c r="P4" s="718">
        <f t="shared" si="0"/>
        <v>0</v>
      </c>
      <c r="Q4" s="718">
        <f t="shared" si="0"/>
        <v>0</v>
      </c>
      <c r="R4" s="718">
        <f t="shared" si="0"/>
        <v>0</v>
      </c>
      <c r="S4" s="718">
        <f t="shared" si="0"/>
        <v>0</v>
      </c>
      <c r="T4" s="718">
        <f t="shared" ref="T4:Y4" si="1">IFERROR(ROUND(SUMPRODUCT(T6:T1000,$H$6:$H$1000),2),"")</f>
        <v>0</v>
      </c>
      <c r="U4" s="718">
        <f t="shared" si="1"/>
        <v>0</v>
      </c>
      <c r="V4" s="718">
        <f t="shared" si="1"/>
        <v>0</v>
      </c>
      <c r="W4" s="718">
        <f t="shared" si="1"/>
        <v>0</v>
      </c>
      <c r="X4" s="718">
        <f t="shared" si="1"/>
        <v>0</v>
      </c>
      <c r="Y4" s="718">
        <f t="shared" si="1"/>
        <v>0</v>
      </c>
      <c r="Z4" s="718">
        <f t="shared" ref="Z4:AC4" si="2">IFERROR(ROUND(SUMPRODUCT(Z6:Z1000,$H$6:$H$1000),2),"")</f>
        <v>0</v>
      </c>
      <c r="AA4" s="718">
        <f t="shared" si="2"/>
        <v>0</v>
      </c>
      <c r="AB4" s="718">
        <f t="shared" si="2"/>
        <v>0</v>
      </c>
      <c r="AC4" s="718">
        <f t="shared" si="2"/>
        <v>0</v>
      </c>
    </row>
    <row r="5" spans="2:29">
      <c r="C5" s="42"/>
      <c r="E5" s="42"/>
    </row>
    <row r="6" spans="2:29">
      <c r="B6" s="249">
        <v>1</v>
      </c>
      <c r="C6" s="250"/>
      <c r="D6" s="251" t="s">
        <v>732</v>
      </c>
      <c r="E6" s="249" t="str">
        <f>IFERROR(VLOOKUP($D6,'Apoio - Uniforme e EPIs'!$A:$D,2,FALSE),"")</f>
        <v>peça</v>
      </c>
      <c r="F6" s="716">
        <f>IFERROR(VLOOKUP($D6,'Apoio - Uniforme e EPIs'!$A:$D,3,FALSE),"")</f>
        <v>3.57</v>
      </c>
      <c r="G6" s="719" t="str">
        <f>IFERROR(IF(VLOOKUP($D6,'Apoio - Uniforme e EPIs'!$A:$D,4,FALSE)=0,"",VLOOKUP($D6,'Apoio - Uniforme e EPIs'!$A:$D,4,FALSE)),"")</f>
        <v/>
      </c>
      <c r="H6" s="252">
        <f>IFERROR(IF(ISNUMBER(G6),G6*'Mão de Obra'!$D$12/12,1)*F6,"")</f>
        <v>3.57</v>
      </c>
      <c r="J6" s="249">
        <v>1</v>
      </c>
      <c r="K6" s="249"/>
      <c r="L6" s="249"/>
      <c r="M6" s="249"/>
      <c r="N6" s="249"/>
      <c r="O6" s="249"/>
      <c r="P6" s="249"/>
      <c r="Q6" s="249"/>
      <c r="R6" s="249"/>
      <c r="S6" s="249"/>
      <c r="T6" s="249"/>
      <c r="U6" s="249"/>
      <c r="V6" s="249"/>
      <c r="W6" s="249"/>
      <c r="X6" s="249"/>
      <c r="Y6" s="249"/>
      <c r="Z6" s="249"/>
      <c r="AA6" s="249"/>
      <c r="AB6" s="249"/>
      <c r="AC6" s="249"/>
    </row>
    <row r="7" spans="2:29">
      <c r="B7" s="249">
        <v>2</v>
      </c>
      <c r="C7" s="250"/>
      <c r="D7" s="251" t="s">
        <v>665</v>
      </c>
      <c r="E7" s="249" t="str">
        <f>IFERROR(VLOOKUP($D7,'Apoio - Uniforme e EPIs'!$A:$C,2,FALSE),"")</f>
        <v>peça</v>
      </c>
      <c r="F7" s="716">
        <f>IFERROR(VLOOKUP($D7,'Apoio - Uniforme e EPIs'!$A:$D,3,FALSE),"")</f>
        <v>97.21</v>
      </c>
      <c r="G7" s="719" t="str">
        <f>IFERROR(IF(VLOOKUP($D7,'Apoio - Uniforme e EPIs'!$A:$D,4,FALSE)=0,"",VLOOKUP($D7,'Apoio - Uniforme e EPIs'!$A:$D,4,FALSE)),"")</f>
        <v/>
      </c>
      <c r="H7" s="252">
        <f>IFERROR(IF(ISNUMBER(G7),G7*'Mão de Obra'!$D$12/12,1)*F7,"")</f>
        <v>97.21</v>
      </c>
      <c r="J7" s="249">
        <v>1</v>
      </c>
      <c r="K7" s="249"/>
      <c r="L7" s="249"/>
      <c r="M7" s="249"/>
      <c r="N7" s="249"/>
      <c r="O7" s="249"/>
      <c r="P7" s="249"/>
      <c r="Q7" s="249"/>
      <c r="R7" s="249"/>
      <c r="S7" s="249"/>
      <c r="T7" s="249"/>
      <c r="U7" s="249"/>
      <c r="V7" s="249"/>
      <c r="W7" s="249"/>
      <c r="X7" s="249"/>
      <c r="Y7" s="249"/>
      <c r="Z7" s="249"/>
      <c r="AA7" s="249"/>
      <c r="AB7" s="249"/>
      <c r="AC7" s="249"/>
    </row>
    <row r="8" spans="2:29">
      <c r="B8" s="249">
        <v>3</v>
      </c>
      <c r="C8" s="250"/>
      <c r="D8" s="251" t="s">
        <v>666</v>
      </c>
      <c r="E8" s="249" t="str">
        <f>IFERROR(VLOOKUP($D8,'Apoio - Uniforme e EPIs'!$A:$C,2,FALSE),"")</f>
        <v>peça</v>
      </c>
      <c r="F8" s="716">
        <f>IFERROR(VLOOKUP($D8,'Apoio - Uniforme e EPIs'!$A:$D,3,FALSE),"")</f>
        <v>82.12</v>
      </c>
      <c r="G8" s="719" t="str">
        <f>IFERROR(IF(VLOOKUP($D8,'Apoio - Uniforme e EPIs'!$A:$D,4,FALSE)=0,"",VLOOKUP($D8,'Apoio - Uniforme e EPIs'!$A:$D,4,FALSE)),"")</f>
        <v/>
      </c>
      <c r="H8" s="252">
        <f>IFERROR(IF(ISNUMBER(G8),G8*'Mão de Obra'!$D$12/12,1)*F8,"")</f>
        <v>82.12</v>
      </c>
      <c r="J8" s="249">
        <v>1</v>
      </c>
      <c r="K8" s="249"/>
      <c r="L8" s="249"/>
      <c r="M8" s="249"/>
      <c r="N8" s="249"/>
      <c r="O8" s="249"/>
      <c r="P8" s="249"/>
      <c r="Q8" s="249"/>
      <c r="R8" s="249"/>
      <c r="S8" s="249"/>
      <c r="T8" s="249"/>
      <c r="U8" s="249"/>
      <c r="V8" s="249"/>
      <c r="W8" s="249"/>
      <c r="X8" s="249"/>
      <c r="Y8" s="249"/>
      <c r="Z8" s="249"/>
      <c r="AA8" s="249"/>
      <c r="AB8" s="249"/>
      <c r="AC8" s="249"/>
    </row>
    <row r="9" spans="2:29">
      <c r="B9" s="249">
        <v>4</v>
      </c>
      <c r="C9" s="250"/>
      <c r="D9" s="251" t="s">
        <v>667</v>
      </c>
      <c r="E9" s="249" t="str">
        <f>IFERROR(VLOOKUP($D9,'Apoio - Uniforme e EPIs'!$A:$C,2,FALSE),"")</f>
        <v>peça</v>
      </c>
      <c r="F9" s="716">
        <f>IFERROR(VLOOKUP($D9,'Apoio - Uniforme e EPIs'!$A:$D,3,FALSE),"")</f>
        <v>113.35</v>
      </c>
      <c r="G9" s="719" t="str">
        <f>IFERROR(IF(VLOOKUP($D9,'Apoio - Uniforme e EPIs'!$A:$D,4,FALSE)=0,"",VLOOKUP($D9,'Apoio - Uniforme e EPIs'!$A:$D,4,FALSE)),"")</f>
        <v/>
      </c>
      <c r="H9" s="252">
        <f>IFERROR(IF(ISNUMBER(G9),G9*'Mão de Obra'!$D$12/12,1)*F9,"")</f>
        <v>113.35</v>
      </c>
      <c r="J9" s="249">
        <v>1</v>
      </c>
      <c r="K9" s="249"/>
      <c r="L9" s="249"/>
      <c r="M9" s="249"/>
      <c r="N9" s="249"/>
      <c r="O9" s="249"/>
      <c r="P9" s="249"/>
      <c r="Q9" s="249"/>
      <c r="R9" s="249"/>
      <c r="S9" s="249"/>
      <c r="T9" s="249"/>
      <c r="U9" s="249"/>
      <c r="V9" s="249"/>
      <c r="W9" s="249"/>
      <c r="X9" s="249"/>
      <c r="Y9" s="249"/>
      <c r="Z9" s="249"/>
      <c r="AA9" s="249"/>
      <c r="AB9" s="249"/>
      <c r="AC9" s="249"/>
    </row>
    <row r="10" spans="2:29">
      <c r="B10" s="249">
        <v>5</v>
      </c>
      <c r="C10" s="250"/>
      <c r="D10" s="251" t="s">
        <v>705</v>
      </c>
      <c r="E10" s="249" t="str">
        <f>IFERROR(VLOOKUP($D10,'Apoio - Uniforme e EPIs'!$A:$C,2,FALSE),"")</f>
        <v>peça</v>
      </c>
      <c r="F10" s="716">
        <f>IFERROR(VLOOKUP($D10,'Apoio - Uniforme e EPIs'!$A:$D,3,FALSE),"")</f>
        <v>52.98</v>
      </c>
      <c r="G10" s="719" t="str">
        <f>IFERROR(IF(VLOOKUP($D10,'Apoio - Uniforme e EPIs'!$A:$D,4,FALSE)=0,"",VLOOKUP($D10,'Apoio - Uniforme e EPIs'!$A:$D,4,FALSE)),"")</f>
        <v/>
      </c>
      <c r="H10" s="252">
        <f>IFERROR(IF(ISNUMBER(G10),G10*'Mão de Obra'!$D$12/12,1)*F10,"")</f>
        <v>52.98</v>
      </c>
      <c r="J10" s="249">
        <v>1</v>
      </c>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251" t="s">
        <v>712</v>
      </c>
      <c r="E11" s="249" t="str">
        <f>IFERROR(VLOOKUP($D11,'Apoio - Uniforme e EPIs'!$A:$C,2,FALSE),"")</f>
        <v>par</v>
      </c>
      <c r="F11" s="716">
        <f>IFERROR(VLOOKUP($D11,'Apoio - Uniforme e EPIs'!$A:$D,3,FALSE),"")</f>
        <v>75.72</v>
      </c>
      <c r="G11" s="719" t="str">
        <f>IFERROR(IF(VLOOKUP($D11,'Apoio - Uniforme e EPIs'!$A:$D,4,FALSE)=0,"",VLOOKUP($D11,'Apoio - Uniforme e EPIs'!$A:$D,4,FALSE)),"")</f>
        <v/>
      </c>
      <c r="H11" s="252">
        <f>IFERROR(IF(ISNUMBER(G11),G11*'Mão de Obra'!$D$12/12,1)*F11,"")</f>
        <v>75.72</v>
      </c>
      <c r="J11" s="249">
        <v>2</v>
      </c>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251" t="s">
        <v>710</v>
      </c>
      <c r="E12" s="249" t="str">
        <f>IFERROR(VLOOKUP($D12,'Apoio - Uniforme e EPIs'!$A:$C,2,FALSE),"")</f>
        <v>par</v>
      </c>
      <c r="F12" s="716">
        <f>IFERROR(VLOOKUP($D12,'Apoio - Uniforme e EPIs'!$A:$D,3,FALSE),"")</f>
        <v>10.79</v>
      </c>
      <c r="G12" s="719" t="str">
        <f>IFERROR(IF(VLOOKUP($D12,'Apoio - Uniforme e EPIs'!$A:$D,4,FALSE)=0,"",VLOOKUP($D12,'Apoio - Uniforme e EPIs'!$A:$D,4,FALSE)),"")</f>
        <v/>
      </c>
      <c r="H12" s="252">
        <f>IFERROR(IF(ISNUMBER(G12),G12*'Mão de Obra'!$D$12/12,1)*F12,"")</f>
        <v>10.79</v>
      </c>
      <c r="J12" s="249">
        <v>1</v>
      </c>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251" t="s">
        <v>708</v>
      </c>
      <c r="E13" s="249" t="str">
        <f>IFERROR(VLOOKUP($D13,'Apoio - Uniforme e EPIs'!$A:$C,2,FALSE),"")</f>
        <v>peça</v>
      </c>
      <c r="F13" s="716">
        <f>IFERROR(VLOOKUP($D13,'Apoio - Uniforme e EPIs'!$A:$D,3,FALSE),"")</f>
        <v>149.16</v>
      </c>
      <c r="G13" s="719" t="str">
        <f>IFERROR(IF(VLOOKUP($D13,'Apoio - Uniforme e EPIs'!$A:$D,4,FALSE)=0,"",VLOOKUP($D13,'Apoio - Uniforme e EPIs'!$A:$D,4,FALSE)),"")</f>
        <v/>
      </c>
      <c r="H13" s="252">
        <f>IFERROR(IF(ISNUMBER(G13),G13*'Mão de Obra'!$D$12/12,1)*F13,"")</f>
        <v>149.16</v>
      </c>
      <c r="J13" s="249">
        <v>1</v>
      </c>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c r="E14" s="249" t="str">
        <f>IFERROR(VLOOKUP($D14,'Apoio - Uniforme e EPIs'!$A:$C,2,FALSE),"")</f>
        <v/>
      </c>
      <c r="F14" s="716" t="str">
        <f>IFERROR(VLOOKUP($D14,'Apoio - Uniforme e EPIs'!$A:$D,3,FALSE),"")</f>
        <v/>
      </c>
      <c r="G14" s="719" t="str">
        <f>IFERROR(IF(VLOOKUP($D14,'Apoio - Uniforme e EPIs'!$A:$D,4,FALSE)=0,"",VLOOKUP($D14,'Apoio - Uniforme e EPIs'!$A:$D,4,FALSE)),"")</f>
        <v/>
      </c>
      <c r="H14" s="252" t="str">
        <f>IFERROR(IF(ISNUMBER(G14),G14*'Mão de Obra'!$D$12/12,1)*F14,"")</f>
        <v/>
      </c>
      <c r="J14" s="249"/>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c r="E15" s="249" t="str">
        <f>IFERROR(VLOOKUP($D15,'Apoio - Uniforme e EPIs'!$A:$C,2,FALSE),"")</f>
        <v/>
      </c>
      <c r="F15" s="716" t="str">
        <f>IFERROR(VLOOKUP($D15,'Apoio - Uniforme e EPIs'!$A:$D,3,FALSE),"")</f>
        <v/>
      </c>
      <c r="G15" s="719" t="str">
        <f>IFERROR(IF(VLOOKUP($D15,'Apoio - Uniforme e EPIs'!$A:$D,4,FALSE)=0,"",VLOOKUP($D15,'Apoio - Uniforme e EPIs'!$A:$D,4,FALSE)),"")</f>
        <v/>
      </c>
      <c r="H15" s="252" t="str">
        <f>IFERROR(IF(ISNUMBER(G15),G15*'Mão de Obra'!$D$12/12,1)*F15,"")</f>
        <v/>
      </c>
      <c r="J15" s="249"/>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c r="E16" s="249" t="str">
        <f>IFERROR(VLOOKUP($D16,'Apoio - Uniforme e EPIs'!$A:$C,2,FALSE),"")</f>
        <v/>
      </c>
      <c r="F16" s="716" t="str">
        <f>IFERROR(VLOOKUP($D16,'Apoio - Uniforme e EPIs'!$A:$D,3,FALSE),"")</f>
        <v/>
      </c>
      <c r="G16" s="719" t="str">
        <f>IFERROR(IF(VLOOKUP($D16,'Apoio - Uniforme e EPIs'!$A:$D,4,FALSE)=0,"",VLOOKUP($D16,'Apoio - Uniforme e EPIs'!$A:$D,4,FALSE)),"")</f>
        <v/>
      </c>
      <c r="H16" s="252" t="str">
        <f>IFERROR(IF(ISNUMBER(G16),G16*'Mão de Obra'!$D$12/12,1)*F16,"")</f>
        <v/>
      </c>
      <c r="J16" s="249"/>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16" t="str">
        <f>IFERROR(VLOOKUP($D17,'Apoio - Uniforme e EPIs'!$A:$D,3,FALSE),"")</f>
        <v/>
      </c>
      <c r="G17" s="719"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16" t="str">
        <f>IFERROR(VLOOKUP($D18,'Apoio - Uniforme e EPIs'!$A:$D,3,FALSE),"")</f>
        <v/>
      </c>
      <c r="G18" s="719"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6" t="str">
        <f>IFERROR(VLOOKUP($D19,'Apoio - Uniforme e EPIs'!$A:$D,3,FALSE),"")</f>
        <v/>
      </c>
      <c r="G19" s="719"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6" t="str">
        <f>IFERROR(VLOOKUP($D20,'Apoio - Uniforme e EPIs'!$A:$D,3,FALSE),"")</f>
        <v/>
      </c>
      <c r="G20" s="719"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6" t="str">
        <f>IFERROR(VLOOKUP($D21,'Apoio - Uniforme e EPIs'!$A:$D,3,FALSE),"")</f>
        <v/>
      </c>
      <c r="G21" s="719"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6" t="str">
        <f>IFERROR(VLOOKUP($D22,'Apoio - Uniforme e EPIs'!$A:$D,3,FALSE),"")</f>
        <v/>
      </c>
      <c r="G22" s="719"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6" t="str">
        <f>IFERROR(VLOOKUP($D23,'Apoio - Uniforme e EPIs'!$A:$D,3,FALSE),"")</f>
        <v/>
      </c>
      <c r="G23" s="719"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6" t="str">
        <f>IFERROR(VLOOKUP($D24,'Apoio - Uniforme e EPIs'!$A:$D,3,FALSE),"")</f>
        <v/>
      </c>
      <c r="G24" s="719"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6" t="str">
        <f>IFERROR(VLOOKUP($D25,'Apoio - Uniforme e EPIs'!$A:$D,3,FALSE),"")</f>
        <v/>
      </c>
      <c r="G25" s="719"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6" t="str">
        <f>IFERROR(VLOOKUP($D26,'Apoio - Uniforme e EPIs'!$A:$D,3,FALSE),"")</f>
        <v/>
      </c>
      <c r="G26" s="719"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6" t="str">
        <f>IFERROR(VLOOKUP($D27,'Apoio - Uniforme e EPIs'!$A:$D,3,FALSE),"")</f>
        <v/>
      </c>
      <c r="G27" s="719"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6" t="str">
        <f>IFERROR(VLOOKUP($D28,'Apoio - Uniforme e EPIs'!$A:$D,3,FALSE),"")</f>
        <v/>
      </c>
      <c r="G28" s="719"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6" t="str">
        <f>IFERROR(VLOOKUP($D29,'Apoio - Uniforme e EPIs'!$A:$D,3,FALSE),"")</f>
        <v/>
      </c>
      <c r="G29" s="719"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6" t="str">
        <f>IFERROR(VLOOKUP($D30,'Apoio - Uniforme e EPIs'!$A:$D,3,FALSE),"")</f>
        <v/>
      </c>
      <c r="G30" s="719"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6" t="str">
        <f>IFERROR(VLOOKUP($D31,'Apoio - Uniforme e EPIs'!$A:$D,3,FALSE),"")</f>
        <v/>
      </c>
      <c r="G31" s="719"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659</v>
      </c>
      <c r="B1" s="735" t="s">
        <v>492</v>
      </c>
      <c r="C1" s="736" t="s">
        <v>660</v>
      </c>
      <c r="D1" s="750" t="s">
        <v>485</v>
      </c>
    </row>
    <row r="2" spans="1:7" ht="15.75" thickBot="1">
      <c r="A2" s="728"/>
      <c r="B2" s="729"/>
      <c r="C2" s="720"/>
      <c r="D2" s="752"/>
      <c r="G2" s="746" t="s">
        <v>720</v>
      </c>
    </row>
    <row r="3" spans="1:7">
      <c r="A3" s="728" t="s">
        <v>661</v>
      </c>
      <c r="B3" s="729" t="s">
        <v>695</v>
      </c>
      <c r="C3" s="720">
        <v>11.59</v>
      </c>
      <c r="D3" s="752"/>
      <c r="G3" s="745" t="s">
        <v>719</v>
      </c>
    </row>
    <row r="4" spans="1:7">
      <c r="A4" s="728" t="s">
        <v>696</v>
      </c>
      <c r="B4" s="729" t="s">
        <v>695</v>
      </c>
      <c r="C4" s="720">
        <v>10.69</v>
      </c>
      <c r="D4" s="752"/>
    </row>
    <row r="5" spans="1:7">
      <c r="A5" s="728" t="s">
        <v>697</v>
      </c>
      <c r="B5" s="729" t="s">
        <v>695</v>
      </c>
      <c r="C5" s="720">
        <v>24.8</v>
      </c>
      <c r="D5" s="752"/>
    </row>
    <row r="6" spans="1:7">
      <c r="A6" s="728" t="s">
        <v>698</v>
      </c>
      <c r="B6" s="729" t="s">
        <v>695</v>
      </c>
      <c r="C6" s="720">
        <v>2.34</v>
      </c>
      <c r="D6" s="752"/>
    </row>
    <row r="7" spans="1:7">
      <c r="A7" s="728" t="s">
        <v>662</v>
      </c>
      <c r="B7" s="729" t="s">
        <v>695</v>
      </c>
      <c r="C7" s="720">
        <v>243.65</v>
      </c>
      <c r="D7" s="752"/>
    </row>
    <row r="8" spans="1:7">
      <c r="A8" s="728" t="s">
        <v>663</v>
      </c>
      <c r="B8" s="729" t="s">
        <v>695</v>
      </c>
      <c r="C8" s="720">
        <v>117.54</v>
      </c>
      <c r="D8" s="752"/>
    </row>
    <row r="9" spans="1:7">
      <c r="A9" s="728" t="s">
        <v>664</v>
      </c>
      <c r="B9" s="729" t="s">
        <v>695</v>
      </c>
      <c r="C9" s="720">
        <v>82.95</v>
      </c>
      <c r="D9" s="752"/>
    </row>
    <row r="10" spans="1:7">
      <c r="A10" s="728" t="s">
        <v>699</v>
      </c>
      <c r="B10" s="729" t="s">
        <v>700</v>
      </c>
      <c r="C10" s="720">
        <v>53.14</v>
      </c>
      <c r="D10" s="752"/>
    </row>
    <row r="11" spans="1:7">
      <c r="A11" s="728" t="s">
        <v>701</v>
      </c>
      <c r="B11" s="729" t="s">
        <v>700</v>
      </c>
      <c r="C11" s="720">
        <v>63.8</v>
      </c>
      <c r="D11" s="752"/>
    </row>
    <row r="12" spans="1:7">
      <c r="A12" s="728" t="s">
        <v>702</v>
      </c>
      <c r="B12" s="729" t="s">
        <v>700</v>
      </c>
      <c r="C12" s="720">
        <v>51.68</v>
      </c>
      <c r="D12" s="752"/>
    </row>
    <row r="13" spans="1:7">
      <c r="A13" s="728" t="s">
        <v>703</v>
      </c>
      <c r="B13" s="729" t="s">
        <v>695</v>
      </c>
      <c r="C13" s="720">
        <v>106.35</v>
      </c>
      <c r="D13" s="752"/>
    </row>
    <row r="14" spans="1:7">
      <c r="A14" s="728" t="s">
        <v>704</v>
      </c>
      <c r="B14" s="729" t="s">
        <v>695</v>
      </c>
      <c r="C14" s="720">
        <v>69.36</v>
      </c>
      <c r="D14" s="752"/>
    </row>
    <row r="15" spans="1:7">
      <c r="A15" s="728" t="s">
        <v>665</v>
      </c>
      <c r="B15" s="729" t="s">
        <v>695</v>
      </c>
      <c r="C15" s="720">
        <v>97.21</v>
      </c>
      <c r="D15" s="752"/>
    </row>
    <row r="16" spans="1:7">
      <c r="A16" s="728" t="s">
        <v>666</v>
      </c>
      <c r="B16" s="729" t="s">
        <v>695</v>
      </c>
      <c r="C16" s="720">
        <v>82.12</v>
      </c>
      <c r="D16" s="752"/>
    </row>
    <row r="17" spans="1:4">
      <c r="A17" s="728" t="s">
        <v>667</v>
      </c>
      <c r="B17" s="729" t="s">
        <v>695</v>
      </c>
      <c r="C17" s="720">
        <v>113.35</v>
      </c>
      <c r="D17" s="752"/>
    </row>
    <row r="18" spans="1:4">
      <c r="A18" s="728" t="s">
        <v>668</v>
      </c>
      <c r="B18" s="729" t="s">
        <v>695</v>
      </c>
      <c r="C18" s="720">
        <v>66.94</v>
      </c>
      <c r="D18" s="752"/>
    </row>
    <row r="19" spans="1:4">
      <c r="A19" s="728" t="s">
        <v>669</v>
      </c>
      <c r="B19" s="729" t="s">
        <v>695</v>
      </c>
      <c r="C19" s="720">
        <v>76.41</v>
      </c>
      <c r="D19" s="752"/>
    </row>
    <row r="20" spans="1:4">
      <c r="A20" s="728" t="s">
        <v>670</v>
      </c>
      <c r="B20" s="729" t="s">
        <v>695</v>
      </c>
      <c r="C20" s="720">
        <v>35.21</v>
      </c>
      <c r="D20" s="752"/>
    </row>
    <row r="21" spans="1:4">
      <c r="A21" s="728" t="s">
        <v>671</v>
      </c>
      <c r="B21" s="729" t="s">
        <v>695</v>
      </c>
      <c r="C21" s="720">
        <v>531.99</v>
      </c>
      <c r="D21" s="752"/>
    </row>
    <row r="22" spans="1:4">
      <c r="A22" s="728" t="s">
        <v>732</v>
      </c>
      <c r="B22" s="729" t="s">
        <v>695</v>
      </c>
      <c r="C22" s="720">
        <v>3.57</v>
      </c>
      <c r="D22" s="752"/>
    </row>
    <row r="23" spans="1:4">
      <c r="A23" s="728" t="s">
        <v>693</v>
      </c>
      <c r="B23" s="729" t="s">
        <v>695</v>
      </c>
      <c r="C23" s="720">
        <v>50.86</v>
      </c>
      <c r="D23" s="752"/>
    </row>
    <row r="24" spans="1:4">
      <c r="A24" s="728" t="s">
        <v>705</v>
      </c>
      <c r="B24" s="729" t="s">
        <v>695</v>
      </c>
      <c r="C24" s="720">
        <v>52.98</v>
      </c>
      <c r="D24" s="752"/>
    </row>
    <row r="25" spans="1:4">
      <c r="A25" s="728" t="s">
        <v>688</v>
      </c>
      <c r="B25" s="729" t="s">
        <v>714</v>
      </c>
      <c r="C25" s="720">
        <v>5.7</v>
      </c>
      <c r="D25" s="752"/>
    </row>
    <row r="26" spans="1:4">
      <c r="A26" s="728" t="s">
        <v>672</v>
      </c>
      <c r="B26" s="729" t="s">
        <v>695</v>
      </c>
      <c r="C26" s="720">
        <v>1439.06</v>
      </c>
      <c r="D26" s="752">
        <v>0.2</v>
      </c>
    </row>
    <row r="27" spans="1:4">
      <c r="A27" s="728" t="s">
        <v>673</v>
      </c>
      <c r="B27" s="729" t="s">
        <v>695</v>
      </c>
      <c r="C27" s="720">
        <v>24.36</v>
      </c>
      <c r="D27" s="752"/>
    </row>
    <row r="28" spans="1:4">
      <c r="A28" s="728" t="s">
        <v>706</v>
      </c>
      <c r="B28" s="729" t="s">
        <v>695</v>
      </c>
      <c r="C28" s="720">
        <v>65.58</v>
      </c>
      <c r="D28" s="752"/>
    </row>
    <row r="29" spans="1:4">
      <c r="A29" s="728" t="s">
        <v>707</v>
      </c>
      <c r="B29" s="729" t="s">
        <v>695</v>
      </c>
      <c r="C29" s="720">
        <v>71.92</v>
      </c>
      <c r="D29" s="752"/>
    </row>
    <row r="30" spans="1:4">
      <c r="A30" s="728" t="s">
        <v>708</v>
      </c>
      <c r="B30" s="729" t="s">
        <v>695</v>
      </c>
      <c r="C30" s="720">
        <v>149.16</v>
      </c>
      <c r="D30" s="752"/>
    </row>
    <row r="31" spans="1:4">
      <c r="A31" s="728" t="s">
        <v>674</v>
      </c>
      <c r="B31" s="729" t="s">
        <v>695</v>
      </c>
      <c r="C31" s="720">
        <v>163.58000000000001</v>
      </c>
      <c r="D31" s="752"/>
    </row>
    <row r="32" spans="1:4">
      <c r="A32" s="728" t="s">
        <v>675</v>
      </c>
      <c r="B32" s="729" t="s">
        <v>700</v>
      </c>
      <c r="C32" s="720">
        <v>11.05</v>
      </c>
      <c r="D32" s="752"/>
    </row>
    <row r="33" spans="1:4">
      <c r="A33" s="728" t="s">
        <v>709</v>
      </c>
      <c r="B33" s="729" t="s">
        <v>700</v>
      </c>
      <c r="C33" s="720">
        <v>11.52</v>
      </c>
      <c r="D33" s="752"/>
    </row>
    <row r="34" spans="1:4">
      <c r="A34" s="728" t="s">
        <v>676</v>
      </c>
      <c r="B34" s="729" t="s">
        <v>700</v>
      </c>
      <c r="C34" s="720">
        <v>0.24060000000000001</v>
      </c>
      <c r="D34" s="752"/>
    </row>
    <row r="35" spans="1:4">
      <c r="A35" s="728" t="s">
        <v>677</v>
      </c>
      <c r="B35" s="729" t="s">
        <v>700</v>
      </c>
      <c r="C35" s="720">
        <v>57.71</v>
      </c>
      <c r="D35" s="752"/>
    </row>
    <row r="36" spans="1:4">
      <c r="A36" s="728" t="s">
        <v>678</v>
      </c>
      <c r="B36" s="729" t="s">
        <v>700</v>
      </c>
      <c r="C36" s="720">
        <v>15.33</v>
      </c>
      <c r="D36" s="752"/>
    </row>
    <row r="37" spans="1:4">
      <c r="A37" s="728" t="s">
        <v>679</v>
      </c>
      <c r="B37" s="729" t="s">
        <v>695</v>
      </c>
      <c r="C37" s="720">
        <v>0.1356</v>
      </c>
      <c r="D37" s="752"/>
    </row>
    <row r="38" spans="1:4">
      <c r="A38" s="728" t="s">
        <v>680</v>
      </c>
      <c r="B38" s="729" t="s">
        <v>700</v>
      </c>
      <c r="C38" s="720">
        <v>1.42</v>
      </c>
      <c r="D38" s="752"/>
    </row>
    <row r="39" spans="1:4">
      <c r="A39" s="728" t="s">
        <v>710</v>
      </c>
      <c r="B39" s="729" t="s">
        <v>700</v>
      </c>
      <c r="C39" s="720">
        <v>10.79</v>
      </c>
      <c r="D39" s="752"/>
    </row>
    <row r="40" spans="1:4">
      <c r="A40" s="728" t="s">
        <v>681</v>
      </c>
      <c r="B40" s="729" t="s">
        <v>695</v>
      </c>
      <c r="C40" s="720">
        <v>8.11</v>
      </c>
      <c r="D40" s="752"/>
    </row>
    <row r="41" spans="1:4">
      <c r="A41" s="728" t="s">
        <v>682</v>
      </c>
      <c r="B41" s="729" t="s">
        <v>711</v>
      </c>
      <c r="C41" s="720">
        <v>20.97</v>
      </c>
      <c r="D41" s="752"/>
    </row>
    <row r="42" spans="1:4">
      <c r="A42" s="728" t="s">
        <v>712</v>
      </c>
      <c r="B42" s="729" t="s">
        <v>700</v>
      </c>
      <c r="C42" s="720">
        <v>75.72</v>
      </c>
      <c r="D42" s="752"/>
    </row>
    <row r="43" spans="1:4">
      <c r="A43" s="728" t="s">
        <v>683</v>
      </c>
      <c r="B43" s="729" t="s">
        <v>695</v>
      </c>
      <c r="C43" s="720">
        <v>6.3200000000000006E-2</v>
      </c>
      <c r="D43" s="752"/>
    </row>
    <row r="44" spans="1:4">
      <c r="A44" s="728" t="s">
        <v>713</v>
      </c>
      <c r="B44" s="729" t="s">
        <v>695</v>
      </c>
      <c r="C44" s="720">
        <v>12.58</v>
      </c>
      <c r="D44" s="752"/>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F7" sqref="F7"/>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30" t="s">
        <v>484</v>
      </c>
      <c r="C2" s="831"/>
      <c r="D2" s="831"/>
      <c r="E2" s="831"/>
      <c r="F2" s="831"/>
      <c r="G2" s="831"/>
      <c r="H2" s="831"/>
      <c r="I2" s="831"/>
      <c r="J2" s="832"/>
    </row>
    <row r="3" spans="2:10" ht="45">
      <c r="B3" s="253" t="s">
        <v>184</v>
      </c>
      <c r="C3" s="253" t="s">
        <v>40</v>
      </c>
      <c r="D3" s="253" t="s">
        <v>493</v>
      </c>
      <c r="E3" s="405" t="s">
        <v>492</v>
      </c>
      <c r="F3" s="253" t="s">
        <v>310</v>
      </c>
      <c r="G3" s="405" t="s">
        <v>41</v>
      </c>
      <c r="H3" s="641" t="s">
        <v>485</v>
      </c>
      <c r="I3" s="254" t="s">
        <v>494</v>
      </c>
      <c r="J3" s="254" t="s">
        <v>734</v>
      </c>
    </row>
    <row r="4" spans="2:10">
      <c r="C4"/>
      <c r="G4"/>
      <c r="I4" s="298">
        <f>SUM(I5:I251)</f>
        <v>1.69</v>
      </c>
      <c r="J4" s="298">
        <f>SUM(J5:J251)</f>
        <v>1.97</v>
      </c>
    </row>
    <row r="5" spans="2:10" ht="3.75" customHeight="1">
      <c r="C5"/>
      <c r="G5"/>
      <c r="I5" s="773"/>
      <c r="J5" s="773"/>
    </row>
    <row r="6" spans="2:10">
      <c r="B6" s="250">
        <v>1</v>
      </c>
      <c r="C6" s="250"/>
      <c r="D6" s="386" t="s">
        <v>715</v>
      </c>
      <c r="E6" s="250" t="str">
        <f>IFERROR(VLOOKUP($D6,'Apoio - Mat Coletivo e Equip'!$A:$D,2,FALSE),"")</f>
        <v>Peça</v>
      </c>
      <c r="F6" s="250">
        <v>1</v>
      </c>
      <c r="G6" s="743">
        <f>IFERROR(VLOOKUP($D6,'Apoio - Mat Coletivo e Equip'!$A:$D,3,FALSE),"")</f>
        <v>20.239999999999998</v>
      </c>
      <c r="H6" s="742" t="str">
        <f>IFERROR(IF(VLOOKUP($D6,'Apoio - Mat Coletivo e Equip'!$A:$D,4,FALSE)=0,"",VLOOKUP($D6,'Apoio - Mat Coletivo e Equip'!$A:$D,4,FALSE)),"")</f>
        <v/>
      </c>
      <c r="I6" s="774">
        <f>IFERROR(ROUND((IF(ISNUMBER(H6),H6*'Mão de Obra'!$D$12/12,1)*G6*F6)/'Mão de Obra'!$D$12,2),"")</f>
        <v>1.69</v>
      </c>
      <c r="J6" s="774">
        <f>IFERROR(ROUND(I6*(1+
SUM(
IFERROR(SUMPRODUCT('Mão de Obra'!$E$169:$II$169,'Mão de Obra'!$E$29:$II$29),0),
IFERROR(SUMPRODUCT(Produtividade!$E$171:$II$171,Produtividade!$E$29:$II$29),0),
IFERROR(SUMPRODUCT(Veículos!$E$81:$II$81,Veículos!$E$4:$II$4),0)
)
/
Proposta!$J$62),2),"")</f>
        <v>1.97</v>
      </c>
    </row>
    <row r="7" spans="2:10">
      <c r="B7" s="250">
        <v>2</v>
      </c>
      <c r="C7" s="250"/>
      <c r="D7" s="386"/>
      <c r="E7" s="250" t="str">
        <f>IFERROR(VLOOKUP($D7,'Apoio - Mat Coletivo e Equip'!$A:$D,2,FALSE),"")</f>
        <v/>
      </c>
      <c r="F7" s="449"/>
      <c r="G7" s="743" t="str">
        <f>IFERROR(VLOOKUP($D7,'Apoio - Mat Coletivo e Equip'!$A:$D,3,FALSE),"")</f>
        <v/>
      </c>
      <c r="H7" s="742" t="str">
        <f>IFERROR(IF(VLOOKUP($D7,'Apoio - Mat Coletivo e Equip'!$A:$D,4,FALSE)=0,"",VLOOKUP($D7,'Apoio - Mat Coletivo e Equip'!$A:$D,4,FALSE)),"")</f>
        <v/>
      </c>
      <c r="I7" s="774" t="str">
        <f>IFERROR(ROUND((IF(ISNUMBER(H7),H7*'Mão de Obra'!$D$12/12,1)*G7*F7)/'Mão de Obra'!$D$12,2),"")</f>
        <v/>
      </c>
      <c r="J7" s="774" t="str">
        <f>IFERROR(ROUND(I7*(1+
SUM(
IFERROR(SUMPRODUCT('Mão de Obra'!$E$169:$II$169,'Mão de Obra'!$E$29:$II$29),0),
IFERROR(SUMPRODUCT(Produtividade!$E$171:$II$171,Produtividade!$E$29:$II$29),0),
IFERROR(SUMPRODUCT(Veículos!$E$81:$II$81,Veículos!$E$4:$II$4),0)
)
/
Proposta!$J$62),2),"")</f>
        <v/>
      </c>
    </row>
    <row r="8" spans="2:10">
      <c r="B8" s="250">
        <v>3</v>
      </c>
      <c r="C8" s="250"/>
      <c r="D8" s="386"/>
      <c r="E8" s="250" t="str">
        <f>IFERROR(VLOOKUP($D8,'Apoio - Mat Coletivo e Equip'!$A:$D,2,FALSE),"")</f>
        <v/>
      </c>
      <c r="F8" s="449"/>
      <c r="G8" s="743" t="str">
        <f>IFERROR(VLOOKUP($D8,'Apoio - Mat Coletivo e Equip'!$A:$D,3,FALSE),"")</f>
        <v/>
      </c>
      <c r="H8" s="742" t="str">
        <f>IFERROR(IF(VLOOKUP($D8,'Apoio - Mat Coletivo e Equip'!$A:$D,4,FALSE)=0,"",VLOOKUP($D8,'Apoio - Mat Coletivo e Equip'!$A:$D,4,FALSE)),"")</f>
        <v/>
      </c>
      <c r="I8" s="774" t="str">
        <f>IFERROR(ROUND((IF(ISNUMBER(H8),H8*'Mão de Obra'!$D$12/12,1)*G8*F8)/'Mão de Obra'!$D$12,2),"")</f>
        <v/>
      </c>
      <c r="J8" s="774" t="str">
        <f>IFERROR(ROUND(I8*(1+
SUM(
IFERROR(SUMPRODUCT('Mão de Obra'!$E$169:$II$169,'Mão de Obra'!$E$29:$II$29),0),
IFERROR(SUMPRODUCT(Produtividade!$E$171:$II$171,Produtividade!$E$29:$II$29),0),
IFERROR(SUMPRODUCT(Veículos!$E$81:$II$81,Veículos!$E$4:$II$4),0)
)
/
Proposta!$J$62),2),"")</f>
        <v/>
      </c>
    </row>
    <row r="9" spans="2:10">
      <c r="B9" s="250">
        <v>4</v>
      </c>
      <c r="C9" s="250"/>
      <c r="D9" s="386"/>
      <c r="E9" s="250" t="str">
        <f>IFERROR(VLOOKUP($D9,'Apoio - Mat Coletivo e Equip'!$A:$D,2,FALSE),"")</f>
        <v/>
      </c>
      <c r="F9" s="449"/>
      <c r="G9" s="743" t="str">
        <f>IFERROR(VLOOKUP($D9,'Apoio - Mat Coletivo e Equip'!$A:$D,3,FALSE),"")</f>
        <v/>
      </c>
      <c r="H9" s="742" t="str">
        <f>IFERROR(IF(VLOOKUP($D9,'Apoio - Mat Coletivo e Equip'!$A:$D,4,FALSE)=0,"",VLOOKUP($D9,'Apoio - Mat Coletivo e Equip'!$A:$D,4,FALSE)),"")</f>
        <v/>
      </c>
      <c r="I9" s="774" t="str">
        <f>IFERROR(ROUND((IF(ISNUMBER(H9),H9*'Mão de Obra'!$D$12/12,1)*G9*F9)/'Mão de Obra'!$D$12,2),"")</f>
        <v/>
      </c>
      <c r="J9" s="774" t="str">
        <f>IFERROR(ROUND(I9*(1+
SUM(
IFERROR(SUMPRODUCT('Mão de Obra'!$E$169:$II$169,'Mão de Obra'!$E$29:$II$29),0),
IFERROR(SUMPRODUCT(Produtividade!$E$171:$II$171,Produtividade!$E$29:$II$29),0),
IFERROR(SUMPRODUCT(Veículos!$E$81:$II$81,Veículos!$E$4:$II$4),0)
)
/
Proposta!$J$62),2),"")</f>
        <v/>
      </c>
    </row>
    <row r="10" spans="2:10">
      <c r="B10" s="250">
        <v>5</v>
      </c>
      <c r="C10" s="250"/>
      <c r="D10" s="386"/>
      <c r="E10" s="250" t="str">
        <f>IFERROR(VLOOKUP($D10,'Apoio - Mat Coletivo e Equip'!$A:$D,2,FALSE),"")</f>
        <v/>
      </c>
      <c r="F10" s="449"/>
      <c r="G10" s="743" t="str">
        <f>IFERROR(VLOOKUP($D10,'Apoio - Mat Coletivo e Equip'!$A:$D,3,FALSE),"")</f>
        <v/>
      </c>
      <c r="H10" s="742" t="str">
        <f>IFERROR(IF(VLOOKUP($D10,'Apoio - Mat Coletivo e Equip'!$A:$D,4,FALSE)=0,"",VLOOKUP($D10,'Apoio - Mat Coletivo e Equip'!$A:$D,4,FALSE)),"")</f>
        <v/>
      </c>
      <c r="I10" s="774" t="str">
        <f>IFERROR(ROUND((IF(ISNUMBER(H10),H10*'Mão de Obra'!$D$12/12,1)*G10*F10)/'Mão de Obra'!$D$12,2),"")</f>
        <v/>
      </c>
      <c r="J10" s="774" t="str">
        <f>IFERROR(ROUND(I10*(1+
SUM(
IFERROR(SUMPRODUCT('Mão de Obra'!$E$169:$II$169,'Mão de Obra'!$E$29:$II$29),0),
IFERROR(SUMPRODUCT(Produtividade!$E$171:$II$171,Produtividade!$E$29:$II$29),0),
IFERROR(SUMPRODUCT(Veículos!$E$81:$II$81,Veículos!$E$4:$II$4),0)
)
/
Proposta!$J$62),2),"")</f>
        <v/>
      </c>
    </row>
    <row r="11" spans="2:10">
      <c r="B11" s="250">
        <v>6</v>
      </c>
      <c r="C11" s="250"/>
      <c r="D11" s="386"/>
      <c r="E11" s="250" t="str">
        <f>IFERROR(VLOOKUP($D11,'Apoio - Mat Coletivo e Equip'!$A:$D,2,FALSE),"")</f>
        <v/>
      </c>
      <c r="F11" s="449"/>
      <c r="G11" s="743" t="str">
        <f>IFERROR(VLOOKUP($D11,'Apoio - Mat Coletivo e Equip'!$A:$D,3,FALSE),"")</f>
        <v/>
      </c>
      <c r="H11" s="742" t="str">
        <f>IFERROR(IF(VLOOKUP($D11,'Apoio - Mat Coletivo e Equip'!$A:$D,4,FALSE)=0,"",VLOOKUP($D11,'Apoio - Mat Coletivo e Equip'!$A:$D,4,FALSE)),"")</f>
        <v/>
      </c>
      <c r="I11" s="774" t="str">
        <f>IFERROR(ROUND((IF(ISNUMBER(H11),H11*'Mão de Obra'!$D$12/12,1)*G11*F11)/'Mão de Obra'!$D$12,2),"")</f>
        <v/>
      </c>
      <c r="J11" s="774" t="str">
        <f>IFERROR(ROUND(I11*(1+
SUM(
IFERROR(SUMPRODUCT('Mão de Obra'!$E$169:$II$169,'Mão de Obra'!$E$29:$II$29),0),
IFERROR(SUMPRODUCT(Produtividade!$E$171:$II$171,Produtividade!$E$29:$II$29),0),
IFERROR(SUMPRODUCT(Veículos!$E$81:$II$81,Veículos!$E$4:$II$4),0)
)
/
Proposta!$J$62),2),"")</f>
        <v/>
      </c>
    </row>
    <row r="12" spans="2:10">
      <c r="B12" s="250">
        <v>7</v>
      </c>
      <c r="C12" s="250"/>
      <c r="D12" s="386"/>
      <c r="E12" s="250" t="str">
        <f>IFERROR(VLOOKUP($D12,'Apoio - Mat Coletivo e Equip'!$A:$D,2,FALSE),"")</f>
        <v/>
      </c>
      <c r="F12" s="449"/>
      <c r="G12" s="743" t="str">
        <f>IFERROR(VLOOKUP($D12,'Apoio - Mat Coletivo e Equip'!$A:$D,3,FALSE),"")</f>
        <v/>
      </c>
      <c r="H12" s="742" t="str">
        <f>IFERROR(IF(VLOOKUP($D12,'Apoio - Mat Coletivo e Equip'!$A:$D,4,FALSE)=0,"",VLOOKUP($D12,'Apoio - Mat Coletivo e Equip'!$A:$D,4,FALSE)),"")</f>
        <v/>
      </c>
      <c r="I12" s="774" t="str">
        <f>IFERROR(ROUND((IF(ISNUMBER(H12),H12*'Mão de Obra'!$D$12/12,1)*G12*F12)/'Mão de Obra'!$D$12,2),"")</f>
        <v/>
      </c>
      <c r="J12" s="774" t="str">
        <f>IFERROR(ROUND(I12*(1+
SUM(
IFERROR(SUMPRODUCT('Mão de Obra'!$E$169:$II$169,'Mão de Obra'!$E$29:$II$29),0),
IFERROR(SUMPRODUCT(Produtividade!$E$171:$II$171,Produtividade!$E$29:$II$29),0),
IFERROR(SUMPRODUCT(Veículos!$E$81:$II$81,Veículos!$E$4:$II$4),0)
)
/
Proposta!$J$62),2),"")</f>
        <v/>
      </c>
    </row>
    <row r="13" spans="2:10">
      <c r="B13" s="250">
        <v>8</v>
      </c>
      <c r="C13" s="250"/>
      <c r="D13" s="386"/>
      <c r="E13" s="250" t="str">
        <f>IFERROR(VLOOKUP($D13,'Apoio - Mat Coletivo e Equip'!$A:$D,2,FALSE),"")</f>
        <v/>
      </c>
      <c r="F13" s="449"/>
      <c r="G13" s="743" t="str">
        <f>IFERROR(VLOOKUP($D13,'Apoio - Mat Coletivo e Equip'!$A:$D,3,FALSE),"")</f>
        <v/>
      </c>
      <c r="H13" s="742" t="str">
        <f>IFERROR(IF(VLOOKUP($D13,'Apoio - Mat Coletivo e Equip'!$A:$D,4,FALSE)=0,"",VLOOKUP($D13,'Apoio - Mat Coletivo e Equip'!$A:$D,4,FALSE)),"")</f>
        <v/>
      </c>
      <c r="I13" s="774" t="str">
        <f>IFERROR(ROUND((IF(ISNUMBER(H13),H13*'Mão de Obra'!$D$12/12,1)*G13*F13)/'Mão de Obra'!$D$12,2),"")</f>
        <v/>
      </c>
      <c r="J13" s="774" t="str">
        <f>IFERROR(ROUND(I13*(1+
SUM(
IFERROR(SUMPRODUCT('Mão de Obra'!$E$169:$II$169,'Mão de Obra'!$E$29:$II$29),0),
IFERROR(SUMPRODUCT(Produtividade!$E$171:$II$171,Produtividade!$E$29:$II$29),0),
IFERROR(SUMPRODUCT(Veículos!$E$81:$II$81,Veículos!$E$4:$II$4),0)
)
/
Proposta!$J$62),2),"")</f>
        <v/>
      </c>
    </row>
    <row r="14" spans="2:10">
      <c r="B14" s="250">
        <v>9</v>
      </c>
      <c r="C14" s="250"/>
      <c r="D14" s="386"/>
      <c r="E14" s="250" t="str">
        <f>IFERROR(VLOOKUP($D14,'Apoio - Mat Coletivo e Equip'!$A:$D,2,FALSE),"")</f>
        <v/>
      </c>
      <c r="F14" s="449"/>
      <c r="G14" s="743" t="str">
        <f>IFERROR(VLOOKUP($D14,'Apoio - Mat Coletivo e Equip'!$A:$D,3,FALSE),"")</f>
        <v/>
      </c>
      <c r="H14" s="742" t="str">
        <f>IFERROR(IF(VLOOKUP($D14,'Apoio - Mat Coletivo e Equip'!$A:$D,4,FALSE)=0,"",VLOOKUP($D14,'Apoio - Mat Coletivo e Equip'!$A:$D,4,FALSE)),"")</f>
        <v/>
      </c>
      <c r="I14" s="774" t="str">
        <f>IFERROR(ROUND((IF(ISNUMBER(H14),H14*'Mão de Obra'!$D$12/12,1)*G14*F14)/'Mão de Obra'!$D$12,2),"")</f>
        <v/>
      </c>
      <c r="J14" s="774" t="str">
        <f>IFERROR(ROUND(I14*(1+
SUM(
IFERROR(SUMPRODUCT('Mão de Obra'!$E$169:$II$169,'Mão de Obra'!$E$29:$II$29),0),
IFERROR(SUMPRODUCT(Produtividade!$E$171:$II$171,Produtividade!$E$29:$II$29),0),
IFERROR(SUMPRODUCT(Veículos!$E$81:$II$81,Veículos!$E$4:$II$4),0)
)
/
Proposta!$J$62),2),"")</f>
        <v/>
      </c>
    </row>
    <row r="15" spans="2:10">
      <c r="B15" s="250">
        <v>10</v>
      </c>
      <c r="C15" s="250"/>
      <c r="D15" s="386"/>
      <c r="E15" s="250" t="str">
        <f>IFERROR(VLOOKUP($D15,'Apoio - Mat Coletivo e Equip'!$A:$D,2,FALSE),"")</f>
        <v/>
      </c>
      <c r="F15" s="449"/>
      <c r="G15" s="743" t="str">
        <f>IFERROR(VLOOKUP($D15,'Apoio - Mat Coletivo e Equip'!$A:$D,3,FALSE),"")</f>
        <v/>
      </c>
      <c r="H15" s="742" t="str">
        <f>IFERROR(IF(VLOOKUP($D15,'Apoio - Mat Coletivo e Equip'!$A:$D,4,FALSE)=0,"",VLOOKUP($D15,'Apoio - Mat Coletivo e Equip'!$A:$D,4,FALSE)),"")</f>
        <v/>
      </c>
      <c r="I15" s="774" t="str">
        <f>IFERROR(ROUND((IF(ISNUMBER(H15),H15*'Mão de Obra'!$D$12/12,1)*G15*F15)/'Mão de Obra'!$D$12,2),"")</f>
        <v/>
      </c>
      <c r="J15" s="774" t="str">
        <f>IFERROR(ROUND(I15*(1+
SUM(
IFERROR(SUMPRODUCT('Mão de Obra'!$E$169:$II$169,'Mão de Obra'!$E$29:$II$29),0),
IFERROR(SUMPRODUCT(Produtividade!$E$171:$II$171,Produtividade!$E$29:$II$29),0),
IFERROR(SUMPRODUCT(Veículos!$E$81:$II$81,Veículos!$E$4:$II$4),0)
)
/
Proposta!$J$62),2),"")</f>
        <v/>
      </c>
    </row>
    <row r="16" spans="2:10">
      <c r="B16" s="250">
        <v>11</v>
      </c>
      <c r="C16" s="250"/>
      <c r="D16" s="386"/>
      <c r="E16" s="250" t="str">
        <f>IFERROR(VLOOKUP($D16,'Apoio - Mat Coletivo e Equip'!$A:$D,2,FALSE),"")</f>
        <v/>
      </c>
      <c r="F16" s="449"/>
      <c r="G16" s="743" t="str">
        <f>IFERROR(VLOOKUP($D16,'Apoio - Mat Coletivo e Equip'!$A:$D,3,FALSE),"")</f>
        <v/>
      </c>
      <c r="H16" s="742" t="str">
        <f>IFERROR(IF(VLOOKUP($D16,'Apoio - Mat Coletivo e Equip'!$A:$D,4,FALSE)=0,"",VLOOKUP($D16,'Apoio - Mat Coletivo e Equip'!$A:$D,4,FALSE)),"")</f>
        <v/>
      </c>
      <c r="I16" s="774" t="str">
        <f>IFERROR(ROUND((IF(ISNUMBER(H16),H16*'Mão de Obra'!$D$12/12,1)*G16*F16)/'Mão de Obra'!$D$12,2),"")</f>
        <v/>
      </c>
      <c r="J16" s="774" t="str">
        <f>IFERROR(ROUND(I16*(1+
SUM(
IFERROR(SUMPRODUCT('Mão de Obra'!$E$169:$II$169,'Mão de Obra'!$E$29:$II$29),0),
IFERROR(SUMPRODUCT(Produtividade!$E$171:$II$171,Produtividade!$E$29:$II$29),0),
IFERROR(SUMPRODUCT(Veículos!$E$81:$II$81,Veículos!$E$4:$II$4),0)
)
/
Proposta!$J$62),2),"")</f>
        <v/>
      </c>
    </row>
    <row r="17" spans="2:10">
      <c r="B17" s="250">
        <v>12</v>
      </c>
      <c r="C17" s="250"/>
      <c r="D17" s="386"/>
      <c r="E17" s="250" t="str">
        <f>IFERROR(VLOOKUP($D17,'Apoio - Mat Coletivo e Equip'!$A:$D,2,FALSE),"")</f>
        <v/>
      </c>
      <c r="F17" s="449"/>
      <c r="G17" s="743" t="str">
        <f>IFERROR(VLOOKUP($D17,'Apoio - Mat Coletivo e Equip'!$A:$D,3,FALSE),"")</f>
        <v/>
      </c>
      <c r="H17" s="742" t="str">
        <f>IFERROR(IF(VLOOKUP($D17,'Apoio - Mat Coletivo e Equip'!$A:$D,4,FALSE)=0,"",VLOOKUP($D17,'Apoio - Mat Coletivo e Equip'!$A:$D,4,FALSE)),"")</f>
        <v/>
      </c>
      <c r="I17" s="774" t="str">
        <f>IFERROR(ROUND((IF(ISNUMBER(H17),H17*'Mão de Obra'!$D$12/12,1)*G17*F17)/'Mão de Obra'!$D$12,2),"")</f>
        <v/>
      </c>
      <c r="J17" s="774" t="str">
        <f>IFERROR(ROUND(I17*(1+
SUM(
IFERROR(SUMPRODUCT('Mão de Obra'!$E$169:$II$169,'Mão de Obra'!$E$29:$II$29),0),
IFERROR(SUMPRODUCT(Produtividade!$E$171:$II$171,Produtividade!$E$29:$II$29),0),
IFERROR(SUMPRODUCT(Veículos!$E$81:$II$81,Veículos!$E$4:$II$4),0)
)
/
Proposta!$J$62),2),"")</f>
        <v/>
      </c>
    </row>
    <row r="18" spans="2:10">
      <c r="B18" s="250">
        <v>13</v>
      </c>
      <c r="C18" s="250"/>
      <c r="D18" s="386"/>
      <c r="E18" s="250" t="str">
        <f>IFERROR(VLOOKUP($D18,'Apoio - Mat Coletivo e Equip'!$A:$D,2,FALSE),"")</f>
        <v/>
      </c>
      <c r="F18" s="449"/>
      <c r="G18" s="743" t="str">
        <f>IFERROR(VLOOKUP($D18,'Apoio - Mat Coletivo e Equip'!$A:$D,3,FALSE),"")</f>
        <v/>
      </c>
      <c r="H18" s="742" t="str">
        <f>IFERROR(IF(VLOOKUP($D18,'Apoio - Mat Coletivo e Equip'!$A:$D,4,FALSE)=0,"",VLOOKUP($D18,'Apoio - Mat Coletivo e Equip'!$A:$D,4,FALSE)),"")</f>
        <v/>
      </c>
      <c r="I18" s="774" t="str">
        <f>IFERROR(ROUND((IF(ISNUMBER(H18),H18*'Mão de Obra'!$D$12/12,1)*G18*F18)/'Mão de Obra'!$D$12,2),"")</f>
        <v/>
      </c>
      <c r="J18" s="774" t="str">
        <f>IFERROR(ROUND(I18*(1+
SUM(
IFERROR(SUMPRODUCT('Mão de Obra'!$E$169:$II$169,'Mão de Obra'!$E$29:$II$29),0),
IFERROR(SUMPRODUCT(Produtividade!$E$171:$II$171,Produtividade!$E$29:$II$29),0),
IFERROR(SUMPRODUCT(Veículos!$E$81:$II$81,Veículos!$E$4:$II$4),0)
)
/
Proposta!$J$62),2),"")</f>
        <v/>
      </c>
    </row>
    <row r="19" spans="2:10">
      <c r="B19" s="250">
        <v>14</v>
      </c>
      <c r="C19" s="250"/>
      <c r="D19" s="386"/>
      <c r="E19" s="250" t="str">
        <f>IFERROR(VLOOKUP($D19,'Apoio - Mat Coletivo e Equip'!$A:$D,2,FALSE),"")</f>
        <v/>
      </c>
      <c r="F19" s="449"/>
      <c r="G19" s="743" t="str">
        <f>IFERROR(VLOOKUP($D19,'Apoio - Mat Coletivo e Equip'!$A:$D,3,FALSE),"")</f>
        <v/>
      </c>
      <c r="H19" s="742" t="str">
        <f>IFERROR(IF(VLOOKUP($D19,'Apoio - Mat Coletivo e Equip'!$A:$D,4,FALSE)=0,"",VLOOKUP($D19,'Apoio - Mat Coletivo e Equip'!$A:$D,4,FALSE)),"")</f>
        <v/>
      </c>
      <c r="I19" s="774" t="str">
        <f>IFERROR(ROUND((IF(ISNUMBER(H19),H19*'Mão de Obra'!$D$12/12,1)*G19*F19)/'Mão de Obra'!$D$12,2),"")</f>
        <v/>
      </c>
      <c r="J19" s="774" t="str">
        <f>IFERROR(ROUND(I19*(1+
SUM(
IFERROR(SUMPRODUCT('Mão de Obra'!$E$169:$II$169,'Mão de Obra'!$E$29:$II$29),0),
IFERROR(SUMPRODUCT(Produtividade!$E$171:$II$171,Produtividade!$E$29:$II$29),0),
IFERROR(SUMPRODUCT(Veículos!$E$81:$II$81,Veículos!$E$4:$II$4),0)
)
/
Proposta!$J$62),2),"")</f>
        <v/>
      </c>
    </row>
    <row r="20" spans="2:10">
      <c r="B20" s="250">
        <v>15</v>
      </c>
      <c r="C20" s="250"/>
      <c r="D20" s="386"/>
      <c r="E20" s="250" t="str">
        <f>IFERROR(VLOOKUP($D20,'Apoio - Mat Coletivo e Equip'!$A:$D,2,FALSE),"")</f>
        <v/>
      </c>
      <c r="F20" s="449"/>
      <c r="G20" s="743" t="str">
        <f>IFERROR(VLOOKUP($D20,'Apoio - Mat Coletivo e Equip'!$A:$D,3,FALSE),"")</f>
        <v/>
      </c>
      <c r="H20" s="742" t="str">
        <f>IFERROR(IF(VLOOKUP($D20,'Apoio - Mat Coletivo e Equip'!$A:$D,4,FALSE)=0,"",VLOOKUP($D20,'Apoio - Mat Coletivo e Equip'!$A:$D,4,FALSE)),"")</f>
        <v/>
      </c>
      <c r="I20" s="774" t="str">
        <f>IFERROR(ROUND((IF(ISNUMBER(H20),H20*'Mão de Obra'!$D$12/12,1)*G20*F20)/'Mão de Obra'!$D$12,2),"")</f>
        <v/>
      </c>
      <c r="J20" s="774" t="str">
        <f>IFERROR(ROUND(I20*(1+
SUM(
IFERROR(SUMPRODUCT('Mão de Obra'!$E$169:$II$169,'Mão de Obra'!$E$29:$II$29),0),
IFERROR(SUMPRODUCT(Produtividade!$E$171:$II$171,Produtividade!$E$29:$II$29),0),
IFERROR(SUMPRODUCT(Veículos!$E$81:$II$81,Veículos!$E$4:$II$4),0)
)
/
Proposta!$J$62),2),"")</f>
        <v/>
      </c>
    </row>
    <row r="21" spans="2:10">
      <c r="B21" s="250">
        <v>16</v>
      </c>
      <c r="C21" s="250"/>
      <c r="D21" s="386"/>
      <c r="E21" s="250" t="str">
        <f>IFERROR(VLOOKUP($D21,'Apoio - Mat Coletivo e Equip'!$A:$D,2,FALSE),"")</f>
        <v/>
      </c>
      <c r="F21" s="449"/>
      <c r="G21" s="743" t="str">
        <f>IFERROR(VLOOKUP($D21,'Apoio - Mat Coletivo e Equip'!$A:$D,3,FALSE),"")</f>
        <v/>
      </c>
      <c r="H21" s="742" t="str">
        <f>IFERROR(IF(VLOOKUP($D21,'Apoio - Mat Coletivo e Equip'!$A:$D,4,FALSE)=0,"",VLOOKUP($D21,'Apoio - Mat Coletivo e Equip'!$A:$D,4,FALSE)),"")</f>
        <v/>
      </c>
      <c r="I21" s="774" t="str">
        <f>IFERROR(ROUND((IF(ISNUMBER(H21),H21*'Mão de Obra'!$D$12/12,1)*G21*F21)/'Mão de Obra'!$D$12,2),"")</f>
        <v/>
      </c>
      <c r="J21" s="774" t="str">
        <f>IFERROR(ROUND(I21*(1+
SUM(
IFERROR(SUMPRODUCT('Mão de Obra'!$E$169:$II$169,'Mão de Obra'!$E$29:$II$29),0),
IFERROR(SUMPRODUCT(Produtividade!$E$171:$II$171,Produtividade!$E$29:$II$29),0),
IFERROR(SUMPRODUCT(Veículos!$E$81:$II$81,Veículos!$E$4:$II$4),0)
)
/
Proposta!$J$62),2),"")</f>
        <v/>
      </c>
    </row>
    <row r="22" spans="2:10">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4" t="str">
        <f>IFERROR(ROUND((IF(ISNUMBER(H22),H22*'Mão de Obra'!$D$12/12,1)*G22*F22)/'Mão de Obra'!$D$12,2),"")</f>
        <v/>
      </c>
      <c r="J22" s="774" t="str">
        <f>IFERROR(ROUND(I22*(1+
SUM(
IFERROR(SUMPRODUCT('Mão de Obra'!$E$169:$II$169,'Mão de Obra'!$E$29:$II$29),0),
IFERROR(SUMPRODUCT(Produtividade!$E$171:$II$171,Produtividade!$E$29:$II$29),0),
IFERROR(SUMPRODUCT(Veículos!$E$81:$II$81,Veículos!$E$4:$II$4),0)
)
/
Proposta!$J$62),2),"")</f>
        <v/>
      </c>
    </row>
    <row r="23" spans="2:10">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4" t="str">
        <f>IFERROR(ROUND((IF(ISNUMBER(H23),H23*'Mão de Obra'!$D$12/12,1)*G23*F23)/'Mão de Obra'!$D$12,2),"")</f>
        <v/>
      </c>
      <c r="J23" s="774" t="str">
        <f>IFERROR(ROUND(I23*(1+
SUM(
IFERROR(SUMPRODUCT('Mão de Obra'!$E$169:$II$169,'Mão de Obra'!$E$29:$II$29),0),
IFERROR(SUMPRODUCT(Produtividade!$E$171:$II$171,Produtividade!$E$29:$II$29),0),
IFERROR(SUMPRODUCT(Veículos!$E$81:$II$81,Veículos!$E$4:$II$4),0)
)
/
Proposta!$J$62),2),"")</f>
        <v/>
      </c>
    </row>
    <row r="24" spans="2:10">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4" t="str">
        <f>IFERROR(ROUND((IF(ISNUMBER(H24),H24*'Mão de Obra'!$D$12/12,1)*G24*F24)/'Mão de Obra'!$D$12,2),"")</f>
        <v/>
      </c>
      <c r="J24" s="774" t="str">
        <f>IFERROR(ROUND(I24*(1+
SUM(
IFERROR(SUMPRODUCT('Mão de Obra'!$E$169:$II$169,'Mão de Obra'!$E$29:$II$29),0),
IFERROR(SUMPRODUCT(Produtividade!$E$171:$II$171,Produtividade!$E$29:$II$29),0),
IFERROR(SUMPRODUCT(Veículos!$E$81:$II$81,Veículos!$E$4:$II$4),0)
)
/
Proposta!$J$62),2),"")</f>
        <v/>
      </c>
    </row>
    <row r="25" spans="2:10">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4" t="str">
        <f>IFERROR(ROUND((IF(ISNUMBER(H25),H25*'Mão de Obra'!$D$12/12,1)*G25*F25)/'Mão de Obra'!$D$12,2),"")</f>
        <v/>
      </c>
      <c r="J25" s="774" t="str">
        <f>IFERROR(ROUND(I25*(1+
SUM(
IFERROR(SUMPRODUCT('Mão de Obra'!$E$169:$II$169,'Mão de Obra'!$E$29:$II$29),0),
IFERROR(SUMPRODUCT(Produtividade!$E$171:$II$171,Produtividade!$E$29:$II$29),0),
IFERROR(SUMPRODUCT(Veículos!$E$81:$II$81,Veículos!$E$4:$II$4),0)
)
/
Proposta!$J$62),2),"")</f>
        <v/>
      </c>
    </row>
    <row r="26" spans="2:10">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4" t="str">
        <f>IFERROR(ROUND((IF(ISNUMBER(H26),H26*'Mão de Obra'!$D$12/12,1)*G26*F26)/'Mão de Obra'!$D$12,2),"")</f>
        <v/>
      </c>
      <c r="J26" s="774" t="str">
        <f>IFERROR(ROUND(I26*(1+
SUM(
IFERROR(SUMPRODUCT('Mão de Obra'!$E$169:$II$169,'Mão de Obra'!$E$29:$II$29),0),
IFERROR(SUMPRODUCT(Produtividade!$E$171:$II$171,Produtividade!$E$29:$II$29),0),
IFERROR(SUMPRODUCT(Veículos!$E$81:$II$81,Veículos!$E$4:$II$4),0)
)
/
Proposta!$J$62),2),"")</f>
        <v/>
      </c>
    </row>
    <row r="27" spans="2:10" s="42" customFormat="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4" t="str">
        <f>IFERROR(ROUND((IF(ISNUMBER(H27),H27*'Mão de Obra'!$D$12/12,1)*G27*F27)/'Mão de Obra'!$D$12,2),"")</f>
        <v/>
      </c>
      <c r="J27" s="774" t="str">
        <f>IFERROR(ROUND(I27*(1+
SUM(
IFERROR(SUMPRODUCT('Mão de Obra'!$E$169:$II$169,'Mão de Obra'!$E$29:$II$29),0),
IFERROR(SUMPRODUCT(Produtividade!$E$171:$II$171,Produtividade!$E$29:$II$29),0),
IFERROR(SUMPRODUCT(Veículos!$E$81:$II$81,Veículos!$E$4:$II$4),0)
)
/
Proposta!$J$62),2),"")</f>
        <v/>
      </c>
    </row>
    <row r="28" spans="2:10" s="42" customFormat="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4" t="str">
        <f>IFERROR(ROUND((IF(ISNUMBER(H28),H28*'Mão de Obra'!$D$12/12,1)*G28*F28)/'Mão de Obra'!$D$12,2),"")</f>
        <v/>
      </c>
      <c r="J28" s="774" t="str">
        <f>IFERROR(ROUND(I28*(1+
SUM(
IFERROR(SUMPRODUCT('Mão de Obra'!$E$169:$II$169,'Mão de Obra'!$E$29:$II$29),0),
IFERROR(SUMPRODUCT(Produtividade!$E$171:$II$171,Produtividade!$E$29:$II$29),0),
IFERROR(SUMPRODUCT(Veículos!$E$81:$II$81,Veículos!$E$4:$II$4),0)
)
/
Proposta!$J$62),2),"")</f>
        <v/>
      </c>
    </row>
    <row r="29" spans="2:10" s="42" customFormat="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4" t="str">
        <f>IFERROR(ROUND((IF(ISNUMBER(H29),H29*'Mão de Obra'!$D$12/12,1)*G29*F29)/'Mão de Obra'!$D$12,2),"")</f>
        <v/>
      </c>
      <c r="J29" s="774" t="str">
        <f>IFERROR(ROUND(I29*(1+
SUM(
IFERROR(SUMPRODUCT('Mão de Obra'!$E$169:$II$169,'Mão de Obra'!$E$29:$II$29),0),
IFERROR(SUMPRODUCT(Produtividade!$E$171:$II$171,Produtividade!$E$29:$II$29),0),
IFERROR(SUMPRODUCT(Veículos!$E$81:$II$81,Veículos!$E$4:$II$4),0)
)
/
Proposta!$J$62),2),"")</f>
        <v/>
      </c>
    </row>
    <row r="30" spans="2:10" s="42" customFormat="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4" t="str">
        <f>IFERROR(ROUND((IF(ISNUMBER(H30),H30*'Mão de Obra'!$D$12/12,1)*G30*F30)/'Mão de Obra'!$D$12,2),"")</f>
        <v/>
      </c>
      <c r="J30" s="774" t="str">
        <f>IFERROR(ROUND(I30*(1+
SUM(
IFERROR(SUMPRODUCT('Mão de Obra'!$E$169:$II$169,'Mão de Obra'!$E$29:$II$29),0),
IFERROR(SUMPRODUCT(Produtividade!$E$171:$II$171,Produtividade!$E$29:$II$29),0),
IFERROR(SUMPRODUCT(Veículos!$E$81:$II$81,Veículos!$E$4:$II$4),0)
)
/
Proposta!$J$62),2),"")</f>
        <v/>
      </c>
    </row>
    <row r="31" spans="2:10" s="42" customFormat="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4" t="str">
        <f>IFERROR(ROUND((IF(ISNUMBER(H31),H31*'Mão de Obra'!$D$12/12,1)*G31*F31)/'Mão de Obra'!$D$12,2),"")</f>
        <v/>
      </c>
      <c r="J31" s="774" t="str">
        <f>IFERROR(ROUND(I31*(1+
SUM(
IFERROR(SUMPRODUCT('Mão de Obra'!$E$169:$II$169,'Mão de Obra'!$E$29:$II$29),0),
IFERROR(SUMPRODUCT(Produtividade!$E$171:$II$171,Produtividade!$E$29:$II$29),0),
IFERROR(SUMPRODUCT(Veículos!$E$81:$II$81,Veículos!$E$4:$II$4),0)
)
/
Proposta!$J$62),2),"")</f>
        <v/>
      </c>
    </row>
    <row r="32" spans="2:10" s="42" customFormat="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4" t="str">
        <f>IFERROR(ROUND((IF(ISNUMBER(H32),H32*'Mão de Obra'!$D$12/12,1)*G32*F32)/'Mão de Obra'!$D$12,2),"")</f>
        <v/>
      </c>
      <c r="J32" s="774" t="str">
        <f>IFERROR(ROUND(I32*(1+
SUM(
IFERROR(SUMPRODUCT('Mão de Obra'!$E$169:$II$169,'Mão de Obra'!$E$29:$II$29),0),
IFERROR(SUMPRODUCT(Produtividade!$E$171:$II$171,Produtividade!$E$29:$II$29),0),
IFERROR(SUMPRODUCT(Veículos!$E$81:$II$81,Veículos!$E$4:$II$4),0)
)
/
Proposta!$J$62),2),"")</f>
        <v/>
      </c>
    </row>
    <row r="33" spans="2:10" s="42" customFormat="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4" t="str">
        <f>IFERROR(ROUND((IF(ISNUMBER(H33),H33*'Mão de Obra'!$D$12/12,1)*G33*F33)/'Mão de Obra'!$D$12,2),"")</f>
        <v/>
      </c>
      <c r="J33" s="774" t="str">
        <f>IFERROR(ROUND(I33*(1+
SUM(
IFERROR(SUMPRODUCT('Mão de Obra'!$E$169:$II$169,'Mão de Obra'!$E$29:$II$29),0),
IFERROR(SUMPRODUCT(Produtividade!$E$171:$II$171,Produtividade!$E$29:$II$29),0),
IFERROR(SUMPRODUCT(Veículos!$E$81:$II$81,Veículos!$E$4:$II$4),0)
)
/
Proposta!$J$62),2),"")</f>
        <v/>
      </c>
    </row>
    <row r="34" spans="2:10" s="42" customFormat="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4" t="str">
        <f>IFERROR(ROUND((IF(ISNUMBER(H34),H34*'Mão de Obra'!$D$12/12,1)*G34*F34)/'Mão de Obra'!$D$12,2),"")</f>
        <v/>
      </c>
      <c r="J34" s="774" t="str">
        <f>IFERROR(ROUND(I34*(1+
SUM(
IFERROR(SUMPRODUCT('Mão de Obra'!$E$169:$II$169,'Mão de Obra'!$E$29:$II$29),0),
IFERROR(SUMPRODUCT(Produtividade!$E$171:$II$171,Produtividade!$E$29:$II$29),0),
IFERROR(SUMPRODUCT(Veículos!$E$81:$II$81,Veículos!$E$4:$II$4),0)
)
/
Proposta!$J$62),2),"")</f>
        <v/>
      </c>
    </row>
    <row r="35" spans="2:10" s="42" customFormat="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4" t="str">
        <f>IFERROR(ROUND((IF(ISNUMBER(H35),H35*'Mão de Obra'!$D$12/12,1)*G35*F35)/'Mão de Obra'!$D$12,2),"")</f>
        <v/>
      </c>
      <c r="J35" s="774" t="str">
        <f>IFERROR(ROUND(I35*(1+
SUM(
IFERROR(SUMPRODUCT('Mão de Obra'!$E$169:$II$169,'Mão de Obra'!$E$29:$II$29),0),
IFERROR(SUMPRODUCT(Produtividade!$E$171:$II$171,Produtividade!$E$29:$II$29),0),
IFERROR(SUMPRODUCT(Veículos!$E$81:$II$81,Veículos!$E$4:$II$4),0)
)
/
Proposta!$J$62),2),"")</f>
        <v/>
      </c>
    </row>
    <row r="36" spans="2:10" s="42" customFormat="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4" t="str">
        <f>IFERROR(ROUND((IF(ISNUMBER(H36),H36*'Mão de Obra'!$D$12/12,1)*G36*F36)/'Mão de Obra'!$D$12,2),"")</f>
        <v/>
      </c>
      <c r="J36" s="774" t="str">
        <f>IFERROR(ROUND(I36*(1+
SUM(
IFERROR(SUMPRODUCT('Mão de Obra'!$E$169:$II$169,'Mão de Obra'!$E$29:$II$29),0),
IFERROR(SUMPRODUCT(Produtividade!$E$171:$II$171,Produtividade!$E$29:$II$29),0),
IFERROR(SUMPRODUCT(Veículos!$E$81:$II$81,Veículos!$E$4:$II$4),0)
)
/
Proposta!$J$62),2),"")</f>
        <v/>
      </c>
    </row>
    <row r="37" spans="2:10" s="42" customFormat="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4" t="str">
        <f>IFERROR(ROUND((IF(ISNUMBER(H37),H37*'Mão de Obra'!$D$12/12,1)*G37*F37)/'Mão de Obra'!$D$12,2),"")</f>
        <v/>
      </c>
      <c r="J37" s="774" t="str">
        <f>IFERROR(ROUND(I37*(1+
SUM(
IFERROR(SUMPRODUCT('Mão de Obra'!$E$169:$II$169,'Mão de Obra'!$E$29:$II$29),0),
IFERROR(SUMPRODUCT(Produtividade!$E$171:$II$171,Produtividade!$E$29:$II$29),0),
IFERROR(SUMPRODUCT(Veículos!$E$81:$II$81,Veículos!$E$4:$II$4),0)
)
/
Proposta!$J$62),2),"")</f>
        <v/>
      </c>
    </row>
    <row r="38" spans="2:10" s="42" customFormat="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4" t="str">
        <f>IFERROR(ROUND((IF(ISNUMBER(H38),H38*'Mão de Obra'!$D$12/12,1)*G38*F38)/'Mão de Obra'!$D$12,2),"")</f>
        <v/>
      </c>
      <c r="J38" s="774" t="str">
        <f>IFERROR(ROUND(I38*(1+
SUM(
IFERROR(SUMPRODUCT('Mão de Obra'!$E$169:$II$169,'Mão de Obra'!$E$29:$II$29),0),
IFERROR(SUMPRODUCT(Produtividade!$E$171:$II$171,Produtividade!$E$29:$II$29),0),
IFERROR(SUMPRODUCT(Veículos!$E$81:$II$81,Veículos!$E$4:$II$4),0)
)
/
Proposta!$J$62),2),"")</f>
        <v/>
      </c>
    </row>
    <row r="39" spans="2:10" s="42" customFormat="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4" t="str">
        <f>IFERROR(ROUND((IF(ISNUMBER(H39),H39*'Mão de Obra'!$D$12/12,1)*G39*F39)/'Mão de Obra'!$D$12,2),"")</f>
        <v/>
      </c>
      <c r="J39" s="774" t="str">
        <f>IFERROR(ROUND(I39*(1+
SUM(
IFERROR(SUMPRODUCT('Mão de Obra'!$E$169:$II$169,'Mão de Obra'!$E$29:$II$29),0),
IFERROR(SUMPRODUCT(Produtividade!$E$171:$II$171,Produtividade!$E$29:$II$29),0),
IFERROR(SUMPRODUCT(Veículos!$E$81:$II$81,Veículos!$E$4:$II$4),0)
)
/
Proposta!$J$62),2),"")</f>
        <v/>
      </c>
    </row>
    <row r="40" spans="2:10" s="42" customFormat="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4" t="str">
        <f>IFERROR(ROUND((IF(ISNUMBER(H40),H40*'Mão de Obra'!$D$12/12,1)*G40*F40)/'Mão de Obra'!$D$12,2),"")</f>
        <v/>
      </c>
      <c r="J40" s="774" t="str">
        <f>IFERROR(ROUND(I40*(1+
SUM(
IFERROR(SUMPRODUCT('Mão de Obra'!$E$169:$II$169,'Mão de Obra'!$E$29:$II$29),0),
IFERROR(SUMPRODUCT(Produtividade!$E$171:$II$171,Produtividade!$E$29:$II$29),0),
IFERROR(SUMPRODUCT(Veículos!$E$81:$II$81,Veículos!$E$4:$II$4),0)
)
/
Proposta!$J$62),2),"")</f>
        <v/>
      </c>
    </row>
    <row r="41" spans="2:10" s="42" customFormat="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4" t="str">
        <f>IFERROR(ROUND((IF(ISNUMBER(H41),H41*'Mão de Obra'!$D$12/12,1)*G41*F41)/'Mão de Obra'!$D$12,2),"")</f>
        <v/>
      </c>
      <c r="J41" s="774" t="str">
        <f>IFERROR(ROUND(I41*(1+
SUM(
IFERROR(SUMPRODUCT('Mão de Obra'!$E$169:$II$169,'Mão de Obra'!$E$29:$II$29),0),
IFERROR(SUMPRODUCT(Produtividade!$E$171:$II$171,Produtividade!$E$29:$II$29),0),
IFERROR(SUMPRODUCT(Veículos!$E$81:$II$81,Veículos!$E$4:$II$4),0)
)
/
Proposta!$J$62),2),"")</f>
        <v/>
      </c>
    </row>
    <row r="42" spans="2:10" s="42" customFormat="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4" t="str">
        <f>IFERROR(ROUND((IF(ISNUMBER(H42),H42*'Mão de Obra'!$D$12/12,1)*G42*F42)/'Mão de Obra'!$D$12,2),"")</f>
        <v/>
      </c>
      <c r="J42" s="774" t="str">
        <f>IFERROR(ROUND(I42*(1+
SUM(
IFERROR(SUMPRODUCT('Mão de Obra'!$E$169:$II$169,'Mão de Obra'!$E$29:$II$29),0),
IFERROR(SUMPRODUCT(Produtividade!$E$171:$II$171,Produtividade!$E$29:$II$29),0),
IFERROR(SUMPRODUCT(Veículos!$E$81:$II$81,Veículos!$E$4:$II$4),0)
)
/
Proposta!$J$62),2),"")</f>
        <v/>
      </c>
    </row>
    <row r="43" spans="2:10" s="42" customFormat="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4" t="str">
        <f>IFERROR(ROUND((IF(ISNUMBER(H43),H43*'Mão de Obra'!$D$12/12,1)*G43*F43)/'Mão de Obra'!$D$12,2),"")</f>
        <v/>
      </c>
      <c r="J43" s="774" t="str">
        <f>IFERROR(ROUND(I43*(1+
SUM(
IFERROR(SUMPRODUCT('Mão de Obra'!$E$169:$II$169,'Mão de Obra'!$E$29:$II$29),0),
IFERROR(SUMPRODUCT(Produtividade!$E$171:$II$171,Produtividade!$E$29:$II$29),0),
IFERROR(SUMPRODUCT(Veículos!$E$81:$II$81,Veículos!$E$4:$II$4),0)
)
/
Proposta!$J$62),2),"")</f>
        <v/>
      </c>
    </row>
    <row r="44" spans="2:10" s="42" customFormat="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4" t="str">
        <f>IFERROR(ROUND((IF(ISNUMBER(H44),H44*'Mão de Obra'!$D$12/12,1)*G44*F44)/'Mão de Obra'!$D$12,2),"")</f>
        <v/>
      </c>
      <c r="J44" s="774" t="str">
        <f>IFERROR(ROUND(I44*(1+
SUM(
IFERROR(SUMPRODUCT('Mão de Obra'!$E$169:$II$169,'Mão de Obra'!$E$29:$II$29),0),
IFERROR(SUMPRODUCT(Produtividade!$E$171:$II$171,Produtividade!$E$29:$II$29),0),
IFERROR(SUMPRODUCT(Veículos!$E$81:$II$81,Veículos!$E$4:$II$4),0)
)
/
Proposta!$J$62),2),"")</f>
        <v/>
      </c>
    </row>
    <row r="45" spans="2:10" s="42" customFormat="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4" t="str">
        <f>IFERROR(ROUND((IF(ISNUMBER(H45),H45*'Mão de Obra'!$D$12/12,1)*G45*F45)/'Mão de Obra'!$D$12,2),"")</f>
        <v/>
      </c>
      <c r="J45" s="774" t="str">
        <f>IFERROR(ROUND(I45*(1+
SUM(
IFERROR(SUMPRODUCT('Mão de Obra'!$E$169:$II$169,'Mão de Obra'!$E$29:$II$29),0),
IFERROR(SUMPRODUCT(Produtividade!$E$171:$II$171,Produtividade!$E$29:$II$29),0),
IFERROR(SUMPRODUCT(Veículos!$E$81:$II$81,Veículos!$E$4:$II$4),0)
)
/
Proposta!$J$62),2),"")</f>
        <v/>
      </c>
    </row>
    <row r="46" spans="2:10" s="42" customFormat="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4" t="str">
        <f>IFERROR(ROUND((IF(ISNUMBER(H46),H46*'Mão de Obra'!$D$12/12,1)*G46*F46)/'Mão de Obra'!$D$12,2),"")</f>
        <v/>
      </c>
      <c r="J46" s="774" t="str">
        <f>IFERROR(ROUND(I46*(1+
SUM(
IFERROR(SUMPRODUCT('Mão de Obra'!$E$169:$II$169,'Mão de Obra'!$E$29:$II$29),0),
IFERROR(SUMPRODUCT(Produtividade!$E$171:$II$171,Produtividade!$E$29:$II$29),0),
IFERROR(SUMPRODUCT(Veículos!$E$81:$II$81,Veículos!$E$4:$II$4),0)
)
/
Proposta!$J$62),2),"")</f>
        <v/>
      </c>
    </row>
    <row r="47" spans="2:10" s="42" customFormat="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4" t="str">
        <f>IFERROR(ROUND((IF(ISNUMBER(H47),H47*'Mão de Obra'!$D$12/12,1)*G47*F47)/'Mão de Obra'!$D$12,2),"")</f>
        <v/>
      </c>
      <c r="J47" s="774" t="str">
        <f>IFERROR(ROUND(I47*(1+
SUM(
IFERROR(SUMPRODUCT('Mão de Obra'!$E$169:$II$169,'Mão de Obra'!$E$29:$II$29),0),
IFERROR(SUMPRODUCT(Produtividade!$E$171:$II$171,Produtividade!$E$29:$II$29),0),
IFERROR(SUMPRODUCT(Veículos!$E$81:$II$81,Veículos!$E$4:$II$4),0)
)
/
Proposta!$J$62),2),"")</f>
        <v/>
      </c>
    </row>
    <row r="48" spans="2:10" s="42" customFormat="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4" t="str">
        <f>IFERROR(ROUND((IF(ISNUMBER(H48),H48*'Mão de Obra'!$D$12/12,1)*G48*F48)/'Mão de Obra'!$D$12,2),"")</f>
        <v/>
      </c>
      <c r="J48" s="774" t="str">
        <f>IFERROR(ROUND(I48*(1+
SUM(
IFERROR(SUMPRODUCT('Mão de Obra'!$E$169:$II$169,'Mão de Obra'!$E$29:$II$29),0),
IFERROR(SUMPRODUCT(Produtividade!$E$171:$II$171,Produtividade!$E$29:$II$29),0),
IFERROR(SUMPRODUCT(Veículos!$E$81:$II$81,Veículos!$E$4:$II$4),0)
)
/
Proposta!$J$62),2),"")</f>
        <v/>
      </c>
    </row>
    <row r="49" spans="2:10" s="42" customFormat="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4" t="str">
        <f>IFERROR(ROUND((IF(ISNUMBER(H49),H49*'Mão de Obra'!$D$12/12,1)*G49*F49)/'Mão de Obra'!$D$12,2),"")</f>
        <v/>
      </c>
      <c r="J49" s="774" t="str">
        <f>IFERROR(ROUND(I49*(1+
SUM(
IFERROR(SUMPRODUCT('Mão de Obra'!$E$169:$II$169,'Mão de Obra'!$E$29:$II$29),0),
IFERROR(SUMPRODUCT(Produtividade!$E$171:$II$171,Produtividade!$E$29:$II$29),0),
IFERROR(SUMPRODUCT(Veículos!$E$81:$II$81,Veículos!$E$4:$II$4),0)
)
/
Proposta!$J$62),2),"")</f>
        <v/>
      </c>
    </row>
    <row r="50" spans="2:10" s="42" customFormat="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4" t="str">
        <f>IFERROR(ROUND((IF(ISNUMBER(H50),H50*'Mão de Obra'!$D$12/12,1)*G50*F50)/'Mão de Obra'!$D$12,2),"")</f>
        <v/>
      </c>
      <c r="J50" s="774" t="str">
        <f>IFERROR(ROUND(I50*(1+
SUM(
IFERROR(SUMPRODUCT('Mão de Obra'!$E$169:$II$169,'Mão de Obra'!$E$29:$II$29),0),
IFERROR(SUMPRODUCT(Produtividade!$E$171:$II$171,Produtividade!$E$29:$II$29),0),
IFERROR(SUMPRODUCT(Veículos!$E$81:$II$81,Veículos!$E$4:$II$4),0)
)
/
Proposta!$J$62),2),"")</f>
        <v/>
      </c>
    </row>
    <row r="51" spans="2:10" s="42" customFormat="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4" t="str">
        <f>IFERROR(ROUND((IF(ISNUMBER(H51),H51*'Mão de Obra'!$D$12/12,1)*G51*F51)/'Mão de Obra'!$D$12,2),"")</f>
        <v/>
      </c>
      <c r="J51" s="774" t="str">
        <f>IFERROR(ROUND(I51*(1+
SUM(
IFERROR(SUMPRODUCT('Mão de Obra'!$E$169:$II$169,'Mão de Obra'!$E$29:$II$29),0),
IFERROR(SUMPRODUCT(Produtividade!$E$171:$II$171,Produtividade!$E$29:$II$29),0),
IFERROR(SUMPRODUCT(Veículos!$E$81:$II$81,Veículos!$E$4:$II$4),0)
)
/
Proposta!$J$62),2),"")</f>
        <v/>
      </c>
    </row>
    <row r="52" spans="2:10" s="42" customFormat="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4" t="str">
        <f>IFERROR(ROUND((IF(ISNUMBER(H52),H52*'Mão de Obra'!$D$12/12,1)*G52*F52)/'Mão de Obra'!$D$12,2),"")</f>
        <v/>
      </c>
      <c r="J52" s="774" t="str">
        <f>IFERROR(ROUND(I52*(1+
SUM(
IFERROR(SUMPRODUCT('Mão de Obra'!$E$169:$II$169,'Mão de Obra'!$E$29:$II$29),0),
IFERROR(SUMPRODUCT(Produtividade!$E$171:$II$171,Produtividade!$E$29:$II$29),0),
IFERROR(SUMPRODUCT(Veículos!$E$81:$II$81,Veículos!$E$4:$II$4),0)
)
/
Proposta!$J$62),2),"")</f>
        <v/>
      </c>
    </row>
    <row r="53" spans="2:10" s="42" customFormat="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4" t="str">
        <f>IFERROR(ROUND((IF(ISNUMBER(H53),H53*'Mão de Obra'!$D$12/12,1)*G53*F53)/'Mão de Obra'!$D$12,2),"")</f>
        <v/>
      </c>
      <c r="J53" s="774" t="str">
        <f>IFERROR(ROUND(I53*(1+
SUM(
IFERROR(SUMPRODUCT('Mão de Obra'!$E$169:$II$169,'Mão de Obra'!$E$29:$II$29),0),
IFERROR(SUMPRODUCT(Produtividade!$E$171:$II$171,Produtividade!$E$29:$II$29),0),
IFERROR(SUMPRODUCT(Veículos!$E$81:$II$81,Veículos!$E$4:$II$4),0)
)
/
Proposta!$J$62),2),"")</f>
        <v/>
      </c>
    </row>
    <row r="54" spans="2:10" s="42" customFormat="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4" t="str">
        <f>IFERROR(ROUND((IF(ISNUMBER(H54),H54*'Mão de Obra'!$D$12/12,1)*G54*F54)/'Mão de Obra'!$D$12,2),"")</f>
        <v/>
      </c>
      <c r="J54" s="774" t="str">
        <f>IFERROR(ROUND(I54*(1+
SUM(
IFERROR(SUMPRODUCT('Mão de Obra'!$E$169:$II$169,'Mão de Obra'!$E$29:$II$29),0),
IFERROR(SUMPRODUCT(Produtividade!$E$171:$II$171,Produtividade!$E$29:$II$29),0),
IFERROR(SUMPRODUCT(Veículos!$E$81:$II$81,Veículos!$E$4:$II$4),0)
)
/
Proposta!$J$62),2),"")</f>
        <v/>
      </c>
    </row>
    <row r="55" spans="2:10" s="42" customFormat="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4" t="str">
        <f>IFERROR(ROUND((IF(ISNUMBER(H55),H55*'Mão de Obra'!$D$12/12,1)*G55*F55)/'Mão de Obra'!$D$12,2),"")</f>
        <v/>
      </c>
      <c r="J55" s="774" t="str">
        <f>IFERROR(ROUND(I55*(1+
SUM(
IFERROR(SUMPRODUCT('Mão de Obra'!$E$169:$II$169,'Mão de Obra'!$E$29:$II$29),0),
IFERROR(SUMPRODUCT(Produtividade!$E$171:$II$171,Produtividade!$E$29:$II$29),0),
IFERROR(SUMPRODUCT(Veículos!$E$81:$II$81,Veículos!$E$4:$II$4),0)
)
/
Proposta!$J$62),2),"")</f>
        <v/>
      </c>
    </row>
    <row r="56" spans="2:10" s="42" customFormat="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4" t="str">
        <f>IFERROR(ROUND((IF(ISNUMBER(H56),H56*'Mão de Obra'!$D$12/12,1)*G56*F56)/'Mão de Obra'!$D$12,2),"")</f>
        <v/>
      </c>
      <c r="J56" s="774" t="str">
        <f>IFERROR(ROUND(I56*(1+
SUM(
IFERROR(SUMPRODUCT('Mão de Obra'!$E$169:$II$169,'Mão de Obra'!$E$29:$II$29),0),
IFERROR(SUMPRODUCT(Produtividade!$E$171:$II$171,Produtividade!$E$29:$II$29),0),
IFERROR(SUMPRODUCT(Veículos!$E$81:$II$81,Veículos!$E$4:$II$4),0)
)
/
Proposta!$J$62),2),"")</f>
        <v/>
      </c>
    </row>
    <row r="57" spans="2:10" s="42" customFormat="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4" t="str">
        <f>IFERROR(ROUND((IF(ISNUMBER(H57),H57*'Mão de Obra'!$D$12/12,1)*G57*F57)/'Mão de Obra'!$D$12,2),"")</f>
        <v/>
      </c>
      <c r="J57" s="774" t="str">
        <f>IFERROR(ROUND(I57*(1+
SUM(
IFERROR(SUMPRODUCT('Mão de Obra'!$E$169:$II$169,'Mão de Obra'!$E$29:$II$29),0),
IFERROR(SUMPRODUCT(Produtividade!$E$171:$II$171,Produtividade!$E$29:$II$29),0),
IFERROR(SUMPRODUCT(Veículos!$E$81:$II$81,Veículos!$E$4:$II$4),0)
)
/
Proposta!$J$62),2),"")</f>
        <v/>
      </c>
    </row>
    <row r="58" spans="2:10" s="42" customFormat="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4" t="str">
        <f>IFERROR(ROUND((IF(ISNUMBER(H58),H58*'Mão de Obra'!$D$12/12,1)*G58*F58)/'Mão de Obra'!$D$12,2),"")</f>
        <v/>
      </c>
      <c r="J58" s="774" t="str">
        <f>IFERROR(ROUND(I58*(1+
SUM(
IFERROR(SUMPRODUCT('Mão de Obra'!$E$169:$II$169,'Mão de Obra'!$E$29:$II$29),0),
IFERROR(SUMPRODUCT(Produtividade!$E$171:$II$171,Produtividade!$E$29:$II$29),0),
IFERROR(SUMPRODUCT(Veículos!$E$81:$II$81,Veículos!$E$4:$II$4),0)
)
/
Proposta!$J$62),2),"")</f>
        <v/>
      </c>
    </row>
    <row r="59" spans="2:10" s="42" customFormat="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4" t="str">
        <f>IFERROR(ROUND((IF(ISNUMBER(H59),H59*'Mão de Obra'!$D$12/12,1)*G59*F59)/'Mão de Obra'!$D$12,2),"")</f>
        <v/>
      </c>
      <c r="J59" s="774" t="str">
        <f>IFERROR(ROUND(I59*(1+
SUM(
IFERROR(SUMPRODUCT('Mão de Obra'!$E$169:$II$169,'Mão de Obra'!$E$29:$II$29),0),
IFERROR(SUMPRODUCT(Produtividade!$E$171:$II$171,Produtividade!$E$29:$II$29),0),
IFERROR(SUMPRODUCT(Veículos!$E$81:$II$81,Veículos!$E$4:$II$4),0)
)
/
Proposta!$J$62),2),"")</f>
        <v/>
      </c>
    </row>
    <row r="60" spans="2:10" s="42" customFormat="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4" t="str">
        <f>IFERROR(ROUND((IF(ISNUMBER(H60),H60*'Mão de Obra'!$D$12/12,1)*G60*F60)/'Mão de Obra'!$D$12,2),"")</f>
        <v/>
      </c>
      <c r="J60" s="774" t="str">
        <f>IFERROR(ROUND(I60*(1+
SUM(
IFERROR(SUMPRODUCT('Mão de Obra'!$E$169:$II$169,'Mão de Obra'!$E$29:$II$29),0),
IFERROR(SUMPRODUCT(Produtividade!$E$171:$II$171,Produtividade!$E$29:$II$29),0),
IFERROR(SUMPRODUCT(Veículos!$E$81:$II$81,Veículos!$E$4:$II$4),0)
)
/
Proposta!$J$62),2),"")</f>
        <v/>
      </c>
    </row>
    <row r="61" spans="2:10" s="42" customFormat="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4" t="str">
        <f>IFERROR(ROUND((IF(ISNUMBER(H61),H61*'Mão de Obra'!$D$12/12,1)*G61*F61)/'Mão de Obra'!$D$12,2),"")</f>
        <v/>
      </c>
      <c r="J61" s="774" t="str">
        <f>IFERROR(ROUND(I61*(1+
SUM(
IFERROR(SUMPRODUCT('Mão de Obra'!$E$169:$II$169,'Mão de Obra'!$E$29:$II$29),0),
IFERROR(SUMPRODUCT(Produtividade!$E$171:$II$171,Produtividade!$E$29:$II$29),0),
IFERROR(SUMPRODUCT(Veículos!$E$81:$II$81,Veículos!$E$4:$II$4),0)
)
/
Proposta!$J$62),2),"")</f>
        <v/>
      </c>
    </row>
    <row r="62" spans="2:10" s="42" customFormat="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4" t="str">
        <f>IFERROR(ROUND((IF(ISNUMBER(H62),H62*'Mão de Obra'!$D$12/12,1)*G62*F62)/'Mão de Obra'!$D$12,2),"")</f>
        <v/>
      </c>
      <c r="J62" s="774" t="str">
        <f>IFERROR(ROUND(I62*(1+
SUM(
IFERROR(SUMPRODUCT('Mão de Obra'!$E$169:$II$169,'Mão de Obra'!$E$29:$II$29),0),
IFERROR(SUMPRODUCT(Produtividade!$E$171:$II$171,Produtividade!$E$29:$II$29),0),
IFERROR(SUMPRODUCT(Veículos!$E$81:$II$81,Veículos!$E$4:$II$4),0)
)
/
Proposta!$J$62),2),"")</f>
        <v/>
      </c>
    </row>
    <row r="63" spans="2:10" s="42" customFormat="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4" t="str">
        <f>IFERROR(ROUND((IF(ISNUMBER(H63),H63*'Mão de Obra'!$D$12/12,1)*G63*F63)/'Mão de Obra'!$D$12,2),"")</f>
        <v/>
      </c>
      <c r="J63" s="774" t="str">
        <f>IFERROR(ROUND(I63*(1+
SUM(
IFERROR(SUMPRODUCT('Mão de Obra'!$E$169:$II$169,'Mão de Obra'!$E$29:$II$29),0),
IFERROR(SUMPRODUCT(Produtividade!$E$171:$II$171,Produtividade!$E$29:$II$29),0),
IFERROR(SUMPRODUCT(Veículos!$E$81:$II$81,Veículos!$E$4:$II$4),0)
)
/
Proposta!$J$62),2),"")</f>
        <v/>
      </c>
    </row>
    <row r="64" spans="2:10" s="42" customFormat="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4" t="str">
        <f>IFERROR(ROUND((IF(ISNUMBER(H64),H64*'Mão de Obra'!$D$12/12,1)*G64*F64)/'Mão de Obra'!$D$12,2),"")</f>
        <v/>
      </c>
      <c r="J64" s="774" t="str">
        <f>IFERROR(ROUND(I64*(1+
SUM(
IFERROR(SUMPRODUCT('Mão de Obra'!$E$169:$II$169,'Mão de Obra'!$E$29:$II$29),0),
IFERROR(SUMPRODUCT(Produtividade!$E$171:$II$171,Produtividade!$E$29:$II$29),0),
IFERROR(SUMPRODUCT(Veículos!$E$81:$II$81,Veículos!$E$4:$II$4),0)
)
/
Proposta!$J$62),2),"")</f>
        <v/>
      </c>
    </row>
    <row r="65" spans="2:10" s="42" customFormat="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4" t="str">
        <f>IFERROR(ROUND((IF(ISNUMBER(H65),H65*'Mão de Obra'!$D$12/12,1)*G65*F65)/'Mão de Obra'!$D$12,2),"")</f>
        <v/>
      </c>
      <c r="J65" s="774" t="str">
        <f>IFERROR(ROUND(I65*(1+
SUM(
IFERROR(SUMPRODUCT('Mão de Obra'!$E$169:$II$169,'Mão de Obra'!$E$29:$II$29),0),
IFERROR(SUMPRODUCT(Produtividade!$E$171:$II$171,Produtividade!$E$29:$II$29),0),
IFERROR(SUMPRODUCT(Veículos!$E$81:$II$81,Veículos!$E$4:$II$4),0)
)
/
Proposta!$J$62),2),"")</f>
        <v/>
      </c>
    </row>
    <row r="66" spans="2:10" s="42" customFormat="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4" t="str">
        <f>IFERROR(ROUND((IF(ISNUMBER(H66),H66*'Mão de Obra'!$D$12/12,1)*G66*F66)/'Mão de Obra'!$D$12,2),"")</f>
        <v/>
      </c>
      <c r="J66" s="774" t="str">
        <f>IFERROR(ROUND(I66*(1+
SUM(
IFERROR(SUMPRODUCT('Mão de Obra'!$E$169:$II$169,'Mão de Obra'!$E$29:$II$29),0),
IFERROR(SUMPRODUCT(Produtividade!$E$171:$II$171,Produtividade!$E$29:$II$29),0),
IFERROR(SUMPRODUCT(Veículos!$E$81:$II$81,Veículos!$E$4:$II$4),0)
)
/
Proposta!$J$62),2),"")</f>
        <v/>
      </c>
    </row>
    <row r="67" spans="2:10" s="42" customFormat="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4" t="str">
        <f>IFERROR(ROUND((IF(ISNUMBER(H67),H67*'Mão de Obra'!$D$12/12,1)*G67*F67)/'Mão de Obra'!$D$12,2),"")</f>
        <v/>
      </c>
      <c r="J67" s="774" t="str">
        <f>IFERROR(ROUND(I67*(1+
SUM(
IFERROR(SUMPRODUCT('Mão de Obra'!$E$169:$II$169,'Mão de Obra'!$E$29:$II$29),0),
IFERROR(SUMPRODUCT(Produtividade!$E$171:$II$171,Produtividade!$E$29:$II$29),0),
IFERROR(SUMPRODUCT(Veículos!$E$81:$II$81,Veículos!$E$4:$II$4),0)
)
/
Proposta!$J$62),2),"")</f>
        <v/>
      </c>
    </row>
    <row r="68" spans="2:10" s="42" customFormat="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4" t="str">
        <f>IFERROR(ROUND((IF(ISNUMBER(H68),H68*'Mão de Obra'!$D$12/12,1)*G68*F68)/'Mão de Obra'!$D$12,2),"")</f>
        <v/>
      </c>
      <c r="J68" s="774" t="str">
        <f>IFERROR(ROUND(I68*(1+
SUM(
IFERROR(SUMPRODUCT('Mão de Obra'!$E$169:$II$169,'Mão de Obra'!$E$29:$II$29),0),
IFERROR(SUMPRODUCT(Produtividade!$E$171:$II$171,Produtividade!$E$29:$II$29),0),
IFERROR(SUMPRODUCT(Veículos!$E$81:$II$81,Veículos!$E$4:$II$4),0)
)
/
Proposta!$J$62),2),"")</f>
        <v/>
      </c>
    </row>
    <row r="69" spans="2:10" s="42" customFormat="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4" t="str">
        <f>IFERROR(ROUND((IF(ISNUMBER(H69),H69*'Mão de Obra'!$D$12/12,1)*G69*F69)/'Mão de Obra'!$D$12,2),"")</f>
        <v/>
      </c>
      <c r="J69" s="774" t="str">
        <f>IFERROR(ROUND(I69*(1+
SUM(
IFERROR(SUMPRODUCT('Mão de Obra'!$E$169:$II$169,'Mão de Obra'!$E$29:$II$29),0),
IFERROR(SUMPRODUCT(Produtividade!$E$171:$II$171,Produtividade!$E$29:$II$29),0),
IFERROR(SUMPRODUCT(Veículos!$E$81:$II$81,Veículos!$E$4:$II$4),0)
)
/
Proposta!$J$62),2),"")</f>
        <v/>
      </c>
    </row>
    <row r="70" spans="2:10" s="42" customFormat="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4" t="str">
        <f>IFERROR(ROUND((IF(ISNUMBER(H70),H70*'Mão de Obra'!$D$12/12,1)*G70*F70)/'Mão de Obra'!$D$12,2),"")</f>
        <v/>
      </c>
      <c r="J70" s="774" t="str">
        <f>IFERROR(ROUND(I70*(1+
SUM(
IFERROR(SUMPRODUCT('Mão de Obra'!$E$169:$II$169,'Mão de Obra'!$E$29:$II$29),0),
IFERROR(SUMPRODUCT(Produtividade!$E$171:$II$171,Produtividade!$E$29:$II$29),0),
IFERROR(SUMPRODUCT(Veículos!$E$81:$II$81,Veículos!$E$4:$II$4),0)
)
/
Proposta!$J$62),2),"")</f>
        <v/>
      </c>
    </row>
    <row r="71" spans="2:10" s="42" customFormat="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4" t="str">
        <f>IFERROR(ROUND((IF(ISNUMBER(H71),H71*'Mão de Obra'!$D$12/12,1)*G71*F71)/'Mão de Obra'!$D$12,2),"")</f>
        <v/>
      </c>
      <c r="J71" s="774" t="str">
        <f>IFERROR(ROUND(I71*(1+
SUM(
IFERROR(SUMPRODUCT('Mão de Obra'!$E$169:$II$169,'Mão de Obra'!$E$29:$II$29),0),
IFERROR(SUMPRODUCT(Produtividade!$E$171:$II$171,Produtividade!$E$29:$II$29),0),
IFERROR(SUMPRODUCT(Veículos!$E$81:$II$81,Veículos!$E$4:$II$4),0)
)
/
Proposta!$J$62),2),"")</f>
        <v/>
      </c>
    </row>
    <row r="72" spans="2:10" s="42" customFormat="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4" t="str">
        <f>IFERROR(ROUND((IF(ISNUMBER(H72),H72*'Mão de Obra'!$D$12/12,1)*G72*F72)/'Mão de Obra'!$D$12,2),"")</f>
        <v/>
      </c>
      <c r="J72" s="774" t="str">
        <f>IFERROR(ROUND(I72*(1+
SUM(
IFERROR(SUMPRODUCT('Mão de Obra'!$E$169:$II$169,'Mão de Obra'!$E$29:$II$29),0),
IFERROR(SUMPRODUCT(Produtividade!$E$171:$II$171,Produtividade!$E$29:$II$29),0),
IFERROR(SUMPRODUCT(Veículos!$E$81:$II$81,Veículos!$E$4:$II$4),0)
)
/
Proposta!$J$62),2),"")</f>
        <v/>
      </c>
    </row>
    <row r="73" spans="2:10" s="42" customFormat="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4" t="str">
        <f>IFERROR(ROUND((IF(ISNUMBER(H73),H73*'Mão de Obra'!$D$12/12,1)*G73*F73)/'Mão de Obra'!$D$12,2),"")</f>
        <v/>
      </c>
      <c r="J73" s="774" t="str">
        <f>IFERROR(ROUND(I73*(1+
SUM(
IFERROR(SUMPRODUCT('Mão de Obra'!$E$169:$II$169,'Mão de Obra'!$E$29:$II$29),0),
IFERROR(SUMPRODUCT(Produtividade!$E$171:$II$171,Produtividade!$E$29:$II$29),0),
IFERROR(SUMPRODUCT(Veículos!$E$81:$II$81,Veículos!$E$4:$II$4),0)
)
/
Proposta!$J$62),2),"")</f>
        <v/>
      </c>
    </row>
    <row r="74" spans="2:10" s="42" customFormat="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4" t="str">
        <f>IFERROR(ROUND((IF(ISNUMBER(H74),H74*'Mão de Obra'!$D$12/12,1)*G74*F74)/'Mão de Obra'!$D$12,2),"")</f>
        <v/>
      </c>
      <c r="J74" s="774" t="str">
        <f>IFERROR(ROUND(I74*(1+
SUM(
IFERROR(SUMPRODUCT('Mão de Obra'!$E$169:$II$169,'Mão de Obra'!$E$29:$II$29),0),
IFERROR(SUMPRODUCT(Produtividade!$E$171:$II$171,Produtividade!$E$29:$II$29),0),
IFERROR(SUMPRODUCT(Veículos!$E$81:$II$81,Veículos!$E$4:$II$4),0)
)
/
Proposta!$J$62),2),"")</f>
        <v/>
      </c>
    </row>
    <row r="75" spans="2:10" s="42" customFormat="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4" t="str">
        <f>IFERROR(ROUND((IF(ISNUMBER(H75),H75*'Mão de Obra'!$D$12/12,1)*G75*F75)/'Mão de Obra'!$D$12,2),"")</f>
        <v/>
      </c>
      <c r="J75" s="774" t="str">
        <f>IFERROR(ROUND(I75*(1+
SUM(
IFERROR(SUMPRODUCT('Mão de Obra'!$E$169:$II$169,'Mão de Obra'!$E$29:$II$29),0),
IFERROR(SUMPRODUCT(Produtividade!$E$171:$II$171,Produtividade!$E$29:$II$29),0),
IFERROR(SUMPRODUCT(Veículos!$E$81:$II$81,Veículos!$E$4:$II$4),0)
)
/
Proposta!$J$62),2),"")</f>
        <v/>
      </c>
    </row>
    <row r="76" spans="2:10" s="42" customFormat="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4" t="str">
        <f>IFERROR(ROUND((IF(ISNUMBER(H76),H76*'Mão de Obra'!$D$12/12,1)*G76*F76)/'Mão de Obra'!$D$12,2),"")</f>
        <v/>
      </c>
      <c r="J76" s="774" t="str">
        <f>IFERROR(ROUND(I76*(1+
SUM(
IFERROR(SUMPRODUCT('Mão de Obra'!$E$169:$II$169,'Mão de Obra'!$E$29:$II$29),0),
IFERROR(SUMPRODUCT(Produtividade!$E$171:$II$171,Produtividade!$E$29:$II$29),0),
IFERROR(SUMPRODUCT(Veículos!$E$81:$II$81,Veículos!$E$4:$II$4),0)
)
/
Proposta!$J$62),2),"")</f>
        <v/>
      </c>
    </row>
    <row r="77" spans="2:10" s="42" customFormat="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4" t="str">
        <f>IFERROR(ROUND((IF(ISNUMBER(H77),H77*'Mão de Obra'!$D$12/12,1)*G77*F77)/'Mão de Obra'!$D$12,2),"")</f>
        <v/>
      </c>
      <c r="J77" s="774" t="str">
        <f>IFERROR(ROUND(I77*(1+
SUM(
IFERROR(SUMPRODUCT('Mão de Obra'!$E$169:$II$169,'Mão de Obra'!$E$29:$II$29),0),
IFERROR(SUMPRODUCT(Produtividade!$E$171:$II$171,Produtividade!$E$29:$II$29),0),
IFERROR(SUMPRODUCT(Veículos!$E$81:$II$81,Veículos!$E$4:$II$4),0)
)
/
Proposta!$J$62),2),"")</f>
        <v/>
      </c>
    </row>
    <row r="78" spans="2:10" s="42" customFormat="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4" t="str">
        <f>IFERROR(ROUND((IF(ISNUMBER(H78),H78*'Mão de Obra'!$D$12/12,1)*G78*F78)/'Mão de Obra'!$D$12,2),"")</f>
        <v/>
      </c>
      <c r="J78" s="774" t="str">
        <f>IFERROR(ROUND(I78*(1+
SUM(
IFERROR(SUMPRODUCT('Mão de Obra'!$E$169:$II$169,'Mão de Obra'!$E$29:$II$29),0),
IFERROR(SUMPRODUCT(Produtividade!$E$171:$II$171,Produtividade!$E$29:$II$29),0),
IFERROR(SUMPRODUCT(Veículos!$E$81:$II$81,Veículos!$E$4:$II$4),0)
)
/
Proposta!$J$62),2),"")</f>
        <v/>
      </c>
    </row>
    <row r="79" spans="2:10" s="42" customFormat="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4" t="str">
        <f>IFERROR(ROUND((IF(ISNUMBER(H79),H79*'Mão de Obra'!$D$12/12,1)*G79*F79)/'Mão de Obra'!$D$12,2),"")</f>
        <v/>
      </c>
      <c r="J79" s="774" t="str">
        <f>IFERROR(ROUND(I79*(1+
SUM(
IFERROR(SUMPRODUCT('Mão de Obra'!$E$169:$II$169,'Mão de Obra'!$E$29:$II$29),0),
IFERROR(SUMPRODUCT(Produtividade!$E$171:$II$171,Produtividade!$E$29:$II$29),0),
IFERROR(SUMPRODUCT(Veículos!$E$81:$II$81,Veículos!$E$4:$II$4),0)
)
/
Proposta!$J$62),2),"")</f>
        <v/>
      </c>
    </row>
    <row r="80" spans="2:10" s="42" customFormat="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4" t="str">
        <f>IFERROR(ROUND((IF(ISNUMBER(H80),H80*'Mão de Obra'!$D$12/12,1)*G80*F80)/'Mão de Obra'!$D$12,2),"")</f>
        <v/>
      </c>
      <c r="J80" s="774" t="str">
        <f>IFERROR(ROUND(I80*(1+
SUM(
IFERROR(SUMPRODUCT('Mão de Obra'!$E$169:$II$169,'Mão de Obra'!$E$29:$II$29),0),
IFERROR(SUMPRODUCT(Produtividade!$E$171:$II$171,Produtividade!$E$29:$II$29),0),
IFERROR(SUMPRODUCT(Veículos!$E$81:$II$81,Veículos!$E$4:$II$4),0)
)
/
Proposta!$J$62),2),"")</f>
        <v/>
      </c>
    </row>
    <row r="81" spans="2:10" s="42" customFormat="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4" t="str">
        <f>IFERROR(ROUND((IF(ISNUMBER(H81),H81*'Mão de Obra'!$D$12/12,1)*G81*F81)/'Mão de Obra'!$D$12,2),"")</f>
        <v/>
      </c>
      <c r="J81" s="774" t="str">
        <f>IFERROR(ROUND(I81*(1+
SUM(
IFERROR(SUMPRODUCT('Mão de Obra'!$E$169:$II$169,'Mão de Obra'!$E$29:$II$29),0),
IFERROR(SUMPRODUCT(Produtividade!$E$171:$II$171,Produtividade!$E$29:$II$29),0),
IFERROR(SUMPRODUCT(Veículos!$E$81:$II$81,Veículos!$E$4:$II$4),0)
)
/
Proposta!$J$62),2),"")</f>
        <v/>
      </c>
    </row>
    <row r="82" spans="2:10" s="42" customFormat="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4" t="str">
        <f>IFERROR(ROUND((IF(ISNUMBER(H82),H82*'Mão de Obra'!$D$12/12,1)*G82*F82)/'Mão de Obra'!$D$12,2),"")</f>
        <v/>
      </c>
      <c r="J82" s="774" t="str">
        <f>IFERROR(ROUND(I82*(1+
SUM(
IFERROR(SUMPRODUCT('Mão de Obra'!$E$169:$II$169,'Mão de Obra'!$E$29:$II$29),0),
IFERROR(SUMPRODUCT(Produtividade!$E$171:$II$171,Produtividade!$E$29:$II$29),0),
IFERROR(SUMPRODUCT(Veículos!$E$81:$II$81,Veículos!$E$4:$II$4),0)
)
/
Proposta!$J$62),2),"")</f>
        <v/>
      </c>
    </row>
    <row r="83" spans="2:10" s="42" customFormat="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4" t="str">
        <f>IFERROR(ROUND((IF(ISNUMBER(H83),H83*'Mão de Obra'!$D$12/12,1)*G83*F83)/'Mão de Obra'!$D$12,2),"")</f>
        <v/>
      </c>
      <c r="J83" s="774" t="str">
        <f>IFERROR(ROUND(I83*(1+
SUM(
IFERROR(SUMPRODUCT('Mão de Obra'!$E$169:$II$169,'Mão de Obra'!$E$29:$II$29),0),
IFERROR(SUMPRODUCT(Produtividade!$E$171:$II$171,Produtividade!$E$29:$II$29),0),
IFERROR(SUMPRODUCT(Veículos!$E$81:$II$81,Veículos!$E$4:$II$4),0)
)
/
Proposta!$J$62),2),"")</f>
        <v/>
      </c>
    </row>
    <row r="84" spans="2:10" s="42" customFormat="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4" t="str">
        <f>IFERROR(ROUND((IF(ISNUMBER(H84),H84*'Mão de Obra'!$D$12/12,1)*G84*F84)/'Mão de Obra'!$D$12,2),"")</f>
        <v/>
      </c>
      <c r="J84" s="774" t="str">
        <f>IFERROR(ROUND(I84*(1+
SUM(
IFERROR(SUMPRODUCT('Mão de Obra'!$E$169:$II$169,'Mão de Obra'!$E$29:$II$29),0),
IFERROR(SUMPRODUCT(Produtividade!$E$171:$II$171,Produtividade!$E$29:$II$29),0),
IFERROR(SUMPRODUCT(Veículos!$E$81:$II$81,Veículos!$E$4:$II$4),0)
)
/
Proposta!$J$62),2),"")</f>
        <v/>
      </c>
    </row>
    <row r="85" spans="2:10" s="42" customFormat="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4" t="str">
        <f>IFERROR(ROUND((IF(ISNUMBER(H85),H85*'Mão de Obra'!$D$12/12,1)*G85*F85)/'Mão de Obra'!$D$12,2),"")</f>
        <v/>
      </c>
      <c r="J85" s="774" t="str">
        <f>IFERROR(ROUND(I85*(1+
SUM(
IFERROR(SUMPRODUCT('Mão de Obra'!$E$169:$II$169,'Mão de Obra'!$E$29:$II$29),0),
IFERROR(SUMPRODUCT(Produtividade!$E$171:$II$171,Produtividade!$E$29:$II$29),0),
IFERROR(SUMPRODUCT(Veículos!$E$81:$II$81,Veículos!$E$4:$II$4),0)
)
/
Proposta!$J$62),2),"")</f>
        <v/>
      </c>
    </row>
    <row r="86" spans="2:10" s="42" customFormat="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4" t="str">
        <f>IFERROR(ROUND((IF(ISNUMBER(H86),H86*'Mão de Obra'!$D$12/12,1)*G86*F86)/'Mão de Obra'!$D$12,2),"")</f>
        <v/>
      </c>
      <c r="J86" s="774" t="str">
        <f>IFERROR(ROUND(I86*(1+
SUM(
IFERROR(SUMPRODUCT('Mão de Obra'!$E$169:$II$169,'Mão de Obra'!$E$29:$II$29),0),
IFERROR(SUMPRODUCT(Produtividade!$E$171:$II$171,Produtividade!$E$29:$II$29),0),
IFERROR(SUMPRODUCT(Veículos!$E$81:$II$81,Veículos!$E$4:$II$4),0)
)
/
Proposta!$J$62),2),"")</f>
        <v/>
      </c>
    </row>
    <row r="87" spans="2:10" s="42" customFormat="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4" t="str">
        <f>IFERROR(ROUND((IF(ISNUMBER(H87),H87*'Mão de Obra'!$D$12/12,1)*G87*F87)/'Mão de Obra'!$D$12,2),"")</f>
        <v/>
      </c>
      <c r="J87" s="774" t="str">
        <f>IFERROR(ROUND(I87*(1+
SUM(
IFERROR(SUMPRODUCT('Mão de Obra'!$E$169:$II$169,'Mão de Obra'!$E$29:$II$29),0),
IFERROR(SUMPRODUCT(Produtividade!$E$171:$II$171,Produtividade!$E$29:$II$29),0),
IFERROR(SUMPRODUCT(Veículos!$E$81:$II$81,Veículos!$E$4:$II$4),0)
)
/
Proposta!$J$62),2),"")</f>
        <v/>
      </c>
    </row>
    <row r="88" spans="2:10" s="42" customFormat="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4" t="str">
        <f>IFERROR(ROUND((IF(ISNUMBER(H88),H88*'Mão de Obra'!$D$12/12,1)*G88*F88)/'Mão de Obra'!$D$12,2),"")</f>
        <v/>
      </c>
      <c r="J88" s="774" t="str">
        <f>IFERROR(ROUND(I88*(1+
SUM(
IFERROR(SUMPRODUCT('Mão de Obra'!$E$169:$II$169,'Mão de Obra'!$E$29:$II$29),0),
IFERROR(SUMPRODUCT(Produtividade!$E$171:$II$171,Produtividade!$E$29:$II$29),0),
IFERROR(SUMPRODUCT(Veículos!$E$81:$II$81,Veículos!$E$4:$II$4),0)
)
/
Proposta!$J$62),2),"")</f>
        <v/>
      </c>
    </row>
    <row r="89" spans="2:10" s="42" customFormat="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4" t="str">
        <f>IFERROR(ROUND((IF(ISNUMBER(H89),H89*'Mão de Obra'!$D$12/12,1)*G89*F89)/'Mão de Obra'!$D$12,2),"")</f>
        <v/>
      </c>
      <c r="J89" s="774" t="str">
        <f>IFERROR(ROUND(I89*(1+
SUM(
IFERROR(SUMPRODUCT('Mão de Obra'!$E$169:$II$169,'Mão de Obra'!$E$29:$II$29),0),
IFERROR(SUMPRODUCT(Produtividade!$E$171:$II$171,Produtividade!$E$29:$II$29),0),
IFERROR(SUMPRODUCT(Veículos!$E$81:$II$81,Veículos!$E$4:$II$4),0)
)
/
Proposta!$J$62),2),"")</f>
        <v/>
      </c>
    </row>
    <row r="90" spans="2:10" s="42" customFormat="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4" t="str">
        <f>IFERROR(ROUND((IF(ISNUMBER(H90),H90*'Mão de Obra'!$D$12/12,1)*G90*F90)/'Mão de Obra'!$D$12,2),"")</f>
        <v/>
      </c>
      <c r="J90" s="774" t="str">
        <f>IFERROR(ROUND(I90*(1+
SUM(
IFERROR(SUMPRODUCT('Mão de Obra'!$E$169:$II$169,'Mão de Obra'!$E$29:$II$29),0),
IFERROR(SUMPRODUCT(Produtividade!$E$171:$II$171,Produtividade!$E$29:$II$29),0),
IFERROR(SUMPRODUCT(Veículos!$E$81:$II$81,Veículos!$E$4:$II$4),0)
)
/
Proposta!$J$62),2),"")</f>
        <v/>
      </c>
    </row>
    <row r="91" spans="2:10" s="42" customFormat="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4" t="str">
        <f>IFERROR(ROUND((IF(ISNUMBER(H91),H91*'Mão de Obra'!$D$12/12,1)*G91*F91)/'Mão de Obra'!$D$12,2),"")</f>
        <v/>
      </c>
      <c r="J91" s="774" t="str">
        <f>IFERROR(ROUND(I91*(1+
SUM(
IFERROR(SUMPRODUCT('Mão de Obra'!$E$169:$II$169,'Mão de Obra'!$E$29:$II$29),0),
IFERROR(SUMPRODUCT(Produtividade!$E$171:$II$171,Produtividade!$E$29:$II$29),0),
IFERROR(SUMPRODUCT(Veículos!$E$81:$II$81,Veículos!$E$4:$II$4),0)
)
/
Proposta!$J$62),2),"")</f>
        <v/>
      </c>
    </row>
    <row r="92" spans="2:10" s="42" customFormat="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4" t="str">
        <f>IFERROR(ROUND((IF(ISNUMBER(H92),H92*'Mão de Obra'!$D$12/12,1)*G92*F92)/'Mão de Obra'!$D$12,2),"")</f>
        <v/>
      </c>
      <c r="J92" s="774" t="str">
        <f>IFERROR(ROUND(I92*(1+
SUM(
IFERROR(SUMPRODUCT('Mão de Obra'!$E$169:$II$169,'Mão de Obra'!$E$29:$II$29),0),
IFERROR(SUMPRODUCT(Produtividade!$E$171:$II$171,Produtividade!$E$29:$II$29),0),
IFERROR(SUMPRODUCT(Veículos!$E$81:$II$81,Veículos!$E$4:$II$4),0)
)
/
Proposta!$J$62),2),"")</f>
        <v/>
      </c>
    </row>
    <row r="93" spans="2:10" s="42" customFormat="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4" t="str">
        <f>IFERROR(ROUND((IF(ISNUMBER(H93),H93*'Mão de Obra'!$D$12/12,1)*G93*F93)/'Mão de Obra'!$D$12,2),"")</f>
        <v/>
      </c>
      <c r="J93" s="774" t="str">
        <f>IFERROR(ROUND(I93*(1+
SUM(
IFERROR(SUMPRODUCT('Mão de Obra'!$E$169:$II$169,'Mão de Obra'!$E$29:$II$29),0),
IFERROR(SUMPRODUCT(Produtividade!$E$171:$II$171,Produtividade!$E$29:$II$29),0),
IFERROR(SUMPRODUCT(Veículos!$E$81:$II$81,Veículos!$E$4:$II$4),0)
)
/
Proposta!$J$62),2),"")</f>
        <v/>
      </c>
    </row>
    <row r="94" spans="2:10" s="42" customFormat="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4" t="str">
        <f>IFERROR(ROUND((IF(ISNUMBER(H94),H94*'Mão de Obra'!$D$12/12,1)*G94*F94)/'Mão de Obra'!$D$12,2),"")</f>
        <v/>
      </c>
      <c r="J94" s="774" t="str">
        <f>IFERROR(ROUND(I94*(1+
SUM(
IFERROR(SUMPRODUCT('Mão de Obra'!$E$169:$II$169,'Mão de Obra'!$E$29:$II$29),0),
IFERROR(SUMPRODUCT(Produtividade!$E$171:$II$171,Produtividade!$E$29:$II$29),0),
IFERROR(SUMPRODUCT(Veículos!$E$81:$II$81,Veículos!$E$4:$II$4),0)
)
/
Proposta!$J$62),2),"")</f>
        <v/>
      </c>
    </row>
    <row r="95" spans="2:10" s="42" customFormat="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4" t="str">
        <f>IFERROR(ROUND((IF(ISNUMBER(H95),H95*'Mão de Obra'!$D$12/12,1)*G95*F95)/'Mão de Obra'!$D$12,2),"")</f>
        <v/>
      </c>
      <c r="J95" s="774" t="str">
        <f>IFERROR(ROUND(I95*(1+
SUM(
IFERROR(SUMPRODUCT('Mão de Obra'!$E$169:$II$169,'Mão de Obra'!$E$29:$II$29),0),
IFERROR(SUMPRODUCT(Produtividade!$E$171:$II$171,Produtividade!$E$29:$II$29),0),
IFERROR(SUMPRODUCT(Veículos!$E$81:$II$81,Veículos!$E$4:$II$4),0)
)
/
Proposta!$J$62),2),"")</f>
        <v/>
      </c>
    </row>
    <row r="96" spans="2:10" s="42" customFormat="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4" t="str">
        <f>IFERROR(ROUND((IF(ISNUMBER(H96),H96*'Mão de Obra'!$D$12/12,1)*G96*F96)/'Mão de Obra'!$D$12,2),"")</f>
        <v/>
      </c>
      <c r="J96" s="774" t="str">
        <f>IFERROR(ROUND(I96*(1+
SUM(
IFERROR(SUMPRODUCT('Mão de Obra'!$E$169:$II$169,'Mão de Obra'!$E$29:$II$29),0),
IFERROR(SUMPRODUCT(Produtividade!$E$171:$II$171,Produtividade!$E$29:$II$29),0),
IFERROR(SUMPRODUCT(Veículos!$E$81:$II$81,Veículos!$E$4:$II$4),0)
)
/
Proposta!$J$62),2),"")</f>
        <v/>
      </c>
    </row>
    <row r="97" spans="2:10" s="42" customFormat="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4" t="str">
        <f>IFERROR(ROUND((IF(ISNUMBER(H97),H97*'Mão de Obra'!$D$12/12,1)*G97*F97)/'Mão de Obra'!$D$12,2),"")</f>
        <v/>
      </c>
      <c r="J97" s="774" t="str">
        <f>IFERROR(ROUND(I97*(1+
SUM(
IFERROR(SUMPRODUCT('Mão de Obra'!$E$169:$II$169,'Mão de Obra'!$E$29:$II$29),0),
IFERROR(SUMPRODUCT(Produtividade!$E$171:$II$171,Produtividade!$E$29:$II$29),0),
IFERROR(SUMPRODUCT(Veículos!$E$81:$II$81,Veículos!$E$4:$II$4),0)
)
/
Proposta!$J$62),2),"")</f>
        <v/>
      </c>
    </row>
    <row r="98" spans="2:10" s="42" customFormat="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4" t="str">
        <f>IFERROR(ROUND((IF(ISNUMBER(H98),H98*'Mão de Obra'!$D$12/12,1)*G98*F98)/'Mão de Obra'!$D$12,2),"")</f>
        <v/>
      </c>
      <c r="J98" s="774" t="str">
        <f>IFERROR(ROUND(I98*(1+
SUM(
IFERROR(SUMPRODUCT('Mão de Obra'!$E$169:$II$169,'Mão de Obra'!$E$29:$II$29),0),
IFERROR(SUMPRODUCT(Produtividade!$E$171:$II$171,Produtividade!$E$29:$II$29),0),
IFERROR(SUMPRODUCT(Veículos!$E$81:$II$81,Veículos!$E$4:$II$4),0)
)
/
Proposta!$J$62),2),"")</f>
        <v/>
      </c>
    </row>
    <row r="99" spans="2:10" s="42" customFormat="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4" t="str">
        <f>IFERROR(ROUND((IF(ISNUMBER(H99),H99*'Mão de Obra'!$D$12/12,1)*G99*F99)/'Mão de Obra'!$D$12,2),"")</f>
        <v/>
      </c>
      <c r="J99" s="774" t="str">
        <f>IFERROR(ROUND(I99*(1+
SUM(
IFERROR(SUMPRODUCT('Mão de Obra'!$E$169:$II$169,'Mão de Obra'!$E$29:$II$29),0),
IFERROR(SUMPRODUCT(Produtividade!$E$171:$II$171,Produtividade!$E$29:$II$29),0),
IFERROR(SUMPRODUCT(Veículos!$E$81:$II$81,Veículos!$E$4:$II$4),0)
)
/
Proposta!$J$62),2),"")</f>
        <v/>
      </c>
    </row>
    <row r="100" spans="2:10" s="42" customFormat="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4" t="str">
        <f>IFERROR(ROUND((IF(ISNUMBER(H100),H100*'Mão de Obra'!$D$12/12,1)*G100*F100)/'Mão de Obra'!$D$12,2),"")</f>
        <v/>
      </c>
      <c r="J100" s="774" t="str">
        <f>IFERROR(ROUND(I100*(1+
SUM(
IFERROR(SUMPRODUCT('Mão de Obra'!$E$169:$II$169,'Mão de Obra'!$E$29:$II$29),0),
IFERROR(SUMPRODUCT(Produtividade!$E$171:$II$171,Produtividade!$E$29:$II$29),0),
IFERROR(SUMPRODUCT(Veículos!$E$81:$II$81,Veículos!$E$4:$II$4),0)
)
/
Proposta!$J$62),2),"")</f>
        <v/>
      </c>
    </row>
    <row r="101" spans="2:10" s="42" customFormat="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4" t="str">
        <f>IFERROR(ROUND((IF(ISNUMBER(H101),H101*'Mão de Obra'!$D$12/12,1)*G101*F101)/'Mão de Obra'!$D$12,2),"")</f>
        <v/>
      </c>
      <c r="J101" s="774" t="str">
        <f>IFERROR(ROUND(I101*(1+
SUM(
IFERROR(SUMPRODUCT('Mão de Obra'!$E$169:$II$169,'Mão de Obra'!$E$29:$II$29),0),
IFERROR(SUMPRODUCT(Produtividade!$E$171:$II$171,Produtividade!$E$29:$II$29),0),
IFERROR(SUMPRODUCT(Veículos!$E$81:$II$81,Veículos!$E$4:$II$4),0)
)
/
Proposta!$J$62),2),"")</f>
        <v/>
      </c>
    </row>
    <row r="102" spans="2:10" s="42" customFormat="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4" t="str">
        <f>IFERROR(ROUND((IF(ISNUMBER(H102),H102*'Mão de Obra'!$D$12/12,1)*G102*F102)/'Mão de Obra'!$D$12,2),"")</f>
        <v/>
      </c>
      <c r="J102" s="774" t="str">
        <f>IFERROR(ROUND(I102*(1+
SUM(
IFERROR(SUMPRODUCT('Mão de Obra'!$E$169:$II$169,'Mão de Obra'!$E$29:$II$29),0),
IFERROR(SUMPRODUCT(Produtividade!$E$171:$II$171,Produtividade!$E$29:$II$29),0),
IFERROR(SUMPRODUCT(Veículos!$E$81:$II$81,Veículos!$E$4:$II$4),0)
)
/
Proposta!$J$62),2),"")</f>
        <v/>
      </c>
    </row>
    <row r="103" spans="2:10" s="42" customFormat="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4" t="str">
        <f>IFERROR(ROUND((IF(ISNUMBER(H103),H103*'Mão de Obra'!$D$12/12,1)*G103*F103)/'Mão de Obra'!$D$12,2),"")</f>
        <v/>
      </c>
      <c r="J103" s="774" t="str">
        <f>IFERROR(ROUND(I103*(1+
SUM(
IFERROR(SUMPRODUCT('Mão de Obra'!$E$169:$II$169,'Mão de Obra'!$E$29:$II$29),0),
IFERROR(SUMPRODUCT(Produtividade!$E$171:$II$171,Produtividade!$E$29:$II$29),0),
IFERROR(SUMPRODUCT(Veículos!$E$81:$II$81,Veículos!$E$4:$II$4),0)
)
/
Proposta!$J$62),2),"")</f>
        <v/>
      </c>
    </row>
    <row r="104" spans="2:10" s="42" customFormat="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4" t="str">
        <f>IFERROR(ROUND((IF(ISNUMBER(H104),H104*'Mão de Obra'!$D$12/12,1)*G104*F104)/'Mão de Obra'!$D$12,2),"")</f>
        <v/>
      </c>
      <c r="J104" s="774" t="str">
        <f>IFERROR(ROUND(I104*(1+
SUM(
IFERROR(SUMPRODUCT('Mão de Obra'!$E$169:$II$169,'Mão de Obra'!$E$29:$II$29),0),
IFERROR(SUMPRODUCT(Produtividade!$E$171:$II$171,Produtividade!$E$29:$II$29),0),
IFERROR(SUMPRODUCT(Veículos!$E$81:$II$81,Veículos!$E$4:$II$4),0)
)
/
Proposta!$J$62),2),"")</f>
        <v/>
      </c>
    </row>
    <row r="105" spans="2:10" s="42" customFormat="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4" t="str">
        <f>IFERROR(ROUND((IF(ISNUMBER(H105),H105*'Mão de Obra'!$D$12/12,1)*G105*F105)/'Mão de Obra'!$D$12,2),"")</f>
        <v/>
      </c>
      <c r="J105" s="774" t="str">
        <f>IFERROR(ROUND(I105*(1+
SUM(
IFERROR(SUMPRODUCT('Mão de Obra'!$E$169:$II$169,'Mão de Obra'!$E$29:$II$29),0),
IFERROR(SUMPRODUCT(Produtividade!$E$171:$II$171,Produtividade!$E$29:$II$29),0),
IFERROR(SUMPRODUCT(Veículos!$E$81:$II$81,Veículos!$E$4:$II$4),0)
)
/
Proposta!$J$62),2),"")</f>
        <v/>
      </c>
    </row>
    <row r="106" spans="2:10" s="42" customFormat="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4" t="str">
        <f>IFERROR(ROUND((IF(ISNUMBER(H106),H106*'Mão de Obra'!$D$12/12,1)*G106*F106)/'Mão de Obra'!$D$12,2),"")</f>
        <v/>
      </c>
      <c r="J106" s="774" t="str">
        <f>IFERROR(ROUND(I106*(1+
SUM(
IFERROR(SUMPRODUCT('Mão de Obra'!$E$169:$II$169,'Mão de Obra'!$E$29:$II$29),0),
IFERROR(SUMPRODUCT(Produtividade!$E$171:$II$171,Produtividade!$E$29:$II$29),0),
IFERROR(SUMPRODUCT(Veículos!$E$81:$II$81,Veículos!$E$4:$II$4),0)
)
/
Proposta!$J$62),2),"")</f>
        <v/>
      </c>
    </row>
    <row r="107" spans="2:10" s="42" customFormat="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4" t="str">
        <f>IFERROR(ROUND((IF(ISNUMBER(H107),H107*'Mão de Obra'!$D$12/12,1)*G107*F107)/'Mão de Obra'!$D$12,2),"")</f>
        <v/>
      </c>
      <c r="J107" s="774" t="str">
        <f>IFERROR(ROUND(I107*(1+
SUM(
IFERROR(SUMPRODUCT('Mão de Obra'!$E$169:$II$169,'Mão de Obra'!$E$29:$II$29),0),
IFERROR(SUMPRODUCT(Produtividade!$E$171:$II$171,Produtividade!$E$29:$II$29),0),
IFERROR(SUMPRODUCT(Veículos!$E$81:$II$81,Veículos!$E$4:$II$4),0)
)
/
Proposta!$J$62),2),"")</f>
        <v/>
      </c>
    </row>
    <row r="108" spans="2:10" s="42" customFormat="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4" t="str">
        <f>IFERROR(ROUND((IF(ISNUMBER(H108),H108*'Mão de Obra'!$D$12/12,1)*G108*F108)/'Mão de Obra'!$D$12,2),"")</f>
        <v/>
      </c>
      <c r="J108" s="774" t="str">
        <f>IFERROR(ROUND(I108*(1+
SUM(
IFERROR(SUMPRODUCT('Mão de Obra'!$E$169:$II$169,'Mão de Obra'!$E$29:$II$29),0),
IFERROR(SUMPRODUCT(Produtividade!$E$171:$II$171,Produtividade!$E$29:$II$29),0),
IFERROR(SUMPRODUCT(Veículos!$E$81:$II$81,Veículos!$E$4:$II$4),0)
)
/
Proposta!$J$62),2),"")</f>
        <v/>
      </c>
    </row>
    <row r="109" spans="2:10" s="42" customFormat="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4" t="str">
        <f>IFERROR(ROUND((IF(ISNUMBER(H109),H109*'Mão de Obra'!$D$12/12,1)*G109*F109)/'Mão de Obra'!$D$12,2),"")</f>
        <v/>
      </c>
      <c r="J109" s="774" t="str">
        <f>IFERROR(ROUND(I109*(1+
SUM(
IFERROR(SUMPRODUCT('Mão de Obra'!$E$169:$II$169,'Mão de Obra'!$E$29:$II$29),0),
IFERROR(SUMPRODUCT(Produtividade!$E$171:$II$171,Produtividade!$E$29:$II$29),0),
IFERROR(SUMPRODUCT(Veículos!$E$81:$II$81,Veículos!$E$4:$II$4),0)
)
/
Proposta!$J$62),2),"")</f>
        <v/>
      </c>
    </row>
    <row r="110" spans="2:10" s="42" customFormat="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4" t="str">
        <f>IFERROR(ROUND((IF(ISNUMBER(H110),H110*'Mão de Obra'!$D$12/12,1)*G110*F110)/'Mão de Obra'!$D$12,2),"")</f>
        <v/>
      </c>
      <c r="J110" s="774" t="str">
        <f>IFERROR(ROUND(I110*(1+
SUM(
IFERROR(SUMPRODUCT('Mão de Obra'!$E$169:$II$169,'Mão de Obra'!$E$29:$II$29),0),
IFERROR(SUMPRODUCT(Produtividade!$E$171:$II$171,Produtividade!$E$29:$II$29),0),
IFERROR(SUMPRODUCT(Veículos!$E$81:$II$81,Veículos!$E$4:$II$4),0)
)
/
Proposta!$J$62),2),"")</f>
        <v/>
      </c>
    </row>
    <row r="111" spans="2:10" s="42" customFormat="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4" t="str">
        <f>IFERROR(ROUND((IF(ISNUMBER(H111),H111*'Mão de Obra'!$D$12/12,1)*G111*F111)/'Mão de Obra'!$D$12,2),"")</f>
        <v/>
      </c>
      <c r="J111" s="774" t="str">
        <f>IFERROR(ROUND(I111*(1+
SUM(
IFERROR(SUMPRODUCT('Mão de Obra'!$E$169:$II$169,'Mão de Obra'!$E$29:$II$29),0),
IFERROR(SUMPRODUCT(Produtividade!$E$171:$II$171,Produtividade!$E$29:$II$29),0),
IFERROR(SUMPRODUCT(Veículos!$E$81:$II$81,Veículos!$E$4:$II$4),0)
)
/
Proposta!$J$62),2),"")</f>
        <v/>
      </c>
    </row>
    <row r="112" spans="2:10" s="42" customFormat="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4" t="str">
        <f>IFERROR(ROUND((IF(ISNUMBER(H112),H112*'Mão de Obra'!$D$12/12,1)*G112*F112)/'Mão de Obra'!$D$12,2),"")</f>
        <v/>
      </c>
      <c r="J112" s="774" t="str">
        <f>IFERROR(ROUND(I112*(1+
SUM(
IFERROR(SUMPRODUCT('Mão de Obra'!$E$169:$II$169,'Mão de Obra'!$E$29:$II$29),0),
IFERROR(SUMPRODUCT(Produtividade!$E$171:$II$171,Produtividade!$E$29:$II$29),0),
IFERROR(SUMPRODUCT(Veículos!$E$81:$II$81,Veículos!$E$4:$II$4),0)
)
/
Proposta!$J$62),2),"")</f>
        <v/>
      </c>
    </row>
    <row r="113" spans="2:10" s="42" customFormat="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4" t="str">
        <f>IFERROR(ROUND((IF(ISNUMBER(H113),H113*'Mão de Obra'!$D$12/12,1)*G113*F113)/'Mão de Obra'!$D$12,2),"")</f>
        <v/>
      </c>
      <c r="J113" s="774" t="str">
        <f>IFERROR(ROUND(I113*(1+
SUM(
IFERROR(SUMPRODUCT('Mão de Obra'!$E$169:$II$169,'Mão de Obra'!$E$29:$II$29),0),
IFERROR(SUMPRODUCT(Produtividade!$E$171:$II$171,Produtividade!$E$29:$II$29),0),
IFERROR(SUMPRODUCT(Veículos!$E$81:$II$81,Veículos!$E$4:$II$4),0)
)
/
Proposta!$J$62),2),"")</f>
        <v/>
      </c>
    </row>
    <row r="114" spans="2:10" s="42" customFormat="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4" t="str">
        <f>IFERROR(ROUND((IF(ISNUMBER(H114),H114*'Mão de Obra'!$D$12/12,1)*G114*F114)/'Mão de Obra'!$D$12,2),"")</f>
        <v/>
      </c>
      <c r="J114" s="774" t="str">
        <f>IFERROR(ROUND(I114*(1+
SUM(
IFERROR(SUMPRODUCT('Mão de Obra'!$E$169:$II$169,'Mão de Obra'!$E$29:$II$29),0),
IFERROR(SUMPRODUCT(Produtividade!$E$171:$II$171,Produtividade!$E$29:$II$29),0),
IFERROR(SUMPRODUCT(Veículos!$E$81:$II$81,Veículos!$E$4:$II$4),0)
)
/
Proposta!$J$62),2),"")</f>
        <v/>
      </c>
    </row>
    <row r="115" spans="2:10" s="42" customFormat="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4" t="str">
        <f>IFERROR(ROUND((IF(ISNUMBER(H115),H115*'Mão de Obra'!$D$12/12,1)*G115*F115)/'Mão de Obra'!$D$12,2),"")</f>
        <v/>
      </c>
      <c r="J115" s="774" t="str">
        <f>IFERROR(ROUND(I115*(1+
SUM(
IFERROR(SUMPRODUCT('Mão de Obra'!$E$169:$II$169,'Mão de Obra'!$E$29:$II$29),0),
IFERROR(SUMPRODUCT(Produtividade!$E$171:$II$171,Produtividade!$E$29:$II$29),0),
IFERROR(SUMPRODUCT(Veículos!$E$81:$II$81,Veículos!$E$4:$II$4),0)
)
/
Proposta!$J$62),2),"")</f>
        <v/>
      </c>
    </row>
    <row r="116" spans="2:10" s="42" customFormat="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4" t="str">
        <f>IFERROR(ROUND((IF(ISNUMBER(H116),H116*'Mão de Obra'!$D$12/12,1)*G116*F116)/'Mão de Obra'!$D$12,2),"")</f>
        <v/>
      </c>
      <c r="J116" s="774" t="str">
        <f>IFERROR(ROUND(I116*(1+
SUM(
IFERROR(SUMPRODUCT('Mão de Obra'!$E$169:$II$169,'Mão de Obra'!$E$29:$II$29),0),
IFERROR(SUMPRODUCT(Produtividade!$E$171:$II$171,Produtividade!$E$29:$II$29),0),
IFERROR(SUMPRODUCT(Veículos!$E$81:$II$81,Veículos!$E$4:$II$4),0)
)
/
Proposta!$J$62),2),"")</f>
        <v/>
      </c>
    </row>
    <row r="117" spans="2:10" s="42" customFormat="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4" t="str">
        <f>IFERROR(ROUND((IF(ISNUMBER(H117),H117*'Mão de Obra'!$D$12/12,1)*G117*F117)/'Mão de Obra'!$D$12,2),"")</f>
        <v/>
      </c>
      <c r="J117" s="774" t="str">
        <f>IFERROR(ROUND(I117*(1+
SUM(
IFERROR(SUMPRODUCT('Mão de Obra'!$E$169:$II$169,'Mão de Obra'!$E$29:$II$29),0),
IFERROR(SUMPRODUCT(Produtividade!$E$171:$II$171,Produtividade!$E$29:$II$29),0),
IFERROR(SUMPRODUCT(Veículos!$E$81:$II$81,Veículos!$E$4:$II$4),0)
)
/
Proposta!$J$62),2),"")</f>
        <v/>
      </c>
    </row>
    <row r="118" spans="2:10" s="42" customFormat="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4" t="str">
        <f>IFERROR(ROUND((IF(ISNUMBER(H118),H118*'Mão de Obra'!$D$12/12,1)*G118*F118)/'Mão de Obra'!$D$12,2),"")</f>
        <v/>
      </c>
      <c r="J118" s="774" t="str">
        <f>IFERROR(ROUND(I118*(1+
SUM(
IFERROR(SUMPRODUCT('Mão de Obra'!$E$169:$II$169,'Mão de Obra'!$E$29:$II$29),0),
IFERROR(SUMPRODUCT(Produtividade!$E$171:$II$171,Produtividade!$E$29:$II$29),0),
IFERROR(SUMPRODUCT(Veículos!$E$81:$II$81,Veículos!$E$4:$II$4),0)
)
/
Proposta!$J$62),2),"")</f>
        <v/>
      </c>
    </row>
    <row r="119" spans="2:10" s="42" customFormat="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4" t="str">
        <f>IFERROR(ROUND((IF(ISNUMBER(H119),H119*'Mão de Obra'!$D$12/12,1)*G119*F119)/'Mão de Obra'!$D$12,2),"")</f>
        <v/>
      </c>
      <c r="J119" s="774" t="str">
        <f>IFERROR(ROUND(I119*(1+
SUM(
IFERROR(SUMPRODUCT('Mão de Obra'!$E$169:$II$169,'Mão de Obra'!$E$29:$II$29),0),
IFERROR(SUMPRODUCT(Produtividade!$E$171:$II$171,Produtividade!$E$29:$II$29),0),
IFERROR(SUMPRODUCT(Veículos!$E$81:$II$81,Veículos!$E$4:$II$4),0)
)
/
Proposta!$J$62),2),"")</f>
        <v/>
      </c>
    </row>
    <row r="120" spans="2:10" s="42" customFormat="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4" t="str">
        <f>IFERROR(ROUND((IF(ISNUMBER(H120),H120*'Mão de Obra'!$D$12/12,1)*G120*F120)/'Mão de Obra'!$D$12,2),"")</f>
        <v/>
      </c>
      <c r="J120" s="774" t="str">
        <f>IFERROR(ROUND(I120*(1+
SUM(
IFERROR(SUMPRODUCT('Mão de Obra'!$E$169:$II$169,'Mão de Obra'!$E$29:$II$29),0),
IFERROR(SUMPRODUCT(Produtividade!$E$171:$II$171,Produtividade!$E$29:$II$29),0),
IFERROR(SUMPRODUCT(Veículos!$E$81:$II$81,Veículos!$E$4:$II$4),0)
)
/
Proposta!$J$62),2),"")</f>
        <v/>
      </c>
    </row>
    <row r="121" spans="2:10" s="42" customFormat="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4" t="str">
        <f>IFERROR(ROUND((IF(ISNUMBER(H121),H121*'Mão de Obra'!$D$12/12,1)*G121*F121)/'Mão de Obra'!$D$12,2),"")</f>
        <v/>
      </c>
      <c r="J121" s="774" t="str">
        <f>IFERROR(ROUND(I121*(1+
SUM(
IFERROR(SUMPRODUCT('Mão de Obra'!$E$169:$II$169,'Mão de Obra'!$E$29:$II$29),0),
IFERROR(SUMPRODUCT(Produtividade!$E$171:$II$171,Produtividade!$E$29:$II$29),0),
IFERROR(SUMPRODUCT(Veículos!$E$81:$II$81,Veículos!$E$4:$II$4),0)
)
/
Proposta!$J$62),2),"")</f>
        <v/>
      </c>
    </row>
    <row r="122" spans="2:10" s="42" customFormat="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4" t="str">
        <f>IFERROR(ROUND((IF(ISNUMBER(H122),H122*'Mão de Obra'!$D$12/12,1)*G122*F122)/'Mão de Obra'!$D$12,2),"")</f>
        <v/>
      </c>
      <c r="J122" s="774" t="str">
        <f>IFERROR(ROUND(I122*(1+
SUM(
IFERROR(SUMPRODUCT('Mão de Obra'!$E$169:$II$169,'Mão de Obra'!$E$29:$II$29),0),
IFERROR(SUMPRODUCT(Produtividade!$E$171:$II$171,Produtividade!$E$29:$II$29),0),
IFERROR(SUMPRODUCT(Veículos!$E$81:$II$81,Veículos!$E$4:$II$4),0)
)
/
Proposta!$J$62),2),"")</f>
        <v/>
      </c>
    </row>
    <row r="123" spans="2:10" s="42" customFormat="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4" t="str">
        <f>IFERROR(ROUND((IF(ISNUMBER(H123),H123*'Mão de Obra'!$D$12/12,1)*G123*F123)/'Mão de Obra'!$D$12,2),"")</f>
        <v/>
      </c>
      <c r="J123" s="774" t="str">
        <f>IFERROR(ROUND(I123*(1+
SUM(
IFERROR(SUMPRODUCT('Mão de Obra'!$E$169:$II$169,'Mão de Obra'!$E$29:$II$29),0),
IFERROR(SUMPRODUCT(Produtividade!$E$171:$II$171,Produtividade!$E$29:$II$29),0),
IFERROR(SUMPRODUCT(Veículos!$E$81:$II$81,Veículos!$E$4:$II$4),0)
)
/
Proposta!$J$62),2),"")</f>
        <v/>
      </c>
    </row>
    <row r="124" spans="2:10" s="42" customFormat="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4" t="str">
        <f>IFERROR(ROUND((IF(ISNUMBER(H124),H124*'Mão de Obra'!$D$12/12,1)*G124*F124)/'Mão de Obra'!$D$12,2),"")</f>
        <v/>
      </c>
      <c r="J124" s="774" t="str">
        <f>IFERROR(ROUND(I124*(1+
SUM(
IFERROR(SUMPRODUCT('Mão de Obra'!$E$169:$II$169,'Mão de Obra'!$E$29:$II$29),0),
IFERROR(SUMPRODUCT(Produtividade!$E$171:$II$171,Produtividade!$E$29:$II$29),0),
IFERROR(SUMPRODUCT(Veículos!$E$81:$II$81,Veículos!$E$4:$II$4),0)
)
/
Proposta!$J$62),2),"")</f>
        <v/>
      </c>
    </row>
    <row r="125" spans="2:10" s="42" customFormat="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4" t="str">
        <f>IFERROR(ROUND((IF(ISNUMBER(H125),H125*'Mão de Obra'!$D$12/12,1)*G125*F125)/'Mão de Obra'!$D$12,2),"")</f>
        <v/>
      </c>
      <c r="J125" s="774" t="str">
        <f>IFERROR(ROUND(I125*(1+
SUM(
IFERROR(SUMPRODUCT('Mão de Obra'!$E$169:$II$169,'Mão de Obra'!$E$29:$II$29),0),
IFERROR(SUMPRODUCT(Produtividade!$E$171:$II$171,Produtividade!$E$29:$II$29),0),
IFERROR(SUMPRODUCT(Veículos!$E$81:$II$81,Veículos!$E$4:$II$4),0)
)
/
Proposta!$J$62),2),"")</f>
        <v/>
      </c>
    </row>
    <row r="126" spans="2:10" s="42" customFormat="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4" t="str">
        <f>IFERROR(ROUND((IF(ISNUMBER(H126),H126*'Mão de Obra'!$D$12/12,1)*G126*F126)/'Mão de Obra'!$D$12,2),"")</f>
        <v/>
      </c>
      <c r="J126" s="774" t="str">
        <f>IFERROR(ROUND(I126*(1+
SUM(
IFERROR(SUMPRODUCT('Mão de Obra'!$E$169:$II$169,'Mão de Obra'!$E$29:$II$29),0),
IFERROR(SUMPRODUCT(Produtividade!$E$171:$II$171,Produtividade!$E$29:$II$29),0),
IFERROR(SUMPRODUCT(Veículos!$E$81:$II$81,Veículos!$E$4:$II$4),0)
)
/
Proposta!$J$62),2),"")</f>
        <v/>
      </c>
    </row>
    <row r="127" spans="2:10" s="42" customFormat="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4" t="str">
        <f>IFERROR(ROUND((IF(ISNUMBER(H127),H127*'Mão de Obra'!$D$12/12,1)*G127*F127)/'Mão de Obra'!$D$12,2),"")</f>
        <v/>
      </c>
      <c r="J127" s="774" t="str">
        <f>IFERROR(ROUND(I127*(1+
SUM(
IFERROR(SUMPRODUCT('Mão de Obra'!$E$169:$II$169,'Mão de Obra'!$E$29:$II$29),0),
IFERROR(SUMPRODUCT(Produtividade!$E$171:$II$171,Produtividade!$E$29:$II$29),0),
IFERROR(SUMPRODUCT(Veículos!$E$81:$II$81,Veículos!$E$4:$II$4),0)
)
/
Proposta!$J$62),2),"")</f>
        <v/>
      </c>
    </row>
    <row r="128" spans="2:10" s="42" customFormat="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4" t="str">
        <f>IFERROR(ROUND((IF(ISNUMBER(H128),H128*'Mão de Obra'!$D$12/12,1)*G128*F128)/'Mão de Obra'!$D$12,2),"")</f>
        <v/>
      </c>
      <c r="J128" s="774" t="str">
        <f>IFERROR(ROUND(I128*(1+
SUM(
IFERROR(SUMPRODUCT('Mão de Obra'!$E$169:$II$169,'Mão de Obra'!$E$29:$II$29),0),
IFERROR(SUMPRODUCT(Produtividade!$E$171:$II$171,Produtividade!$E$29:$II$29),0),
IFERROR(SUMPRODUCT(Veículos!$E$81:$II$81,Veículos!$E$4:$II$4),0)
)
/
Proposta!$J$62),2),"")</f>
        <v/>
      </c>
    </row>
    <row r="129" spans="2:10" s="42" customFormat="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4" t="str">
        <f>IFERROR(ROUND((IF(ISNUMBER(H129),H129*'Mão de Obra'!$D$12/12,1)*G129*F129)/'Mão de Obra'!$D$12,2),"")</f>
        <v/>
      </c>
      <c r="J129" s="774" t="str">
        <f>IFERROR(ROUND(I129*(1+
SUM(
IFERROR(SUMPRODUCT('Mão de Obra'!$E$169:$II$169,'Mão de Obra'!$E$29:$II$29),0),
IFERROR(SUMPRODUCT(Produtividade!$E$171:$II$171,Produtividade!$E$29:$II$29),0),
IFERROR(SUMPRODUCT(Veículos!$E$81:$II$81,Veículos!$E$4:$II$4),0)
)
/
Proposta!$J$62),2),"")</f>
        <v/>
      </c>
    </row>
    <row r="130" spans="2:10" s="42" customFormat="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4" t="str">
        <f>IFERROR(ROUND((IF(ISNUMBER(H130),H130*'Mão de Obra'!$D$12/12,1)*G130*F130)/'Mão de Obra'!$D$12,2),"")</f>
        <v/>
      </c>
      <c r="J130" s="774" t="str">
        <f>IFERROR(ROUND(I130*(1+
SUM(
IFERROR(SUMPRODUCT('Mão de Obra'!$E$169:$II$169,'Mão de Obra'!$E$29:$II$29),0),
IFERROR(SUMPRODUCT(Produtividade!$E$171:$II$171,Produtividade!$E$29:$II$29),0),
IFERROR(SUMPRODUCT(Veículos!$E$81:$II$81,Veículos!$E$4:$II$4),0)
)
/
Proposta!$J$62),2),"")</f>
        <v/>
      </c>
    </row>
    <row r="131" spans="2:10" s="42" customFormat="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4" t="str">
        <f>IFERROR(ROUND((IF(ISNUMBER(H131),H131*'Mão de Obra'!$D$12/12,1)*G131*F131)/'Mão de Obra'!$D$12,2),"")</f>
        <v/>
      </c>
      <c r="J131" s="774" t="str">
        <f>IFERROR(ROUND(I131*(1+
SUM(
IFERROR(SUMPRODUCT('Mão de Obra'!$E$169:$II$169,'Mão de Obra'!$E$29:$II$29),0),
IFERROR(SUMPRODUCT(Produtividade!$E$171:$II$171,Produtividade!$E$29:$II$29),0),
IFERROR(SUMPRODUCT(Veículos!$E$81:$II$81,Veículos!$E$4:$II$4),0)
)
/
Proposta!$J$62),2),"")</f>
        <v/>
      </c>
    </row>
    <row r="132" spans="2:10" s="42" customFormat="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4" t="str">
        <f>IFERROR(ROUND((IF(ISNUMBER(H132),H132*'Mão de Obra'!$D$12/12,1)*G132*F132)/'Mão de Obra'!$D$12,2),"")</f>
        <v/>
      </c>
      <c r="J132" s="774" t="str">
        <f>IFERROR(ROUND(I132*(1+
SUM(
IFERROR(SUMPRODUCT('Mão de Obra'!$E$169:$II$169,'Mão de Obra'!$E$29:$II$29),0),
IFERROR(SUMPRODUCT(Produtividade!$E$171:$II$171,Produtividade!$E$29:$II$29),0),
IFERROR(SUMPRODUCT(Veículos!$E$81:$II$81,Veículos!$E$4:$II$4),0)
)
/
Proposta!$J$62),2),"")</f>
        <v/>
      </c>
    </row>
    <row r="133" spans="2:10" s="42" customFormat="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4" t="str">
        <f>IFERROR(ROUND((IF(ISNUMBER(H133),H133*'Mão de Obra'!$D$12/12,1)*G133*F133)/'Mão de Obra'!$D$12,2),"")</f>
        <v/>
      </c>
      <c r="J133" s="774" t="str">
        <f>IFERROR(ROUND(I133*(1+
SUM(
IFERROR(SUMPRODUCT('Mão de Obra'!$E$169:$II$169,'Mão de Obra'!$E$29:$II$29),0),
IFERROR(SUMPRODUCT(Produtividade!$E$171:$II$171,Produtividade!$E$29:$II$29),0),
IFERROR(SUMPRODUCT(Veículos!$E$81:$II$81,Veículos!$E$4:$II$4),0)
)
/
Proposta!$J$62),2),"")</f>
        <v/>
      </c>
    </row>
    <row r="134" spans="2:10" s="42" customFormat="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4" t="str">
        <f>IFERROR(ROUND((IF(ISNUMBER(H134),H134*'Mão de Obra'!$D$12/12,1)*G134*F134)/'Mão de Obra'!$D$12,2),"")</f>
        <v/>
      </c>
      <c r="J134" s="774" t="str">
        <f>IFERROR(ROUND(I134*(1+
SUM(
IFERROR(SUMPRODUCT('Mão de Obra'!$E$169:$II$169,'Mão de Obra'!$E$29:$II$29),0),
IFERROR(SUMPRODUCT(Produtividade!$E$171:$II$171,Produtividade!$E$29:$II$29),0),
IFERROR(SUMPRODUCT(Veículos!$E$81:$II$81,Veículos!$E$4:$II$4),0)
)
/
Proposta!$J$62),2),"")</f>
        <v/>
      </c>
    </row>
    <row r="135" spans="2:10" s="42" customFormat="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4" t="str">
        <f>IFERROR(ROUND((IF(ISNUMBER(H135),H135*'Mão de Obra'!$D$12/12,1)*G135*F135)/'Mão de Obra'!$D$12,2),"")</f>
        <v/>
      </c>
      <c r="J135" s="774" t="str">
        <f>IFERROR(ROUND(I135*(1+
SUM(
IFERROR(SUMPRODUCT('Mão de Obra'!$E$169:$II$169,'Mão de Obra'!$E$29:$II$29),0),
IFERROR(SUMPRODUCT(Produtividade!$E$171:$II$171,Produtividade!$E$29:$II$29),0),
IFERROR(SUMPRODUCT(Veículos!$E$81:$II$81,Veículos!$E$4:$II$4),0)
)
/
Proposta!$J$62),2),"")</f>
        <v/>
      </c>
    </row>
    <row r="136" spans="2:10" s="42" customFormat="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4" t="str">
        <f>IFERROR(ROUND((IF(ISNUMBER(H136),H136*'Mão de Obra'!$D$12/12,1)*G136*F136)/'Mão de Obra'!$D$12,2),"")</f>
        <v/>
      </c>
      <c r="J136" s="774" t="str">
        <f>IFERROR(ROUND(I136*(1+
SUM(
IFERROR(SUMPRODUCT('Mão de Obra'!$E$169:$II$169,'Mão de Obra'!$E$29:$II$29),0),
IFERROR(SUMPRODUCT(Produtividade!$E$171:$II$171,Produtividade!$E$29:$II$29),0),
IFERROR(SUMPRODUCT(Veículos!$E$81:$II$81,Veículos!$E$4:$II$4),0)
)
/
Proposta!$J$62),2),"")</f>
        <v/>
      </c>
    </row>
    <row r="137" spans="2:10" s="42" customFormat="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4" t="str">
        <f>IFERROR(ROUND((IF(ISNUMBER(H137),H137*'Mão de Obra'!$D$12/12,1)*G137*F137)/'Mão de Obra'!$D$12,2),"")</f>
        <v/>
      </c>
      <c r="J137" s="774" t="str">
        <f>IFERROR(ROUND(I137*(1+
SUM(
IFERROR(SUMPRODUCT('Mão de Obra'!$E$169:$II$169,'Mão de Obra'!$E$29:$II$29),0),
IFERROR(SUMPRODUCT(Produtividade!$E$171:$II$171,Produtividade!$E$29:$II$29),0),
IFERROR(SUMPRODUCT(Veículos!$E$81:$II$81,Veículos!$E$4:$II$4),0)
)
/
Proposta!$J$62),2),"")</f>
        <v/>
      </c>
    </row>
    <row r="138" spans="2:10" s="42" customFormat="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4" t="str">
        <f>IFERROR(ROUND((IF(ISNUMBER(H138),H138*'Mão de Obra'!$D$12/12,1)*G138*F138)/'Mão de Obra'!$D$12,2),"")</f>
        <v/>
      </c>
      <c r="J138" s="774" t="str">
        <f>IFERROR(ROUND(I138*(1+
SUM(
IFERROR(SUMPRODUCT('Mão de Obra'!$E$169:$II$169,'Mão de Obra'!$E$29:$II$29),0),
IFERROR(SUMPRODUCT(Produtividade!$E$171:$II$171,Produtividade!$E$29:$II$29),0),
IFERROR(SUMPRODUCT(Veículos!$E$81:$II$81,Veículos!$E$4:$II$4),0)
)
/
Proposta!$J$62),2),"")</f>
        <v/>
      </c>
    </row>
    <row r="139" spans="2:10" s="42" customFormat="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4" t="str">
        <f>IFERROR(ROUND((IF(ISNUMBER(H139),H139*'Mão de Obra'!$D$12/12,1)*G139*F139)/'Mão de Obra'!$D$12,2),"")</f>
        <v/>
      </c>
      <c r="J139" s="774" t="str">
        <f>IFERROR(ROUND(I139*(1+
SUM(
IFERROR(SUMPRODUCT('Mão de Obra'!$E$169:$II$169,'Mão de Obra'!$E$29:$II$29),0),
IFERROR(SUMPRODUCT(Produtividade!$E$171:$II$171,Produtividade!$E$29:$II$29),0),
IFERROR(SUMPRODUCT(Veículos!$E$81:$II$81,Veículos!$E$4:$II$4),0)
)
/
Proposta!$J$62),2),"")</f>
        <v/>
      </c>
    </row>
    <row r="140" spans="2:10" s="42" customFormat="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4" t="str">
        <f>IFERROR(ROUND((IF(ISNUMBER(H140),H140*'Mão de Obra'!$D$12/12,1)*G140*F140)/'Mão de Obra'!$D$12,2),"")</f>
        <v/>
      </c>
      <c r="J140" s="774" t="str">
        <f>IFERROR(ROUND(I140*(1+
SUM(
IFERROR(SUMPRODUCT('Mão de Obra'!$E$169:$II$169,'Mão de Obra'!$E$29:$II$29),0),
IFERROR(SUMPRODUCT(Produtividade!$E$171:$II$171,Produtividade!$E$29:$II$29),0),
IFERROR(SUMPRODUCT(Veículos!$E$81:$II$81,Veículos!$E$4:$II$4),0)
)
/
Proposta!$J$62),2),"")</f>
        <v/>
      </c>
    </row>
    <row r="141" spans="2:10" s="42" customFormat="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4" t="str">
        <f>IFERROR(ROUND((IF(ISNUMBER(H141),H141*'Mão de Obra'!$D$12/12,1)*G141*F141)/'Mão de Obra'!$D$12,2),"")</f>
        <v/>
      </c>
      <c r="J141" s="774" t="str">
        <f>IFERROR(ROUND(I141*(1+
SUM(
IFERROR(SUMPRODUCT('Mão de Obra'!$E$169:$II$169,'Mão de Obra'!$E$29:$II$29),0),
IFERROR(SUMPRODUCT(Produtividade!$E$171:$II$171,Produtividade!$E$29:$II$29),0),
IFERROR(SUMPRODUCT(Veículos!$E$81:$II$81,Veículos!$E$4:$II$4),0)
)
/
Proposta!$J$62),2),"")</f>
        <v/>
      </c>
    </row>
    <row r="142" spans="2:10" s="42" customFormat="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4" t="str">
        <f>IFERROR(ROUND((IF(ISNUMBER(H142),H142*'Mão de Obra'!$D$12/12,1)*G142*F142)/'Mão de Obra'!$D$12,2),"")</f>
        <v/>
      </c>
      <c r="J142" s="774" t="str">
        <f>IFERROR(ROUND(I142*(1+
SUM(
IFERROR(SUMPRODUCT('Mão de Obra'!$E$169:$II$169,'Mão de Obra'!$E$29:$II$29),0),
IFERROR(SUMPRODUCT(Produtividade!$E$171:$II$171,Produtividade!$E$29:$II$29),0),
IFERROR(SUMPRODUCT(Veículos!$E$81:$II$81,Veículos!$E$4:$II$4),0)
)
/
Proposta!$J$62),2),"")</f>
        <v/>
      </c>
    </row>
    <row r="143" spans="2:10" s="42" customFormat="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4" t="str">
        <f>IFERROR(ROUND((IF(ISNUMBER(H143),H143*'Mão de Obra'!$D$12/12,1)*G143*F143)/'Mão de Obra'!$D$12,2),"")</f>
        <v/>
      </c>
      <c r="J143" s="774" t="str">
        <f>IFERROR(ROUND(I143*(1+
SUM(
IFERROR(SUMPRODUCT('Mão de Obra'!$E$169:$II$169,'Mão de Obra'!$E$29:$II$29),0),
IFERROR(SUMPRODUCT(Produtividade!$E$171:$II$171,Produtividade!$E$29:$II$29),0),
IFERROR(SUMPRODUCT(Veículos!$E$81:$II$81,Veículos!$E$4:$II$4),0)
)
/
Proposta!$J$62),2),"")</f>
        <v/>
      </c>
    </row>
    <row r="144" spans="2:10" s="42" customFormat="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4" t="str">
        <f>IFERROR(ROUND((IF(ISNUMBER(H144),H144*'Mão de Obra'!$D$12/12,1)*G144*F144)/'Mão de Obra'!$D$12,2),"")</f>
        <v/>
      </c>
      <c r="J144" s="774" t="str">
        <f>IFERROR(ROUND(I144*(1+
SUM(
IFERROR(SUMPRODUCT('Mão de Obra'!$E$169:$II$169,'Mão de Obra'!$E$29:$II$29),0),
IFERROR(SUMPRODUCT(Produtividade!$E$171:$II$171,Produtividade!$E$29:$II$29),0),
IFERROR(SUMPRODUCT(Veículos!$E$81:$II$81,Veículos!$E$4:$II$4),0)
)
/
Proposta!$J$62),2),"")</f>
        <v/>
      </c>
    </row>
    <row r="145" spans="2:10">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4" t="str">
        <f>IFERROR(ROUND((IF(ISNUMBER(H145),H145*'Mão de Obra'!$D$12/12,1)*G145*F145)/'Mão de Obra'!$D$12,2),"")</f>
        <v/>
      </c>
      <c r="J145" s="774" t="str">
        <f>IFERROR(ROUND(I145*(1+
SUM(
IFERROR(SUMPRODUCT('Mão de Obra'!$E$169:$II$169,'Mão de Obra'!$E$29:$II$29),0),
IFERROR(SUMPRODUCT(Produtividade!$E$171:$II$171,Produtividade!$E$29:$II$29),0),
IFERROR(SUMPRODUCT(Veículos!$E$81:$II$81,Veículos!$E$4:$II$4),0)
)
/
Proposta!$J$62),2),"")</f>
        <v/>
      </c>
    </row>
    <row r="146" spans="2:10">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4" t="str">
        <f>IFERROR(ROUND((IF(ISNUMBER(H146),H146*'Mão de Obra'!$D$12/12,1)*G146*F146)/'Mão de Obra'!$D$12,2),"")</f>
        <v/>
      </c>
      <c r="J146" s="774" t="str">
        <f>IFERROR(ROUND(I146*(1+
SUM(
IFERROR(SUMPRODUCT('Mão de Obra'!$E$169:$II$169,'Mão de Obra'!$E$29:$II$29),0),
IFERROR(SUMPRODUCT(Produtividade!$E$171:$II$171,Produtividade!$E$29:$II$29),0),
IFERROR(SUMPRODUCT(Veículos!$E$81:$II$81,Veículos!$E$4:$II$4),0)
)
/
Proposta!$J$62),2),"")</f>
        <v/>
      </c>
    </row>
    <row r="147" spans="2:10">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4" t="str">
        <f>IFERROR(ROUND((IF(ISNUMBER(H147),H147*'Mão de Obra'!$D$12/12,1)*G147*F147)/'Mão de Obra'!$D$12,2),"")</f>
        <v/>
      </c>
      <c r="J147" s="774" t="str">
        <f>IFERROR(ROUND(I147*(1+
SUM(
IFERROR(SUMPRODUCT('Mão de Obra'!$E$169:$II$169,'Mão de Obra'!$E$29:$II$29),0),
IFERROR(SUMPRODUCT(Produtividade!$E$171:$II$171,Produtividade!$E$29:$II$29),0),
IFERROR(SUMPRODUCT(Veículos!$E$81:$II$81,Veículos!$E$4:$II$4),0)
)
/
Proposta!$J$62),2),"")</f>
        <v/>
      </c>
    </row>
    <row r="148" spans="2:10">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4" t="str">
        <f>IFERROR(ROUND((IF(ISNUMBER(H148),H148*'Mão de Obra'!$D$12/12,1)*G148*F148)/'Mão de Obra'!$D$12,2),"")</f>
        <v/>
      </c>
      <c r="J148" s="774" t="str">
        <f>IFERROR(ROUND(I148*(1+
SUM(
IFERROR(SUMPRODUCT('Mão de Obra'!$E$169:$II$169,'Mão de Obra'!$E$29:$II$29),0),
IFERROR(SUMPRODUCT(Produtividade!$E$171:$II$171,Produtividade!$E$29:$II$29),0),
IFERROR(SUMPRODUCT(Veículos!$E$81:$II$81,Veículos!$E$4:$II$4),0)
)
/
Proposta!$J$62),2),"")</f>
        <v/>
      </c>
    </row>
    <row r="149" spans="2:10">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4" t="str">
        <f>IFERROR(ROUND((IF(ISNUMBER(H149),H149*'Mão de Obra'!$D$12/12,1)*G149*F149)/'Mão de Obra'!$D$12,2),"")</f>
        <v/>
      </c>
      <c r="J149" s="774" t="str">
        <f>IFERROR(ROUND(I149*(1+
SUM(
IFERROR(SUMPRODUCT('Mão de Obra'!$E$169:$II$169,'Mão de Obra'!$E$29:$II$29),0),
IFERROR(SUMPRODUCT(Produtividade!$E$171:$II$171,Produtividade!$E$29:$II$29),0),
IFERROR(SUMPRODUCT(Veículos!$E$81:$II$81,Veículos!$E$4:$II$4),0)
)
/
Proposta!$J$62),2),"")</f>
        <v/>
      </c>
    </row>
    <row r="150" spans="2:10">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4" t="str">
        <f>IFERROR(ROUND((IF(ISNUMBER(H150),H150*'Mão de Obra'!$D$12/12,1)*G150*F150)/'Mão de Obra'!$D$12,2),"")</f>
        <v/>
      </c>
      <c r="J150" s="774" t="str">
        <f>IFERROR(ROUND(I150*(1+
SUM(
IFERROR(SUMPRODUCT('Mão de Obra'!$E$169:$II$169,'Mão de Obra'!$E$29:$II$29),0),
IFERROR(SUMPRODUCT(Produtividade!$E$171:$II$171,Produtividade!$E$29:$II$29),0),
IFERROR(SUMPRODUCT(Veículos!$E$81:$II$81,Veículos!$E$4:$II$4),0)
)
/
Proposta!$J$62),2),"")</f>
        <v/>
      </c>
    </row>
    <row r="151" spans="2:10">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4" t="str">
        <f>IFERROR(ROUND((IF(ISNUMBER(H151),H151*'Mão de Obra'!$D$12/12,1)*G151*F151)/'Mão de Obra'!$D$12,2),"")</f>
        <v/>
      </c>
      <c r="J151" s="774" t="str">
        <f>IFERROR(ROUND(I151*(1+
SUM(
IFERROR(SUMPRODUCT('Mão de Obra'!$E$169:$II$169,'Mão de Obra'!$E$29:$II$29),0),
IFERROR(SUMPRODUCT(Produtividade!$E$171:$II$171,Produtividade!$E$29:$II$29),0),
IFERROR(SUMPRODUCT(Veículos!$E$81:$II$81,Veículos!$E$4:$II$4),0)
)
/
Proposta!$J$62),2),"")</f>
        <v/>
      </c>
    </row>
    <row r="152" spans="2:10">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4" t="str">
        <f>IFERROR(ROUND((IF(ISNUMBER(H152),H152*'Mão de Obra'!$D$12/12,1)*G152*F152)/'Mão de Obra'!$D$12,2),"")</f>
        <v/>
      </c>
      <c r="J152" s="774" t="str">
        <f>IFERROR(ROUND(I152*(1+
SUM(
IFERROR(SUMPRODUCT('Mão de Obra'!$E$169:$II$169,'Mão de Obra'!$E$29:$II$29),0),
IFERROR(SUMPRODUCT(Produtividade!$E$171:$II$171,Produtividade!$E$29:$II$29),0),
IFERROR(SUMPRODUCT(Veículos!$E$81:$II$81,Veículos!$E$4:$II$4),0)
)
/
Proposta!$J$62),2),"")</f>
        <v/>
      </c>
    </row>
    <row r="153" spans="2:10">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4" t="str">
        <f>IFERROR(ROUND((IF(ISNUMBER(H153),H153*'Mão de Obra'!$D$12/12,1)*G153*F153)/'Mão de Obra'!$D$12,2),"")</f>
        <v/>
      </c>
      <c r="J153" s="774" t="str">
        <f>IFERROR(ROUND(I153*(1+
SUM(
IFERROR(SUMPRODUCT('Mão de Obra'!$E$169:$II$169,'Mão de Obra'!$E$29:$II$29),0),
IFERROR(SUMPRODUCT(Produtividade!$E$171:$II$171,Produtividade!$E$29:$II$29),0),
IFERROR(SUMPRODUCT(Veículos!$E$81:$II$81,Veículos!$E$4:$II$4),0)
)
/
Proposta!$J$62),2),"")</f>
        <v/>
      </c>
    </row>
    <row r="154" spans="2:10">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4" t="str">
        <f>IFERROR(ROUND((IF(ISNUMBER(H154),H154*'Mão de Obra'!$D$12/12,1)*G154*F154)/'Mão de Obra'!$D$12,2),"")</f>
        <v/>
      </c>
      <c r="J154" s="774" t="str">
        <f>IFERROR(ROUND(I154*(1+
SUM(
IFERROR(SUMPRODUCT('Mão de Obra'!$E$169:$II$169,'Mão de Obra'!$E$29:$II$29),0),
IFERROR(SUMPRODUCT(Produtividade!$E$171:$II$171,Produtividade!$E$29:$II$29),0),
IFERROR(SUMPRODUCT(Veículos!$E$81:$II$81,Veículos!$E$4:$II$4),0)
)
/
Proposta!$J$62),2),"")</f>
        <v/>
      </c>
    </row>
    <row r="155" spans="2:10">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4" t="str">
        <f>IFERROR(ROUND((IF(ISNUMBER(H155),H155*'Mão de Obra'!$D$12/12,1)*G155*F155)/'Mão de Obra'!$D$12,2),"")</f>
        <v/>
      </c>
      <c r="J155" s="774" t="str">
        <f>IFERROR(ROUND(I155*(1+
SUM(
IFERROR(SUMPRODUCT('Mão de Obra'!$E$169:$II$169,'Mão de Obra'!$E$29:$II$29),0),
IFERROR(SUMPRODUCT(Produtividade!$E$171:$II$171,Produtividade!$E$29:$II$29),0),
IFERROR(SUMPRODUCT(Veículos!$E$81:$II$81,Veículos!$E$4:$II$4),0)
)
/
Proposta!$J$62),2),"")</f>
        <v/>
      </c>
    </row>
    <row r="156" spans="2:10">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4" t="str">
        <f>IFERROR(ROUND((IF(ISNUMBER(H156),H156*'Mão de Obra'!$D$12/12,1)*G156*F156)/'Mão de Obra'!$D$12,2),"")</f>
        <v/>
      </c>
      <c r="J156" s="774" t="str">
        <f>IFERROR(ROUND(I156*(1+
SUM(
IFERROR(SUMPRODUCT('Mão de Obra'!$E$169:$II$169,'Mão de Obra'!$E$29:$II$29),0),
IFERROR(SUMPRODUCT(Produtividade!$E$171:$II$171,Produtividade!$E$29:$II$29),0),
IFERROR(SUMPRODUCT(Veículos!$E$81:$II$81,Veículos!$E$4:$II$4),0)
)
/
Proposta!$J$62),2),"")</f>
        <v/>
      </c>
    </row>
    <row r="157" spans="2:10">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4" t="str">
        <f>IFERROR(ROUND((IF(ISNUMBER(H157),H157*'Mão de Obra'!$D$12/12,1)*G157*F157)/'Mão de Obra'!$D$12,2),"")</f>
        <v/>
      </c>
      <c r="J157" s="774" t="str">
        <f>IFERROR(ROUND(I157*(1+
SUM(
IFERROR(SUMPRODUCT('Mão de Obra'!$E$169:$II$169,'Mão de Obra'!$E$29:$II$29),0),
IFERROR(SUMPRODUCT(Produtividade!$E$171:$II$171,Produtividade!$E$29:$II$29),0),
IFERROR(SUMPRODUCT(Veículos!$E$81:$II$81,Veículos!$E$4:$II$4),0)
)
/
Proposta!$J$62),2),"")</f>
        <v/>
      </c>
    </row>
    <row r="158" spans="2:10">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4" t="str">
        <f>IFERROR(ROUND((IF(ISNUMBER(H158),H158*'Mão de Obra'!$D$12/12,1)*G158*F158)/'Mão de Obra'!$D$12,2),"")</f>
        <v/>
      </c>
      <c r="J158" s="774" t="str">
        <f>IFERROR(ROUND(I158*(1+
SUM(
IFERROR(SUMPRODUCT('Mão de Obra'!$E$169:$II$169,'Mão de Obra'!$E$29:$II$29),0),
IFERROR(SUMPRODUCT(Produtividade!$E$171:$II$171,Produtividade!$E$29:$II$29),0),
IFERROR(SUMPRODUCT(Veículos!$E$81:$II$81,Veículos!$E$4:$II$4),0)
)
/
Proposta!$J$62),2),"")</f>
        <v/>
      </c>
    </row>
    <row r="159" spans="2:10">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4" t="str">
        <f>IFERROR(ROUND((IF(ISNUMBER(H159),H159*'Mão de Obra'!$D$12/12,1)*G159*F159)/'Mão de Obra'!$D$12,2),"")</f>
        <v/>
      </c>
      <c r="J159" s="774" t="str">
        <f>IFERROR(ROUND(I159*(1+
SUM(
IFERROR(SUMPRODUCT('Mão de Obra'!$E$169:$II$169,'Mão de Obra'!$E$29:$II$29),0),
IFERROR(SUMPRODUCT(Produtividade!$E$171:$II$171,Produtividade!$E$29:$II$29),0),
IFERROR(SUMPRODUCT(Veículos!$E$81:$II$81,Veículos!$E$4:$II$4),0)
)
/
Proposta!$J$62),2),"")</f>
        <v/>
      </c>
    </row>
    <row r="160" spans="2:10">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4" t="str">
        <f>IFERROR(ROUND((IF(ISNUMBER(H160),H160*'Mão de Obra'!$D$12/12,1)*G160*F160)/'Mão de Obra'!$D$12,2),"")</f>
        <v/>
      </c>
      <c r="J160" s="774" t="str">
        <f>IFERROR(ROUND(I160*(1+
SUM(
IFERROR(SUMPRODUCT('Mão de Obra'!$E$169:$II$169,'Mão de Obra'!$E$29:$II$29),0),
IFERROR(SUMPRODUCT(Produtividade!$E$171:$II$171,Produtividade!$E$29:$II$29),0),
IFERROR(SUMPRODUCT(Veículos!$E$81:$II$81,Veículos!$E$4:$II$4),0)
)
/
Proposta!$J$62),2),"")</f>
        <v/>
      </c>
    </row>
    <row r="161" spans="2:10">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4" t="str">
        <f>IFERROR(ROUND((IF(ISNUMBER(H161),H161*'Mão de Obra'!$D$12/12,1)*G161*F161)/'Mão de Obra'!$D$12,2),"")</f>
        <v/>
      </c>
      <c r="J161" s="774" t="str">
        <f>IFERROR(ROUND(I161*(1+
SUM(
IFERROR(SUMPRODUCT('Mão de Obra'!$E$169:$II$169,'Mão de Obra'!$E$29:$II$29),0),
IFERROR(SUMPRODUCT(Produtividade!$E$171:$II$171,Produtividade!$E$29:$II$29),0),
IFERROR(SUMPRODUCT(Veículos!$E$81:$II$81,Veículos!$E$4:$II$4),0)
)
/
Proposta!$J$62),2),"")</f>
        <v/>
      </c>
    </row>
    <row r="162" spans="2:10">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4" t="str">
        <f>IFERROR(ROUND((IF(ISNUMBER(H162),H162*'Mão de Obra'!$D$12/12,1)*G162*F162)/'Mão de Obra'!$D$12,2),"")</f>
        <v/>
      </c>
      <c r="J162" s="774" t="str">
        <f>IFERROR(ROUND(I162*(1+
SUM(
IFERROR(SUMPRODUCT('Mão de Obra'!$E$169:$II$169,'Mão de Obra'!$E$29:$II$29),0),
IFERROR(SUMPRODUCT(Produtividade!$E$171:$II$171,Produtividade!$E$29:$II$29),0),
IFERROR(SUMPRODUCT(Veículos!$E$81:$II$81,Veículos!$E$4:$II$4),0)
)
/
Proposta!$J$62),2),"")</f>
        <v/>
      </c>
    </row>
    <row r="163" spans="2:10">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4" t="str">
        <f>IFERROR(ROUND((IF(ISNUMBER(H163),H163*'Mão de Obra'!$D$12/12,1)*G163*F163)/'Mão de Obra'!$D$12,2),"")</f>
        <v/>
      </c>
      <c r="J163" s="774" t="str">
        <f>IFERROR(ROUND(I163*(1+
SUM(
IFERROR(SUMPRODUCT('Mão de Obra'!$E$169:$II$169,'Mão de Obra'!$E$29:$II$29),0),
IFERROR(SUMPRODUCT(Produtividade!$E$171:$II$171,Produtividade!$E$29:$II$29),0),
IFERROR(SUMPRODUCT(Veículos!$E$81:$II$81,Veículos!$E$4:$II$4),0)
)
/
Proposta!$J$62),2),"")</f>
        <v/>
      </c>
    </row>
    <row r="164" spans="2:10">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4" t="str">
        <f>IFERROR(ROUND((IF(ISNUMBER(H164),H164*'Mão de Obra'!$D$12/12,1)*G164*F164)/'Mão de Obra'!$D$12,2),"")</f>
        <v/>
      </c>
      <c r="J164" s="774" t="str">
        <f>IFERROR(ROUND(I164*(1+
SUM(
IFERROR(SUMPRODUCT('Mão de Obra'!$E$169:$II$169,'Mão de Obra'!$E$29:$II$29),0),
IFERROR(SUMPRODUCT(Produtividade!$E$171:$II$171,Produtividade!$E$29:$II$29),0),
IFERROR(SUMPRODUCT(Veículos!$E$81:$II$81,Veículos!$E$4:$II$4),0)
)
/
Proposta!$J$62),2),"")</f>
        <v/>
      </c>
    </row>
    <row r="165" spans="2:10">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4" t="str">
        <f>IFERROR(ROUND((IF(ISNUMBER(H165),H165*'Mão de Obra'!$D$12/12,1)*G165*F165)/'Mão de Obra'!$D$12,2),"")</f>
        <v/>
      </c>
      <c r="J165" s="774" t="str">
        <f>IFERROR(ROUND(I165*(1+
SUM(
IFERROR(SUMPRODUCT('Mão de Obra'!$E$169:$II$169,'Mão de Obra'!$E$29:$II$29),0),
IFERROR(SUMPRODUCT(Produtividade!$E$171:$II$171,Produtividade!$E$29:$II$29),0),
IFERROR(SUMPRODUCT(Veículos!$E$81:$II$81,Veículos!$E$4:$II$4),0)
)
/
Proposta!$J$62),2),"")</f>
        <v/>
      </c>
    </row>
    <row r="166" spans="2:10">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4" t="str">
        <f>IFERROR(ROUND((IF(ISNUMBER(H166),H166*'Mão de Obra'!$D$12/12,1)*G166*F166)/'Mão de Obra'!$D$12,2),"")</f>
        <v/>
      </c>
      <c r="J166" s="774" t="str">
        <f>IFERROR(ROUND(I166*(1+
SUM(
IFERROR(SUMPRODUCT('Mão de Obra'!$E$169:$II$169,'Mão de Obra'!$E$29:$II$29),0),
IFERROR(SUMPRODUCT(Produtividade!$E$171:$II$171,Produtividade!$E$29:$II$29),0),
IFERROR(SUMPRODUCT(Veículos!$E$81:$II$81,Veículos!$E$4:$II$4),0)
)
/
Proposta!$J$62),2),"")</f>
        <v/>
      </c>
    </row>
    <row r="167" spans="2:10">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4" t="str">
        <f>IFERROR(ROUND((IF(ISNUMBER(H167),H167*'Mão de Obra'!$D$12/12,1)*G167*F167)/'Mão de Obra'!$D$12,2),"")</f>
        <v/>
      </c>
      <c r="J167" s="774" t="str">
        <f>IFERROR(ROUND(I167*(1+
SUM(
IFERROR(SUMPRODUCT('Mão de Obra'!$E$169:$II$169,'Mão de Obra'!$E$29:$II$29),0),
IFERROR(SUMPRODUCT(Produtividade!$E$171:$II$171,Produtividade!$E$29:$II$29),0),
IFERROR(SUMPRODUCT(Veículos!$E$81:$II$81,Veículos!$E$4:$II$4),0)
)
/
Proposta!$J$62),2),"")</f>
        <v/>
      </c>
    </row>
    <row r="168" spans="2:10">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4" t="str">
        <f>IFERROR(ROUND((IF(ISNUMBER(H168),H168*'Mão de Obra'!$D$12/12,1)*G168*F168)/'Mão de Obra'!$D$12,2),"")</f>
        <v/>
      </c>
      <c r="J168" s="774" t="str">
        <f>IFERROR(ROUND(I168*(1+
SUM(
IFERROR(SUMPRODUCT('Mão de Obra'!$E$169:$II$169,'Mão de Obra'!$E$29:$II$29),0),
IFERROR(SUMPRODUCT(Produtividade!$E$171:$II$171,Produtividade!$E$29:$II$29),0),
IFERROR(SUMPRODUCT(Veículos!$E$81:$II$81,Veículos!$E$4:$II$4),0)
)
/
Proposta!$J$62),2),"")</f>
        <v/>
      </c>
    </row>
    <row r="169" spans="2:10">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4" t="str">
        <f>IFERROR(ROUND((IF(ISNUMBER(H169),H169*'Mão de Obra'!$D$12/12,1)*G169*F169)/'Mão de Obra'!$D$12,2),"")</f>
        <v/>
      </c>
      <c r="J169" s="774" t="str">
        <f>IFERROR(ROUND(I169*(1+
SUM(
IFERROR(SUMPRODUCT('Mão de Obra'!$E$169:$II$169,'Mão de Obra'!$E$29:$II$29),0),
IFERROR(SUMPRODUCT(Produtividade!$E$171:$II$171,Produtividade!$E$29:$II$29),0),
IFERROR(SUMPRODUCT(Veículos!$E$81:$II$81,Veículos!$E$4:$II$4),0)
)
/
Proposta!$J$62),2),"")</f>
        <v/>
      </c>
    </row>
    <row r="170" spans="2:10">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4" t="str">
        <f>IFERROR(ROUND((IF(ISNUMBER(H170),H170*'Mão de Obra'!$D$12/12,1)*G170*F170)/'Mão de Obra'!$D$12,2),"")</f>
        <v/>
      </c>
      <c r="J170" s="774" t="str">
        <f>IFERROR(ROUND(I170*(1+
SUM(
IFERROR(SUMPRODUCT('Mão de Obra'!$E$169:$II$169,'Mão de Obra'!$E$29:$II$29),0),
IFERROR(SUMPRODUCT(Produtividade!$E$171:$II$171,Produtividade!$E$29:$II$29),0),
IFERROR(SUMPRODUCT(Veículos!$E$81:$II$81,Veículos!$E$4:$II$4),0)
)
/
Proposta!$J$62),2),"")</f>
        <v/>
      </c>
    </row>
    <row r="171" spans="2:10">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4" t="str">
        <f>IFERROR(ROUND((IF(ISNUMBER(H171),H171*'Mão de Obra'!$D$12/12,1)*G171*F171)/'Mão de Obra'!$D$12,2),"")</f>
        <v/>
      </c>
      <c r="J171" s="774" t="str">
        <f>IFERROR(ROUND(I171*(1+
SUM(
IFERROR(SUMPRODUCT('Mão de Obra'!$E$169:$II$169,'Mão de Obra'!$E$29:$II$29),0),
IFERROR(SUMPRODUCT(Produtividade!$E$171:$II$171,Produtividade!$E$29:$II$29),0),
IFERROR(SUMPRODUCT(Veículos!$E$81:$II$81,Veículos!$E$4:$II$4),0)
)
/
Proposta!$J$62),2),"")</f>
        <v/>
      </c>
    </row>
    <row r="172" spans="2:10">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4" t="str">
        <f>IFERROR(ROUND((IF(ISNUMBER(H172),H172*'Mão de Obra'!$D$12/12,1)*G172*F172)/'Mão de Obra'!$D$12,2),"")</f>
        <v/>
      </c>
      <c r="J172" s="774" t="str">
        <f>IFERROR(ROUND(I172*(1+
SUM(
IFERROR(SUMPRODUCT('Mão de Obra'!$E$169:$II$169,'Mão de Obra'!$E$29:$II$29),0),
IFERROR(SUMPRODUCT(Produtividade!$E$171:$II$171,Produtividade!$E$29:$II$29),0),
IFERROR(SUMPRODUCT(Veículos!$E$81:$II$81,Veículos!$E$4:$II$4),0)
)
/
Proposta!$J$62),2),"")</f>
        <v/>
      </c>
    </row>
    <row r="173" spans="2:10">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4" t="str">
        <f>IFERROR(ROUND((IF(ISNUMBER(H173),H173*'Mão de Obra'!$D$12/12,1)*G173*F173)/'Mão de Obra'!$D$12,2),"")</f>
        <v/>
      </c>
      <c r="J173" s="774" t="str">
        <f>IFERROR(ROUND(I173*(1+
SUM(
IFERROR(SUMPRODUCT('Mão de Obra'!$E$169:$II$169,'Mão de Obra'!$E$29:$II$29),0),
IFERROR(SUMPRODUCT(Produtividade!$E$171:$II$171,Produtividade!$E$29:$II$29),0),
IFERROR(SUMPRODUCT(Veículos!$E$81:$II$81,Veículos!$E$4:$II$4),0)
)
/
Proposta!$J$62),2),"")</f>
        <v/>
      </c>
    </row>
    <row r="174" spans="2:10">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4" t="str">
        <f>IFERROR(ROUND((IF(ISNUMBER(H174),H174*'Mão de Obra'!$D$12/12,1)*G174*F174)/'Mão de Obra'!$D$12,2),"")</f>
        <v/>
      </c>
      <c r="J174" s="774" t="str">
        <f>IFERROR(ROUND(I174*(1+
SUM(
IFERROR(SUMPRODUCT('Mão de Obra'!$E$169:$II$169,'Mão de Obra'!$E$29:$II$29),0),
IFERROR(SUMPRODUCT(Produtividade!$E$171:$II$171,Produtividade!$E$29:$II$29),0),
IFERROR(SUMPRODUCT(Veículos!$E$81:$II$81,Veículos!$E$4:$II$4),0)
)
/
Proposta!$J$62),2),"")</f>
        <v/>
      </c>
    </row>
    <row r="175" spans="2:10">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4" t="str">
        <f>IFERROR(ROUND((IF(ISNUMBER(H175),H175*'Mão de Obra'!$D$12/12,1)*G175*F175)/'Mão de Obra'!$D$12,2),"")</f>
        <v/>
      </c>
      <c r="J175" s="774" t="str">
        <f>IFERROR(ROUND(I175*(1+
SUM(
IFERROR(SUMPRODUCT('Mão de Obra'!$E$169:$II$169,'Mão de Obra'!$E$29:$II$29),0),
IFERROR(SUMPRODUCT(Produtividade!$E$171:$II$171,Produtividade!$E$29:$II$29),0),
IFERROR(SUMPRODUCT(Veículos!$E$81:$II$81,Veículos!$E$4:$II$4),0)
)
/
Proposta!$J$62),2),"")</f>
        <v/>
      </c>
    </row>
    <row r="176" spans="2:10">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4" t="str">
        <f>IFERROR(ROUND((IF(ISNUMBER(H176),H176*'Mão de Obra'!$D$12/12,1)*G176*F176)/'Mão de Obra'!$D$12,2),"")</f>
        <v/>
      </c>
      <c r="J176" s="774" t="str">
        <f>IFERROR(ROUND(I176*(1+
SUM(
IFERROR(SUMPRODUCT('Mão de Obra'!$E$169:$II$169,'Mão de Obra'!$E$29:$II$29),0),
IFERROR(SUMPRODUCT(Produtividade!$E$171:$II$171,Produtividade!$E$29:$II$29),0),
IFERROR(SUMPRODUCT(Veículos!$E$81:$II$81,Veículos!$E$4:$II$4),0)
)
/
Proposta!$J$62),2),"")</f>
        <v/>
      </c>
    </row>
    <row r="177" spans="2:10">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4" t="str">
        <f>IFERROR(ROUND((IF(ISNUMBER(H177),H177*'Mão de Obra'!$D$12/12,1)*G177*F177)/'Mão de Obra'!$D$12,2),"")</f>
        <v/>
      </c>
      <c r="J177" s="774" t="str">
        <f>IFERROR(ROUND(I177*(1+
SUM(
IFERROR(SUMPRODUCT('Mão de Obra'!$E$169:$II$169,'Mão de Obra'!$E$29:$II$29),0),
IFERROR(SUMPRODUCT(Produtividade!$E$171:$II$171,Produtividade!$E$29:$II$29),0),
IFERROR(SUMPRODUCT(Veículos!$E$81:$II$81,Veículos!$E$4:$II$4),0)
)
/
Proposta!$J$62),2),"")</f>
        <v/>
      </c>
    </row>
    <row r="178" spans="2:10">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4" t="str">
        <f>IFERROR(ROUND((IF(ISNUMBER(H178),H178*'Mão de Obra'!$D$12/12,1)*G178*F178)/'Mão de Obra'!$D$12,2),"")</f>
        <v/>
      </c>
      <c r="J178" s="774" t="str">
        <f>IFERROR(ROUND(I178*(1+
SUM(
IFERROR(SUMPRODUCT('Mão de Obra'!$E$169:$II$169,'Mão de Obra'!$E$29:$II$29),0),
IFERROR(SUMPRODUCT(Produtividade!$E$171:$II$171,Produtividade!$E$29:$II$29),0),
IFERROR(SUMPRODUCT(Veículos!$E$81:$II$81,Veículos!$E$4:$II$4),0)
)
/
Proposta!$J$62),2),"")</f>
        <v/>
      </c>
    </row>
    <row r="179" spans="2:10">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4" t="str">
        <f>IFERROR(ROUND((IF(ISNUMBER(H179),H179*'Mão de Obra'!$D$12/12,1)*G179*F179)/'Mão de Obra'!$D$12,2),"")</f>
        <v/>
      </c>
      <c r="J179" s="774" t="str">
        <f>IFERROR(ROUND(I179*(1+
SUM(
IFERROR(SUMPRODUCT('Mão de Obra'!$E$169:$II$169,'Mão de Obra'!$E$29:$II$29),0),
IFERROR(SUMPRODUCT(Produtividade!$E$171:$II$171,Produtividade!$E$29:$II$29),0),
IFERROR(SUMPRODUCT(Veículos!$E$81:$II$81,Veículos!$E$4:$II$4),0)
)
/
Proposta!$J$62),2),"")</f>
        <v/>
      </c>
    </row>
    <row r="180" spans="2:10">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4" t="str">
        <f>IFERROR(ROUND((IF(ISNUMBER(H180),H180*'Mão de Obra'!$D$12/12,1)*G180*F180)/'Mão de Obra'!$D$12,2),"")</f>
        <v/>
      </c>
      <c r="J180" s="774" t="str">
        <f>IFERROR(ROUND(I180*(1+
SUM(
IFERROR(SUMPRODUCT('Mão de Obra'!$E$169:$II$169,'Mão de Obra'!$E$29:$II$29),0),
IFERROR(SUMPRODUCT(Produtividade!$E$171:$II$171,Produtividade!$E$29:$II$29),0),
IFERROR(SUMPRODUCT(Veículos!$E$81:$II$81,Veículos!$E$4:$II$4),0)
)
/
Proposta!$J$62),2),"")</f>
        <v/>
      </c>
    </row>
    <row r="181" spans="2:10">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4" t="str">
        <f>IFERROR(ROUND((IF(ISNUMBER(H181),H181*'Mão de Obra'!$D$12/12,1)*G181*F181)/'Mão de Obra'!$D$12,2),"")</f>
        <v/>
      </c>
      <c r="J181" s="774" t="str">
        <f>IFERROR(ROUND(I181*(1+
SUM(
IFERROR(SUMPRODUCT('Mão de Obra'!$E$169:$II$169,'Mão de Obra'!$E$29:$II$29),0),
IFERROR(SUMPRODUCT(Produtividade!$E$171:$II$171,Produtividade!$E$29:$II$29),0),
IFERROR(SUMPRODUCT(Veículos!$E$81:$II$81,Veículos!$E$4:$II$4),0)
)
/
Proposta!$J$62),2),"")</f>
        <v/>
      </c>
    </row>
    <row r="182" spans="2:10">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4" t="str">
        <f>IFERROR(ROUND((IF(ISNUMBER(H182),H182*'Mão de Obra'!$D$12/12,1)*G182*F182)/'Mão de Obra'!$D$12,2),"")</f>
        <v/>
      </c>
      <c r="J182" s="774" t="str">
        <f>IFERROR(ROUND(I182*(1+
SUM(
IFERROR(SUMPRODUCT('Mão de Obra'!$E$169:$II$169,'Mão de Obra'!$E$29:$II$29),0),
IFERROR(SUMPRODUCT(Produtividade!$E$171:$II$171,Produtividade!$E$29:$II$29),0),
IFERROR(SUMPRODUCT(Veículos!$E$81:$II$81,Veículos!$E$4:$II$4),0)
)
/
Proposta!$J$62),2),"")</f>
        <v/>
      </c>
    </row>
    <row r="183" spans="2:10">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4" t="str">
        <f>IFERROR(ROUND((IF(ISNUMBER(H183),H183*'Mão de Obra'!$D$12/12,1)*G183*F183)/'Mão de Obra'!$D$12,2),"")</f>
        <v/>
      </c>
      <c r="J183" s="774" t="str">
        <f>IFERROR(ROUND(I183*(1+
SUM(
IFERROR(SUMPRODUCT('Mão de Obra'!$E$169:$II$169,'Mão de Obra'!$E$29:$II$29),0),
IFERROR(SUMPRODUCT(Produtividade!$E$171:$II$171,Produtividade!$E$29:$II$29),0),
IFERROR(SUMPRODUCT(Veículos!$E$81:$II$81,Veículos!$E$4:$II$4),0)
)
/
Proposta!$J$62),2),"")</f>
        <v/>
      </c>
    </row>
    <row r="184" spans="2:10">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4" t="str">
        <f>IFERROR(ROUND((IF(ISNUMBER(H184),H184*'Mão de Obra'!$D$12/12,1)*G184*F184)/'Mão de Obra'!$D$12,2),"")</f>
        <v/>
      </c>
      <c r="J184" s="774" t="str">
        <f>IFERROR(ROUND(I184*(1+
SUM(
IFERROR(SUMPRODUCT('Mão de Obra'!$E$169:$II$169,'Mão de Obra'!$E$29:$II$29),0),
IFERROR(SUMPRODUCT(Produtividade!$E$171:$II$171,Produtividade!$E$29:$II$29),0),
IFERROR(SUMPRODUCT(Veículos!$E$81:$II$81,Veículos!$E$4:$II$4),0)
)
/
Proposta!$J$62),2),"")</f>
        <v/>
      </c>
    </row>
    <row r="185" spans="2:10">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4" t="str">
        <f>IFERROR(ROUND((IF(ISNUMBER(H185),H185*'Mão de Obra'!$D$12/12,1)*G185*F185)/'Mão de Obra'!$D$12,2),"")</f>
        <v/>
      </c>
      <c r="J185" s="774" t="str">
        <f>IFERROR(ROUND(I185*(1+
SUM(
IFERROR(SUMPRODUCT('Mão de Obra'!$E$169:$II$169,'Mão de Obra'!$E$29:$II$29),0),
IFERROR(SUMPRODUCT(Produtividade!$E$171:$II$171,Produtividade!$E$29:$II$29),0),
IFERROR(SUMPRODUCT(Veículos!$E$81:$II$81,Veículos!$E$4:$II$4),0)
)
/
Proposta!$J$62),2),"")</f>
        <v/>
      </c>
    </row>
    <row r="186" spans="2:10">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4" t="str">
        <f>IFERROR(ROUND((IF(ISNUMBER(H186),H186*'Mão de Obra'!$D$12/12,1)*G186*F186)/'Mão de Obra'!$D$12,2),"")</f>
        <v/>
      </c>
      <c r="J186" s="774" t="str">
        <f>IFERROR(ROUND(I186*(1+
SUM(
IFERROR(SUMPRODUCT('Mão de Obra'!$E$169:$II$169,'Mão de Obra'!$E$29:$II$29),0),
IFERROR(SUMPRODUCT(Produtividade!$E$171:$II$171,Produtividade!$E$29:$II$29),0),
IFERROR(SUMPRODUCT(Veículos!$E$81:$II$81,Veículos!$E$4:$II$4),0)
)
/
Proposta!$J$62),2),"")</f>
        <v/>
      </c>
    </row>
    <row r="187" spans="2:10">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4" t="str">
        <f>IFERROR(ROUND((IF(ISNUMBER(H187),H187*'Mão de Obra'!$D$12/12,1)*G187*F187)/'Mão de Obra'!$D$12,2),"")</f>
        <v/>
      </c>
      <c r="J187" s="774" t="str">
        <f>IFERROR(ROUND(I187*(1+
SUM(
IFERROR(SUMPRODUCT('Mão de Obra'!$E$169:$II$169,'Mão de Obra'!$E$29:$II$29),0),
IFERROR(SUMPRODUCT(Produtividade!$E$171:$II$171,Produtividade!$E$29:$II$29),0),
IFERROR(SUMPRODUCT(Veículos!$E$81:$II$81,Veículos!$E$4:$II$4),0)
)
/
Proposta!$J$62),2),"")</f>
        <v/>
      </c>
    </row>
    <row r="188" spans="2:10">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4" t="str">
        <f>IFERROR(ROUND((IF(ISNUMBER(H188),H188*'Mão de Obra'!$D$12/12,1)*G188*F188)/'Mão de Obra'!$D$12,2),"")</f>
        <v/>
      </c>
      <c r="J188" s="774" t="str">
        <f>IFERROR(ROUND(I188*(1+
SUM(
IFERROR(SUMPRODUCT('Mão de Obra'!$E$169:$II$169,'Mão de Obra'!$E$29:$II$29),0),
IFERROR(SUMPRODUCT(Produtividade!$E$171:$II$171,Produtividade!$E$29:$II$29),0),
IFERROR(SUMPRODUCT(Veículos!$E$81:$II$81,Veículos!$E$4:$II$4),0)
)
/
Proposta!$J$62),2),"")</f>
        <v/>
      </c>
    </row>
    <row r="189" spans="2:10">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4" t="str">
        <f>IFERROR(ROUND((IF(ISNUMBER(H189),H189*'Mão de Obra'!$D$12/12,1)*G189*F189)/'Mão de Obra'!$D$12,2),"")</f>
        <v/>
      </c>
      <c r="J189" s="774" t="str">
        <f>IFERROR(ROUND(I189*(1+
SUM(
IFERROR(SUMPRODUCT('Mão de Obra'!$E$169:$II$169,'Mão de Obra'!$E$29:$II$29),0),
IFERROR(SUMPRODUCT(Produtividade!$E$171:$II$171,Produtividade!$E$29:$II$29),0),
IFERROR(SUMPRODUCT(Veículos!$E$81:$II$81,Veículos!$E$4:$II$4),0)
)
/
Proposta!$J$62),2),"")</f>
        <v/>
      </c>
    </row>
    <row r="190" spans="2:10">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4" t="str">
        <f>IFERROR(ROUND((IF(ISNUMBER(H190),H190*'Mão de Obra'!$D$12/12,1)*G190*F190)/'Mão de Obra'!$D$12,2),"")</f>
        <v/>
      </c>
      <c r="J190" s="774" t="str">
        <f>IFERROR(ROUND(I190*(1+
SUM(
IFERROR(SUMPRODUCT('Mão de Obra'!$E$169:$II$169,'Mão de Obra'!$E$29:$II$29),0),
IFERROR(SUMPRODUCT(Produtividade!$E$171:$II$171,Produtividade!$E$29:$II$29),0),
IFERROR(SUMPRODUCT(Veículos!$E$81:$II$81,Veículos!$E$4:$II$4),0)
)
/
Proposta!$J$62),2),"")</f>
        <v/>
      </c>
    </row>
    <row r="191" spans="2:10">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4" t="str">
        <f>IFERROR(ROUND((IF(ISNUMBER(H191),H191*'Mão de Obra'!$D$12/12,1)*G191*F191)/'Mão de Obra'!$D$12,2),"")</f>
        <v/>
      </c>
      <c r="J191" s="774" t="str">
        <f>IFERROR(ROUND(I191*(1+
SUM(
IFERROR(SUMPRODUCT('Mão de Obra'!$E$169:$II$169,'Mão de Obra'!$E$29:$II$29),0),
IFERROR(SUMPRODUCT(Produtividade!$E$171:$II$171,Produtividade!$E$29:$II$29),0),
IFERROR(SUMPRODUCT(Veículos!$E$81:$II$81,Veículos!$E$4:$II$4),0)
)
/
Proposta!$J$62),2),"")</f>
        <v/>
      </c>
    </row>
    <row r="192" spans="2:10">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4" t="str">
        <f>IFERROR(ROUND((IF(ISNUMBER(H192),H192*'Mão de Obra'!$D$12/12,1)*G192*F192)/'Mão de Obra'!$D$12,2),"")</f>
        <v/>
      </c>
      <c r="J192" s="774" t="str">
        <f>IFERROR(ROUND(I192*(1+
SUM(
IFERROR(SUMPRODUCT('Mão de Obra'!$E$169:$II$169,'Mão de Obra'!$E$29:$II$29),0),
IFERROR(SUMPRODUCT(Produtividade!$E$171:$II$171,Produtividade!$E$29:$II$29),0),
IFERROR(SUMPRODUCT(Veículos!$E$81:$II$81,Veículos!$E$4:$II$4),0)
)
/
Proposta!$J$62),2),"")</f>
        <v/>
      </c>
    </row>
    <row r="193" spans="2:10">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4" t="str">
        <f>IFERROR(ROUND((IF(ISNUMBER(H193),H193*'Mão de Obra'!$D$12/12,1)*G193*F193)/'Mão de Obra'!$D$12,2),"")</f>
        <v/>
      </c>
      <c r="J193" s="774" t="str">
        <f>IFERROR(ROUND(I193*(1+
SUM(
IFERROR(SUMPRODUCT('Mão de Obra'!$E$169:$II$169,'Mão de Obra'!$E$29:$II$29),0),
IFERROR(SUMPRODUCT(Produtividade!$E$171:$II$171,Produtividade!$E$29:$II$29),0),
IFERROR(SUMPRODUCT(Veículos!$E$81:$II$81,Veículos!$E$4:$II$4),0)
)
/
Proposta!$J$62),2),"")</f>
        <v/>
      </c>
    </row>
    <row r="194" spans="2:10">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4" t="str">
        <f>IFERROR(ROUND((IF(ISNUMBER(H194),H194*'Mão de Obra'!$D$12/12,1)*G194*F194)/'Mão de Obra'!$D$12,2),"")</f>
        <v/>
      </c>
      <c r="J194" s="774" t="str">
        <f>IFERROR(ROUND(I194*(1+
SUM(
IFERROR(SUMPRODUCT('Mão de Obra'!$E$169:$II$169,'Mão de Obra'!$E$29:$II$29),0),
IFERROR(SUMPRODUCT(Produtividade!$E$171:$II$171,Produtividade!$E$29:$II$29),0),
IFERROR(SUMPRODUCT(Veículos!$E$81:$II$81,Veículos!$E$4:$II$4),0)
)
/
Proposta!$J$62),2),"")</f>
        <v/>
      </c>
    </row>
    <row r="195" spans="2:10">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4" t="str">
        <f>IFERROR(ROUND((IF(ISNUMBER(H195),H195*'Mão de Obra'!$D$12/12,1)*G195*F195)/'Mão de Obra'!$D$12,2),"")</f>
        <v/>
      </c>
      <c r="J195" s="774" t="str">
        <f>IFERROR(ROUND(I195*(1+
SUM(
IFERROR(SUMPRODUCT('Mão de Obra'!$E$169:$II$169,'Mão de Obra'!$E$29:$II$29),0),
IFERROR(SUMPRODUCT(Produtividade!$E$171:$II$171,Produtividade!$E$29:$II$29),0),
IFERROR(SUMPRODUCT(Veículos!$E$81:$II$81,Veículos!$E$4:$II$4),0)
)
/
Proposta!$J$62),2),"")</f>
        <v/>
      </c>
    </row>
    <row r="196" spans="2:10">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4" t="str">
        <f>IFERROR(ROUND((IF(ISNUMBER(H196),H196*'Mão de Obra'!$D$12/12,1)*G196*F196)/'Mão de Obra'!$D$12,2),"")</f>
        <v/>
      </c>
      <c r="J196" s="774" t="str">
        <f>IFERROR(ROUND(I196*(1+
SUM(
IFERROR(SUMPRODUCT('Mão de Obra'!$E$169:$II$169,'Mão de Obra'!$E$29:$II$29),0),
IFERROR(SUMPRODUCT(Produtividade!$E$171:$II$171,Produtividade!$E$29:$II$29),0),
IFERROR(SUMPRODUCT(Veículos!$E$81:$II$81,Veículos!$E$4:$II$4),0)
)
/
Proposta!$J$62),2),"")</f>
        <v/>
      </c>
    </row>
    <row r="197" spans="2:10">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4" t="str">
        <f>IFERROR(ROUND((IF(ISNUMBER(H197),H197*'Mão de Obra'!$D$12/12,1)*G197*F197)/'Mão de Obra'!$D$12,2),"")</f>
        <v/>
      </c>
      <c r="J197" s="774" t="str">
        <f>IFERROR(ROUND(I197*(1+
SUM(
IFERROR(SUMPRODUCT('Mão de Obra'!$E$169:$II$169,'Mão de Obra'!$E$29:$II$29),0),
IFERROR(SUMPRODUCT(Produtividade!$E$171:$II$171,Produtividade!$E$29:$II$29),0),
IFERROR(SUMPRODUCT(Veículos!$E$81:$II$81,Veículos!$E$4:$II$4),0)
)
/
Proposta!$J$62),2),"")</f>
        <v/>
      </c>
    </row>
    <row r="198" spans="2:10">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4" t="str">
        <f>IFERROR(ROUND((IF(ISNUMBER(H198),H198*'Mão de Obra'!$D$12/12,1)*G198*F198)/'Mão de Obra'!$D$12,2),"")</f>
        <v/>
      </c>
      <c r="J198" s="774" t="str">
        <f>IFERROR(ROUND(I198*(1+
SUM(
IFERROR(SUMPRODUCT('Mão de Obra'!$E$169:$II$169,'Mão de Obra'!$E$29:$II$29),0),
IFERROR(SUMPRODUCT(Produtividade!$E$171:$II$171,Produtividade!$E$29:$II$29),0),
IFERROR(SUMPRODUCT(Veículos!$E$81:$II$81,Veículos!$E$4:$II$4),0)
)
/
Proposta!$J$62),2),"")</f>
        <v/>
      </c>
    </row>
    <row r="199" spans="2:10">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4" t="str">
        <f>IFERROR(ROUND((IF(ISNUMBER(H199),H199*'Mão de Obra'!$D$12/12,1)*G199*F199)/'Mão de Obra'!$D$12,2),"")</f>
        <v/>
      </c>
      <c r="J199" s="774" t="str">
        <f>IFERROR(ROUND(I199*(1+
SUM(
IFERROR(SUMPRODUCT('Mão de Obra'!$E$169:$II$169,'Mão de Obra'!$E$29:$II$29),0),
IFERROR(SUMPRODUCT(Produtividade!$E$171:$II$171,Produtividade!$E$29:$II$29),0),
IFERROR(SUMPRODUCT(Veículos!$E$81:$II$81,Veículos!$E$4:$II$4),0)
)
/
Proposta!$J$62),2),"")</f>
        <v/>
      </c>
    </row>
    <row r="200" spans="2:10">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4" t="str">
        <f>IFERROR(ROUND((IF(ISNUMBER(H200),H200*'Mão de Obra'!$D$12/12,1)*G200*F200)/'Mão de Obra'!$D$12,2),"")</f>
        <v/>
      </c>
      <c r="J200" s="774" t="str">
        <f>IFERROR(ROUND(I200*(1+
SUM(
IFERROR(SUMPRODUCT('Mão de Obra'!$E$169:$II$169,'Mão de Obra'!$E$29:$II$29),0),
IFERROR(SUMPRODUCT(Produtividade!$E$171:$II$171,Produtividade!$E$29:$II$29),0),
IFERROR(SUMPRODUCT(Veículos!$E$81:$II$81,Veículos!$E$4:$II$4),0)
)
/
Proposta!$J$62),2),"")</f>
        <v/>
      </c>
    </row>
    <row r="201" spans="2:10">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4" t="str">
        <f>IFERROR(ROUND((IF(ISNUMBER(H201),H201*'Mão de Obra'!$D$12/12,1)*G201*F201)/'Mão de Obra'!$D$12,2),"")</f>
        <v/>
      </c>
      <c r="J201" s="774" t="str">
        <f>IFERROR(ROUND(I201*(1+
SUM(
IFERROR(SUMPRODUCT('Mão de Obra'!$E$169:$II$169,'Mão de Obra'!$E$29:$II$29),0),
IFERROR(SUMPRODUCT(Produtividade!$E$171:$II$171,Produtividade!$E$29:$II$29),0),
IFERROR(SUMPRODUCT(Veículos!$E$81:$II$81,Veículos!$E$4:$II$4),0)
)
/
Proposta!$J$62),2),"")</f>
        <v/>
      </c>
    </row>
    <row r="202" spans="2:10">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4" t="str">
        <f>IFERROR(ROUND((IF(ISNUMBER(H202),H202*'Mão de Obra'!$D$12/12,1)*G202*F202)/'Mão de Obra'!$D$12,2),"")</f>
        <v/>
      </c>
      <c r="J202" s="774" t="str">
        <f>IFERROR(ROUND(I202*(1+
SUM(
IFERROR(SUMPRODUCT('Mão de Obra'!$E$169:$II$169,'Mão de Obra'!$E$29:$II$29),0),
IFERROR(SUMPRODUCT(Produtividade!$E$171:$II$171,Produtividade!$E$29:$II$29),0),
IFERROR(SUMPRODUCT(Veículos!$E$81:$II$81,Veículos!$E$4:$II$4),0)
)
/
Proposta!$J$62),2),"")</f>
        <v/>
      </c>
    </row>
    <row r="203" spans="2:10">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4" t="str">
        <f>IFERROR(ROUND((IF(ISNUMBER(H203),H203*'Mão de Obra'!$D$12/12,1)*G203*F203)/'Mão de Obra'!$D$12,2),"")</f>
        <v/>
      </c>
      <c r="J203" s="774" t="str">
        <f>IFERROR(ROUND(I203*(1+
SUM(
IFERROR(SUMPRODUCT('Mão de Obra'!$E$169:$II$169,'Mão de Obra'!$E$29:$II$29),0),
IFERROR(SUMPRODUCT(Produtividade!$E$171:$II$171,Produtividade!$E$29:$II$29),0),
IFERROR(SUMPRODUCT(Veículos!$E$81:$II$81,Veículos!$E$4:$II$4),0)
)
/
Proposta!$J$62),2),"")</f>
        <v/>
      </c>
    </row>
    <row r="204" spans="2:10">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4" t="str">
        <f>IFERROR(ROUND((IF(ISNUMBER(H204),H204*'Mão de Obra'!$D$12/12,1)*G204*F204)/'Mão de Obra'!$D$12,2),"")</f>
        <v/>
      </c>
      <c r="J204" s="774" t="str">
        <f>IFERROR(ROUND(I204*(1+
SUM(
IFERROR(SUMPRODUCT('Mão de Obra'!$E$169:$II$169,'Mão de Obra'!$E$29:$II$29),0),
IFERROR(SUMPRODUCT(Produtividade!$E$171:$II$171,Produtividade!$E$29:$II$29),0),
IFERROR(SUMPRODUCT(Veículos!$E$81:$II$81,Veículos!$E$4:$II$4),0)
)
/
Proposta!$J$62),2),"")</f>
        <v/>
      </c>
    </row>
    <row r="205" spans="2:10">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4" t="str">
        <f>IFERROR(ROUND((IF(ISNUMBER(H205),H205*'Mão de Obra'!$D$12/12,1)*G205*F205)/'Mão de Obra'!$D$12,2),"")</f>
        <v/>
      </c>
      <c r="J205" s="774" t="str">
        <f>IFERROR(ROUND(I205*(1+
SUM(
IFERROR(SUMPRODUCT('Mão de Obra'!$E$169:$II$169,'Mão de Obra'!$E$29:$II$29),0),
IFERROR(SUMPRODUCT(Produtividade!$E$171:$II$171,Produtividade!$E$29:$II$29),0),
IFERROR(SUMPRODUCT(Veículos!$E$81:$II$81,Veículos!$E$4:$II$4),0)
)
/
Proposta!$J$62),2),"")</f>
        <v/>
      </c>
    </row>
    <row r="206" spans="2:10">
      <c r="G206" s="744"/>
    </row>
    <row r="207" spans="2:10">
      <c r="G207" s="744"/>
    </row>
    <row r="208" spans="2:10">
      <c r="G208" s="744"/>
    </row>
    <row r="209" spans="7:7">
      <c r="G209" s="744"/>
    </row>
    <row r="210" spans="7:7">
      <c r="G210" s="744"/>
    </row>
    <row r="211" spans="7:7">
      <c r="G211" s="744"/>
    </row>
    <row r="212" spans="7:7">
      <c r="G212" s="744"/>
    </row>
    <row r="213" spans="7:7">
      <c r="G213" s="744"/>
    </row>
    <row r="214" spans="7:7">
      <c r="G214" s="744"/>
    </row>
    <row r="215" spans="7:7">
      <c r="G215" s="744"/>
    </row>
    <row r="216" spans="7:7">
      <c r="G216" s="744"/>
    </row>
    <row r="217" spans="7:7">
      <c r="G217" s="744"/>
    </row>
    <row r="218" spans="7:7">
      <c r="G218" s="744"/>
    </row>
    <row r="219" spans="7:7">
      <c r="G219" s="744"/>
    </row>
    <row r="220" spans="7:7">
      <c r="G220" s="744"/>
    </row>
    <row r="221" spans="7:7">
      <c r="G221" s="744"/>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659</v>
      </c>
      <c r="B1" s="731" t="s">
        <v>492</v>
      </c>
      <c r="C1" s="732" t="s">
        <v>660</v>
      </c>
      <c r="D1" s="733" t="s">
        <v>485</v>
      </c>
    </row>
    <row r="2" spans="1:7" ht="31.5" customHeight="1" thickBot="1">
      <c r="A2" s="739"/>
      <c r="B2" s="739"/>
      <c r="C2" s="740"/>
      <c r="D2" s="741"/>
      <c r="G2" s="746" t="s">
        <v>722</v>
      </c>
    </row>
    <row r="3" spans="1:7">
      <c r="A3" s="723" t="s">
        <v>685</v>
      </c>
      <c r="B3" s="723" t="s">
        <v>684</v>
      </c>
      <c r="C3" s="725">
        <v>427.97</v>
      </c>
      <c r="D3" s="737"/>
      <c r="G3" s="745" t="s">
        <v>719</v>
      </c>
    </row>
    <row r="4" spans="1:7">
      <c r="A4" s="724" t="s">
        <v>686</v>
      </c>
      <c r="B4" s="724" t="s">
        <v>687</v>
      </c>
      <c r="C4" s="726">
        <v>101.78</v>
      </c>
      <c r="D4" s="738">
        <v>0.1</v>
      </c>
    </row>
    <row r="5" spans="1:7">
      <c r="A5" s="724" t="s">
        <v>717</v>
      </c>
      <c r="B5" s="724" t="s">
        <v>684</v>
      </c>
      <c r="C5" s="726">
        <v>213.08</v>
      </c>
      <c r="D5" s="738"/>
    </row>
    <row r="6" spans="1:7">
      <c r="A6" s="724" t="s">
        <v>672</v>
      </c>
      <c r="B6" s="724" t="s">
        <v>695</v>
      </c>
      <c r="C6" s="726">
        <v>1439.06</v>
      </c>
      <c r="D6" s="738">
        <v>0.2</v>
      </c>
    </row>
    <row r="7" spans="1:7">
      <c r="A7" s="724" t="s">
        <v>718</v>
      </c>
      <c r="B7" s="724" t="s">
        <v>684</v>
      </c>
      <c r="C7" s="726">
        <v>57.95</v>
      </c>
      <c r="D7" s="738"/>
    </row>
    <row r="8" spans="1:7">
      <c r="A8" s="724" t="s">
        <v>689</v>
      </c>
      <c r="B8" s="724" t="s">
        <v>684</v>
      </c>
      <c r="C8" s="726">
        <v>76.92</v>
      </c>
      <c r="D8" s="738"/>
    </row>
    <row r="9" spans="1:7">
      <c r="A9" s="724" t="s">
        <v>715</v>
      </c>
      <c r="B9" s="724" t="s">
        <v>684</v>
      </c>
      <c r="C9" s="726">
        <v>20.239999999999998</v>
      </c>
      <c r="D9" s="738"/>
    </row>
    <row r="10" spans="1:7">
      <c r="A10" s="724" t="s">
        <v>716</v>
      </c>
      <c r="B10" s="724" t="s">
        <v>684</v>
      </c>
      <c r="C10" s="726">
        <v>5.54</v>
      </c>
      <c r="D10" s="738"/>
    </row>
    <row r="11" spans="1:7">
      <c r="A11" s="724" t="s">
        <v>690</v>
      </c>
      <c r="B11" s="724" t="s">
        <v>684</v>
      </c>
      <c r="C11" s="726">
        <v>44.77</v>
      </c>
      <c r="D11" s="738"/>
    </row>
    <row r="12" spans="1:7">
      <c r="A12" s="724" t="s">
        <v>691</v>
      </c>
      <c r="B12" s="724" t="s">
        <v>714</v>
      </c>
      <c r="C12" s="726">
        <v>67.63</v>
      </c>
      <c r="D12" s="738"/>
    </row>
    <row r="13" spans="1:7">
      <c r="A13" s="724" t="s">
        <v>692</v>
      </c>
      <c r="B13" s="724" t="s">
        <v>684</v>
      </c>
      <c r="C13" s="726">
        <v>976.94</v>
      </c>
      <c r="D13" s="738">
        <v>0.2</v>
      </c>
    </row>
    <row r="14" spans="1:7">
      <c r="A14" s="724" t="s">
        <v>721</v>
      </c>
      <c r="B14" s="724" t="s">
        <v>684</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60" sqref="E60"/>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t="s">
        <v>746</v>
      </c>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v>1</v>
      </c>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v>1000</v>
      </c>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33"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34"/>
      <c r="C9" s="331" t="s">
        <v>234</v>
      </c>
      <c r="D9" s="325"/>
      <c r="E9" s="424">
        <v>11.5</v>
      </c>
      <c r="F9" s="424"/>
      <c r="G9" s="424"/>
      <c r="H9" s="424"/>
      <c r="I9" s="424"/>
      <c r="J9" s="42"/>
      <c r="K9" s="42"/>
      <c r="L9" s="42"/>
      <c r="M9" s="42"/>
      <c r="N9" s="42"/>
      <c r="O9" s="42"/>
      <c r="P9" s="42"/>
      <c r="Q9" s="42"/>
      <c r="R9" s="42"/>
      <c r="S9" s="42"/>
      <c r="T9" s="42"/>
      <c r="U9" s="42"/>
      <c r="V9" s="42"/>
      <c r="W9" s="42"/>
      <c r="X9" s="42"/>
      <c r="Y9" s="42"/>
      <c r="Z9" s="42"/>
      <c r="AA9" s="42"/>
    </row>
    <row r="10" spans="1:27">
      <c r="B10" s="834"/>
      <c r="C10" s="332" t="s">
        <v>235</v>
      </c>
      <c r="D10" s="326"/>
      <c r="E10" s="425" t="s">
        <v>747</v>
      </c>
      <c r="F10" s="425"/>
      <c r="G10" s="425"/>
      <c r="H10" s="425"/>
      <c r="I10" s="425"/>
      <c r="J10" s="42"/>
      <c r="K10" s="42"/>
      <c r="L10" s="42"/>
      <c r="M10" s="42"/>
      <c r="N10" s="42"/>
      <c r="O10" s="42"/>
      <c r="P10" s="42"/>
      <c r="Q10" s="42"/>
      <c r="R10" s="42"/>
      <c r="S10" s="42"/>
      <c r="T10" s="42"/>
      <c r="U10" s="42"/>
      <c r="V10" s="42"/>
      <c r="W10" s="42"/>
      <c r="X10" s="42"/>
      <c r="Y10" s="42"/>
      <c r="Z10" s="42"/>
      <c r="AA10" s="42"/>
    </row>
    <row r="11" spans="1:27">
      <c r="B11" s="834"/>
      <c r="C11" s="332" t="s">
        <v>236</v>
      </c>
      <c r="D11" s="326"/>
      <c r="E11" s="426">
        <v>6.21</v>
      </c>
      <c r="F11" s="426"/>
      <c r="G11" s="426"/>
      <c r="H11" s="426"/>
      <c r="I11" s="426"/>
      <c r="J11" s="42"/>
      <c r="K11" s="42"/>
      <c r="L11" s="42"/>
      <c r="M11" s="42"/>
      <c r="N11" s="42"/>
      <c r="O11" s="42"/>
      <c r="P11" s="42"/>
      <c r="Q11" s="42"/>
      <c r="R11" s="42"/>
      <c r="S11" s="42"/>
      <c r="T11" s="42"/>
      <c r="U11" s="42"/>
      <c r="V11" s="42"/>
      <c r="W11" s="42"/>
      <c r="X11" s="42"/>
      <c r="Y11" s="42"/>
      <c r="Z11" s="42"/>
      <c r="AA11" s="42"/>
    </row>
    <row r="12" spans="1:27">
      <c r="B12" s="835"/>
      <c r="C12" s="306"/>
      <c r="D12" s="306" t="s">
        <v>41</v>
      </c>
      <c r="E12" s="365">
        <f>IFERROR(E5*E11/E9,"")</f>
        <v>540</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37"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16"/>
      <c r="C14" s="334" t="s">
        <v>248</v>
      </c>
      <c r="D14" s="328"/>
      <c r="E14" s="427">
        <v>4</v>
      </c>
      <c r="F14" s="427"/>
      <c r="G14" s="427"/>
      <c r="H14" s="427"/>
      <c r="I14" s="427"/>
      <c r="J14" s="42"/>
      <c r="K14" s="42"/>
      <c r="L14" s="42"/>
      <c r="M14" s="42"/>
      <c r="N14" s="42"/>
      <c r="O14" s="42"/>
      <c r="P14" s="42"/>
      <c r="Q14" s="42"/>
      <c r="R14" s="42"/>
      <c r="S14" s="42"/>
      <c r="T14" s="42"/>
      <c r="U14" s="42"/>
      <c r="V14" s="42"/>
      <c r="W14" s="42"/>
      <c r="X14" s="42"/>
      <c r="Y14" s="42"/>
      <c r="Z14" s="42"/>
      <c r="AA14" s="42"/>
    </row>
    <row r="15" spans="1:27">
      <c r="B15" s="816"/>
      <c r="C15" s="220" t="s">
        <v>564</v>
      </c>
      <c r="D15" s="329"/>
      <c r="E15" s="428">
        <v>10000</v>
      </c>
      <c r="F15" s="428"/>
      <c r="G15" s="428"/>
      <c r="H15" s="428"/>
      <c r="I15" s="428"/>
      <c r="J15" s="42"/>
      <c r="K15" s="42"/>
      <c r="L15" s="42"/>
      <c r="M15" s="42"/>
      <c r="N15" s="42"/>
      <c r="O15" s="42"/>
      <c r="P15" s="42"/>
      <c r="Q15" s="42"/>
      <c r="R15" s="42"/>
      <c r="S15" s="42"/>
      <c r="T15" s="42"/>
      <c r="U15" s="42"/>
      <c r="V15" s="42"/>
      <c r="W15" s="42"/>
      <c r="X15" s="42"/>
      <c r="Y15" s="42"/>
      <c r="Z15" s="42"/>
      <c r="AA15" s="42"/>
    </row>
    <row r="16" spans="1:27">
      <c r="B16" s="816"/>
      <c r="C16" s="220" t="s">
        <v>16</v>
      </c>
      <c r="D16" s="330"/>
      <c r="E16" s="429">
        <v>35</v>
      </c>
      <c r="F16" s="429"/>
      <c r="G16" s="429"/>
      <c r="H16" s="429"/>
      <c r="I16" s="429"/>
      <c r="J16" s="42"/>
      <c r="K16" s="42"/>
      <c r="L16" s="42"/>
      <c r="M16" s="42"/>
      <c r="N16" s="42"/>
      <c r="O16" s="42"/>
      <c r="P16" s="42"/>
      <c r="Q16" s="42"/>
      <c r="R16" s="42"/>
      <c r="S16" s="42"/>
      <c r="T16" s="42"/>
      <c r="U16" s="42"/>
      <c r="V16" s="42"/>
      <c r="W16" s="42"/>
      <c r="X16" s="42"/>
      <c r="Y16" s="42"/>
      <c r="Z16" s="42"/>
      <c r="AA16" s="42"/>
    </row>
    <row r="17" spans="2:27">
      <c r="B17" s="836"/>
      <c r="C17" s="306"/>
      <c r="D17" s="306" t="s">
        <v>41</v>
      </c>
      <c r="E17" s="364">
        <f>IFERROR(IF(E3="","",E16*E14*E5/E15),"")</f>
        <v>14</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16"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16"/>
      <c r="C19" s="220" t="s">
        <v>564</v>
      </c>
      <c r="D19" s="640"/>
      <c r="E19" s="715">
        <v>10000</v>
      </c>
      <c r="F19" s="715"/>
      <c r="G19" s="715"/>
      <c r="H19" s="715"/>
      <c r="I19" s="715"/>
      <c r="J19" s="42"/>
      <c r="K19" s="42"/>
      <c r="L19" s="42"/>
      <c r="M19" s="42"/>
      <c r="N19" s="42"/>
      <c r="O19" s="42"/>
      <c r="P19" s="42"/>
      <c r="Q19" s="42"/>
      <c r="R19" s="42"/>
      <c r="S19" s="42"/>
      <c r="T19" s="42"/>
      <c r="U19" s="42"/>
      <c r="V19" s="42"/>
      <c r="W19" s="42"/>
      <c r="X19" s="42"/>
      <c r="Y19" s="42"/>
      <c r="Z19" s="42"/>
      <c r="AA19" s="42"/>
    </row>
    <row r="20" spans="2:27">
      <c r="B20" s="816"/>
      <c r="C20" s="220" t="s">
        <v>337</v>
      </c>
      <c r="D20" s="330"/>
      <c r="E20" s="439">
        <v>40</v>
      </c>
      <c r="F20" s="439"/>
      <c r="G20" s="439"/>
      <c r="H20" s="439"/>
      <c r="I20" s="439"/>
      <c r="J20" s="42"/>
      <c r="K20" s="42"/>
      <c r="L20" s="42"/>
      <c r="M20" s="42"/>
      <c r="N20" s="42"/>
      <c r="O20" s="42"/>
      <c r="P20" s="42"/>
      <c r="Q20" s="42"/>
      <c r="R20" s="42"/>
      <c r="S20" s="42"/>
      <c r="T20" s="42"/>
      <c r="U20" s="42"/>
      <c r="V20" s="42"/>
      <c r="W20" s="42"/>
      <c r="X20" s="42"/>
      <c r="Y20" s="42"/>
      <c r="Z20" s="42"/>
      <c r="AA20" s="42"/>
    </row>
    <row r="21" spans="2:27">
      <c r="B21" s="836"/>
      <c r="C21" s="306"/>
      <c r="D21" s="306" t="s">
        <v>41</v>
      </c>
      <c r="E21" s="364">
        <f>IFERROR(IF(E3="","",E20*E5/E19),"")</f>
        <v>4</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38"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39"/>
      <c r="C23" s="321" t="s">
        <v>735</v>
      </c>
      <c r="D23" s="322"/>
      <c r="E23" s="430">
        <v>500</v>
      </c>
      <c r="F23" s="430"/>
      <c r="G23" s="430"/>
      <c r="H23" s="430"/>
      <c r="I23" s="430"/>
      <c r="J23" s="42"/>
      <c r="K23" s="42"/>
      <c r="L23" s="42"/>
      <c r="M23" s="42"/>
      <c r="N23" s="42"/>
      <c r="O23" s="42"/>
      <c r="P23" s="42"/>
      <c r="Q23" s="42"/>
      <c r="R23" s="42"/>
      <c r="S23" s="42"/>
      <c r="T23" s="42"/>
      <c r="U23" s="42"/>
      <c r="V23" s="42"/>
      <c r="W23" s="42"/>
      <c r="X23" s="42"/>
      <c r="Y23" s="42"/>
      <c r="Z23" s="42"/>
      <c r="AA23" s="42"/>
    </row>
    <row r="24" spans="2:27">
      <c r="B24" s="839"/>
      <c r="C24" s="323" t="s">
        <v>15</v>
      </c>
      <c r="D24" s="324"/>
      <c r="E24" s="431">
        <v>4</v>
      </c>
      <c r="F24" s="431"/>
      <c r="G24" s="431"/>
      <c r="H24" s="431"/>
      <c r="I24" s="431"/>
      <c r="J24" s="42"/>
      <c r="K24" s="42"/>
      <c r="L24" s="42"/>
      <c r="M24" s="42"/>
      <c r="N24" s="42"/>
      <c r="O24" s="42"/>
      <c r="P24" s="42"/>
      <c r="Q24" s="42"/>
      <c r="R24" s="42"/>
      <c r="S24" s="42"/>
      <c r="T24" s="42"/>
      <c r="U24" s="42"/>
      <c r="V24" s="42"/>
      <c r="W24" s="42"/>
      <c r="X24" s="42"/>
      <c r="Y24" s="42"/>
      <c r="Z24" s="42"/>
      <c r="AA24" s="42"/>
    </row>
    <row r="25" spans="2:27">
      <c r="B25" s="839"/>
      <c r="C25" s="220" t="s">
        <v>457</v>
      </c>
      <c r="D25" s="330"/>
      <c r="E25" s="428">
        <v>50000</v>
      </c>
      <c r="F25" s="428"/>
      <c r="G25" s="428"/>
      <c r="H25" s="428"/>
      <c r="I25" s="428"/>
      <c r="J25" s="42"/>
      <c r="K25" s="42"/>
      <c r="L25" s="42"/>
      <c r="M25" s="42"/>
      <c r="N25" s="42"/>
      <c r="O25" s="42"/>
      <c r="P25" s="42"/>
      <c r="Q25" s="42"/>
      <c r="R25" s="42"/>
      <c r="S25" s="42"/>
      <c r="T25" s="42"/>
      <c r="U25" s="42"/>
      <c r="V25" s="42"/>
      <c r="W25" s="42"/>
      <c r="X25" s="42"/>
      <c r="Y25" s="42"/>
      <c r="Z25" s="42"/>
      <c r="AA25" s="42"/>
    </row>
    <row r="26" spans="2:27">
      <c r="B26" s="840"/>
      <c r="C26" s="306"/>
      <c r="D26" s="306" t="s">
        <v>41</v>
      </c>
      <c r="E26" s="364">
        <f>IFERROR((E23*E24*E5/E25),"")</f>
        <v>40</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38"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39"/>
      <c r="C28" s="331" t="s">
        <v>320</v>
      </c>
      <c r="D28" s="340"/>
      <c r="E28" s="432">
        <v>0.03</v>
      </c>
      <c r="F28" s="432"/>
      <c r="G28" s="432"/>
      <c r="H28" s="432"/>
      <c r="I28" s="432"/>
      <c r="J28" s="42"/>
      <c r="K28" s="42"/>
      <c r="L28" s="42"/>
      <c r="M28" s="42"/>
      <c r="N28" s="42"/>
      <c r="O28" s="42"/>
      <c r="P28" s="42"/>
      <c r="Q28" s="42"/>
      <c r="R28" s="42"/>
      <c r="S28" s="42"/>
      <c r="T28" s="42"/>
      <c r="U28" s="42"/>
      <c r="V28" s="42"/>
      <c r="W28" s="42"/>
      <c r="X28" s="42"/>
      <c r="Y28" s="42"/>
      <c r="Z28" s="42"/>
      <c r="AA28" s="42"/>
    </row>
    <row r="29" spans="2:27">
      <c r="B29" s="839"/>
      <c r="C29" s="638" t="s">
        <v>246</v>
      </c>
      <c r="D29" s="341"/>
      <c r="E29" s="433">
        <v>97161</v>
      </c>
      <c r="F29" s="433"/>
      <c r="G29" s="433"/>
      <c r="H29" s="433"/>
      <c r="I29" s="433"/>
      <c r="J29" s="42"/>
      <c r="K29" s="42"/>
      <c r="L29" s="42"/>
      <c r="M29" s="42"/>
      <c r="N29" s="42"/>
      <c r="O29" s="42"/>
      <c r="P29" s="42"/>
      <c r="Q29" s="42"/>
      <c r="R29" s="42"/>
      <c r="S29" s="42"/>
      <c r="T29" s="42"/>
      <c r="U29" s="42"/>
      <c r="V29" s="42"/>
      <c r="W29" s="42"/>
      <c r="X29" s="42"/>
      <c r="Y29" s="42"/>
      <c r="Z29" s="42"/>
      <c r="AA29" s="42"/>
    </row>
    <row r="30" spans="2:27">
      <c r="B30" s="839"/>
      <c r="C30" s="639" t="s">
        <v>467</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39"/>
      <c r="C31" s="639" t="s">
        <v>467</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39"/>
      <c r="C32" s="338" t="s">
        <v>242</v>
      </c>
      <c r="D32" s="337"/>
      <c r="E32" s="425">
        <f>IF(E3="","",SUM(E29:E31))</f>
        <v>97161</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40"/>
      <c r="C33" s="306"/>
      <c r="D33" s="306" t="s">
        <v>41</v>
      </c>
      <c r="E33" s="368">
        <f>IF(E3="","",E28*E32/12)</f>
        <v>242.9025</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f>IF(E3="","",SUM(E12,E17,E21,E26,E33))</f>
        <v>840.90250000000003</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2">
        <v>0.01</v>
      </c>
      <c r="E37" s="311">
        <f>IF(E3="","",E29*$D$37/12)</f>
        <v>80.967500000000001</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2">
        <v>0.02</v>
      </c>
      <c r="E38" s="311">
        <f>IF(E3="","",E32*$D$38/12)</f>
        <v>161.935</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41"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42"/>
      <c r="C40" s="321" t="s">
        <v>656</v>
      </c>
      <c r="D40" s="444"/>
      <c r="E40" s="455">
        <v>1</v>
      </c>
      <c r="F40" s="455"/>
      <c r="G40" s="455"/>
      <c r="H40" s="455"/>
      <c r="I40" s="455"/>
      <c r="J40" s="42"/>
      <c r="K40" s="42"/>
      <c r="L40" s="42"/>
      <c r="M40" s="42"/>
      <c r="N40" s="42"/>
      <c r="O40" s="42"/>
      <c r="P40" s="42"/>
      <c r="Q40" s="42"/>
      <c r="R40" s="42"/>
      <c r="S40" s="42"/>
      <c r="T40" s="42"/>
      <c r="U40" s="42"/>
      <c r="V40" s="42"/>
      <c r="W40" s="42"/>
      <c r="X40" s="42"/>
      <c r="Y40" s="42"/>
      <c r="Z40" s="42"/>
      <c r="AA40" s="42"/>
    </row>
    <row r="41" spans="1:27">
      <c r="B41" s="842"/>
      <c r="C41" s="338" t="s">
        <v>657</v>
      </c>
      <c r="D41" s="456"/>
      <c r="E41" s="425">
        <f>IF(E3="","",328.51)</f>
        <v>328.51</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43"/>
      <c r="C42" s="306"/>
      <c r="D42" s="306" t="s">
        <v>41</v>
      </c>
      <c r="E42" s="457">
        <f>IF(E$3="","",E40*E41/Proposta!$J$6)</f>
        <v>27.375833333333333</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41"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42"/>
      <c r="C44" s="321" t="s">
        <v>445</v>
      </c>
      <c r="D44" s="444"/>
      <c r="E44" s="455">
        <v>2</v>
      </c>
      <c r="F44" s="455"/>
      <c r="G44" s="455"/>
      <c r="H44" s="455"/>
      <c r="I44" s="455"/>
      <c r="J44" s="42"/>
      <c r="K44" s="42"/>
      <c r="L44" s="42"/>
      <c r="M44" s="42"/>
      <c r="N44" s="42"/>
      <c r="O44" s="42"/>
      <c r="P44" s="42"/>
      <c r="Q44" s="42"/>
      <c r="R44" s="42"/>
      <c r="S44" s="42"/>
      <c r="T44" s="42"/>
      <c r="U44" s="42"/>
      <c r="V44" s="42"/>
      <c r="W44" s="42"/>
      <c r="X44" s="42"/>
      <c r="Y44" s="42"/>
      <c r="Z44" s="42"/>
      <c r="AA44" s="42"/>
    </row>
    <row r="45" spans="1:27">
      <c r="B45" s="842"/>
      <c r="C45" s="338" t="s">
        <v>446</v>
      </c>
      <c r="D45" s="456"/>
      <c r="E45" s="425">
        <f>IF(E3="","",77.88)</f>
        <v>77.88</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43"/>
      <c r="C46" s="713"/>
      <c r="D46" s="306" t="s">
        <v>41</v>
      </c>
      <c r="E46" s="714">
        <f>IF(E$3="","",E44*E45/Proposta!$J$6)</f>
        <v>12.979999999999999</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41"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42"/>
      <c r="C48" s="321" t="s">
        <v>658</v>
      </c>
      <c r="D48" s="444"/>
      <c r="E48" s="455">
        <v>1</v>
      </c>
      <c r="F48" s="455"/>
      <c r="G48" s="455"/>
      <c r="H48" s="455"/>
      <c r="I48" s="455"/>
      <c r="J48" s="42"/>
      <c r="K48" s="42"/>
      <c r="L48" s="42"/>
      <c r="M48" s="42"/>
      <c r="N48" s="42"/>
      <c r="O48" s="42"/>
      <c r="P48" s="42"/>
      <c r="Q48" s="42"/>
      <c r="R48" s="42"/>
      <c r="S48" s="42"/>
      <c r="T48" s="42"/>
      <c r="U48" s="42"/>
      <c r="V48" s="42"/>
      <c r="W48" s="42"/>
      <c r="X48" s="42"/>
      <c r="Y48" s="42"/>
      <c r="Z48" s="42"/>
      <c r="AA48" s="42"/>
    </row>
    <row r="49" spans="1:27">
      <c r="B49" s="842"/>
      <c r="C49" s="338" t="s">
        <v>244</v>
      </c>
      <c r="D49" s="456"/>
      <c r="E49" s="425">
        <v>290</v>
      </c>
      <c r="F49" s="425"/>
      <c r="G49" s="425"/>
      <c r="H49" s="425"/>
      <c r="I49" s="425"/>
      <c r="J49" s="42"/>
      <c r="K49" s="42"/>
      <c r="L49" s="42"/>
      <c r="M49" s="42"/>
      <c r="N49" s="42"/>
      <c r="O49" s="42"/>
      <c r="P49" s="42"/>
      <c r="Q49" s="42"/>
      <c r="R49" s="42"/>
      <c r="S49" s="42"/>
      <c r="T49" s="42"/>
      <c r="U49" s="42"/>
      <c r="V49" s="42"/>
      <c r="W49" s="42"/>
      <c r="X49" s="42"/>
      <c r="Y49" s="42"/>
      <c r="Z49" s="42"/>
      <c r="AA49" s="42"/>
    </row>
    <row r="50" spans="1:27">
      <c r="B50" s="842"/>
      <c r="C50" s="338" t="s">
        <v>243</v>
      </c>
      <c r="D50" s="445"/>
      <c r="E50" s="425">
        <v>139</v>
      </c>
      <c r="F50" s="425"/>
      <c r="G50" s="425"/>
      <c r="H50" s="425"/>
      <c r="I50" s="425"/>
      <c r="J50" s="42"/>
      <c r="K50" s="42"/>
      <c r="L50" s="42"/>
      <c r="M50" s="42"/>
      <c r="N50" s="42"/>
      <c r="O50" s="42"/>
      <c r="P50" s="42"/>
      <c r="Q50" s="42"/>
      <c r="R50" s="42"/>
      <c r="S50" s="42"/>
      <c r="T50" s="42"/>
      <c r="U50" s="42"/>
      <c r="V50" s="42"/>
      <c r="W50" s="42"/>
      <c r="X50" s="42"/>
      <c r="Y50" s="42"/>
      <c r="Z50" s="42"/>
      <c r="AA50" s="42"/>
    </row>
    <row r="51" spans="1:27">
      <c r="B51" s="843"/>
      <c r="C51" s="306"/>
      <c r="D51" s="306" t="s">
        <v>41</v>
      </c>
      <c r="E51" s="368">
        <f>IF(E3="","",IFERROR(((E48*E49)/Proposta!$J$6)+E50,0))</f>
        <v>163.16666666666666</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f>IF(E3="","",SUM(E37,E42,E46,E38,E51))</f>
        <v>446.42499999999995</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44"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45"/>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45"/>
      <c r="C57" s="338" t="s">
        <v>428</v>
      </c>
      <c r="D57" s="438">
        <v>0.4</v>
      </c>
      <c r="E57" s="425">
        <f>IF(E3="","",IFERROR(E32*$D$57,""))</f>
        <v>38864.400000000001</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46"/>
      <c r="C58" s="306"/>
      <c r="D58" s="458" t="s">
        <v>41</v>
      </c>
      <c r="E58" s="368">
        <f>IF(E3="","",IFERROR(E32*$D$55,""))</f>
        <v>323.87</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44"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45"/>
      <c r="C60" s="321" t="s">
        <v>462</v>
      </c>
      <c r="D60" s="494">
        <v>0.14249999999999999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45"/>
      <c r="C61" s="338" t="s">
        <v>466</v>
      </c>
      <c r="D61" s="438">
        <f>ROUND(POWER((100%+D60),1/12)-100%,4)</f>
        <v>1.12E-2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46"/>
      <c r="C62" s="306"/>
      <c r="D62" s="458" t="s">
        <v>41</v>
      </c>
      <c r="E62" s="368">
        <f>IF(E3="","",IFERROR(E32*$D$61,""))</f>
        <v>1088.2031999999999</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f>IF(E3="","",SUM(E62,E58))</f>
        <v>1412.0731999999998</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f>IF(E3="","",IFERROR(ROUND($D68*E$92,2),""))</f>
        <v>134.97</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f>IF(E4="","",IFERROR(ROUND($D69*SUM(E$68,E$92),2),""))</f>
        <v>283.44</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f>IF(E3="","",SUM(E68:E69))</f>
        <v>418.40999999999997</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f t="shared" ref="E73:I74" si="8">IF(E$3="","",IFERROR(ROUND(SUM(E$92,E$70)*$D73/(1-SUM($D$73:$D$78,E$76)),2),""))</f>
        <v>102.39</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f t="shared" si="8"/>
        <v>22.18</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15"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05"/>
      <c r="C76" s="338" t="s">
        <v>353</v>
      </c>
      <c r="D76" s="438"/>
      <c r="E76" s="461">
        <f>IF('Mão de Obra'!E23="","",IF('Mão de Obra'!E23="SINDIELV",5%,2.5%))</f>
        <v>0.05</v>
      </c>
      <c r="F76" s="461" t="str">
        <f>IF('Mão de Obra'!F23="","",IF('Mão de Obra'!F23="SINDIELV",5%,2.5%))</f>
        <v/>
      </c>
      <c r="G76" s="461" t="str">
        <f>IF('Mão de Obra'!G23="","",IF('Mão de Obra'!G23="SINDIELV",5%,2.5%))</f>
        <v/>
      </c>
      <c r="H76" s="461" t="str">
        <f>IF('Mão de Obra'!H23="","",IF('Mão de Obra'!H23="SINDIELV",5%,2.5%))</f>
        <v/>
      </c>
      <c r="I76" s="461"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06"/>
      <c r="C77" s="306"/>
      <c r="D77" s="458" t="s">
        <v>41</v>
      </c>
      <c r="E77" s="368">
        <f>IF(E$3="","",IFERROR(ROUND(SUM(E$92,E$70)*$E76/(1-SUM($D$73:$D$78,E$76)),2),""))</f>
        <v>170.65</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f>IF(E$3="","",IFERROR(ROUND(SUM(E$92,E$70)*$D78/(1-SUM($D$73:$D$78,E$76)),2),""))</f>
        <v>0</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f>IF(E4="","",SUM(E73:E74,E77:E78))</f>
        <v>295.22000000000003</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f>IF(E$3="","",SUM(E79,E70))</f>
        <v>713.63</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f>IFERROR(ROUND(E34*(1+E93/E92),2)/E5,"")</f>
        <v>1.06321</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15"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05"/>
      <c r="C88" s="338" t="s">
        <v>450</v>
      </c>
      <c r="D88" s="438"/>
      <c r="E88" s="460">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06"/>
      <c r="C89" s="306"/>
      <c r="D89" s="458" t="s">
        <v>41</v>
      </c>
      <c r="E89" s="459">
        <f>IFERROR(ROUND(SUM(E52,E63)*(1+E93/E92),2)/E88,"")</f>
        <v>11.7491</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f>IF(E3="","",ROUND(SUM(E63,E52,E34),2))</f>
        <v>2699.4</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f>IFERROR(ROUND(E81,2),"")</f>
        <v>713.63</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f>IF(E3="","",IFERROR(SUM(E92:E93),2))</f>
        <v>3413.03</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f>IF(E$3="","",ROUND(E92*E$4,2))</f>
        <v>2699.4</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f>IF(E$3="","",ROUND(E93*E$4,2))</f>
        <v>713.63</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f>IF(E$3="","",ROUND(E94*E$4,2))</f>
        <v>3413.03</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f>IF(E3="","",IFERROR(ROUND(E99*Proposta!$J$6,2),""))</f>
        <v>40956.36</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4"/>
  <sheetViews>
    <sheetView showGridLines="0" zoomScaleNormal="100" workbookViewId="0">
      <selection activeCell="D5" sqref="D5:E5"/>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796" t="str">
        <f>CONCATENATE("PREFEITURA MUNICIPAL DE PORTO ALEGRE
",D5,"
FORMAÇÃO DE PREÇOS DE REFERÊNCIA - CESSÃO DE MÃO DE OBRA")</f>
        <v>PREFEITURA MUNICIPAL DE PORTO ALEGRE
FORMAÇÃO DE PREÇOS DE REFERÊNCIA - CESSÃO DE MÃO DE OBRA</v>
      </c>
      <c r="B2" s="797"/>
      <c r="C2" s="797"/>
      <c r="D2" s="797"/>
      <c r="E2" s="797"/>
      <c r="F2" s="797"/>
      <c r="G2" s="797"/>
      <c r="H2" s="797"/>
      <c r="I2" s="798"/>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00"/>
      <c r="E5" s="800"/>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01"/>
      <c r="E6" s="801"/>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01"/>
      <c r="E7" s="801"/>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00"/>
      <c r="E8" s="800"/>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799"/>
      <c r="E9" s="799"/>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810"/>
      <c r="E10" s="810"/>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811"/>
      <c r="E11" s="811"/>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17">
        <f>'Mão de Obra'!D12</f>
        <v>12</v>
      </c>
      <c r="E12" s="817"/>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11" t="s">
        <v>59</v>
      </c>
      <c r="E13" s="811"/>
    </row>
    <row r="14" spans="1:53">
      <c r="B14" s="116" t="s">
        <v>140</v>
      </c>
      <c r="C14" s="117" t="s">
        <v>267</v>
      </c>
      <c r="D14" s="818"/>
      <c r="E14" s="818"/>
    </row>
    <row r="15" spans="1:53">
      <c r="B15" s="116" t="s">
        <v>229</v>
      </c>
      <c r="C15" s="117" t="s">
        <v>316</v>
      </c>
      <c r="D15" s="819">
        <f>'Mão de Obra'!D15:E15</f>
        <v>1621</v>
      </c>
      <c r="E15" s="820"/>
    </row>
    <row r="16" spans="1:53">
      <c r="A16" s="44"/>
      <c r="B16" s="301"/>
      <c r="C16" s="302"/>
      <c r="D16" s="303"/>
      <c r="E16" s="302"/>
      <c r="F16" s="125"/>
      <c r="G16" s="125"/>
      <c r="H16" s="125"/>
      <c r="I16" s="125"/>
    </row>
    <row r="17" spans="1:53" s="12" customFormat="1">
      <c r="A17" s="71"/>
      <c r="B17" s="89"/>
      <c r="C17" s="90" t="s">
        <v>576</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581</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8*SUM(K193:K212,K214:K216,K220:K221)/VLOOKUP(E26,'Apoio - Regime de Trabalho'!$A:$K,10,FALSE)</f>
        <v>0</v>
      </c>
      <c r="F27" s="108">
        <f>1/30*E27</f>
        <v>0</v>
      </c>
      <c r="G27" s="108">
        <f>8*SUM(K212:K213,K218:K219)/VLOOKUP(G26,'Apoio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02" t="s">
        <v>1</v>
      </c>
      <c r="C33" s="226" t="s">
        <v>185</v>
      </c>
      <c r="D33" s="170"/>
      <c r="E33" s="244"/>
      <c r="F33" s="244"/>
      <c r="G33" s="244"/>
      <c r="H33" s="244"/>
      <c r="I33" s="244"/>
    </row>
    <row r="34" spans="1:9">
      <c r="A34" s="86"/>
      <c r="B34" s="803"/>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04"/>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05" t="s">
        <v>0</v>
      </c>
      <c r="C36" s="224" t="s">
        <v>186</v>
      </c>
      <c r="D36" s="225"/>
      <c r="E36" s="235"/>
      <c r="F36" s="235"/>
      <c r="G36" s="235"/>
      <c r="H36" s="235"/>
      <c r="I36" s="235"/>
    </row>
    <row r="37" spans="1:9">
      <c r="A37" s="86"/>
      <c r="B37" s="805"/>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05"/>
      <c r="C38" s="103" t="s">
        <v>91</v>
      </c>
      <c r="D38" s="93"/>
      <c r="E38" s="247">
        <v>0.4</v>
      </c>
      <c r="F38" s="247">
        <v>0.2</v>
      </c>
      <c r="G38" s="247"/>
      <c r="H38" s="247"/>
      <c r="I38" s="247" t="str">
        <f>IFERROR(VLOOKUP(I$18,'Apoio - Posto'!$A:$AA,13,FALSE),"")</f>
        <v/>
      </c>
    </row>
    <row r="39" spans="1:9">
      <c r="A39" s="86"/>
      <c r="B39" s="806"/>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02" t="s">
        <v>3</v>
      </c>
      <c r="C40" s="226" t="s">
        <v>81</v>
      </c>
      <c r="D40" s="141"/>
      <c r="E40" s="236"/>
      <c r="F40" s="236"/>
      <c r="G40" s="236"/>
      <c r="H40" s="236"/>
      <c r="I40" s="236"/>
    </row>
    <row r="41" spans="1:9">
      <c r="A41" s="231"/>
      <c r="B41" s="803"/>
      <c r="C41" s="232" t="s">
        <v>91</v>
      </c>
      <c r="D41" s="142"/>
      <c r="E41" s="233"/>
      <c r="F41" s="233">
        <v>0.2</v>
      </c>
      <c r="G41" s="233"/>
      <c r="H41" s="233">
        <v>0.2</v>
      </c>
      <c r="I41" s="233"/>
    </row>
    <row r="42" spans="1:9">
      <c r="A42" s="231"/>
      <c r="B42" s="804"/>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05" t="s">
        <v>7</v>
      </c>
      <c r="C43" s="230" t="s">
        <v>60</v>
      </c>
      <c r="D43" s="229"/>
      <c r="E43" s="237"/>
      <c r="F43" s="237"/>
      <c r="G43" s="237"/>
      <c r="H43" s="237"/>
      <c r="I43" s="237"/>
    </row>
    <row r="44" spans="1:9">
      <c r="A44" s="86"/>
      <c r="B44" s="805"/>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05"/>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06"/>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07" t="s">
        <v>6</v>
      </c>
      <c r="C47" s="135" t="s">
        <v>139</v>
      </c>
      <c r="D47" s="141"/>
      <c r="E47" s="238"/>
      <c r="F47" s="238"/>
      <c r="G47" s="238"/>
      <c r="H47" s="238"/>
      <c r="I47" s="238"/>
    </row>
    <row r="48" spans="1:9">
      <c r="A48" s="130"/>
      <c r="B48" s="808"/>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09"/>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15" t="s">
        <v>5</v>
      </c>
      <c r="C50" s="160" t="s">
        <v>149</v>
      </c>
      <c r="D50" s="141"/>
      <c r="E50" s="236"/>
      <c r="F50" s="236"/>
      <c r="G50" s="236"/>
      <c r="H50" s="236"/>
      <c r="I50" s="236"/>
    </row>
    <row r="51" spans="1:53">
      <c r="A51" s="86"/>
      <c r="B51" s="805"/>
      <c r="C51" s="102" t="s">
        <v>91</v>
      </c>
      <c r="D51" s="158"/>
      <c r="E51" s="159"/>
      <c r="F51" s="159"/>
      <c r="G51" s="159"/>
      <c r="H51" s="159"/>
      <c r="I51" s="159"/>
    </row>
    <row r="52" spans="1:53">
      <c r="A52" s="86"/>
      <c r="B52" s="805"/>
      <c r="C52" s="103" t="s">
        <v>20</v>
      </c>
      <c r="D52" s="143"/>
      <c r="E52" s="150"/>
      <c r="F52" s="150"/>
      <c r="G52" s="150"/>
      <c r="H52" s="150"/>
      <c r="I52" s="150"/>
    </row>
    <row r="53" spans="1:53">
      <c r="A53" s="86"/>
      <c r="B53" s="806"/>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07" t="s">
        <v>4</v>
      </c>
      <c r="C54" s="135" t="s">
        <v>82</v>
      </c>
      <c r="D54" s="141"/>
      <c r="E54" s="239"/>
      <c r="F54" s="239"/>
      <c r="G54" s="239"/>
      <c r="H54" s="239"/>
      <c r="I54" s="239"/>
    </row>
    <row r="55" spans="1:53">
      <c r="A55" s="86"/>
      <c r="B55" s="808"/>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808"/>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808"/>
      <c r="C57" s="162" t="s">
        <v>138</v>
      </c>
      <c r="D57" s="144"/>
      <c r="E57" s="420">
        <f>IF(E21="","",IFERROR(E$59*20%,""))</f>
        <v>0</v>
      </c>
      <c r="F57" s="420">
        <f>IF(F21="","",IFERROR(F$59*20%,""))</f>
        <v>0</v>
      </c>
      <c r="G57" s="420">
        <f>IF(G21="","",IFERROR(G$59*20%,""))</f>
        <v>0</v>
      </c>
      <c r="H57" s="420">
        <f>IF(H21="","",IFERROR(H$59*20%,""))</f>
        <v>0</v>
      </c>
      <c r="I57" s="383" t="str">
        <f>IF(I21="","",IFERROR(ROUND(I$59*20%,2),""))</f>
        <v/>
      </c>
    </row>
    <row r="58" spans="1:53">
      <c r="A58" s="86"/>
      <c r="B58" s="809"/>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12" t="s">
        <v>5</v>
      </c>
      <c r="C78" s="655" t="str">
        <f>CONCATENATE("GILL/RAT (RAT ",D79," x FAP ",D80,")")</f>
        <v>GILL/RAT (RAT 0,03 x FAP 1)</v>
      </c>
      <c r="D78" s="656"/>
      <c r="E78" s="238"/>
      <c r="F78" s="421"/>
      <c r="G78" s="421"/>
      <c r="H78" s="238"/>
      <c r="I78" s="138"/>
    </row>
    <row r="79" spans="1:53">
      <c r="A79" s="74"/>
      <c r="B79" s="813"/>
      <c r="C79" s="657" t="s">
        <v>47</v>
      </c>
      <c r="D79" s="167">
        <f>VLOOKUP(C79,'Apoio - Notas Explicativas'!$C:$Q,14,FALSE)</f>
        <v>0.03</v>
      </c>
      <c r="E79" s="422"/>
      <c r="F79" s="422"/>
      <c r="G79" s="422"/>
      <c r="H79" s="454"/>
      <c r="I79" s="167"/>
    </row>
    <row r="80" spans="1:53">
      <c r="A80" s="74"/>
      <c r="B80" s="816"/>
      <c r="C80" s="658" t="s">
        <v>42</v>
      </c>
      <c r="D80" s="300">
        <f>VLOOKUP(C80,'Apoio - Notas Explicativas'!$C:$Q,14,FALSE)</f>
        <v>1</v>
      </c>
      <c r="E80" s="423"/>
      <c r="F80" s="423"/>
      <c r="G80" s="423"/>
      <c r="H80" s="423"/>
      <c r="I80" s="168"/>
    </row>
    <row r="81" spans="1:53">
      <c r="A81" s="74"/>
      <c r="B81" s="814"/>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812"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813"/>
      <c r="C87" s="164" t="s">
        <v>87</v>
      </c>
      <c r="D87" s="212"/>
      <c r="E87" s="416">
        <v>5.3</v>
      </c>
      <c r="F87" s="416">
        <v>5.3</v>
      </c>
      <c r="G87" s="416">
        <v>5.3</v>
      </c>
      <c r="H87" s="416">
        <v>5.3</v>
      </c>
      <c r="I87" s="196" t="str">
        <f>IF(I18="","",4.8)</f>
        <v/>
      </c>
    </row>
    <row r="88" spans="1:53">
      <c r="A88" s="74"/>
      <c r="B88" s="813"/>
      <c r="C88" s="103" t="s">
        <v>108</v>
      </c>
      <c r="D88" s="213"/>
      <c r="E88" s="198">
        <f>IF(E18="","",2)</f>
        <v>2</v>
      </c>
      <c r="F88" s="198">
        <f>IF(F18="","",2)</f>
        <v>2</v>
      </c>
      <c r="G88" s="198">
        <f>IF(G18="","",2)</f>
        <v>2</v>
      </c>
      <c r="H88" s="198">
        <f>IF(H18="","",2)</f>
        <v>2</v>
      </c>
      <c r="I88" s="198" t="str">
        <f>IF(I18="","",2)</f>
        <v/>
      </c>
    </row>
    <row r="89" spans="1:53">
      <c r="A89" s="74"/>
      <c r="B89" s="813"/>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13"/>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14"/>
      <c r="C91" s="219"/>
      <c r="D91" s="215" t="s">
        <v>41</v>
      </c>
      <c r="E91" s="147">
        <f>IFERROR(MAX((E87*E88*E89)-(E$90*E$32),0),"")</f>
        <v>127.2484</v>
      </c>
      <c r="F91" s="147">
        <f t="shared" ref="F91:H91" si="12">IFERROR(MAX((F87*F88*F89)-(F$90*F$32),0),"")</f>
        <v>127.2484</v>
      </c>
      <c r="G91" s="147">
        <f t="shared" si="12"/>
        <v>98.571399999999983</v>
      </c>
      <c r="H91" s="147">
        <f t="shared" si="12"/>
        <v>98.571399999999983</v>
      </c>
      <c r="I91" s="147" t="str">
        <f>IFERROR(ROUND((I87*I88*I89)-(I$90*I$32),2),"")</f>
        <v/>
      </c>
    </row>
    <row r="92" spans="1:53">
      <c r="A92" s="74"/>
      <c r="B92" s="812" t="s">
        <v>1</v>
      </c>
      <c r="C92" s="193" t="s">
        <v>23</v>
      </c>
      <c r="D92" s="216"/>
      <c r="E92" s="241"/>
      <c r="F92" s="241"/>
      <c r="G92" s="241"/>
      <c r="H92" s="241"/>
      <c r="I92" s="241"/>
    </row>
    <row r="93" spans="1:53">
      <c r="A93" s="74"/>
      <c r="B93" s="813"/>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13"/>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13"/>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14"/>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12" t="s">
        <v>0</v>
      </c>
      <c r="C97" s="160" t="s">
        <v>25</v>
      </c>
      <c r="D97" s="216"/>
      <c r="E97" s="242"/>
      <c r="F97" s="242"/>
      <c r="G97" s="242"/>
      <c r="H97" s="242"/>
      <c r="I97" s="242"/>
    </row>
    <row r="98" spans="1:54">
      <c r="A98" s="74"/>
      <c r="B98" s="813"/>
      <c r="C98" s="195" t="s">
        <v>26</v>
      </c>
      <c r="D98" s="217"/>
      <c r="E98" s="206"/>
      <c r="F98" s="206"/>
      <c r="G98" s="206"/>
      <c r="H98" s="206"/>
      <c r="I98" s="206"/>
    </row>
    <row r="99" spans="1:54">
      <c r="A99" s="74"/>
      <c r="B99" s="813"/>
      <c r="C99" s="197" t="s">
        <v>273</v>
      </c>
      <c r="D99" s="214"/>
      <c r="E99" s="95"/>
      <c r="F99" s="95"/>
      <c r="G99" s="95"/>
      <c r="H99" s="95"/>
      <c r="I99" s="95"/>
    </row>
    <row r="100" spans="1:54">
      <c r="A100" s="74"/>
      <c r="B100" s="814"/>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812" t="s">
        <v>6</v>
      </c>
      <c r="C103" s="193" t="s">
        <v>29</v>
      </c>
      <c r="D103" s="186"/>
      <c r="E103" s="241"/>
      <c r="F103" s="241"/>
      <c r="G103" s="241"/>
      <c r="H103" s="241"/>
      <c r="I103" s="241"/>
    </row>
    <row r="104" spans="1:54">
      <c r="A104" s="74"/>
      <c r="B104" s="813"/>
      <c r="C104" s="201" t="s">
        <v>26</v>
      </c>
      <c r="D104" s="218"/>
      <c r="E104" s="202"/>
      <c r="F104" s="202"/>
      <c r="G104" s="202"/>
      <c r="H104" s="202"/>
      <c r="I104" s="202"/>
    </row>
    <row r="105" spans="1:54">
      <c r="A105" s="74"/>
      <c r="B105" s="813"/>
      <c r="C105" s="203" t="s">
        <v>109</v>
      </c>
      <c r="D105" s="210"/>
      <c r="E105" s="205"/>
      <c r="F105" s="205"/>
      <c r="G105" s="205"/>
      <c r="H105" s="205"/>
      <c r="I105" s="205"/>
    </row>
    <row r="106" spans="1:54">
      <c r="A106" s="74"/>
      <c r="B106" s="814"/>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812" t="s">
        <v>4</v>
      </c>
      <c r="C108" s="695" t="s">
        <v>114</v>
      </c>
      <c r="D108" s="186"/>
      <c r="E108" s="238"/>
      <c r="F108" s="238"/>
      <c r="G108" s="238"/>
      <c r="H108" s="238"/>
      <c r="I108" s="238"/>
    </row>
    <row r="109" spans="1:54">
      <c r="A109" s="74"/>
      <c r="B109" s="813"/>
      <c r="C109" s="649" t="s">
        <v>272</v>
      </c>
      <c r="D109" s="650"/>
      <c r="E109" s="418">
        <f>IF(E23="SINDIVIGILANTES",80,
   IF(E23="SINDASSEIO",
      IF(OR(IFERROR(VALUE(LEFT(E26,FIND("h",E26)-1)),0)&gt;30,
            ISNUMBER(FIND("12x36",E26))),
         80,
         40),      ""))</f>
        <v>80</v>
      </c>
      <c r="F109" s="418">
        <f t="shared" ref="F109:I109" si="14">IF(F23="SINDIVIGILANTES",80,
   IF(F23="SINDASSEIO",
      IF(OR(IFERROR(VALUE(LEFT(F26,FIND("h",F26)-1)),0)&gt;30,
            ISNUMBER(FIND("12x36",F26))),
         80,
         40),      ""))</f>
        <v>80</v>
      </c>
      <c r="G109" s="418">
        <f t="shared" si="14"/>
        <v>80</v>
      </c>
      <c r="H109" s="418">
        <f t="shared" si="14"/>
        <v>80</v>
      </c>
      <c r="I109" s="418" t="str">
        <f t="shared" si="14"/>
        <v/>
      </c>
    </row>
    <row r="110" spans="1:54">
      <c r="A110" s="74"/>
      <c r="B110" s="816"/>
      <c r="C110" s="792" t="s">
        <v>273</v>
      </c>
      <c r="D110" s="652"/>
      <c r="E110" s="642"/>
      <c r="F110" s="642"/>
      <c r="G110" s="642"/>
      <c r="H110" s="642"/>
      <c r="I110" s="205"/>
    </row>
    <row r="111" spans="1:54">
      <c r="A111" s="74"/>
      <c r="B111" s="813"/>
      <c r="C111" s="792" t="s">
        <v>272</v>
      </c>
      <c r="D111" s="793"/>
      <c r="E111" s="794"/>
      <c r="F111" s="794"/>
      <c r="G111" s="794"/>
      <c r="H111" s="794"/>
      <c r="I111" s="794"/>
    </row>
    <row r="112" spans="1:54">
      <c r="A112" s="74"/>
      <c r="B112" s="813"/>
      <c r="C112" s="651" t="s">
        <v>273</v>
      </c>
      <c r="D112" s="652"/>
      <c r="E112" s="642"/>
      <c r="F112" s="642"/>
      <c r="G112" s="642"/>
      <c r="H112" s="642"/>
      <c r="I112" s="642"/>
    </row>
    <row r="113" spans="1:53">
      <c r="A113" s="74"/>
      <c r="B113" s="814"/>
      <c r="C113" s="97"/>
      <c r="D113" s="223" t="s">
        <v>41</v>
      </c>
      <c r="E113" s="209">
        <f>IF(E18="","",E111*(1-E112))</f>
        <v>0</v>
      </c>
      <c r="F113" s="209">
        <f>IF(F18="","",F111*(1-F112))</f>
        <v>0</v>
      </c>
      <c r="G113" s="209">
        <f>IF(G18="","",G111*(1-G112))</f>
        <v>0</v>
      </c>
      <c r="H113" s="209">
        <f>IF(H18="","",H111*(1-H112))</f>
        <v>0</v>
      </c>
      <c r="I113" s="209" t="str">
        <f>IF(I18="","",I111*(1-I112))</f>
        <v/>
      </c>
    </row>
    <row r="114" spans="1:53" s="5" customFormat="1">
      <c r="A114" s="76"/>
      <c r="B114" s="189"/>
      <c r="C114" s="190" t="s">
        <v>117</v>
      </c>
      <c r="D114" s="191"/>
      <c r="E114" s="192">
        <f>IF(E21="","",SUM(E91,E96,E100,E101,E102,E106,E107,E113))</f>
        <v>636.58140000000003</v>
      </c>
      <c r="F114" s="192">
        <f>IF(F21="","",SUM(F91,F96,F100,F101,F102,F106,F107,F113))</f>
        <v>636.58140000000003</v>
      </c>
      <c r="G114" s="192">
        <f>IF(G21="","",SUM(G91,G96,G100,G101,G102,G106,G107,G113))</f>
        <v>607.9043999999999</v>
      </c>
      <c r="H114" s="192">
        <f>IF(H21="","",SUM(H91,H96,H100,H101,H102,H106,H107,H113))</f>
        <v>607.9043999999999</v>
      </c>
      <c r="I114" s="192" t="str">
        <f>IF(I21="","",SUM(I91,I96,I100,I101,I102,I106,I107,I113))</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customFormat="1" ht="3.75" customHeight="1">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row>
    <row r="116" spans="1:53" s="5" customFormat="1">
      <c r="A116" s="73"/>
      <c r="B116" s="157"/>
      <c r="C116" s="90" t="s">
        <v>115</v>
      </c>
      <c r="D116" s="153"/>
      <c r="E116" s="154">
        <f>IF(E21="","",IFERROR(SUM(E114,E83,E69),""))</f>
        <v>2203.958736</v>
      </c>
      <c r="F116" s="155">
        <f>IF(F21="","",IFERROR(SUM(F114,F83,F69),""))</f>
        <v>2203.958736</v>
      </c>
      <c r="G116" s="452">
        <f>IF(G21="","",IFERROR(SUM(G114,G83,G69),""))</f>
        <v>2457.2526019999996</v>
      </c>
      <c r="H116" s="155">
        <f>IF(H21="","",IFERROR(SUM(H114,H83,H69),""))</f>
        <v>2741.7677100000001</v>
      </c>
      <c r="I116" s="156" t="str">
        <f>IF(I21="","",IFERROR(SUM(I114,I83,I69),""))</f>
        <v/>
      </c>
      <c r="J116" s="293"/>
      <c r="K116" s="293"/>
      <c r="L116" s="293"/>
      <c r="M116" s="293"/>
      <c r="N116" s="293"/>
      <c r="O116" s="293"/>
      <c r="P116" s="293"/>
      <c r="Q116" s="293"/>
      <c r="R116" s="293"/>
      <c r="S116" s="293"/>
      <c r="T116" s="293"/>
      <c r="U116" s="293"/>
      <c r="V116" s="293"/>
      <c r="W116" s="293"/>
      <c r="X116" s="293"/>
      <c r="Y116" s="293"/>
      <c r="Z116" s="293"/>
      <c r="AA116" s="293"/>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row>
    <row r="117" spans="1:53" s="6" customFormat="1">
      <c r="B117" s="7"/>
      <c r="C117" s="7"/>
      <c r="D117" s="7"/>
      <c r="E117" s="8"/>
      <c r="F117" s="8"/>
      <c r="G117" s="8"/>
      <c r="H117" s="8"/>
      <c r="I117" s="8"/>
      <c r="J117" s="295"/>
      <c r="K117" s="295"/>
      <c r="L117" s="295"/>
      <c r="M117" s="295"/>
      <c r="N117" s="295"/>
      <c r="O117" s="295"/>
      <c r="P117" s="295"/>
      <c r="Q117" s="295"/>
      <c r="R117" s="295"/>
      <c r="S117" s="295"/>
      <c r="T117" s="295"/>
      <c r="U117" s="295"/>
      <c r="V117" s="295"/>
      <c r="W117" s="295"/>
      <c r="X117" s="295"/>
      <c r="Y117" s="295"/>
      <c r="Z117" s="295"/>
      <c r="AA117" s="295"/>
      <c r="AB117" s="295"/>
      <c r="AC117" s="295"/>
      <c r="AD117" s="295"/>
      <c r="AE117" s="295"/>
      <c r="AF117" s="295"/>
      <c r="AG117" s="295"/>
      <c r="AH117" s="295"/>
      <c r="AI117" s="295"/>
      <c r="AJ117" s="295"/>
      <c r="AK117" s="295"/>
      <c r="AL117" s="295"/>
      <c r="AM117" s="295"/>
      <c r="AN117" s="295"/>
      <c r="AO117" s="295"/>
      <c r="AP117" s="295"/>
      <c r="AQ117" s="295"/>
      <c r="AR117" s="295"/>
      <c r="AS117" s="295"/>
      <c r="AT117" s="295"/>
      <c r="AU117" s="295"/>
      <c r="AV117" s="295"/>
      <c r="AW117" s="295"/>
      <c r="AX117" s="295"/>
      <c r="AY117" s="295"/>
      <c r="AZ117" s="295"/>
      <c r="BA117" s="295"/>
    </row>
    <row r="118" spans="1:53" s="6" customFormat="1">
      <c r="A118" s="74"/>
      <c r="B118" s="89"/>
      <c r="C118" s="90" t="s">
        <v>127</v>
      </c>
      <c r="D118" s="91"/>
      <c r="E118" s="369"/>
      <c r="F118" s="451"/>
      <c r="G118" s="369"/>
      <c r="H118" s="369"/>
      <c r="I118" s="369"/>
      <c r="J118" s="295"/>
      <c r="K118" s="295"/>
      <c r="L118" s="295"/>
      <c r="M118" s="295"/>
      <c r="N118" s="295"/>
      <c r="O118" s="295"/>
      <c r="P118" s="295"/>
      <c r="Q118" s="295"/>
      <c r="R118" s="295"/>
      <c r="S118" s="295"/>
      <c r="T118" s="295"/>
      <c r="U118" s="295"/>
      <c r="V118" s="295"/>
      <c r="W118" s="295"/>
      <c r="X118" s="295"/>
      <c r="Y118" s="295"/>
      <c r="Z118" s="295"/>
      <c r="AA118" s="295"/>
      <c r="AB118" s="295"/>
      <c r="AC118" s="295"/>
      <c r="AD118" s="295"/>
      <c r="AE118" s="295"/>
      <c r="AF118" s="295"/>
      <c r="AG118" s="295"/>
      <c r="AH118" s="295"/>
      <c r="AI118" s="295"/>
      <c r="AJ118" s="295"/>
      <c r="AK118" s="295"/>
      <c r="AL118" s="295"/>
      <c r="AM118" s="295"/>
      <c r="AN118" s="295"/>
      <c r="AO118" s="295"/>
      <c r="AP118" s="295"/>
      <c r="AQ118" s="295"/>
      <c r="AR118" s="295"/>
      <c r="AS118" s="295"/>
      <c r="AT118" s="295"/>
      <c r="AU118" s="295"/>
      <c r="AV118" s="295"/>
      <c r="AW118" s="295"/>
      <c r="AX118" s="295"/>
      <c r="AY118" s="295"/>
      <c r="AZ118" s="295"/>
      <c r="BA118" s="295"/>
    </row>
    <row r="119" spans="1:53" s="13" customFormat="1">
      <c r="A119" s="77"/>
      <c r="B119" s="87" t="s">
        <v>2</v>
      </c>
      <c r="C119" s="88" t="s">
        <v>221</v>
      </c>
      <c r="D119" s="406">
        <f>INDEX('Apoio - Notas Explicativas'!Q:Q,MATCH(C119,'Apoio - Notas Explicativas'!C:C,0))</f>
        <v>4.1999999999999997E-3</v>
      </c>
      <c r="E119" s="99">
        <f t="shared" ref="E119:E124" si="15">IFERROR($D119*E$61,"")</f>
        <v>10.383256799999998</v>
      </c>
      <c r="F119" s="99">
        <f t="shared" ref="F119:H124" si="16">IFERROR($D119*F$61,"")</f>
        <v>10.3832568</v>
      </c>
      <c r="G119" s="99">
        <f t="shared" si="16"/>
        <v>12.251202599999999</v>
      </c>
      <c r="H119" s="99">
        <f t="shared" si="16"/>
        <v>14.136003000000001</v>
      </c>
      <c r="I119" s="137" t="str">
        <f t="shared" ref="I119:I124" si="17">IFERROR(ROUND($D119*I$61,2),"")</f>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1</v>
      </c>
      <c r="C120" s="88" t="s">
        <v>31</v>
      </c>
      <c r="D120" s="406">
        <f>INDEX('Apoio - Notas Explicativas'!Q:Q,MATCH(C120,'Apoio - Notas Explicativas'!C:C,0))</f>
        <v>2.9999999999999997E-4</v>
      </c>
      <c r="E120" s="99">
        <f t="shared" si="15"/>
        <v>0.7416611999999998</v>
      </c>
      <c r="F120" s="99">
        <f t="shared" si="16"/>
        <v>0.74166120000000002</v>
      </c>
      <c r="G120" s="99">
        <f t="shared" si="16"/>
        <v>0.87508589999999986</v>
      </c>
      <c r="H120" s="99">
        <f t="shared" si="16"/>
        <v>1.0097144999999998</v>
      </c>
      <c r="I120" s="137" t="str">
        <f t="shared" si="17"/>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0</v>
      </c>
      <c r="C121" s="88" t="s">
        <v>553</v>
      </c>
      <c r="D121" s="406">
        <f>INDEX('Apoio - Notas Explicativas'!Q:Q,MATCH(C121,'Apoio - Notas Explicativas'!C:C,0))</f>
        <v>1E-4</v>
      </c>
      <c r="E121" s="99">
        <f t="shared" si="15"/>
        <v>0.24722039999999998</v>
      </c>
      <c r="F121" s="99">
        <f t="shared" si="16"/>
        <v>0.24722040000000003</v>
      </c>
      <c r="G121" s="99">
        <f t="shared" si="16"/>
        <v>0.29169529999999999</v>
      </c>
      <c r="H121" s="99">
        <f t="shared" si="16"/>
        <v>0.33657150000000002</v>
      </c>
      <c r="I121" s="137" t="str">
        <f t="shared" si="17"/>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3</v>
      </c>
      <c r="C122" s="88" t="s">
        <v>32</v>
      </c>
      <c r="D122" s="406">
        <f>INDEX('Apoio - Notas Explicativas'!Q:Q,MATCH(C122,'Apoio - Notas Explicativas'!C:C,0))</f>
        <v>1.9199999999999998E-2</v>
      </c>
      <c r="E122" s="99">
        <f t="shared" si="15"/>
        <v>47.466316799999987</v>
      </c>
      <c r="F122" s="99">
        <f t="shared" si="16"/>
        <v>47.466316800000001</v>
      </c>
      <c r="G122" s="99">
        <f t="shared" si="16"/>
        <v>56.005497599999991</v>
      </c>
      <c r="H122" s="99">
        <f t="shared" si="16"/>
        <v>64.62172799999999</v>
      </c>
      <c r="I122" s="137" t="str">
        <f t="shared" si="17"/>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13" customFormat="1">
      <c r="A123" s="77"/>
      <c r="B123" s="87" t="s">
        <v>7</v>
      </c>
      <c r="C123" s="88" t="s">
        <v>33</v>
      </c>
      <c r="D123" s="406">
        <f>INDEX('Apoio - Notas Explicativas'!Q:Q,MATCH(C123,'Apoio - Notas Explicativas'!C:C,0))</f>
        <v>7.1000000000000004E-3</v>
      </c>
      <c r="E123" s="99">
        <f t="shared" si="15"/>
        <v>17.552648399999999</v>
      </c>
      <c r="F123" s="99">
        <f t="shared" si="16"/>
        <v>17.552648400000002</v>
      </c>
      <c r="G123" s="99">
        <f t="shared" si="16"/>
        <v>20.7103663</v>
      </c>
      <c r="H123" s="99">
        <f t="shared" si="16"/>
        <v>23.896576500000002</v>
      </c>
      <c r="I123" s="137" t="str">
        <f t="shared" si="17"/>
        <v/>
      </c>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s="13" customFormat="1">
      <c r="A124" s="77"/>
      <c r="B124" s="87" t="s">
        <v>6</v>
      </c>
      <c r="C124" s="88" t="s">
        <v>34</v>
      </c>
      <c r="D124" s="406">
        <f>INDEX('Apoio - Notas Explicativas'!Q:Q,MATCH(C124,'Apoio - Notas Explicativas'!C:C,0))</f>
        <v>0.04</v>
      </c>
      <c r="E124" s="99">
        <f t="shared" si="15"/>
        <v>98.888159999999985</v>
      </c>
      <c r="F124" s="99">
        <f t="shared" si="16"/>
        <v>98.888160000000013</v>
      </c>
      <c r="G124" s="99">
        <f t="shared" si="16"/>
        <v>116.67812000000001</v>
      </c>
      <c r="H124" s="99">
        <f t="shared" si="16"/>
        <v>134.62860000000001</v>
      </c>
      <c r="I124" s="137" t="str">
        <f t="shared" si="17"/>
        <v/>
      </c>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s="5" customFormat="1">
      <c r="A125" s="73"/>
      <c r="B125" s="157"/>
      <c r="C125" s="90" t="s">
        <v>116</v>
      </c>
      <c r="D125" s="153"/>
      <c r="E125" s="155">
        <f>IF(SUM(E119:E124)=0,"",SUM(E119:E124))</f>
        <v>175.27926359999998</v>
      </c>
      <c r="F125" s="155">
        <f t="shared" ref="F125:H125" si="18">IF(SUM(F119:F124)=0,"",SUM(F119:F124))</f>
        <v>175.27926360000004</v>
      </c>
      <c r="G125" s="155">
        <f t="shared" si="18"/>
        <v>206.8119677</v>
      </c>
      <c r="H125" s="155">
        <f t="shared" si="18"/>
        <v>238.62919349999999</v>
      </c>
      <c r="I125" s="156" t="str">
        <f>IF(SUM(I119:I124)=0,"",SUM(I119:I124))</f>
        <v/>
      </c>
      <c r="J125" s="293"/>
      <c r="K125" s="293"/>
      <c r="L125" s="293"/>
      <c r="M125" s="293"/>
      <c r="N125" s="293"/>
      <c r="O125" s="293"/>
      <c r="P125" s="293"/>
      <c r="Q125" s="293"/>
      <c r="R125" s="293"/>
      <c r="S125" s="293"/>
      <c r="T125" s="293"/>
      <c r="U125" s="293"/>
      <c r="V125" s="293"/>
      <c r="W125" s="293"/>
      <c r="X125" s="293"/>
      <c r="Y125" s="293"/>
      <c r="Z125" s="293"/>
      <c r="AA125" s="293"/>
      <c r="AB125" s="293"/>
      <c r="AC125" s="293"/>
      <c r="AD125" s="293"/>
      <c r="AE125" s="293"/>
      <c r="AF125" s="293"/>
      <c r="AG125" s="293"/>
      <c r="AH125" s="293"/>
      <c r="AI125" s="293"/>
      <c r="AJ125" s="293"/>
      <c r="AK125" s="293"/>
      <c r="AL125" s="293"/>
      <c r="AM125" s="293"/>
      <c r="AN125" s="293"/>
      <c r="AO125" s="293"/>
      <c r="AP125" s="293"/>
      <c r="AQ125" s="293"/>
      <c r="AR125" s="293"/>
      <c r="AS125" s="293"/>
      <c r="AT125" s="293"/>
      <c r="AU125" s="293"/>
      <c r="AV125" s="293"/>
      <c r="AW125" s="293"/>
      <c r="AX125" s="293"/>
      <c r="AY125" s="293"/>
      <c r="AZ125" s="293"/>
      <c r="BA125" s="293"/>
    </row>
    <row r="126" spans="1:53" s="18" customFormat="1">
      <c r="A126" s="17"/>
      <c r="D126" s="14"/>
      <c r="E126" s="19"/>
      <c r="F126" s="19"/>
      <c r="G126" s="19"/>
      <c r="H126" s="19"/>
      <c r="I126" s="19"/>
      <c r="J126" s="296"/>
      <c r="K126" s="296"/>
      <c r="L126" s="296"/>
      <c r="M126" s="296"/>
      <c r="N126" s="296"/>
      <c r="O126" s="296"/>
      <c r="P126" s="296"/>
      <c r="Q126" s="296"/>
      <c r="R126" s="296"/>
      <c r="S126" s="296"/>
      <c r="T126" s="296"/>
      <c r="U126" s="296"/>
      <c r="V126" s="296"/>
      <c r="W126" s="296"/>
      <c r="X126" s="296"/>
      <c r="Y126" s="296"/>
      <c r="Z126" s="296"/>
      <c r="AA126" s="296"/>
      <c r="AB126" s="296"/>
      <c r="AC126" s="296"/>
      <c r="AD126" s="296"/>
      <c r="AE126" s="296"/>
      <c r="AF126" s="296"/>
      <c r="AG126" s="296"/>
      <c r="AH126" s="296"/>
      <c r="AI126" s="296"/>
      <c r="AJ126" s="296"/>
      <c r="AK126" s="296"/>
      <c r="AL126" s="296"/>
      <c r="AM126" s="296"/>
      <c r="AN126" s="296"/>
      <c r="AO126" s="296"/>
      <c r="AP126" s="296"/>
      <c r="AQ126" s="296"/>
      <c r="AR126" s="296"/>
      <c r="AS126" s="296"/>
      <c r="AT126" s="296"/>
      <c r="AU126" s="296"/>
      <c r="AV126" s="296"/>
      <c r="AW126" s="296"/>
      <c r="AX126" s="296"/>
      <c r="AY126" s="296"/>
      <c r="AZ126" s="296"/>
      <c r="BA126" s="296"/>
    </row>
    <row r="127" spans="1:53" s="6" customFormat="1">
      <c r="A127" s="74"/>
      <c r="B127" s="89"/>
      <c r="C127" s="90" t="s">
        <v>128</v>
      </c>
      <c r="D127" s="91"/>
      <c r="E127" s="369"/>
      <c r="F127" s="369"/>
      <c r="G127" s="369"/>
      <c r="H127" s="369"/>
      <c r="I127" s="369"/>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customFormat="1" ht="3.75" customHeight="1">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row>
    <row r="129" spans="1:53" s="6" customFormat="1">
      <c r="A129" s="75"/>
      <c r="B129" s="171"/>
      <c r="C129" s="172" t="s">
        <v>179</v>
      </c>
      <c r="D129" s="173"/>
      <c r="E129" s="176"/>
      <c r="F129" s="174"/>
      <c r="G129" s="174"/>
      <c r="H129" s="174"/>
      <c r="I129" s="174"/>
      <c r="J129" s="295"/>
      <c r="K129" s="295"/>
      <c r="L129" s="295"/>
      <c r="M129" s="295"/>
      <c r="N129" s="295"/>
      <c r="O129" s="295"/>
      <c r="P129" s="295"/>
      <c r="Q129" s="295"/>
      <c r="R129" s="295"/>
      <c r="S129" s="295"/>
      <c r="T129" s="295"/>
      <c r="U129" s="295"/>
      <c r="V129" s="295"/>
      <c r="W129" s="295"/>
      <c r="X129" s="295"/>
      <c r="Y129" s="295"/>
      <c r="Z129" s="295"/>
      <c r="AA129" s="295"/>
      <c r="AB129" s="295"/>
      <c r="AC129" s="295"/>
      <c r="AD129" s="295"/>
      <c r="AE129" s="295"/>
      <c r="AF129" s="295"/>
      <c r="AG129" s="295"/>
      <c r="AH129" s="295"/>
      <c r="AI129" s="295"/>
      <c r="AJ129" s="295"/>
      <c r="AK129" s="295"/>
      <c r="AL129" s="295"/>
      <c r="AM129" s="295"/>
      <c r="AN129" s="295"/>
      <c r="AO129" s="295"/>
      <c r="AP129" s="295"/>
      <c r="AQ129" s="295"/>
      <c r="AR129" s="295"/>
      <c r="AS129" s="295"/>
      <c r="AT129" s="295"/>
      <c r="AU129" s="295"/>
      <c r="AV129" s="295"/>
      <c r="AW129" s="295"/>
      <c r="AX129" s="295"/>
      <c r="AY129" s="295"/>
      <c r="AZ129" s="295"/>
      <c r="BA129" s="295"/>
    </row>
    <row r="130" spans="1:53" s="13" customFormat="1">
      <c r="A130" s="78"/>
      <c r="B130" s="87" t="s">
        <v>2</v>
      </c>
      <c r="C130" s="88" t="s">
        <v>35</v>
      </c>
      <c r="D130" s="406">
        <f>INDEX('Apoio - Notas Explicativas'!$Q:$Q,MATCH(C130,'Apoio - Notas Explicativas'!$C:$C,0))</f>
        <v>1.6199999999999999E-2</v>
      </c>
      <c r="E130" s="99">
        <f>IF(E21="","",IFERROR($D130*SUM(E$61),""))</f>
        <v>40.049704799999994</v>
      </c>
      <c r="F130" s="137">
        <f>IF(F21="","",IFERROR($D130*SUM(F$61),""))</f>
        <v>40.049704800000001</v>
      </c>
      <c r="G130" s="137">
        <f>IF(G21="","",IFERROR($D130*SUM(G$61),""))</f>
        <v>47.2546386</v>
      </c>
      <c r="H130" s="137">
        <f>IF(H21="","",IFERROR($D130*SUM(H$61),""))</f>
        <v>54.524583</v>
      </c>
      <c r="I130" s="137" t="str">
        <f>IF(I21="","",IFERROR(ROUND($D130*SUM(I$61),2),""))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1</v>
      </c>
      <c r="C131" s="88" t="s">
        <v>187</v>
      </c>
      <c r="D131" s="406">
        <f>INDEX('Apoio - Notas Explicativas'!$Q:$Q,MATCH(C131,'Apoio - Notas Explicativas'!$C:$C,0))</f>
        <v>1.37E-2</v>
      </c>
      <c r="E131" s="99">
        <f>IFERROR($D131*(E61+E66+E67),"")</f>
        <v>40.453366269119996</v>
      </c>
      <c r="F131" s="137">
        <f t="shared" ref="F131:H131" si="19">IFERROR($D131*(F61+F66+F67),"")</f>
        <v>40.453366269120004</v>
      </c>
      <c r="G131" s="137">
        <f t="shared" si="19"/>
        <v>47.730918685840003</v>
      </c>
      <c r="H131" s="137">
        <f t="shared" si="19"/>
        <v>55.074136945200003</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0</v>
      </c>
      <c r="C132" s="88" t="s">
        <v>36</v>
      </c>
      <c r="D132" s="406">
        <f>INDEX('Apoio - Notas Explicativas'!$Q:$Q,MATCH(C132,'Apoio - Notas Explicativas'!$C:$C,0))</f>
        <v>2.0000000000000001E-4</v>
      </c>
      <c r="E132" s="99">
        <f>IFERROR($D132*(E61+E66+E67),"")</f>
        <v>0.59056009152</v>
      </c>
      <c r="F132" s="137">
        <f t="shared" ref="F132:H132" si="20">IFERROR($D132*(F61+F66+F67),"")</f>
        <v>0.59056009152000011</v>
      </c>
      <c r="G132" s="137">
        <f t="shared" si="20"/>
        <v>0.69680173264000012</v>
      </c>
      <c r="H132" s="137">
        <f t="shared" si="20"/>
        <v>0.80400199920000004</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3</v>
      </c>
      <c r="C133" s="88" t="s">
        <v>37</v>
      </c>
      <c r="D133" s="406">
        <f>INDEX('Apoio - Notas Explicativas'!$Q:$Q,MATCH(C133,'Apoio - Notas Explicativas'!$C:$C,0))</f>
        <v>8.0999999999999996E-3</v>
      </c>
      <c r="E133" s="99">
        <f>IFERROR($D133*(E61+E66+E67),"")</f>
        <v>23.917683706559998</v>
      </c>
      <c r="F133" s="137">
        <f t="shared" ref="F133:H133" si="21">IFERROR($D133*(F61+F66+F67),"")</f>
        <v>23.917683706560002</v>
      </c>
      <c r="G133" s="137">
        <f t="shared" si="21"/>
        <v>28.220470171919999</v>
      </c>
      <c r="H133" s="137">
        <f t="shared" si="21"/>
        <v>32.562080967600004</v>
      </c>
      <c r="I133" s="137" t="str">
        <f>IFERROR(ROUND($D133*(I61+I66+I67),2),"")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7</v>
      </c>
      <c r="C134" s="88" t="s">
        <v>188</v>
      </c>
      <c r="D134" s="406">
        <f>INDEX('Apoio - Notas Explicativas'!$Q:$Q,MATCH(C134,'Apoio - Notas Explicativas'!$C:$C,0))</f>
        <v>2.9999999999999997E-4</v>
      </c>
      <c r="E134" s="99">
        <f>IFERROR($D134*(E61+E66+E67),"")</f>
        <v>0.88584013727999988</v>
      </c>
      <c r="F134" s="137">
        <f t="shared" ref="F134:H134" si="22">IFERROR($D134*(F61+F66+F67),"")</f>
        <v>0.88584013728</v>
      </c>
      <c r="G134" s="137">
        <f t="shared" si="22"/>
        <v>1.04520259896</v>
      </c>
      <c r="H134" s="137">
        <f t="shared" si="22"/>
        <v>1.2060029988000001</v>
      </c>
      <c r="I134" s="137" t="str">
        <f>IFERROR(ROUND($D134*(I61+I66+I67),2),"")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6</v>
      </c>
      <c r="C135" s="88" t="s">
        <v>38</v>
      </c>
      <c r="D135" s="406">
        <f>INDEX('Apoio - Notas Explicativas'!$Q:$Q,MATCH(C135,'Apoio - Notas Explicativas'!$C:$C,0))</f>
        <v>6.9999999999999999E-4</v>
      </c>
      <c r="E135" s="99">
        <f>IFERROR((E$61+E67)*$D$135,"")</f>
        <v>1.9228061050799998</v>
      </c>
      <c r="F135" s="137">
        <f t="shared" ref="F135:H135" si="23">IFERROR((F$61+F67)*$D$135,"")</f>
        <v>1.92280610508</v>
      </c>
      <c r="G135" s="137">
        <f t="shared" si="23"/>
        <v>2.2687185348100001</v>
      </c>
      <c r="H135" s="137">
        <f t="shared" si="23"/>
        <v>2.6177521555499998</v>
      </c>
      <c r="I135" s="137" t="str">
        <f>IFERROR(ROUND((I$61+I67)*$D$135,2),"")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5</v>
      </c>
      <c r="C136" s="88" t="s">
        <v>92</v>
      </c>
      <c r="D136" s="406">
        <f>SUM(D130:D135)*SUM(D81:D82,D72:D77)</f>
        <v>1.4425600000000002E-2</v>
      </c>
      <c r="E136" s="99">
        <f>IF(E18="","",SUM(E130:E135)*SUM($D$72:$D$77,$D$81:$D$82))</f>
        <v>39.677745688318083</v>
      </c>
      <c r="F136" s="137">
        <f>IF(F18="","",SUM(F130:F135)*SUM($D$72:$D$77,$D$81:$D$82))</f>
        <v>39.677745688318097</v>
      </c>
      <c r="G136" s="137">
        <f>IF(G18="","",SUM(G130:G135)*SUM($D$72:$D$77,$D$81:$D$82))</f>
        <v>46.815764119294577</v>
      </c>
      <c r="H136" s="137">
        <f>IF(H18="","",SUM(H130:H135)*SUM($D$72:$D$77,$D$81:$D$82))</f>
        <v>54.018189368416813</v>
      </c>
      <c r="I136" s="137" t="str">
        <f>IF(I18="","",ROUND(SUM(I130:I135)*SUM($D$72:$D$77,$D$81:$D$82),2))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13" customFormat="1">
      <c r="A137" s="78"/>
      <c r="B137" s="87" t="s">
        <v>4</v>
      </c>
      <c r="C137" s="88" t="s">
        <v>89</v>
      </c>
      <c r="D137" s="413">
        <f>INDEX('Apoio - Notas Explicativas'!$Q:$Q,MATCH(C137,'Apoio - Notas Explicativas'!$C:$C,0))</f>
        <v>37.96</v>
      </c>
      <c r="E137" s="99">
        <f>IFERROR(((E114-SUM(E91,E96))/(30*12))*$D$137,"")</f>
        <v>2.6909422222222203</v>
      </c>
      <c r="F137" s="137">
        <f t="shared" ref="F137:H137" si="24">IFERROR(((F114-SUM(F91,F96))/(30*12))*$D$137,"")</f>
        <v>2.6909422222222203</v>
      </c>
      <c r="G137" s="137">
        <f t="shared" si="24"/>
        <v>2.6909422222222203</v>
      </c>
      <c r="H137" s="137">
        <f t="shared" si="24"/>
        <v>2.6909422222222203</v>
      </c>
      <c r="I137" s="137" t="str">
        <f>IFERROR(ROUND(((I114-SUM(I91,I96))/(30*12))*$D$137,2),"")</f>
        <v/>
      </c>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s="13" customFormat="1">
      <c r="A138" s="78"/>
      <c r="B138" s="87" t="s">
        <v>113</v>
      </c>
      <c r="C138" s="88" t="s">
        <v>39</v>
      </c>
      <c r="D138" s="413">
        <f>INDEX('Apoio - Notas Explicativas'!$Q:$Q,MATCH(C138,'Apoio - Notas Explicativas'!$C:$C,0))</f>
        <v>37.96</v>
      </c>
      <c r="E138" s="99">
        <f>IFERROR(((((E$125/12)*$D$138))/30),"")</f>
        <v>18.48222457293333</v>
      </c>
      <c r="F138" s="137">
        <f t="shared" ref="F138:H138" si="25">IFERROR(((((F$125/12)*$D$138))/30),"")</f>
        <v>18.482224572933337</v>
      </c>
      <c r="G138" s="137">
        <f t="shared" si="25"/>
        <v>21.807173038588889</v>
      </c>
      <c r="H138" s="137">
        <f t="shared" si="25"/>
        <v>25.162122736833336</v>
      </c>
      <c r="I138" s="137" t="str">
        <f>IFERROR(ROUND(((((I$125/12)*$D$138))/30),2),"")</f>
        <v/>
      </c>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s="5" customFormat="1">
      <c r="A139" s="76"/>
      <c r="B139" s="171"/>
      <c r="C139" s="172" t="s">
        <v>120</v>
      </c>
      <c r="D139" s="175"/>
      <c r="E139" s="176">
        <f>IF(SUM(E130:E138)=0,"",SUM(E130:E138))</f>
        <v>168.6708735930336</v>
      </c>
      <c r="F139" s="174">
        <f t="shared" ref="F139:H139" si="26">IF(SUM(F130:F138)=0,"",SUM(F130:F138))</f>
        <v>168.67087359303366</v>
      </c>
      <c r="G139" s="176">
        <f t="shared" si="26"/>
        <v>198.5306297042757</v>
      </c>
      <c r="H139" s="174">
        <f t="shared" si="26"/>
        <v>228.65981239382236</v>
      </c>
      <c r="I139" s="174" t="str">
        <f>IF(SUM(I130:I138)=0,"",SUM(I130:I138))</f>
        <v/>
      </c>
      <c r="J139" s="293"/>
      <c r="K139" s="293"/>
      <c r="L139" s="293"/>
      <c r="M139" s="293"/>
      <c r="N139" s="293"/>
      <c r="O139" s="293"/>
      <c r="P139" s="293"/>
      <c r="Q139" s="293"/>
      <c r="R139" s="293"/>
      <c r="S139" s="293"/>
      <c r="T139" s="293"/>
      <c r="U139" s="293"/>
      <c r="V139" s="293"/>
      <c r="W139" s="293"/>
      <c r="X139" s="293"/>
      <c r="Y139" s="293"/>
      <c r="Z139" s="293"/>
      <c r="AA139" s="293"/>
      <c r="AB139" s="293"/>
      <c r="AC139" s="293"/>
      <c r="AD139" s="293"/>
      <c r="AE139" s="293"/>
      <c r="AF139" s="293"/>
      <c r="AG139" s="293"/>
      <c r="AH139" s="293"/>
      <c r="AI139" s="293"/>
      <c r="AJ139" s="293"/>
      <c r="AK139" s="293"/>
      <c r="AL139" s="293"/>
      <c r="AM139" s="293"/>
      <c r="AN139" s="293"/>
      <c r="AO139" s="293"/>
      <c r="AP139" s="293"/>
      <c r="AQ139" s="293"/>
      <c r="AR139" s="293"/>
      <c r="AS139" s="293"/>
      <c r="AT139" s="293"/>
      <c r="AU139" s="293"/>
      <c r="AV139" s="293"/>
      <c r="AW139" s="293"/>
      <c r="AX139" s="293"/>
      <c r="AY139" s="293"/>
      <c r="AZ139" s="293"/>
      <c r="BA139" s="293"/>
    </row>
    <row r="140" spans="1:53" customFormat="1">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row>
    <row r="141" spans="1:53" s="6" customFormat="1">
      <c r="A141" s="75"/>
      <c r="B141" s="171"/>
      <c r="C141" s="172" t="s">
        <v>346</v>
      </c>
      <c r="D141" s="173"/>
      <c r="E141" s="176"/>
      <c r="F141" s="176"/>
      <c r="G141" s="176"/>
      <c r="H141" s="176"/>
      <c r="I141" s="176"/>
      <c r="J141" s="295"/>
      <c r="K141" s="295"/>
      <c r="L141" s="295"/>
      <c r="M141" s="295"/>
      <c r="N141" s="295"/>
      <c r="O141" s="295"/>
      <c r="P141" s="295"/>
      <c r="Q141" s="295"/>
      <c r="R141" s="295"/>
      <c r="S141" s="295"/>
      <c r="T141" s="295"/>
      <c r="U141" s="295"/>
      <c r="V141" s="295"/>
      <c r="W141" s="295"/>
      <c r="X141" s="295"/>
      <c r="Y141" s="295"/>
      <c r="Z141" s="295"/>
      <c r="AA141" s="295"/>
      <c r="AB141" s="295"/>
      <c r="AC141" s="295"/>
      <c r="AD141" s="295"/>
      <c r="AE141" s="295"/>
      <c r="AF141" s="295"/>
      <c r="AG141" s="295"/>
      <c r="AH141" s="295"/>
      <c r="AI141" s="295"/>
      <c r="AJ141" s="295"/>
      <c r="AK141" s="295"/>
      <c r="AL141" s="295"/>
      <c r="AM141" s="295"/>
      <c r="AN141" s="295"/>
      <c r="AO141" s="295"/>
      <c r="AP141" s="295"/>
      <c r="AQ141" s="295"/>
      <c r="AR141" s="295"/>
      <c r="AS141" s="295"/>
      <c r="AT141" s="295"/>
      <c r="AU141" s="295"/>
      <c r="AV141" s="295"/>
      <c r="AW141" s="295"/>
      <c r="AX141" s="295"/>
      <c r="AY141" s="295"/>
      <c r="AZ141" s="295"/>
      <c r="BA141" s="295"/>
    </row>
    <row r="142" spans="1:53" s="13" customFormat="1">
      <c r="A142" s="79"/>
      <c r="B142" s="812" t="s">
        <v>2</v>
      </c>
      <c r="C142" s="135" t="s">
        <v>311</v>
      </c>
      <c r="D142" s="186"/>
      <c r="E142" s="148"/>
      <c r="F142" s="148"/>
      <c r="G142" s="148"/>
      <c r="H142" s="148"/>
      <c r="I142" s="138"/>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s="24" customFormat="1">
      <c r="A143" s="79"/>
      <c r="B143" s="813"/>
      <c r="C143" s="136" t="s">
        <v>277</v>
      </c>
      <c r="D143" s="179"/>
      <c r="E143" s="180"/>
      <c r="F143" s="180"/>
      <c r="G143" s="180"/>
      <c r="H143" s="180"/>
      <c r="I143" s="181"/>
    </row>
    <row r="144" spans="1:53" s="24" customFormat="1">
      <c r="A144" s="79"/>
      <c r="B144" s="813"/>
      <c r="C144" s="136" t="s">
        <v>694</v>
      </c>
      <c r="D144" s="179"/>
      <c r="E144" s="180" t="str">
        <f>IF(E143="Indenização",60,
IF(E143="Rendição",60,""))</f>
        <v/>
      </c>
      <c r="F144" s="180" t="str">
        <f t="shared" ref="F144:I144" si="27">IF(F143="Indenização",60,
IF(F143="Rendição",60,""))</f>
        <v/>
      </c>
      <c r="G144" s="180" t="str">
        <f t="shared" si="27"/>
        <v/>
      </c>
      <c r="H144" s="180" t="str">
        <f t="shared" si="27"/>
        <v/>
      </c>
      <c r="I144" s="180" t="str">
        <f t="shared" si="27"/>
        <v/>
      </c>
    </row>
    <row r="145" spans="1:53" s="24" customFormat="1">
      <c r="A145" s="79"/>
      <c r="B145" s="814"/>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row>
    <row r="146" spans="1:53" s="5" customFormat="1">
      <c r="A146" s="76"/>
      <c r="B146" s="171"/>
      <c r="C146" s="172" t="s">
        <v>121</v>
      </c>
      <c r="D146" s="175"/>
      <c r="E146" s="174" t="str">
        <f>E145</f>
        <v/>
      </c>
      <c r="F146" s="174" t="str">
        <f t="shared" ref="F146:H146" si="28">F145</f>
        <v/>
      </c>
      <c r="G146" s="174" t="str">
        <f t="shared" si="28"/>
        <v/>
      </c>
      <c r="H146" s="174" t="str">
        <f t="shared" si="28"/>
        <v/>
      </c>
      <c r="I146" s="174" t="str">
        <f>I145</f>
        <v/>
      </c>
      <c r="J146" s="29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customFormat="1" ht="3.75" customHeight="1">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row>
    <row r="148" spans="1:53" s="5" customFormat="1">
      <c r="A148" s="73"/>
      <c r="B148" s="157"/>
      <c r="C148" s="90" t="s">
        <v>122</v>
      </c>
      <c r="D148" s="153"/>
      <c r="E148" s="155">
        <f>IF(E146="",E139,SUM(E146,E139))</f>
        <v>168.6708735930336</v>
      </c>
      <c r="F148" s="155">
        <f t="shared" ref="F148:H148" si="29">IF(F146="",F139,SUM(F146,F139))</f>
        <v>168.67087359303366</v>
      </c>
      <c r="G148" s="154">
        <f t="shared" si="29"/>
        <v>198.5306297042757</v>
      </c>
      <c r="H148" s="452">
        <f t="shared" si="29"/>
        <v>228.65981239382236</v>
      </c>
      <c r="I148" s="156" t="str">
        <f>IF(I146="",I139,SUM(I146,I139))</f>
        <v/>
      </c>
      <c r="J148" s="453"/>
      <c r="K148" s="293"/>
      <c r="L148" s="293"/>
      <c r="M148" s="293"/>
      <c r="N148" s="293"/>
      <c r="O148" s="293"/>
      <c r="P148" s="293"/>
      <c r="Q148" s="293"/>
      <c r="R148" s="293"/>
      <c r="S148" s="293"/>
      <c r="T148" s="293"/>
      <c r="U148" s="293"/>
      <c r="V148" s="293"/>
      <c r="W148" s="293"/>
      <c r="X148" s="293"/>
      <c r="Y148" s="293"/>
      <c r="Z148" s="293"/>
      <c r="AA148" s="293"/>
      <c r="AB148" s="293"/>
      <c r="AC148" s="293"/>
      <c r="AD148" s="293"/>
      <c r="AE148" s="293"/>
      <c r="AF148" s="293"/>
      <c r="AG148" s="293"/>
      <c r="AH148" s="293"/>
      <c r="AI148" s="293"/>
      <c r="AJ148" s="293"/>
      <c r="AK148" s="293"/>
      <c r="AL148" s="293"/>
      <c r="AM148" s="293"/>
      <c r="AN148" s="293"/>
      <c r="AO148" s="293"/>
      <c r="AP148" s="293"/>
      <c r="AQ148" s="293"/>
      <c r="AR148" s="293"/>
      <c r="AS148" s="293"/>
      <c r="AT148" s="293"/>
      <c r="AU148" s="293"/>
      <c r="AV148" s="293"/>
      <c r="AW148" s="293"/>
      <c r="AX148" s="293"/>
      <c r="AY148" s="293"/>
      <c r="AZ148" s="293"/>
      <c r="BA148" s="293"/>
    </row>
    <row r="149" spans="1:53" s="5" customFormat="1">
      <c r="B149" s="85"/>
      <c r="C149" s="15"/>
      <c r="D149" s="16"/>
      <c r="E149" s="15"/>
      <c r="F149" s="15"/>
      <c r="G149" s="15"/>
      <c r="H149" s="15"/>
      <c r="I149" s="15"/>
      <c r="J149" s="293"/>
      <c r="K149" s="293"/>
      <c r="L149" s="293"/>
      <c r="M149" s="293"/>
      <c r="N149" s="293"/>
      <c r="O149" s="293"/>
      <c r="P149" s="293"/>
      <c r="Q149" s="293"/>
      <c r="R149" s="293"/>
      <c r="S149" s="293"/>
      <c r="T149" s="293"/>
      <c r="U149" s="293"/>
      <c r="V149" s="293"/>
      <c r="W149" s="293"/>
      <c r="X149" s="293"/>
      <c r="Y149" s="293"/>
      <c r="Z149" s="293"/>
      <c r="AA149" s="293"/>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row>
    <row r="150" spans="1:53" s="6" customFormat="1">
      <c r="A150" s="74"/>
      <c r="B150" s="89"/>
      <c r="C150" s="90" t="s">
        <v>490</v>
      </c>
      <c r="D150" s="91"/>
      <c r="E150" s="369"/>
      <c r="F150" s="369"/>
      <c r="G150" s="369"/>
      <c r="H150" s="369"/>
      <c r="I150" s="369"/>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6" customFormat="1">
      <c r="A151" s="78"/>
      <c r="B151" s="87" t="s">
        <v>2</v>
      </c>
      <c r="C151" s="312" t="s">
        <v>224</v>
      </c>
      <c r="D151" s="406"/>
      <c r="E151" s="99">
        <f>IF(E18="","",ROUND(IF($D$151&lt;&gt;"",$D$151*SUM(E61,E116,E125,E148),IFERROR('Mat Individual e Uniformes'!J4/Proposta!$J$6,"")),2))</f>
        <v>55.05</v>
      </c>
      <c r="F151" s="99">
        <f>IF(F18="","",ROUND(IF($D$151&lt;&gt;"",$D$151*SUM(F61,F116,F125,F148),IFERROR('Mat Individual e Uniformes'!K4/Proposta!$J$6,"")),2))</f>
        <v>0</v>
      </c>
      <c r="G151" s="99">
        <f>IF(G18="","",ROUND(IF($D$151&lt;&gt;"",$D$151*SUM(G61,G116,G125,G148),IFERROR('Mat Individual e Uniformes'!L4/Proposta!$J$6,"")),2))</f>
        <v>0</v>
      </c>
      <c r="H151" s="99">
        <f>IF(H18="","",ROUND(IF($D$151&lt;&gt;"",$D$151*SUM(H61,H116,H125,H148),IFERROR('Mat Individual e Uniformes'!M4/Proposta!$J$6,"")),2))</f>
        <v>0</v>
      </c>
      <c r="I151" s="99" t="str">
        <f>IF(I18="","",IF($D$151&lt;&gt;"",$D$151*I182,IFERROR('Mat Individual e Uniformes'!N4,"")))</f>
        <v/>
      </c>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295"/>
      <c r="AF151" s="295"/>
      <c r="AG151" s="295"/>
      <c r="AH151" s="295"/>
      <c r="AI151" s="295"/>
      <c r="AJ151" s="295"/>
      <c r="AK151" s="295"/>
      <c r="AL151" s="295"/>
      <c r="AM151" s="295"/>
      <c r="AN151" s="295"/>
      <c r="AO151" s="295"/>
      <c r="AP151" s="295"/>
      <c r="AQ151" s="295"/>
      <c r="AR151" s="295"/>
      <c r="AS151" s="295"/>
      <c r="AT151" s="295"/>
      <c r="AU151" s="295"/>
      <c r="AV151" s="295"/>
      <c r="AW151" s="295"/>
      <c r="AX151" s="295"/>
      <c r="AY151" s="295"/>
      <c r="AZ151" s="295"/>
      <c r="BA151" s="295"/>
    </row>
    <row r="152" spans="1:53" s="6" customFormat="1">
      <c r="A152" s="78"/>
      <c r="B152" s="87" t="s">
        <v>1</v>
      </c>
      <c r="C152" s="312" t="s">
        <v>225</v>
      </c>
      <c r="D152" s="406">
        <f>12%/88%</f>
        <v>0.13636363636363635</v>
      </c>
      <c r="E152" s="99">
        <f>IFERROR(
        IF(OR(E18="",$D$152="Não"),       "",
        IF($D$152="Sim",                  'Mat Coletivo e Equipamentos'!$I$4/SUM($E$29:$XX$29),
        ROUND(IF($D$152&lt;&gt;"",$D$152*SUM(E61,E116,E125,E148,E151),
0),2))),0)</f>
        <v>692.07</v>
      </c>
      <c r="F152" s="99">
        <f>IFERROR(
        IF(OR(F18="",$D$152="Não"),       "",
        IF($D$152="Sim",                  'Mat Coletivo e Equipamentos'!$I$4/SUM($E$29:$XX$29),
        ROUND(IF($D$152&lt;&gt;"",$D$152*SUM(F61,F116,F125,F148,F151),
0),2))),0)</f>
        <v>684.56</v>
      </c>
      <c r="G152" s="99">
        <f>IFERROR(
        IF(OR(G18="",$D$152="Não"),       "",
        IF($D$152="Sim",                  'Mat Coletivo e Equipamentos'!$I$4/SUM($E$29:$XX$29),
        ROUND(IF($D$152&lt;&gt;"",$D$152*SUM(G61,G116,G125,G148,G151),
0),2))),0)</f>
        <v>788.12</v>
      </c>
      <c r="H152" s="99">
        <f>IFERROR(
        IF(OR(H18="",$D$152="Não"),       "",
        IF($D$152="Sim",                  'Mat Coletivo e Equipamentos'!$I$4/SUM($E$29:$XX$29),
        ROUND(IF($D$152&lt;&gt;"",$D$152*SUM(H61,H116,H125,H148,H151),
0),2))),0)</f>
        <v>896.56</v>
      </c>
      <c r="I152" s="99" t="str">
        <f>IFERROR(
IF(I18="","",
IF($D$152&lt;&gt;"",$D$152*SUM(I151,I182),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295"/>
      <c r="AF152" s="295"/>
      <c r="AG152" s="295"/>
      <c r="AH152" s="295"/>
      <c r="AI152" s="295"/>
      <c r="AJ152" s="295"/>
      <c r="AK152" s="295"/>
      <c r="AL152" s="295"/>
      <c r="AM152" s="295"/>
      <c r="AN152" s="295"/>
      <c r="AO152" s="295"/>
      <c r="AP152" s="295"/>
      <c r="AQ152" s="295"/>
      <c r="AR152" s="295"/>
      <c r="AS152" s="295"/>
      <c r="AT152" s="295"/>
      <c r="AU152" s="295"/>
      <c r="AV152" s="295"/>
      <c r="AW152" s="295"/>
      <c r="AX152" s="295"/>
      <c r="AY152" s="295"/>
      <c r="AZ152" s="295"/>
      <c r="BA152" s="295"/>
    </row>
    <row r="153" spans="1:53" s="5" customFormat="1">
      <c r="A153" s="73"/>
      <c r="B153" s="157"/>
      <c r="C153" s="90" t="s">
        <v>219</v>
      </c>
      <c r="D153" s="153"/>
      <c r="E153" s="155">
        <f>IF(E18="","",SUM(E151:E152))</f>
        <v>747.12</v>
      </c>
      <c r="F153" s="155">
        <f>IF(F18="","",SUM(F151:F152))</f>
        <v>684.56</v>
      </c>
      <c r="G153" s="155">
        <f>IF(G18="","",SUM(G151:G152))</f>
        <v>788.12</v>
      </c>
      <c r="H153" s="155">
        <f>IF(H18="","",SUM(H151:H152))</f>
        <v>896.56</v>
      </c>
      <c r="I153" s="155" t="str">
        <f>IF(I18="","",SUM(#REF!,#REF!))</f>
        <v/>
      </c>
      <c r="J153" s="293"/>
      <c r="K153" s="293"/>
      <c r="L153" s="293"/>
      <c r="M153" s="293"/>
      <c r="N153" s="293"/>
      <c r="O153" s="293"/>
      <c r="P153" s="293"/>
      <c r="Q153" s="293"/>
      <c r="R153" s="293"/>
      <c r="S153" s="293"/>
      <c r="T153" s="293"/>
      <c r="U153" s="293"/>
      <c r="V153" s="293"/>
      <c r="W153" s="293"/>
      <c r="X153" s="293"/>
      <c r="Y153" s="293"/>
      <c r="Z153" s="293"/>
      <c r="AA153" s="293"/>
      <c r="AB153" s="293"/>
      <c r="AC153" s="293"/>
      <c r="AD153" s="293"/>
      <c r="AE153" s="293"/>
      <c r="AF153" s="293"/>
      <c r="AG153" s="293"/>
      <c r="AH153" s="293"/>
      <c r="AI153" s="293"/>
      <c r="AJ153" s="293"/>
      <c r="AK153" s="293"/>
      <c r="AL153" s="293"/>
      <c r="AM153" s="293"/>
      <c r="AN153" s="293"/>
      <c r="AO153" s="293"/>
      <c r="AP153" s="293"/>
      <c r="AQ153" s="293"/>
      <c r="AR153" s="293"/>
      <c r="AS153" s="293"/>
      <c r="AT153" s="293"/>
      <c r="AU153" s="293"/>
      <c r="AV153" s="293"/>
      <c r="AW153" s="293"/>
      <c r="AX153" s="293"/>
      <c r="AY153" s="293"/>
      <c r="AZ153" s="293"/>
      <c r="BA153" s="293"/>
    </row>
    <row r="154" spans="1:53">
      <c r="F154" s="9"/>
      <c r="G154" s="9"/>
      <c r="H154" s="9"/>
      <c r="I154" s="9"/>
    </row>
    <row r="155" spans="1:53" s="6" customFormat="1">
      <c r="A155" s="74"/>
      <c r="B155" s="89"/>
      <c r="C155" s="90" t="s">
        <v>226</v>
      </c>
      <c r="D155" s="91"/>
      <c r="E155" s="369"/>
      <c r="F155" s="369"/>
      <c r="G155" s="369"/>
      <c r="H155" s="369"/>
      <c r="I155" s="369"/>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ustomFormat="1" ht="3.75" customHeight="1">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row>
    <row r="157" spans="1:53" s="6" customFormat="1">
      <c r="A157" s="75"/>
      <c r="B157" s="171"/>
      <c r="C157" s="172" t="s">
        <v>230</v>
      </c>
      <c r="D157" s="173"/>
      <c r="E157" s="176"/>
      <c r="F157" s="176"/>
      <c r="G157" s="176"/>
      <c r="H157" s="176"/>
      <c r="I157" s="176"/>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295"/>
      <c r="AF157" s="295"/>
      <c r="AG157" s="295"/>
      <c r="AH157" s="295"/>
      <c r="AI157" s="295"/>
      <c r="AJ157" s="295"/>
      <c r="AK157" s="295"/>
      <c r="AL157" s="295"/>
      <c r="AM157" s="295"/>
      <c r="AN157" s="295"/>
      <c r="AO157" s="295"/>
      <c r="AP157" s="295"/>
      <c r="AQ157" s="295"/>
      <c r="AR157" s="295"/>
      <c r="AS157" s="295"/>
      <c r="AT157" s="295"/>
      <c r="AU157" s="295"/>
      <c r="AV157" s="295"/>
      <c r="AW157" s="295"/>
      <c r="AX157" s="295"/>
      <c r="AY157" s="295"/>
      <c r="AZ157" s="295"/>
      <c r="BA157" s="295"/>
    </row>
    <row r="158" spans="1:53">
      <c r="A158" s="79"/>
      <c r="B158" s="87" t="s">
        <v>2</v>
      </c>
      <c r="C158" s="88" t="s">
        <v>227</v>
      </c>
      <c r="D158" s="406">
        <f>IFERROR(INDEX('Apoio - Notas Explicativas'!Q:Q,MATCH(C158,'Apoio - Notas Explicativas'!C:C,0)),"")</f>
        <v>0.05</v>
      </c>
      <c r="E158" s="99">
        <f>IF(E18="","",IFERROR(ROUND($D$158*SUM(E61,E116,E125,E148,E153),2),""))</f>
        <v>288.36</v>
      </c>
      <c r="F158" s="99">
        <f>IF(F18="","",IFERROR(ROUND($D$158*SUM(F61,F116,F125,F148,F153),2),""))</f>
        <v>285.23</v>
      </c>
      <c r="G158" s="99">
        <f>IF(G18="","",IFERROR(ROUND($D$158*SUM(G61,G116,G125,G148,G153),2),""))</f>
        <v>328.38</v>
      </c>
      <c r="H158" s="99">
        <f>IF(H18="","",IFERROR(ROUND($D$158*SUM(H61,H116,H125,H148,H153),2),""))</f>
        <v>373.57</v>
      </c>
      <c r="I158" s="99" t="str">
        <f>IF(I18="","",IFERROR($D$158*SUM(I61,I116,I125,I148,I153),""))</f>
        <v/>
      </c>
    </row>
    <row r="159" spans="1:53">
      <c r="A159" s="78"/>
      <c r="B159" s="87" t="s">
        <v>1</v>
      </c>
      <c r="C159" s="88" t="s">
        <v>228</v>
      </c>
      <c r="D159" s="406">
        <f>IFERROR(INDEX('Apoio - Notas Explicativas'!Q:Q,MATCH(C159,'Apoio - Notas Explicativas'!C:C,0)),"")</f>
        <v>0.1</v>
      </c>
      <c r="E159" s="99">
        <f>IF(E18="","",IFERROR(ROUND($D$159*SUM(E158,E61,E116,E125,E148,E153),2),""))</f>
        <v>605.55999999999995</v>
      </c>
      <c r="F159" s="99">
        <f>IF(F18="","",IFERROR(ROUND($D$159*SUM(F158,F61,F116,F125,F148,F153),2),""))</f>
        <v>598.99</v>
      </c>
      <c r="G159" s="99">
        <f>IF(G18="","",IFERROR(ROUND($D$159*SUM(G158,G61,G116,G125,G148,G153),2),""))</f>
        <v>689.6</v>
      </c>
      <c r="H159" s="99">
        <f>IF(H18="","",IFERROR(ROUND($D$159*SUM(H158,H61,H116,H125,H148,H153),2),""))</f>
        <v>784.49</v>
      </c>
      <c r="I159" s="99" t="str">
        <f>IF(I18="","",IFERROR($D$159*SUM(I158,I61,I116,I125,I148,I153),""))</f>
        <v/>
      </c>
    </row>
    <row r="160" spans="1:53" s="5" customFormat="1">
      <c r="A160" s="76"/>
      <c r="B160" s="171"/>
      <c r="C160" s="172" t="s">
        <v>231</v>
      </c>
      <c r="D160" s="175"/>
      <c r="E160" s="176">
        <f>IF(E18="","",SUM(E158:E159))</f>
        <v>893.92</v>
      </c>
      <c r="F160" s="176">
        <f>IF(F18="","",SUM(F158:F159))</f>
        <v>884.22</v>
      </c>
      <c r="G160" s="176">
        <f>IF(G18="","",SUM(G158:G159))</f>
        <v>1017.98</v>
      </c>
      <c r="H160" s="176">
        <f>IF(H18="","",SUM(H158:H159))</f>
        <v>1158.06</v>
      </c>
      <c r="I160" s="174" t="str">
        <f>IF(I18="","",SUM(I158:I159))</f>
        <v/>
      </c>
      <c r="J160" s="293"/>
      <c r="K160" s="293"/>
      <c r="L160" s="293"/>
      <c r="M160" s="293"/>
      <c r="N160" s="293"/>
      <c r="O160" s="293"/>
      <c r="P160" s="293"/>
      <c r="Q160" s="293"/>
      <c r="R160" s="293"/>
      <c r="S160" s="293"/>
      <c r="T160" s="293"/>
      <c r="U160" s="293"/>
      <c r="V160" s="293"/>
      <c r="W160" s="293"/>
      <c r="X160" s="293"/>
      <c r="Y160" s="293"/>
      <c r="Z160" s="293"/>
      <c r="AA160" s="293"/>
      <c r="AB160" s="293"/>
      <c r="AC160" s="293"/>
      <c r="AD160" s="293"/>
      <c r="AE160" s="293"/>
      <c r="AF160" s="293"/>
      <c r="AG160" s="293"/>
      <c r="AH160" s="293"/>
      <c r="AI160" s="293"/>
      <c r="AJ160" s="293"/>
      <c r="AK160" s="293"/>
      <c r="AL160" s="293"/>
      <c r="AM160" s="293"/>
      <c r="AN160" s="293"/>
      <c r="AO160" s="293"/>
      <c r="AP160" s="293"/>
      <c r="AQ160" s="293"/>
      <c r="AR160" s="293"/>
      <c r="AS160" s="293"/>
      <c r="AT160" s="293"/>
      <c r="AU160" s="293"/>
      <c r="AV160" s="293"/>
      <c r="AW160" s="293"/>
      <c r="AX160" s="293"/>
      <c r="AY160" s="293"/>
      <c r="AZ160" s="293"/>
      <c r="BA160" s="293"/>
    </row>
    <row r="161" spans="1:53" customFormat="1" ht="3.75" customHeight="1">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row>
    <row r="162" spans="1:53" s="6" customFormat="1">
      <c r="A162" s="75"/>
      <c r="B162" s="171"/>
      <c r="C162" s="172" t="s">
        <v>309</v>
      </c>
      <c r="D162" s="173"/>
      <c r="E162" s="176"/>
      <c r="F162" s="176"/>
      <c r="G162" s="176"/>
      <c r="H162" s="176"/>
      <c r="I162" s="176"/>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295"/>
      <c r="AF162" s="295"/>
      <c r="AG162" s="295"/>
      <c r="AH162" s="295"/>
      <c r="AI162" s="295"/>
      <c r="AJ162" s="295"/>
      <c r="AK162" s="295"/>
      <c r="AL162" s="295"/>
      <c r="AM162" s="295"/>
      <c r="AN162" s="295"/>
      <c r="AO162" s="295"/>
      <c r="AP162" s="295"/>
      <c r="AQ162" s="295"/>
      <c r="AR162" s="295"/>
      <c r="AS162" s="295"/>
      <c r="AT162" s="295"/>
      <c r="AU162" s="295"/>
      <c r="AV162" s="295"/>
      <c r="AW162" s="295"/>
      <c r="AX162" s="295"/>
      <c r="AY162" s="295"/>
      <c r="AZ162" s="295"/>
      <c r="BA162" s="295"/>
    </row>
    <row r="163" spans="1:53">
      <c r="A163" s="78"/>
      <c r="B163" s="87" t="s">
        <v>2</v>
      </c>
      <c r="C163" s="88" t="s">
        <v>43</v>
      </c>
      <c r="D163" s="392">
        <f>IFERROR(INDEX('Apoio - Notas Explicativas'!Q:Q,MATCH(C163,'Apoio - Notas Explicativas'!C:C,0)),"")</f>
        <v>0.03</v>
      </c>
      <c r="E163" s="99">
        <f>IF(E18="","",IFERROR(ROUND(SUM(E$160,E$61,E$116,E$125,E$148,E$153)*$D163/(1-SUM($D$163:$D$168,E$166)),2),""))</f>
        <v>212.93</v>
      </c>
      <c r="F163" s="99">
        <f>IF(F18="","",IFERROR(ROUND(SUM(F$160,F$61,F$116,F$125,F$148,F$153)*$D163/(1-SUM($D$163:$D$168,F$166)),2),""))</f>
        <v>210.62</v>
      </c>
      <c r="G163" s="99">
        <f>IF(G18="","",IFERROR(ROUND(SUM(G$160,G$61,G$116,G$125,G$148,G$153)*$D163/(1-SUM($D$163:$D$168,G$166)),2),""))</f>
        <v>242.48</v>
      </c>
      <c r="H163" s="99">
        <f>IF(H18="","",IFERROR(ROUND(SUM(H$160,H$61,H$116,H$125,H$148,H$153)*$D163/(1-SUM($D$163:$D$168,H$166)),2),""))</f>
        <v>275.85000000000002</v>
      </c>
      <c r="I163" s="99" t="str">
        <f>IF(I18="","",IFERROR(SUM(I$160,I$61,I$116,I$125,I$148,I$153)*$D163/(1-SUM($D$163:$D$168,I$166)),""))</f>
        <v/>
      </c>
    </row>
    <row r="164" spans="1:53">
      <c r="A164" s="79"/>
      <c r="B164" s="87" t="s">
        <v>1</v>
      </c>
      <c r="C164" s="88" t="s">
        <v>107</v>
      </c>
      <c r="D164" s="392">
        <f>IFERROR(INDEX('Apoio - Notas Explicativas'!Q:Q,MATCH(C164,'Apoio - Notas Explicativas'!C:C,0)),"")</f>
        <v>6.4999999999999997E-3</v>
      </c>
      <c r="E164" s="99">
        <f>IF(E20="","",IFERROR(ROUND(SUM(E$160,E$61,E$116,E$125,E$148,E$153)*$D164/(1-SUM($D$163:$D$168,E$166)),2),""))</f>
        <v>46.13</v>
      </c>
      <c r="F164" s="99">
        <f>IF(F20="","",IFERROR(ROUND(SUM(F$160,F$61,F$116,F$125,F$148,F$153)*$D164/(1-SUM($D$163:$D$168,F$166)),2),""))</f>
        <v>45.63</v>
      </c>
      <c r="G164" s="99">
        <f>IF(G20="","",IFERROR(ROUND(SUM(G$160,G$61,G$116,G$125,G$148,G$153)*$D164/(1-SUM($D$163:$D$168,G$166)),2),""))</f>
        <v>52.54</v>
      </c>
      <c r="H164" s="99">
        <f>IF(H20="","",IFERROR(ROUND(SUM(H$160,H$61,H$116,H$125,H$148,H$153)*$D164/(1-SUM($D$163:$D$168,H$166)),2),""))</f>
        <v>59.77</v>
      </c>
      <c r="I164" s="99" t="str">
        <f>IF(I20="","",IFERROR(SUM(I$160,I$61,I$116,I$125,I$148,I$153)*$D164/(1-SUM($D$163:$D$168,I$166)),""))</f>
        <v/>
      </c>
    </row>
    <row r="165" spans="1:53">
      <c r="A165" s="79"/>
      <c r="B165" s="815" t="s">
        <v>0</v>
      </c>
      <c r="C165" s="160" t="s">
        <v>44</v>
      </c>
      <c r="D165" s="414"/>
      <c r="E165" s="148"/>
      <c r="F165" s="148"/>
      <c r="G165" s="148"/>
      <c r="H165" s="148"/>
      <c r="I165" s="148"/>
    </row>
    <row r="166" spans="1:53">
      <c r="A166" s="79"/>
      <c r="B166" s="805"/>
      <c r="C166" s="136" t="s">
        <v>353</v>
      </c>
      <c r="D166" s="181"/>
      <c r="E166" s="388">
        <f>IF(E18="","",
IF($D$13="Simples",INDEX('Apoio - Notas Explicativas'!$Q:$Q,MATCH($C$165,'Apoio - Notas Explicativas'!$C:$C,0)),
IFERROR(VLOOKUP(E$18,'Apoio - Posto'!$A:$AA,20,FALSE),
INDEX('Apoio - Notas Explicativas'!$Q:$Q,MATCH($C$165,'Apoio - Notas Explicativas'!$C:$C,0))
)))</f>
        <v>2.5000000000000001E-2</v>
      </c>
      <c r="F166" s="388">
        <f>IF(F18="","",
IF($D$13="Simples",INDEX('Apoio - Notas Explicativas'!$Q:$Q,MATCH($C$165,'Apoio - Notas Explicativas'!$C:$C,0)),
IFERROR(VLOOKUP(F$18,'Apoio - Posto'!$A:$AA,20,FALSE),
INDEX('Apoio - Notas Explicativas'!$Q:$Q,MATCH($C$165,'Apoio - Notas Explicativas'!$C:$C,0))
)))</f>
        <v>2.5000000000000001E-2</v>
      </c>
      <c r="G166" s="388">
        <f>IF(G18="","",
IF($D$13="Simples",INDEX('Apoio - Notas Explicativas'!$Q:$Q,MATCH($C$165,'Apoio - Notas Explicativas'!$C:$C,0)),
IFERROR(VLOOKUP(G$18,'Apoio - Posto'!$A:$AA,20,FALSE),
INDEX('Apoio - Notas Explicativas'!$Q:$Q,MATCH($C$165,'Apoio - Notas Explicativas'!$C:$C,0))
)))</f>
        <v>2.5000000000000001E-2</v>
      </c>
      <c r="H166" s="388">
        <f>IF(H18="","",
IF($D$13="Simples",INDEX('Apoio - Notas Explicativas'!$Q:$Q,MATCH($C$165,'Apoio - Notas Explicativas'!$C:$C,0)),
IFERROR(VLOOKUP(H$18,'Apoio - Posto'!$A:$AA,20,FALSE),
INDEX('Apoio - Notas Explicativas'!$Q:$Q,MATCH($C$165,'Apoio - Notas Explicativas'!$C:$C,0))
)))</f>
        <v>2.5000000000000001E-2</v>
      </c>
      <c r="I166" s="388" t="str">
        <f>IF(I18="","",IFERROR(VLOOKUP(I$18,'Apoio - Posto'!$A:$AA,20,FALSE),INDEX('Apoio - Notas Explicativas'!$Q:$Q,MATCH($C$165,'Apoio - Notas Explicativas'!$C:$C,0))))</f>
        <v/>
      </c>
    </row>
    <row r="167" spans="1:53">
      <c r="A167" s="78"/>
      <c r="B167" s="806"/>
      <c r="C167" s="88"/>
      <c r="D167" s="415" t="s">
        <v>41</v>
      </c>
      <c r="E167" s="147">
        <f>IF(E21="","",IFERROR(ROUND(SUM(E$160,E$61,E$116,E$125,E$148,E$153)*E166/(1-SUM($D$163:$D$168,E166)),2),""))</f>
        <v>177.44</v>
      </c>
      <c r="F167" s="147">
        <f>IF(F21="","",IFERROR(ROUND(SUM(F$160,F$61,F$116,F$125,F$148,F$153)*F166/(1-SUM($D$163:$D$168,F166)),2),""))</f>
        <v>175.52</v>
      </c>
      <c r="G167" s="147">
        <f>IF(G21="","",IFERROR(ROUND(SUM(G$160,G$61,G$116,G$125,G$148,G$153)*G166/(1-SUM($D$163:$D$168,G166)),2),""))</f>
        <v>202.07</v>
      </c>
      <c r="H167" s="147">
        <f>IF(H21="","",IFERROR(ROUND(SUM(H$160,H$61,H$116,H$125,H$148,H$153)*H166/(1-SUM($D$163:$D$168,H166)),2),""))</f>
        <v>229.87</v>
      </c>
      <c r="I167" s="147" t="str">
        <f>IF(I21="","",IFERROR(SUM(I$160,I$61,I$116,I$125,I$148,I$153)*I166/(1-SUM($D$163:$D$168,I166)),""))</f>
        <v/>
      </c>
    </row>
    <row r="168" spans="1:53">
      <c r="A168" s="78"/>
      <c r="B168" s="390" t="s">
        <v>3</v>
      </c>
      <c r="C168" s="391" t="s">
        <v>303</v>
      </c>
      <c r="D168" s="392">
        <v>0</v>
      </c>
      <c r="E168" s="99">
        <f>IF(E22="","",IFERROR(ROUND(SUM(E$160,E$61,E$116,E$125,E$148,E$153)*$D168/(1-SUM($D$163:$D$168,E$166)),2),""))</f>
        <v>0</v>
      </c>
      <c r="F168" s="99">
        <f>IF(F22="","",IFERROR(ROUND(SUM(F$160,F$61,F$116,F$125,F$148,F$153)*$D168/(1-SUM($D$163:$D$168,F$166)),2),""))</f>
        <v>0</v>
      </c>
      <c r="G168" s="99">
        <f>IF(G22="","",IFERROR(ROUND(SUM(G$160,G$61,G$116,G$125,G$148,G$153)*$D168/(1-SUM($D$163:$D$168,G$166)),2),""))</f>
        <v>0</v>
      </c>
      <c r="H168" s="99">
        <f>IF(H22="","",IFERROR(ROUND(SUM(H$160,H$61,H$116,H$125,H$148,H$153)*$D168/(1-SUM($D$163:$D$168,H$166)),2),""))</f>
        <v>0</v>
      </c>
      <c r="I168" s="99" t="str">
        <f>IF(I22="","",IFERROR(SUM(I$160,I$61,I$116,I$125,I$148,I$153)*$D168/(1-SUM($D$163:$D$168,I$166)),""))</f>
        <v/>
      </c>
    </row>
    <row r="169" spans="1:53" s="5" customFormat="1">
      <c r="A169" s="76"/>
      <c r="B169" s="171"/>
      <c r="C169" s="172" t="s">
        <v>232</v>
      </c>
      <c r="D169" s="175"/>
      <c r="E169" s="192">
        <f>IF(E18="","",SUM(E163:E164,E167:E168))</f>
        <v>436.5</v>
      </c>
      <c r="F169" s="192">
        <f>IF(F18="","",SUM(F163:F164,F167:F168))</f>
        <v>431.77</v>
      </c>
      <c r="G169" s="192">
        <f>IF(G18="","",SUM(G163:G164,G167:G168))</f>
        <v>497.09</v>
      </c>
      <c r="H169" s="192">
        <f>IF(H18="","",SUM(H163:H164,H167:H168))</f>
        <v>565.49</v>
      </c>
      <c r="I169" s="192" t="str">
        <f>IF(I18="","",SUM(I163:I164,I167:I168))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ustomFormat="1" ht="3.75" customHeight="1">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row>
    <row r="171" spans="1:53" s="5" customFormat="1">
      <c r="A171" s="73"/>
      <c r="B171" s="157"/>
      <c r="C171" s="90" t="s">
        <v>220</v>
      </c>
      <c r="D171" s="153"/>
      <c r="E171" s="155">
        <f>IF(E18="","",SUM(E169,E160))</f>
        <v>1330.42</v>
      </c>
      <c r="F171" s="155">
        <f>IF(F18="","",SUM(F169,F160))</f>
        <v>1315.99</v>
      </c>
      <c r="G171" s="155">
        <f>IF(G18="","",SUM(G169,G160))</f>
        <v>1515.07</v>
      </c>
      <c r="H171" s="155">
        <f>IF(H18="","",SUM(H169,H160))</f>
        <v>1723.55</v>
      </c>
      <c r="I171" s="156" t="str">
        <f>IF(I18="","",SUM(I169,I160))</f>
        <v/>
      </c>
      <c r="J171" s="293"/>
      <c r="K171" s="293"/>
      <c r="L171" s="293"/>
      <c r="M171" s="293"/>
      <c r="N171" s="293"/>
      <c r="O171" s="293"/>
      <c r="P171" s="293"/>
      <c r="Q171" s="293"/>
      <c r="R171" s="293"/>
      <c r="S171" s="293"/>
      <c r="T171" s="293"/>
      <c r="U171" s="293"/>
      <c r="V171" s="293"/>
      <c r="W171" s="293"/>
      <c r="X171" s="293"/>
      <c r="Y171" s="293"/>
      <c r="Z171" s="293"/>
      <c r="AA171" s="293"/>
      <c r="AB171" s="293"/>
      <c r="AC171" s="293"/>
      <c r="AD171" s="293"/>
      <c r="AE171" s="293"/>
      <c r="AF171" s="293"/>
      <c r="AG171" s="293"/>
      <c r="AH171" s="293"/>
      <c r="AI171" s="293"/>
      <c r="AJ171" s="293"/>
      <c r="AK171" s="293"/>
      <c r="AL171" s="293"/>
      <c r="AM171" s="293"/>
      <c r="AN171" s="293"/>
      <c r="AO171" s="293"/>
      <c r="AP171" s="293"/>
      <c r="AQ171" s="293"/>
      <c r="AR171" s="293"/>
      <c r="AS171" s="293"/>
      <c r="AT171" s="293"/>
      <c r="AU171" s="293"/>
      <c r="AV171" s="293"/>
      <c r="AW171" s="293"/>
      <c r="AX171" s="293"/>
      <c r="AY171" s="293"/>
      <c r="AZ171" s="293"/>
      <c r="BA171" s="293"/>
    </row>
    <row r="172" spans="1:53">
      <c r="F172" s="9"/>
      <c r="G172" s="9"/>
      <c r="H172" s="9"/>
      <c r="I172" s="9"/>
      <c r="L172"/>
      <c r="M172"/>
      <c r="N172"/>
      <c r="O172"/>
      <c r="P172"/>
      <c r="Q172"/>
      <c r="R172"/>
    </row>
    <row r="173" spans="1:53" s="6" customFormat="1">
      <c r="A173" s="74"/>
      <c r="B173" s="89"/>
      <c r="C173" s="90" t="s">
        <v>374</v>
      </c>
      <c r="D173" s="91"/>
      <c r="E173" s="369"/>
      <c r="F173" s="369"/>
      <c r="G173" s="369"/>
      <c r="H173" s="369"/>
      <c r="I173" s="369"/>
      <c r="J173" s="295"/>
      <c r="K173" s="295"/>
      <c r="L173"/>
      <c r="M173"/>
      <c r="N173"/>
      <c r="O173"/>
      <c r="P173"/>
      <c r="Q173"/>
      <c r="R173"/>
      <c r="S173" s="295"/>
      <c r="T173" s="295"/>
      <c r="U173" s="295"/>
      <c r="V173" s="295"/>
      <c r="W173" s="295"/>
      <c r="X173" s="295"/>
      <c r="Y173" s="295"/>
      <c r="Z173" s="295"/>
      <c r="AA173" s="295"/>
      <c r="AB173" s="295"/>
      <c r="AC173" s="295"/>
      <c r="AD173" s="295"/>
      <c r="AE173" s="295"/>
      <c r="AF173" s="295"/>
      <c r="AG173" s="295"/>
      <c r="AH173" s="295"/>
      <c r="AI173" s="295"/>
      <c r="AJ173" s="295"/>
      <c r="AK173" s="295"/>
      <c r="AL173" s="295"/>
      <c r="AM173" s="295"/>
      <c r="AN173" s="295"/>
      <c r="AO173" s="295"/>
      <c r="AP173" s="295"/>
      <c r="AQ173" s="295"/>
      <c r="AR173" s="295"/>
      <c r="AS173" s="295"/>
      <c r="AT173" s="295"/>
      <c r="AU173" s="295"/>
      <c r="AV173" s="295"/>
      <c r="AW173" s="295"/>
      <c r="AX173" s="295"/>
      <c r="AY173" s="295"/>
      <c r="AZ173" s="295"/>
      <c r="BA173" s="295"/>
    </row>
    <row r="174" spans="1:53" ht="3.75" customHeight="1">
      <c r="A174" s="287"/>
      <c r="B174" s="3"/>
      <c r="C174" s="3"/>
      <c r="D174" s="3"/>
      <c r="E174" s="3"/>
      <c r="F174" s="3"/>
      <c r="G174" s="3"/>
      <c r="H174" s="3"/>
      <c r="I174" s="3"/>
      <c r="L174"/>
      <c r="M174"/>
      <c r="N174"/>
      <c r="O174"/>
      <c r="P174"/>
      <c r="Q174"/>
      <c r="R174"/>
    </row>
    <row r="175" spans="1:53">
      <c r="A175" s="287"/>
      <c r="B175" s="171"/>
      <c r="C175" s="172" t="s">
        <v>438</v>
      </c>
      <c r="D175" s="289"/>
      <c r="E175" s="396"/>
      <c r="F175" s="396"/>
      <c r="G175" s="396"/>
      <c r="H175" s="396"/>
      <c r="I175" s="396"/>
      <c r="L175"/>
      <c r="M175"/>
      <c r="N175"/>
      <c r="O175"/>
      <c r="P175"/>
      <c r="Q175"/>
      <c r="R175"/>
    </row>
    <row r="176" spans="1:53">
      <c r="A176" s="80"/>
      <c r="B176" s="87" t="s">
        <v>2</v>
      </c>
      <c r="C176" s="88" t="s">
        <v>375</v>
      </c>
      <c r="D176" s="177"/>
      <c r="E176" s="99">
        <f>IFERROR(IF(E18="","",E178/SUM(E52,INDEX('Apoio - Regime de Trabalho'!$I:$I,MATCH(E26,'Apoio - Regime de Trabalho'!$A:$A,0)))),"")</f>
        <v>36.966927083333331</v>
      </c>
      <c r="F176" s="99">
        <f>IFERROR(IF(F18="","",F178/SUM(F52,INDEX('Apoio - Regime de Trabalho'!$I:$I,MATCH(F26,'Apoio - Regime de Trabalho'!$A:$A,0)))),"")</f>
        <v>36.565937499999997</v>
      </c>
      <c r="G176" s="99">
        <f>IFERROR(IF(G18="","",G178/SUM(G52,INDEX('Apoio - Regime de Trabalho'!$I:$I,MATCH(G26,'Apoio - Regime de Trabalho'!$A:$A,0)))),"")</f>
        <v>42.097604166666663</v>
      </c>
      <c r="H176" s="99">
        <f>IFERROR(IF(H18="","",H178/SUM(H52,INDEX('Apoio - Regime de Trabalho'!$I:$I,MATCH(H26,'Apoio - Regime de Trabalho'!$A:$A,0)))),"")</f>
        <v>47.889999999999993</v>
      </c>
      <c r="I176" s="99" t="str">
        <f>IFERROR(IF(I18="","",I178/INDEX('Apoio - Regime de Trabalho'!$I:$I,MATCH(I26,'Apoio - Regime de Trabalho'!$A:$A,0))),"")</f>
        <v/>
      </c>
      <c r="L176"/>
      <c r="M176"/>
      <c r="N176"/>
      <c r="O176"/>
      <c r="P176"/>
      <c r="Q176"/>
      <c r="R176"/>
    </row>
    <row r="177" spans="1:53">
      <c r="A177" s="80"/>
      <c r="B177" s="87" t="s">
        <v>1</v>
      </c>
      <c r="C177" s="88" t="s">
        <v>379</v>
      </c>
      <c r="D177" s="177"/>
      <c r="E177" s="99">
        <f>IF(E18="","",ROUND(SUM(E61,E116,E125,E148,E153,E171)/INDEX('Apoio - Regime de Trabalho'!$G:$G,MATCH(E26,'Apoio - Regime de Trabalho'!$A:$A,0)),2))</f>
        <v>322.62</v>
      </c>
      <c r="F177" s="99">
        <f>IF(F18="","",ROUND(SUM(F61,F116,F125,F148,F153,F171)/INDEX('Apoio - Regime de Trabalho'!$G:$G,MATCH(F26,'Apoio - Regime de Trabalho'!$A:$A,0)),2))</f>
        <v>319.12</v>
      </c>
      <c r="G177" s="99">
        <f>IF(G18="","",ROUND(SUM(G61,G116,G125,G148,G153,G171)/INDEX('Apoio - Regime de Trabalho'!$G:$G,MATCH(G26,'Apoio - Regime de Trabalho'!$A:$A,0)),2))</f>
        <v>367.4</v>
      </c>
      <c r="H177" s="99">
        <f>IF(H18="","",ROUND(SUM(H61,H116,H125,H148,H153,H171)/INDEX('Apoio - Regime de Trabalho'!$G:$G,MATCH(H26,'Apoio - Regime de Trabalho'!$A:$A,0)),2))</f>
        <v>417.95</v>
      </c>
      <c r="I177" s="99" t="str">
        <f>IF(I18="","",I178/INDEX('Apoio - Regime de Trabalho'!$G:$G,MATCH(I26,'Apoio - Regime de Trabalho'!$A:$A,0)))</f>
        <v/>
      </c>
      <c r="L177"/>
      <c r="M177"/>
      <c r="N177"/>
      <c r="O177"/>
      <c r="P177"/>
      <c r="Q177"/>
      <c r="R177"/>
    </row>
    <row r="178" spans="1:53">
      <c r="A178" s="80"/>
      <c r="B178" s="87" t="s">
        <v>0</v>
      </c>
      <c r="C178" s="88" t="s">
        <v>441</v>
      </c>
      <c r="D178" s="177"/>
      <c r="E178" s="99">
        <f>IF(E18="","",ROUND(SUM(E61,E116,E125,E148,E153,E171),2))</f>
        <v>7097.65</v>
      </c>
      <c r="F178" s="99">
        <f>IF(F18="","",ROUND(SUM(F61,F116,F125,F148,F153,F171),2))</f>
        <v>7020.66</v>
      </c>
      <c r="G178" s="99">
        <f>IF(G18="","",ROUND(SUM(G61,G116,G125,G148,G153,G171),2))</f>
        <v>8082.74</v>
      </c>
      <c r="H178" s="99">
        <f>IF(H18="","",ROUND(SUM(H61,H116,H125,H148,H153,H171),2))</f>
        <v>9194.8799999999992</v>
      </c>
      <c r="I178" s="99" t="str">
        <f>IF(I18="","",SUM(I61,I116,I125,I148,I153,I171))</f>
        <v/>
      </c>
      <c r="L178"/>
      <c r="M178"/>
      <c r="N178"/>
      <c r="O178"/>
      <c r="P178"/>
      <c r="Q178"/>
      <c r="R178"/>
    </row>
    <row r="179" spans="1:53">
      <c r="A179" s="80"/>
      <c r="B179" s="87" t="s">
        <v>3</v>
      </c>
      <c r="C179" s="88" t="s">
        <v>440</v>
      </c>
      <c r="D179" s="177"/>
      <c r="E179" s="99">
        <f>IFERROR(ROUND(E178*E28,2),"")</f>
        <v>7097.65</v>
      </c>
      <c r="F179" s="99">
        <f t="shared" ref="F179:H179" si="30">IFERROR(ROUND(F178*F28,2),"")</f>
        <v>7020.66</v>
      </c>
      <c r="G179" s="99">
        <f t="shared" si="30"/>
        <v>8082.74</v>
      </c>
      <c r="H179" s="99">
        <f t="shared" si="30"/>
        <v>9194.8799999999992</v>
      </c>
      <c r="I179" s="99" t="str">
        <f>IFERROR(I178*I28,"")</f>
        <v/>
      </c>
      <c r="L179"/>
      <c r="M179"/>
      <c r="N179"/>
      <c r="O179"/>
      <c r="P179"/>
      <c r="Q179"/>
      <c r="R179"/>
    </row>
    <row r="180" spans="1:53" ht="3.75" customHeight="1">
      <c r="A180" s="287"/>
      <c r="B180" s="3"/>
      <c r="C180" s="3"/>
      <c r="D180" s="3"/>
      <c r="E180" s="3"/>
      <c r="F180" s="3"/>
      <c r="G180" s="3"/>
      <c r="H180" s="3"/>
      <c r="I180" s="3"/>
      <c r="L180"/>
      <c r="M180"/>
      <c r="N180"/>
      <c r="O180"/>
      <c r="P180"/>
      <c r="Q180"/>
      <c r="R180"/>
    </row>
    <row r="181" spans="1:53">
      <c r="A181" s="287"/>
      <c r="B181" s="171"/>
      <c r="C181" s="172" t="s">
        <v>469</v>
      </c>
      <c r="D181" s="289"/>
      <c r="E181" s="396"/>
      <c r="F181" s="396"/>
      <c r="G181" s="396"/>
      <c r="H181" s="396"/>
      <c r="I181" s="396"/>
      <c r="L181"/>
      <c r="M181"/>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0"/>
      <c r="B182" s="87" t="s">
        <v>2</v>
      </c>
      <c r="C182" s="88" t="s">
        <v>376</v>
      </c>
      <c r="D182" s="177"/>
      <c r="E182" s="99">
        <f>IFERROR(ROUND(SUM(E61,E116,E125,E148),2)*E29,"")</f>
        <v>0</v>
      </c>
      <c r="F182" s="99">
        <f t="shared" ref="F182:H182" si="31">IFERROR(ROUND(SUM(F61,F116,F125,F148),2)*F29,"")</f>
        <v>0</v>
      </c>
      <c r="G182" s="99">
        <f t="shared" si="31"/>
        <v>0</v>
      </c>
      <c r="H182" s="99">
        <f t="shared" si="31"/>
        <v>0</v>
      </c>
      <c r="I182" s="99" t="str">
        <f>IFERROR(SUM(I61,I116,I125,I148)*I29,"")</f>
        <v/>
      </c>
      <c r="L182"/>
      <c r="M182"/>
      <c r="N182"/>
      <c r="O182"/>
      <c r="P182"/>
      <c r="Q182"/>
      <c r="R18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0"/>
      <c r="B183" s="87" t="s">
        <v>1</v>
      </c>
      <c r="C183" s="88" t="s">
        <v>435</v>
      </c>
      <c r="D183" s="177"/>
      <c r="E183" s="99">
        <f>IFERROR(ROUND(E153*E29,2),"")</f>
        <v>0</v>
      </c>
      <c r="F183" s="99">
        <f>IFERROR(ROUND(F153*F29,2),"")</f>
        <v>0</v>
      </c>
      <c r="G183" s="99">
        <f>IFERROR(ROUND(G153*G29,2),"")</f>
        <v>0</v>
      </c>
      <c r="H183" s="99">
        <f>IFERROR(ROUND(H153*H29,2),"")</f>
        <v>0</v>
      </c>
      <c r="I183" s="99" t="str">
        <f>IFERROR(I153*I29,"")</f>
        <v/>
      </c>
      <c r="L183"/>
      <c r="M183" s="712"/>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81"/>
      <c r="B184" s="87" t="s">
        <v>0</v>
      </c>
      <c r="C184" s="88" t="s">
        <v>174</v>
      </c>
      <c r="D184" s="177"/>
      <c r="E184" s="99">
        <f>IFERROR(ROUND(E171*E29,2),"")</f>
        <v>0</v>
      </c>
      <c r="F184" s="99">
        <f t="shared" ref="F184:H184" si="32">IFERROR(ROUND(F171*F29,2),"")</f>
        <v>0</v>
      </c>
      <c r="G184" s="99">
        <f t="shared" si="32"/>
        <v>0</v>
      </c>
      <c r="H184" s="99">
        <f t="shared" si="32"/>
        <v>0</v>
      </c>
      <c r="I184" s="99" t="str">
        <f>IFERROR(I171*I29,"")</f>
        <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1"/>
      <c r="B185" s="87" t="s">
        <v>3</v>
      </c>
      <c r="C185" s="88" t="s">
        <v>468</v>
      </c>
      <c r="D185" s="177"/>
      <c r="E185" s="99">
        <f>IFERROR(ROUND((E182+E183+E184),2),"")</f>
        <v>0</v>
      </c>
      <c r="F185" s="99">
        <f t="shared" ref="F185:H185" si="33">IFERROR(ROUND((F182+F183+F184),2),"")</f>
        <v>0</v>
      </c>
      <c r="G185" s="99">
        <f t="shared" si="33"/>
        <v>0</v>
      </c>
      <c r="H185" s="99">
        <f t="shared" si="33"/>
        <v>0</v>
      </c>
      <c r="I185" s="99" t="str">
        <f>IFERROR(I182+I183+I184,"")</f>
        <v/>
      </c>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ht="3.75" customHeight="1">
      <c r="A186" s="287"/>
      <c r="B186" s="3"/>
      <c r="C186" s="3"/>
      <c r="D186" s="3"/>
      <c r="E186" s="3"/>
      <c r="F186" s="3"/>
      <c r="G186" s="3"/>
      <c r="H186" s="3"/>
      <c r="I186" s="3"/>
      <c r="L186"/>
      <c r="M186"/>
      <c r="N186"/>
      <c r="O186"/>
      <c r="P186"/>
      <c r="Q186"/>
      <c r="R186"/>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287"/>
      <c r="B187" s="171"/>
      <c r="C187" s="172" t="s">
        <v>439</v>
      </c>
      <c r="D187" s="289"/>
      <c r="E187" s="396"/>
      <c r="F187" s="396"/>
      <c r="G187" s="396"/>
      <c r="H187" s="396"/>
      <c r="I187" s="396"/>
      <c r="L187"/>
      <c r="M187"/>
      <c r="N187"/>
      <c r="O187"/>
      <c r="P187"/>
      <c r="Q187"/>
      <c r="R18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2</v>
      </c>
      <c r="C188" s="88" t="s">
        <v>376</v>
      </c>
      <c r="D188" s="177"/>
      <c r="E188" s="99">
        <f>IFERROR(ROUND(E182*$D$12,2),"")</f>
        <v>0</v>
      </c>
      <c r="F188" s="99">
        <f t="shared" ref="F188:H188" si="34">IFERROR(ROUND(F182*$D$12,2),"")</f>
        <v>0</v>
      </c>
      <c r="G188" s="99">
        <f t="shared" si="34"/>
        <v>0</v>
      </c>
      <c r="H188" s="99">
        <f t="shared" si="34"/>
        <v>0</v>
      </c>
      <c r="I188" s="99" t="str">
        <f>IFERROR(I182*IF(VLOOKUP(I$26,'Apoio - Regime de Trabalho'!$A:$I,3,FALSE)="Diária",1,$D$12),"")</f>
        <v/>
      </c>
      <c r="M188" s="409"/>
      <c r="N188" s="403"/>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1</v>
      </c>
      <c r="C189" s="88" t="s">
        <v>435</v>
      </c>
      <c r="D189" s="177"/>
      <c r="E189" s="99">
        <f>IFERROR(ROUND(E183*$D$12,2),"")</f>
        <v>0</v>
      </c>
      <c r="F189" s="99">
        <f t="shared" ref="F189:H189" si="35">IFERROR(ROUND(F183*$D$12,2),"")</f>
        <v>0</v>
      </c>
      <c r="G189" s="99">
        <f t="shared" si="35"/>
        <v>0</v>
      </c>
      <c r="H189" s="99">
        <f t="shared" si="35"/>
        <v>0</v>
      </c>
      <c r="I189" s="99" t="str">
        <f>IFERROR(I183*IF(VLOOKUP(I$26,'Apoio - Regime de Trabalho'!$A:$I,3,FALSE)="Diária",1,$D$12),"")</f>
        <v/>
      </c>
      <c r="M189" s="409"/>
      <c r="N189" s="403"/>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81"/>
      <c r="B190" s="87" t="s">
        <v>0</v>
      </c>
      <c r="C190" s="88" t="s">
        <v>174</v>
      </c>
      <c r="D190" s="177"/>
      <c r="E190" s="99">
        <f>IFERROR(ROUND(E184*$D$12,2),"")</f>
        <v>0</v>
      </c>
      <c r="F190" s="99">
        <f t="shared" ref="F190:H190" si="36">IFERROR(ROUND(F184*$D$12,2),"")</f>
        <v>0</v>
      </c>
      <c r="G190" s="99">
        <f t="shared" si="36"/>
        <v>0</v>
      </c>
      <c r="H190" s="99">
        <f t="shared" si="36"/>
        <v>0</v>
      </c>
      <c r="I190" s="99" t="str">
        <f>IFERROR(I184*IF(VLOOKUP(I$26,'Apoio - Regime de Trabalho'!$A:$I,3,FALSE)="Diária",1,$D$12),"")</f>
        <v/>
      </c>
      <c r="N190" s="403"/>
      <c r="O190" s="40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81"/>
      <c r="B191" s="87" t="s">
        <v>3</v>
      </c>
      <c r="C191" s="88" t="s">
        <v>436</v>
      </c>
      <c r="D191" s="177"/>
      <c r="E191" s="99">
        <f>IFERROR(ROUND(E185*$D$12,2),"")</f>
        <v>0</v>
      </c>
      <c r="F191" s="99">
        <f t="shared" ref="F191:H191" si="37">IFERROR(ROUND(F185*$D$12,2),"")</f>
        <v>0</v>
      </c>
      <c r="G191" s="99">
        <f t="shared" si="37"/>
        <v>0</v>
      </c>
      <c r="H191" s="99">
        <f t="shared" si="37"/>
        <v>0</v>
      </c>
      <c r="I191" s="99"/>
      <c r="M191" s="409"/>
      <c r="N191" s="711"/>
      <c r="O191" s="404"/>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F192" s="9"/>
      <c r="G192" s="9"/>
      <c r="H192" s="9"/>
      <c r="I192" s="9"/>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89"/>
      <c r="C193" s="90" t="s">
        <v>380</v>
      </c>
      <c r="D193" s="90"/>
      <c r="E193" s="90"/>
      <c r="F193" s="90"/>
      <c r="G193" s="90"/>
      <c r="H193" s="90"/>
      <c r="I193" s="90"/>
      <c r="L193" s="90"/>
      <c r="M193" s="90"/>
      <c r="N193" s="90"/>
      <c r="O193" s="257"/>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ht="3.75" customHeight="1">
      <c r="A194" s="287"/>
      <c r="B194" s="3"/>
      <c r="C194" s="3"/>
      <c r="D194" s="3"/>
      <c r="E194" s="3"/>
      <c r="F194" s="3"/>
      <c r="G194" s="3"/>
      <c r="H194" s="3"/>
      <c r="I194" s="3"/>
      <c r="K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171"/>
      <c r="C195" s="172" t="s">
        <v>623</v>
      </c>
      <c r="D195" s="396" t="s">
        <v>373</v>
      </c>
      <c r="E195" s="396" t="s">
        <v>649</v>
      </c>
      <c r="F195" s="396" t="s">
        <v>649</v>
      </c>
      <c r="G195" s="396" t="s">
        <v>649</v>
      </c>
      <c r="H195" s="396" t="s">
        <v>649</v>
      </c>
      <c r="I195" s="396"/>
      <c r="K195" s="1"/>
      <c r="L195" s="396" t="s">
        <v>647</v>
      </c>
      <c r="M195" s="396" t="s">
        <v>649</v>
      </c>
      <c r="N195" s="396" t="s">
        <v>322</v>
      </c>
      <c r="O195" s="396" t="s">
        <v>396</v>
      </c>
      <c r="Q195" s="404"/>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624</v>
      </c>
      <c r="C196" s="400" t="s">
        <v>358</v>
      </c>
      <c r="D196" s="696"/>
      <c r="E196" s="395" t="str">
        <f>IFERROR(8*E$176*'Apoio - Notas Explicativas'!$D$6/$D196,"")</f>
        <v/>
      </c>
      <c r="F196" s="395" t="str">
        <f>IFERROR((8*F$176*'Apoio - Notas Explicativas'!$D$6/$D196)*($F$27/$E$27),"")</f>
        <v/>
      </c>
      <c r="G196" s="395"/>
      <c r="H196" s="395"/>
      <c r="I196" s="395"/>
      <c r="K196" s="1" t="str">
        <f>IFERROR(L196/D196,"")</f>
        <v/>
      </c>
      <c r="L196" s="696"/>
      <c r="M196" s="397">
        <f>SUM(E196:I196)</f>
        <v>0</v>
      </c>
      <c r="N196" s="397">
        <f>L196*M196</f>
        <v>0</v>
      </c>
      <c r="O196" s="397">
        <f>N196*$D$12</f>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625</v>
      </c>
      <c r="C197" s="400" t="s">
        <v>359</v>
      </c>
      <c r="D197" s="696"/>
      <c r="E197" s="395" t="str">
        <f>IFERROR(8*E$176*'Apoio - Notas Explicativas'!$D$6/$D197,"")</f>
        <v/>
      </c>
      <c r="F197" s="395" t="str">
        <f>IFERROR((8*F$176*'Apoio - Notas Explicativas'!$D$6/$D197)*($F$27/$E$27),"")</f>
        <v/>
      </c>
      <c r="G197" s="395"/>
      <c r="H197" s="395"/>
      <c r="I197" s="393"/>
      <c r="K197" s="1" t="str">
        <f>IFERROR(L197/D197,"")</f>
        <v/>
      </c>
      <c r="L197" s="696"/>
      <c r="M197" s="397">
        <f t="shared" ref="M197:M202" si="38">SUM(E197:I197)</f>
        <v>0</v>
      </c>
      <c r="N197" s="397">
        <f t="shared" ref="N197:N202" si="39">L197*M197</f>
        <v>0</v>
      </c>
      <c r="O197" s="397">
        <f t="shared" ref="O197:O202" si="40">N197*$D$12</f>
        <v>0</v>
      </c>
      <c r="Q197" s="407"/>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626</v>
      </c>
      <c r="C198" s="400" t="s">
        <v>360</v>
      </c>
      <c r="D198" s="696"/>
      <c r="E198" s="395" t="str">
        <f>IFERROR(8*E$176*'Apoio - Notas Explicativas'!$D$6/$D198,"")</f>
        <v/>
      </c>
      <c r="F198" s="395" t="str">
        <f>IFERROR((8*F$176*'Apoio - Notas Explicativas'!$D$6/$D198)*($F$27/$E$27),"")</f>
        <v/>
      </c>
      <c r="G198" s="395"/>
      <c r="H198" s="395"/>
      <c r="I198" s="393"/>
      <c r="K198" s="1" t="str">
        <f t="shared" ref="K198:K206" si="41">IFERROR(L198/D198,"")</f>
        <v/>
      </c>
      <c r="L198" s="696"/>
      <c r="M198" s="397">
        <f t="shared" si="38"/>
        <v>0</v>
      </c>
      <c r="N198" s="397">
        <f t="shared" si="39"/>
        <v>0</v>
      </c>
      <c r="O198" s="397">
        <f t="shared" si="40"/>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627</v>
      </c>
      <c r="C199" s="400" t="s">
        <v>361</v>
      </c>
      <c r="D199" s="696"/>
      <c r="E199" s="395" t="str">
        <f>IFERROR(8*E$176*'Apoio - Notas Explicativas'!$D$6/$D199,"")</f>
        <v/>
      </c>
      <c r="F199" s="395" t="str">
        <f>IFERROR((8*F$176*'Apoio - Notas Explicativas'!$D$6/$D199)*($F$27/$E$27),"")</f>
        <v/>
      </c>
      <c r="G199" s="395"/>
      <c r="H199" s="395"/>
      <c r="I199" s="393"/>
      <c r="K199" s="1" t="str">
        <f t="shared" si="41"/>
        <v/>
      </c>
      <c r="L199" s="696"/>
      <c r="M199" s="397">
        <f t="shared" si="38"/>
        <v>0</v>
      </c>
      <c r="N199" s="397">
        <f t="shared" si="39"/>
        <v>0</v>
      </c>
      <c r="O199" s="397">
        <f t="shared" si="40"/>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628</v>
      </c>
      <c r="C200" s="400" t="s">
        <v>356</v>
      </c>
      <c r="D200" s="696"/>
      <c r="E200" s="395" t="str">
        <f>IFERROR(8*E$176*'Apoio - Notas Explicativas'!$D$6/$D200,"")</f>
        <v/>
      </c>
      <c r="F200" s="395" t="str">
        <f>IFERROR((8*F$176*'Apoio - Notas Explicativas'!$D$6/$D200)*($F$27/$E$27),"")</f>
        <v/>
      </c>
      <c r="G200" s="395"/>
      <c r="H200" s="395"/>
      <c r="I200" s="393"/>
      <c r="K200" s="1" t="str">
        <f t="shared" si="41"/>
        <v/>
      </c>
      <c r="L200" s="696"/>
      <c r="M200" s="397">
        <f t="shared" si="38"/>
        <v>0</v>
      </c>
      <c r="N200" s="397">
        <f t="shared" si="39"/>
        <v>0</v>
      </c>
      <c r="O200" s="397">
        <f t="shared" si="40"/>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87"/>
      <c r="B201" s="410" t="s">
        <v>629</v>
      </c>
      <c r="C201" s="402" t="s">
        <v>389</v>
      </c>
      <c r="D201" s="696"/>
      <c r="E201" s="395" t="str">
        <f>IFERROR(8*E$176*'Apoio - Notas Explicativas'!$D$6/$D201,"")</f>
        <v/>
      </c>
      <c r="F201" s="395" t="str">
        <f>IFERROR((8*F$176*'Apoio - Notas Explicativas'!$D$6/$D201)*($F$27/$E$27),"")</f>
        <v/>
      </c>
      <c r="G201" s="395"/>
      <c r="H201" s="395"/>
      <c r="I201" s="393"/>
      <c r="K201" s="1" t="str">
        <f t="shared" si="41"/>
        <v/>
      </c>
      <c r="L201" s="696"/>
      <c r="M201" s="397">
        <f t="shared" si="38"/>
        <v>0</v>
      </c>
      <c r="N201" s="397">
        <f t="shared" si="39"/>
        <v>0</v>
      </c>
      <c r="O201" s="397">
        <f t="shared" si="40"/>
        <v>0</v>
      </c>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0" t="s">
        <v>630</v>
      </c>
      <c r="C202" s="402" t="s">
        <v>390</v>
      </c>
      <c r="D202" s="696"/>
      <c r="E202" s="395" t="str">
        <f>IFERROR(8*E$176*'Apoio - Notas Explicativas'!$D$6/$D202,"")</f>
        <v/>
      </c>
      <c r="F202" s="395" t="str">
        <f>IFERROR((8*F$176*'Apoio - Notas Explicativas'!$D$6/$D202)*($F$27/$E$27),"")</f>
        <v/>
      </c>
      <c r="G202" s="395"/>
      <c r="H202" s="395"/>
      <c r="I202" s="393"/>
      <c r="K202" s="1" t="str">
        <f t="shared" si="41"/>
        <v/>
      </c>
      <c r="L202" s="696"/>
      <c r="M202" s="397">
        <f t="shared" si="38"/>
        <v>0</v>
      </c>
      <c r="N202" s="397">
        <f t="shared" si="39"/>
        <v>0</v>
      </c>
      <c r="O202" s="397">
        <f t="shared" si="40"/>
        <v>0</v>
      </c>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ht="3.75" customHeight="1">
      <c r="A203" s="287"/>
      <c r="B203" s="411"/>
      <c r="C203" s="401"/>
      <c r="D203" s="399"/>
      <c r="E203" s="395" t="str">
        <f t="shared" ref="E203" si="42">IFERROR(ROUND(E$179/$D203,2),"")</f>
        <v/>
      </c>
      <c r="F203" s="288"/>
      <c r="G203" s="288"/>
      <c r="H203" s="288"/>
      <c r="I203" s="288"/>
      <c r="K203" s="1" t="str">
        <f t="shared" si="41"/>
        <v/>
      </c>
      <c r="L203" s="408"/>
      <c r="M203" s="398"/>
      <c r="N203" s="398"/>
      <c r="O203" s="398"/>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2"/>
      <c r="C204" s="172" t="s">
        <v>631</v>
      </c>
      <c r="D204" s="396"/>
      <c r="E204" s="396"/>
      <c r="F204" s="396"/>
      <c r="G204" s="396"/>
      <c r="H204" s="396"/>
      <c r="I204" s="396"/>
      <c r="K204" s="1"/>
      <c r="L204" s="396"/>
      <c r="M204" s="396"/>
      <c r="N204" s="396"/>
      <c r="O204" s="396"/>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632</v>
      </c>
      <c r="C205" s="400" t="s">
        <v>362</v>
      </c>
      <c r="D205" s="696"/>
      <c r="E205" s="395" t="str">
        <f>IFERROR(8*E$176*'Apoio - Notas Explicativas'!$D$6/$D205,"")</f>
        <v/>
      </c>
      <c r="F205" s="395" t="str">
        <f>IFERROR((8*F$176*'Apoio - Notas Explicativas'!$D$6/$D205)*($F$27/$E$27),"")</f>
        <v/>
      </c>
      <c r="G205" s="395"/>
      <c r="H205" s="395"/>
      <c r="I205" s="393"/>
      <c r="K205" s="1" t="str">
        <f t="shared" si="41"/>
        <v/>
      </c>
      <c r="L205" s="696"/>
      <c r="M205" s="397">
        <f t="shared" ref="M205:M210" si="43">SUM(E205:I205)</f>
        <v>0</v>
      </c>
      <c r="N205" s="397">
        <f t="shared" ref="N205:N210" si="44">L205*M205</f>
        <v>0</v>
      </c>
      <c r="O205" s="397">
        <f t="shared" ref="O205:O210" si="45">N205*$D$12</f>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633</v>
      </c>
      <c r="C206" s="400" t="s">
        <v>357</v>
      </c>
      <c r="D206" s="696"/>
      <c r="E206" s="395" t="str">
        <f>IFERROR(8*E$176*'Apoio - Notas Explicativas'!$D$6/$D206,"")</f>
        <v/>
      </c>
      <c r="F206" s="395" t="str">
        <f>IFERROR((8*F$176*'Apoio - Notas Explicativas'!$D$6/$D206)*($F$27/$E$27),"")</f>
        <v/>
      </c>
      <c r="G206" s="395"/>
      <c r="H206" s="395"/>
      <c r="I206" s="393"/>
      <c r="K206" s="1" t="str">
        <f t="shared" si="41"/>
        <v/>
      </c>
      <c r="L206" s="696"/>
      <c r="M206" s="397">
        <f t="shared" si="43"/>
        <v>0</v>
      </c>
      <c r="N206" s="397">
        <f t="shared" si="44"/>
        <v>0</v>
      </c>
      <c r="O206" s="397">
        <f t="shared" si="45"/>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634</v>
      </c>
      <c r="C207" s="400" t="s">
        <v>617</v>
      </c>
      <c r="D207" s="696"/>
      <c r="E207" s="395" t="str">
        <f>IFERROR(8*E$176*'Apoio - Notas Explicativas'!$D$7/$D207,"")</f>
        <v/>
      </c>
      <c r="F207" s="395" t="str">
        <f>IFERROR((8*F$176*'Apoio - Notas Explicativas'!$D$7/$D207)*($F$27/$E$27),"")</f>
        <v/>
      </c>
      <c r="G207" s="395"/>
      <c r="H207" s="395"/>
      <c r="I207" s="395"/>
      <c r="K207" s="1" t="str">
        <f>IFERROR(('Apoio - Notas Explicativas'!$D$7/'Apoio - Notas Explicativas'!$D$6)*L207/D207,"")</f>
        <v/>
      </c>
      <c r="L207" s="696"/>
      <c r="M207" s="397">
        <f t="shared" si="43"/>
        <v>0</v>
      </c>
      <c r="N207" s="397">
        <f t="shared" si="44"/>
        <v>0</v>
      </c>
      <c r="O207" s="397">
        <f t="shared" si="45"/>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635</v>
      </c>
      <c r="C208" s="400" t="s">
        <v>618</v>
      </c>
      <c r="D208" s="696"/>
      <c r="E208" s="395" t="str">
        <f>IFERROR(8*E$176*'Apoio - Notas Explicativas'!$D$8/$D208,"")</f>
        <v/>
      </c>
      <c r="F208" s="395" t="str">
        <f>IFERROR((8*F$176*'Apoio - Notas Explicativas'!$D$7/2/$D208)*($F$27/$E$27),"")</f>
        <v/>
      </c>
      <c r="G208" s="395"/>
      <c r="H208" s="395"/>
      <c r="I208" s="395"/>
      <c r="K208" s="1" t="str">
        <f>IFERROR(('Apoio - Notas Explicativas'!$D$8/'Apoio - Notas Explicativas'!$D$6)*L208/D208,"")</f>
        <v/>
      </c>
      <c r="L208" s="696"/>
      <c r="M208" s="397">
        <f t="shared" si="43"/>
        <v>0</v>
      </c>
      <c r="N208" s="397">
        <f t="shared" si="44"/>
        <v>0</v>
      </c>
      <c r="O208" s="397">
        <f t="shared" si="45"/>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87"/>
      <c r="B209" s="410" t="s">
        <v>636</v>
      </c>
      <c r="C209" s="400" t="s">
        <v>619</v>
      </c>
      <c r="D209" s="696"/>
      <c r="E209" s="395" t="str">
        <f>IFERROR(8*E$176/$D209,"")</f>
        <v/>
      </c>
      <c r="F209" s="395" t="str">
        <f>IFERROR((8*F$176/$D209)*($F$27/$E$27),"")</f>
        <v/>
      </c>
      <c r="G209" s="395"/>
      <c r="H209" s="395"/>
      <c r="I209" s="395"/>
      <c r="K209" s="1" t="str">
        <f>IFERROR((1/'Apoio - Notas Explicativas'!$D$6)*L209/D209,"")</f>
        <v/>
      </c>
      <c r="L209" s="696"/>
      <c r="M209" s="397">
        <f t="shared" si="43"/>
        <v>0</v>
      </c>
      <c r="N209" s="397">
        <f t="shared" si="44"/>
        <v>0</v>
      </c>
      <c r="O209" s="397">
        <f t="shared" si="45"/>
        <v>0</v>
      </c>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0" t="s">
        <v>637</v>
      </c>
      <c r="C210" s="400" t="s">
        <v>366</v>
      </c>
      <c r="D210" s="696"/>
      <c r="E210" s="395" t="str">
        <f>IFERROR(8*E$176*'Apoio - Notas Explicativas'!$D$6/$D210,"")</f>
        <v/>
      </c>
      <c r="F210" s="395" t="str">
        <f>IFERROR((8*F$176*'Apoio - Notas Explicativas'!$D$6/$D210)*($F$27/$E$27),"")</f>
        <v/>
      </c>
      <c r="G210" s="395"/>
      <c r="H210" s="395"/>
      <c r="I210" s="393"/>
      <c r="K210" s="1" t="str">
        <f t="shared" ref="K210:K221" si="46">IFERROR(L210/D210,"")</f>
        <v/>
      </c>
      <c r="L210" s="696"/>
      <c r="M210" s="397">
        <f t="shared" si="43"/>
        <v>0</v>
      </c>
      <c r="N210" s="397">
        <f t="shared" si="44"/>
        <v>0</v>
      </c>
      <c r="O210" s="397">
        <f t="shared" si="45"/>
        <v>0</v>
      </c>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ht="3.75" customHeight="1">
      <c r="A211" s="287"/>
      <c r="B211" s="411"/>
      <c r="C211" s="401"/>
      <c r="D211" s="399"/>
      <c r="E211" s="288"/>
      <c r="F211" s="288"/>
      <c r="G211" s="288"/>
      <c r="H211" s="288"/>
      <c r="I211" s="288"/>
      <c r="K211" s="1" t="str">
        <f t="shared" si="46"/>
        <v/>
      </c>
      <c r="L211" s="408"/>
      <c r="M211" s="398"/>
      <c r="N211" s="398"/>
      <c r="O211" s="398"/>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2"/>
      <c r="C212" s="172" t="s">
        <v>638</v>
      </c>
      <c r="D212" s="396"/>
      <c r="E212" s="396"/>
      <c r="F212" s="396"/>
      <c r="G212" s="396"/>
      <c r="H212" s="396"/>
      <c r="I212" s="396"/>
      <c r="K212" s="1"/>
      <c r="L212" s="396"/>
      <c r="M212" s="396"/>
      <c r="N212" s="396"/>
      <c r="O212" s="396"/>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639</v>
      </c>
      <c r="C213" s="402" t="s">
        <v>620</v>
      </c>
      <c r="D213" s="696"/>
      <c r="E213" s="395"/>
      <c r="F213" s="395"/>
      <c r="G213" s="395" t="str">
        <f>IFERROR(8*G$176/3/$D213,"")</f>
        <v/>
      </c>
      <c r="H213" s="395" t="str">
        <f>IFERROR((8*H$176/3/$D213)*($H$27/$G$27),"")</f>
        <v/>
      </c>
      <c r="I213" s="393"/>
      <c r="K213" s="1" t="str">
        <f>IFERROR((1/'Apoio - Notas Explicativas'!$D$6)/3*L213/D213,"")</f>
        <v/>
      </c>
      <c r="L213" s="696"/>
      <c r="M213" s="397">
        <f>SUM(E213:I213)</f>
        <v>0</v>
      </c>
      <c r="N213" s="397">
        <f t="shared" ref="N213:N215" si="47">L213*M213</f>
        <v>0</v>
      </c>
      <c r="O213" s="397">
        <f t="shared" ref="O213:O215" si="48">N213*$D$12</f>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87"/>
      <c r="B214" s="410" t="s">
        <v>640</v>
      </c>
      <c r="C214" s="402" t="s">
        <v>621</v>
      </c>
      <c r="D214" s="696"/>
      <c r="E214" s="395" t="str">
        <f>IFERROR(8*E$176/3/$D214,"")</f>
        <v/>
      </c>
      <c r="F214" s="395" t="str">
        <f>IFERROR((8*F$176/3/$D214)*($F$27/$E$27),"")</f>
        <v/>
      </c>
      <c r="G214" s="395"/>
      <c r="H214" s="395"/>
      <c r="I214" s="393"/>
      <c r="K214" s="1" t="str">
        <f>IFERROR((1/'Apoio - Notas Explicativas'!$D$6)/3*L214/D214,"")</f>
        <v/>
      </c>
      <c r="L214" s="696"/>
      <c r="M214" s="397">
        <f>SUM(E214:I214)</f>
        <v>0</v>
      </c>
      <c r="N214" s="397">
        <f t="shared" si="47"/>
        <v>0</v>
      </c>
      <c r="O214" s="397">
        <f t="shared" si="48"/>
        <v>0</v>
      </c>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0" t="s">
        <v>641</v>
      </c>
      <c r="C215" s="402" t="s">
        <v>622</v>
      </c>
      <c r="D215" s="696"/>
      <c r="E215" s="395" t="str">
        <f>IFERROR(8*E$176*'Apoio - Notas Explicativas'!$D$7/2/$D215,"")</f>
        <v/>
      </c>
      <c r="F215" s="395" t="str">
        <f>IFERROR((8*F$176*'Apoio - Notas Explicativas'!$D$7/2/$D215)*($F$27/$E$27),"")</f>
        <v/>
      </c>
      <c r="G215" s="395"/>
      <c r="H215" s="395"/>
      <c r="I215" s="393"/>
      <c r="K215" s="1" t="str">
        <f>IFERROR(('Apoio - Notas Explicativas'!$D$8/'Apoio - Notas Explicativas'!$D$6)*L215/D215,"")</f>
        <v/>
      </c>
      <c r="L215" s="696"/>
      <c r="M215" s="397">
        <f>SUM(E215:I215)</f>
        <v>0</v>
      </c>
      <c r="N215" s="397">
        <f t="shared" si="47"/>
        <v>0</v>
      </c>
      <c r="O215" s="397">
        <f t="shared" si="48"/>
        <v>0</v>
      </c>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87"/>
      <c r="B216" s="411"/>
      <c r="C216" s="401"/>
      <c r="D216" s="399"/>
      <c r="E216" s="288"/>
      <c r="F216" s="288"/>
      <c r="G216" s="288"/>
      <c r="H216" s="288"/>
      <c r="I216" s="288"/>
      <c r="K216" s="1" t="str">
        <f t="shared" si="46"/>
        <v/>
      </c>
      <c r="L216" s="408"/>
      <c r="M216" s="398"/>
      <c r="N216" s="398"/>
      <c r="O216" s="398"/>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87"/>
      <c r="B217" s="412"/>
      <c r="C217" s="172" t="s">
        <v>642</v>
      </c>
      <c r="D217" s="396"/>
      <c r="E217" s="396"/>
      <c r="F217" s="396"/>
      <c r="G217" s="396"/>
      <c r="H217" s="396"/>
      <c r="I217" s="396"/>
      <c r="K217" s="1"/>
      <c r="L217" s="396"/>
      <c r="M217" s="396"/>
      <c r="N217" s="396"/>
      <c r="O217" s="396"/>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0" t="s">
        <v>643</v>
      </c>
      <c r="C218" s="400" t="s">
        <v>648</v>
      </c>
      <c r="D218" s="696"/>
      <c r="E218" s="395"/>
      <c r="F218" s="395"/>
      <c r="G218" s="395" t="str">
        <f>IFERROR(8*G$176/3/$D218,"")</f>
        <v/>
      </c>
      <c r="H218" s="395" t="str">
        <f>IFERROR((8*H$176/3/$D218)*($H$27/$G$27),"")</f>
        <v/>
      </c>
      <c r="I218" s="393"/>
      <c r="K218" s="1" t="str">
        <f>IFERROR((1/'Apoio - Notas Explicativas'!$D$6)/3*L218/D218,"")</f>
        <v/>
      </c>
      <c r="L218" s="696"/>
      <c r="M218" s="397">
        <f>SUM(E218:I218)</f>
        <v>0</v>
      </c>
      <c r="N218" s="397">
        <f t="shared" ref="N218" si="49">L218*M218</f>
        <v>0</v>
      </c>
      <c r="O218" s="397">
        <f>N218*$D$12</f>
        <v>0</v>
      </c>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ht="3.75" customHeight="1">
      <c r="A219" s="287"/>
      <c r="B219" s="411"/>
      <c r="C219" s="401"/>
      <c r="D219" s="399"/>
      <c r="E219" s="288"/>
      <c r="F219" s="288"/>
      <c r="G219" s="288"/>
      <c r="H219" s="288"/>
      <c r="I219" s="288"/>
      <c r="K219" s="1" t="str">
        <f t="shared" si="46"/>
        <v/>
      </c>
      <c r="L219" s="408"/>
      <c r="M219" s="397"/>
      <c r="N219" s="398"/>
      <c r="O219" s="398"/>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A220" s="287"/>
      <c r="B220" s="412"/>
      <c r="C220" s="172" t="s">
        <v>644</v>
      </c>
      <c r="D220" s="396"/>
      <c r="E220" s="396"/>
      <c r="F220" s="396"/>
      <c r="G220" s="396"/>
      <c r="H220" s="396"/>
      <c r="I220" s="396"/>
      <c r="K220" s="1"/>
      <c r="L220" s="396"/>
      <c r="M220" s="396"/>
      <c r="N220" s="396"/>
      <c r="O220" s="396"/>
      <c r="R220" s="407"/>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row>
    <row r="221" spans="1:53">
      <c r="A221" s="287"/>
      <c r="B221" s="410" t="s">
        <v>645</v>
      </c>
      <c r="C221" s="400" t="s">
        <v>372</v>
      </c>
      <c r="D221" s="696"/>
      <c r="E221" s="395" t="str">
        <f>IFERROR(8*E$176*'Apoio - Notas Explicativas'!$D$6/$D221,"")</f>
        <v/>
      </c>
      <c r="F221" s="395" t="str">
        <f>IFERROR((8*F$176*'Apoio - Notas Explicativas'!$D$6/$D221)*($F$27/$E$27),"")</f>
        <v/>
      </c>
      <c r="G221" s="395"/>
      <c r="H221" s="395"/>
      <c r="I221" s="393"/>
      <c r="K221" s="1" t="str">
        <f t="shared" si="46"/>
        <v/>
      </c>
      <c r="L221" s="696"/>
      <c r="M221" s="397">
        <f>SUM(E221:I221)</f>
        <v>0</v>
      </c>
      <c r="N221" s="397">
        <f t="shared" ref="N221" si="50">L221*M221</f>
        <v>0</v>
      </c>
      <c r="O221" s="397">
        <f>N221*$D$12</f>
        <v>0</v>
      </c>
      <c r="R221" s="407"/>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row>
    <row r="222" spans="1:53">
      <c r="K222" s="1" t="str">
        <f t="shared" ref="K222" si="51">IFERROR(8*L222/D222,"")</f>
        <v/>
      </c>
    </row>
    <row r="223" spans="1:53">
      <c r="K223" s="1"/>
    </row>
    <row r="224" spans="1:53">
      <c r="K224" s="1"/>
    </row>
  </sheetData>
  <sheetProtection algorithmName="SHA-512" hashValue="VSJzrN9jB1nooW1+WgwXGFp4xShAiP1YQ2V9u0Sdu7e7XLr5Z9g0k+xE/HNlkmtpkJcZmuxo7rvgz+UDBg/M0A==" saltValue="Q8ZPDiEHayy5zowp9gAkt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3"/>
    <mergeCell ref="B142:B145"/>
    <mergeCell ref="B165:B167"/>
    <mergeCell ref="B54:B58"/>
    <mergeCell ref="B78:B81"/>
    <mergeCell ref="B86:B91"/>
    <mergeCell ref="B92:B96"/>
    <mergeCell ref="B97:B100"/>
    <mergeCell ref="B103:B106"/>
  </mergeCells>
  <conditionalFormatting sqref="D5:D12 E34:I34 E37:I38 E41:I41 E44:I45 E59:I60 E87:I90 E93:I95 E98:I99 E104:I105 E143:I144 D196:D202 L196:L202 D205:D210 L205:L210 D213:D215 L213:L215 D218 L218 D221 L221">
    <cfRule type="expression" dxfId="18" priority="14">
      <formula>$H$5=1</formula>
    </cfRule>
  </conditionalFormatting>
  <conditionalFormatting sqref="D9:D10 D13:D15 E20:I25 E34:I34 E37:I38 E41:I41 E44:I45 E59:I60 D79:D80 E88:I90 E93:I95 E98:I99 E104:I105 D130:D138 E143:I144">
    <cfRule type="expression" dxfId="17" priority="15">
      <formula>$H$5=2</formula>
    </cfRule>
  </conditionalFormatting>
  <conditionalFormatting sqref="D15 E21:I21 E24:I25 E87:I87 E93:I93 E98:I98 E101:I102 E104:I104 E107:I107 E111:I111">
    <cfRule type="expression" dxfId="16" priority="11">
      <formula>$H$5=4</formula>
    </cfRule>
  </conditionalFormatting>
  <conditionalFormatting sqref="E166:H166">
    <cfRule type="expression" dxfId="15" priority="5">
      <formula>$H$5=1</formula>
    </cfRule>
  </conditionalFormatting>
  <conditionalFormatting sqref="E18:I27">
    <cfRule type="expression" dxfId="14" priority="4">
      <formula>$H$5=1</formula>
    </cfRule>
  </conditionalFormatting>
  <conditionalFormatting sqref="E51:I52">
    <cfRule type="expression" dxfId="13" priority="7">
      <formula>$H$5=1</formula>
    </cfRule>
    <cfRule type="expression" dxfId="12" priority="8">
      <formula>$H$5=2</formula>
    </cfRule>
  </conditionalFormatting>
  <conditionalFormatting sqref="E109:I109">
    <cfRule type="expression" dxfId="11" priority="3">
      <formula>$H$5=4</formula>
    </cfRule>
  </conditionalFormatting>
  <conditionalFormatting sqref="E166:I166">
    <cfRule type="expression" dxfId="10" priority="6">
      <formula>$H$5=2</formula>
    </cfRule>
  </conditionalFormatting>
  <conditionalFormatting sqref="I110">
    <cfRule type="expression" dxfId="9" priority="1">
      <formula>$H$5=1</formula>
    </cfRule>
    <cfRule type="expression" dxfId="8" priority="2">
      <formula>$H$5=2</formula>
    </cfRule>
  </conditionalFormatting>
  <dataValidations count="16">
    <dataValidation showInputMessage="1" sqref="D167 D142:D145"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3 D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3:H143" xr:uid="{57B2B8FA-3D26-477E-BA77-9BEA93DE41EF}">
      <formula1>"Indenização,Rendição"</formula1>
    </dataValidation>
    <dataValidation allowBlank="1" sqref="A19:XFD19" xr:uid="{572705F9-1553-405A-B259-9B147D514789}"/>
    <dataValidation type="list" allowBlank="1" sqref="D152" xr:uid="{0684F4A8-4B75-40E3-8225-66FC8F0FEA88}">
      <formula1>"Sim,Não"</formula1>
    </dataValidation>
  </dataValidations>
  <hyperlinks>
    <hyperlink ref="C151" location="'Mat Individual e Uniformes func'!A1" display="Material Individual e Uniformes" xr:uid="{00000000-0004-0000-0300-000000000000}"/>
    <hyperlink ref="C152"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abSelected="1" topLeftCell="A27" zoomScale="90" zoomScaleNormal="90" workbookViewId="0">
      <selection activeCell="P61" sqref="P61"/>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48" t="s">
        <v>76</v>
      </c>
      <c r="C2" s="849"/>
      <c r="D2" s="849"/>
      <c r="E2" s="849"/>
      <c r="F2" s="849"/>
      <c r="G2" s="849"/>
      <c r="H2" s="849"/>
      <c r="I2" s="849"/>
      <c r="J2" s="849"/>
      <c r="K2" s="850"/>
    </row>
    <row r="3" spans="2:12" ht="21">
      <c r="B3" s="857" t="str">
        <f>IF(IFERROR(SUM(Produtividade!L196:L221)&gt;0,FALSE()),Produtividade!D5,
IF(IFERROR(Veículos!$E$3&lt;&gt;"",FALSE()),'Mão de Obra'!D5,'Mão de Obra'!D5))</f>
        <v>SECRETARIA MUNICIPAL DA INCLUSÃO E DESENVOLVIMENTO HUMANO (SMIDH)</v>
      </c>
      <c r="C3" s="858"/>
      <c r="D3" s="858"/>
      <c r="E3" s="858"/>
      <c r="F3" s="858"/>
      <c r="G3" s="858"/>
      <c r="H3" s="858"/>
      <c r="I3" s="858"/>
      <c r="J3" s="858"/>
      <c r="K3" s="859"/>
    </row>
    <row r="4" spans="2:12" ht="21">
      <c r="B4" s="851" t="s">
        <v>432</v>
      </c>
      <c r="C4" s="852"/>
      <c r="D4" s="852"/>
      <c r="E4" s="852"/>
      <c r="F4" s="852"/>
      <c r="G4" s="852"/>
      <c r="H4" s="852"/>
      <c r="I4" s="852"/>
      <c r="J4" s="852"/>
      <c r="K4" s="853"/>
    </row>
    <row r="5" spans="2:12" ht="6.75" customHeight="1">
      <c r="B5" s="25"/>
      <c r="C5" s="25"/>
      <c r="D5" s="25"/>
      <c r="E5" s="25"/>
      <c r="F5" s="25"/>
      <c r="G5" s="25"/>
      <c r="H5" s="25"/>
      <c r="I5" s="25"/>
      <c r="J5" s="25"/>
      <c r="K5" s="25"/>
      <c r="L5" s="487"/>
    </row>
    <row r="6" spans="2:12" ht="15" customHeight="1">
      <c r="B6" s="343" t="s">
        <v>74</v>
      </c>
      <c r="C6" s="863">
        <f>IF(IFERROR(SUM(Produtividade!L196:L221)&gt;0,FALSE()),Produtividade!D6,
IF(IFERROR(Veículos!$E$3&lt;&gt;"",FALSE()),'Mão de Obra'!D6,
'Mão de Obra'!D6))</f>
        <v>0</v>
      </c>
      <c r="D6" s="863"/>
      <c r="E6" s="863"/>
      <c r="F6" s="863"/>
      <c r="G6" s="867" t="s">
        <v>70</v>
      </c>
      <c r="H6" s="867"/>
      <c r="I6" s="867"/>
      <c r="J6" s="865">
        <f>IF(IFERROR(SUM(Produtividade!L196:L221)&gt;0,FALSE()),Produtividade!D12,
IF(IFERROR(Veículos!$E$3&lt;&gt;"",FALSE()),'Mão de Obra'!D12,
'Mão de Obra'!D12))</f>
        <v>12</v>
      </c>
      <c r="K6" s="866"/>
    </row>
    <row r="7" spans="2:12" ht="15" customHeight="1">
      <c r="B7" s="349" t="s">
        <v>249</v>
      </c>
      <c r="C7" s="864" t="str">
        <f>IF(IFERROR(SUM(Produtividade!L196:L221)&gt;0,FALSE()),Produtividade!D7,
IF(IFERROR(Veículos!$E$3&lt;&gt;"",FALSE()),'Mão de Obra'!D7,
'Mão de Obra'!D7))</f>
        <v>26.0.000005988-8</v>
      </c>
      <c r="D7" s="864"/>
      <c r="E7" s="864"/>
      <c r="F7" s="864"/>
      <c r="G7" s="847" t="s">
        <v>110</v>
      </c>
      <c r="H7" s="847"/>
      <c r="I7" s="847"/>
      <c r="J7" s="855" t="str">
        <f>IF(IFERROR(SUM(Produtividade!L196:L221)&gt;0,FALSE()),Produtividade!D11,
IF(IFERROR(Veículos!$E$3&lt;&gt;"",FALSE()),'Mão de Obra'!D11,
'Mão de Obra'!D11))</f>
        <v>Mês</v>
      </c>
      <c r="K7" s="856"/>
    </row>
    <row r="8" spans="2:12" ht="32.25" customHeight="1">
      <c r="B8" s="860" t="str">
        <f>CONCATENATE("OBJETO: ",
IF(IFERROR(SUM(Produtividade!L196:L221)&gt;0,FALSE()),Produtividade!D8,
IF(IFERROR(Veículos!$E$3&lt;&gt;"",FALSE()),'Mão de Obra'!D8,
'Mão de Obra'!D8)))</f>
        <v>OBJETO:  Contratação de empresa para a prestação de serviços de locação de 01 (um) veículo, com motorista, para atender as demandas da Secretaria Municipal da Inclusão e Desenvolvimento Humano.</v>
      </c>
      <c r="C8" s="861"/>
      <c r="D8" s="861"/>
      <c r="E8" s="861"/>
      <c r="F8" s="861"/>
      <c r="G8" s="861"/>
      <c r="H8" s="861"/>
      <c r="I8" s="861"/>
      <c r="J8" s="861"/>
      <c r="K8" s="862"/>
    </row>
    <row r="9" spans="2:12" ht="15" customHeight="1">
      <c r="B9" s="349" t="s">
        <v>64</v>
      </c>
      <c r="C9" s="854"/>
      <c r="D9" s="854"/>
      <c r="E9" s="854"/>
      <c r="F9" s="854"/>
      <c r="G9" s="847" t="s">
        <v>318</v>
      </c>
      <c r="H9" s="847"/>
      <c r="I9" s="348"/>
      <c r="J9" s="855" t="str">
        <f>IF(IFERROR(SUM(Produtividade!L196:L221)&gt;0,FALSE()),Produtividade!D13,
IF(IFERROR(Veículos!$E$3&lt;&gt;"",FALSE()),'Mão de Obra'!D13,
'Mão de Obra'!D13))</f>
        <v>Lucro Presumido</v>
      </c>
      <c r="K9" s="856"/>
    </row>
    <row r="10" spans="2:12">
      <c r="B10" s="346" t="s">
        <v>72</v>
      </c>
      <c r="C10" s="881"/>
      <c r="D10" s="881"/>
      <c r="E10" s="881"/>
      <c r="F10" s="881"/>
      <c r="G10" s="876" t="s">
        <v>319</v>
      </c>
      <c r="H10" s="876"/>
      <c r="I10" s="347"/>
      <c r="J10" s="872">
        <f>IF(IFERROR(SUM(Produtividade!L196:L221)&gt;0,FALSE()),Produtividade!D14,
IF(IFERROR(Veículos!$E$3&lt;&gt;"",FALSE()),'Mão de Obra'!D14,
'Mão de Obra'!D14))</f>
        <v>0</v>
      </c>
      <c r="K10" s="873"/>
    </row>
    <row r="11" spans="2:12" ht="15" customHeight="1">
      <c r="B11" s="346" t="s">
        <v>65</v>
      </c>
      <c r="C11" s="854"/>
      <c r="D11" s="854"/>
      <c r="E11" s="854"/>
      <c r="F11" s="854"/>
      <c r="G11" s="876" t="s">
        <v>75</v>
      </c>
      <c r="H11" s="876"/>
      <c r="I11" s="882" t="s">
        <v>458</v>
      </c>
      <c r="J11" s="882"/>
      <c r="K11" s="883"/>
    </row>
    <row r="12" spans="2:12">
      <c r="B12" s="345" t="s">
        <v>66</v>
      </c>
      <c r="C12" s="880"/>
      <c r="D12" s="880"/>
      <c r="E12" s="880"/>
      <c r="F12" s="880"/>
      <c r="G12" s="876" t="s">
        <v>321</v>
      </c>
      <c r="H12" s="876"/>
      <c r="I12" s="878"/>
      <c r="J12" s="878"/>
      <c r="K12" s="879"/>
    </row>
    <row r="13" spans="2:12">
      <c r="B13" s="344" t="s">
        <v>73</v>
      </c>
      <c r="C13" s="871"/>
      <c r="D13" s="871"/>
      <c r="E13" s="871"/>
      <c r="F13" s="871"/>
      <c r="G13" s="877" t="s">
        <v>67</v>
      </c>
      <c r="H13" s="877"/>
      <c r="I13" s="874"/>
      <c r="J13" s="874"/>
      <c r="K13" s="875"/>
    </row>
    <row r="14" spans="2:12" ht="6.75" customHeight="1">
      <c r="B14" s="26"/>
      <c r="C14" s="26"/>
      <c r="D14" s="26"/>
      <c r="E14" s="26"/>
      <c r="F14" s="26"/>
      <c r="G14" s="26"/>
      <c r="H14" s="26"/>
      <c r="I14" s="26"/>
      <c r="J14" s="26"/>
    </row>
    <row r="15" spans="2:12">
      <c r="B15" s="462" t="s">
        <v>417</v>
      </c>
      <c r="C15" s="463"/>
      <c r="D15" s="463"/>
      <c r="E15" s="463"/>
      <c r="F15" s="463"/>
      <c r="G15" s="463"/>
      <c r="H15" s="463"/>
      <c r="I15" s="463"/>
      <c r="J15" s="463"/>
      <c r="K15" s="464"/>
    </row>
    <row r="16" spans="2:12" ht="30">
      <c r="B16" s="465" t="s">
        <v>491</v>
      </c>
      <c r="C16" s="466" t="s">
        <v>69</v>
      </c>
      <c r="D16" s="466" t="s">
        <v>68</v>
      </c>
      <c r="E16" s="466" t="s">
        <v>407</v>
      </c>
      <c r="F16" s="467" t="s">
        <v>408</v>
      </c>
      <c r="G16" s="467" t="s">
        <v>429</v>
      </c>
      <c r="H16" s="467" t="s">
        <v>430</v>
      </c>
      <c r="I16" s="467" t="s">
        <v>431</v>
      </c>
      <c r="J16" s="467" t="s">
        <v>443</v>
      </c>
      <c r="K16" s="468" t="s">
        <v>396</v>
      </c>
    </row>
    <row r="17" spans="2:14" ht="19.5" customHeight="1">
      <c r="B17" s="469" t="str">
        <f>IF(
INDEX('Mão de Obra'!$E$18:$X$18,1,ROW()-ROW($B$16))&lt;&gt;0,
INDEX('Mão de Obra'!$E$18:$X$18,1,ROW()-ROW($B$16)),
"OCULTAR ESTA LINHA"
)</f>
        <v>Motorista Veículos Leves</v>
      </c>
      <c r="C17" s="470" t="str">
        <f>INDEX('Mão de Obra'!$E$17:$X$17,1,ROW()-ROW($C$16))</f>
        <v>Posto A</v>
      </c>
      <c r="D17" s="471" t="str">
        <f>INDEX('Mão de Obra'!$E$26:$X$26,1,ROW()-ROW($D$16))</f>
        <v>44h (5 dia/sem)</v>
      </c>
      <c r="E17" s="472">
        <f>INDEX('Mão de Obra'!$E$27:$X$27,1,ROW()-ROW($E$16))</f>
        <v>1</v>
      </c>
      <c r="F17" s="472">
        <f>INDEX('Mão de Obra'!$E$29:$X$29,1,ROW()-ROW($F$16))</f>
        <v>1</v>
      </c>
      <c r="G17" s="473">
        <f>INDEX('Mão de Obra'!$E$176:$X$176,1,ROW()-ROW($G$16))</f>
        <v>29.51</v>
      </c>
      <c r="H17" s="473">
        <f>INDEX('Mão de Obra'!$E$177:$X$177,1,ROW()-ROW($I$16))</f>
        <v>268.26</v>
      </c>
      <c r="I17" s="473">
        <f>INDEX('Mão de Obra'!$E$179:$X$179,1,ROW()-ROW($I$16))</f>
        <v>5901.64</v>
      </c>
      <c r="J17" s="473">
        <f>INDEX('Mão de Obra'!$E$185:$X$185,1,ROW()-ROW($I$16))</f>
        <v>5901.64</v>
      </c>
      <c r="K17" s="474">
        <f>INDEX('Mão de Obra'!$E$191:$X$191,1,ROW()-ROW($I$16))</f>
        <v>70819.679999999993</v>
      </c>
      <c r="M17" s="492"/>
    </row>
    <row r="18" spans="2:14" hidden="1">
      <c r="B18" s="469" t="str">
        <f>IF(
INDEX('Mão de Obra'!$E$18:$X$18,1,ROW()-ROW($B$16))&lt;&gt;0,
INDEX('Mão de Obra'!$E$18:$X$18,1,ROW()-ROW($B$16)),
"OCULTAR ESTA LINHA"
)</f>
        <v>OCULTAR ESTA LINHA</v>
      </c>
      <c r="C18" s="470" t="str">
        <f>INDEX('Mão de Obra'!$E$17:$X$17,1,ROW()-ROW($C$16))</f>
        <v>Posto B</v>
      </c>
      <c r="D18" s="471">
        <f>INDEX('Mão de Obra'!$E$26:$X$26,1,ROW()-ROW($D$16))</f>
        <v>0</v>
      </c>
      <c r="E18" s="472">
        <f>INDEX('Mão de Obra'!$E$27:$X$27,1,ROW()-ROW($E$16))</f>
        <v>0</v>
      </c>
      <c r="F18" s="472" t="str">
        <f>INDEX('Mão de Obra'!$E$29:$X$29,1,ROW()-ROW($F$16))</f>
        <v/>
      </c>
      <c r="G18" s="473" t="str">
        <f>INDEX('Mão de Obra'!$E$176:$X$176,1,ROW()-ROW($G$16))</f>
        <v/>
      </c>
      <c r="H18" s="473" t="str">
        <f>INDEX('Mão de Obra'!$E$177:$X$177,1,ROW()-ROW($I$16))</f>
        <v/>
      </c>
      <c r="I18" s="473" t="str">
        <f>INDEX('Mão de Obra'!$E$179:$X$179,1,ROW()-ROW($I$16))</f>
        <v/>
      </c>
      <c r="J18" s="473" t="str">
        <f>INDEX('Mão de Obra'!$E$185:$X$185,1,ROW()-ROW($I$16))</f>
        <v/>
      </c>
      <c r="K18" s="474" t="str">
        <f>INDEX('Mão de Obra'!$E$191:$X$191,1,ROW()-ROW($I$16))</f>
        <v/>
      </c>
      <c r="N18" s="491"/>
    </row>
    <row r="19" spans="2:14" hidden="1">
      <c r="B19" s="469" t="str">
        <f>IF(
INDEX('Mão de Obra'!$E$18:$X$18,1,ROW()-ROW($B$16))&lt;&gt;0,
INDEX('Mão de Obra'!$E$18:$X$18,1,ROW()-ROW($B$16)),
"OCULTAR ESTA LINHA"
)</f>
        <v>OCULTAR ESTA LINHA</v>
      </c>
      <c r="C19" s="470" t="str">
        <f>INDEX('Mão de Obra'!$E$17:$X$17,1,ROW()-ROW($C$16))</f>
        <v>Posto C</v>
      </c>
      <c r="D19" s="471">
        <f>INDEX('Mão de Obra'!$E$26:$X$26,1,ROW()-ROW($D$16))</f>
        <v>0</v>
      </c>
      <c r="E19" s="472">
        <f>INDEX('Mão de Obra'!$E$27:$X$27,1,ROW()-ROW($E$16))</f>
        <v>0</v>
      </c>
      <c r="F19" s="472" t="str">
        <f>INDEX('Mão de Obra'!$E$29:$X$29,1,ROW()-ROW($F$16))</f>
        <v/>
      </c>
      <c r="G19" s="473" t="str">
        <f>INDEX('Mão de Obra'!$E$176:$X$176,1,ROW()-ROW($G$16))</f>
        <v/>
      </c>
      <c r="H19" s="473" t="str">
        <f>INDEX('Mão de Obra'!$E$177:$X$177,1,ROW()-ROW($I$16))</f>
        <v/>
      </c>
      <c r="I19" s="473" t="str">
        <f>INDEX('Mão de Obra'!$E$179:$X$179,1,ROW()-ROW($I$16))</f>
        <v/>
      </c>
      <c r="J19" s="473" t="str">
        <f>INDEX('Mão de Obra'!$E$185:$X$185,1,ROW()-ROW($I$16))</f>
        <v/>
      </c>
      <c r="K19" s="474" t="str">
        <f>INDEX('Mão de Obra'!$E$191:$X$191,1,ROW()-ROW($I$16))</f>
        <v/>
      </c>
      <c r="M19" s="492"/>
    </row>
    <row r="20" spans="2:14" hidden="1">
      <c r="B20" s="469" t="str">
        <f>IF(
INDEX('Mão de Obra'!$E$18:$X$18,1,ROW()-ROW($B$16))&lt;&gt;0,
INDEX('Mão de Obra'!$E$18:$X$18,1,ROW()-ROW($B$16)),
"OCULTAR ESTA LINHA"
)</f>
        <v>OCULTAR ESTA LINHA</v>
      </c>
      <c r="C20" s="470" t="str">
        <f>INDEX('Mão de Obra'!$E$17:$X$17,1,ROW()-ROW($C$16))</f>
        <v>Posto D</v>
      </c>
      <c r="D20" s="471">
        <f>INDEX('Mão de Obra'!$E$26:$X$26,1,ROW()-ROW($D$16))</f>
        <v>0</v>
      </c>
      <c r="E20" s="472">
        <f>INDEX('Mão de Obra'!$E$27:$X$27,1,ROW()-ROW($E$16))</f>
        <v>0</v>
      </c>
      <c r="F20" s="472" t="str">
        <f>INDEX('Mão de Obra'!$E$29:$X$29,1,ROW()-ROW($F$16))</f>
        <v/>
      </c>
      <c r="G20" s="473" t="str">
        <f>INDEX('Mão de Obra'!$E$176:$X$176,1,ROW()-ROW($G$16))</f>
        <v/>
      </c>
      <c r="H20" s="473" t="str">
        <f>INDEX('Mão de Obra'!$E$177:$X$177,1,ROW()-ROW($I$16))</f>
        <v/>
      </c>
      <c r="I20" s="473" t="str">
        <f>INDEX('Mão de Obra'!$E$179:$X$179,1,ROW()-ROW($I$16))</f>
        <v/>
      </c>
      <c r="J20" s="473" t="str">
        <f>INDEX('Mão de Obra'!$E$185:$X$185,1,ROW()-ROW($I$16))</f>
        <v/>
      </c>
      <c r="K20" s="474" t="str">
        <f>INDEX('Mão de Obra'!$E$191:$X$191,1,ROW()-ROW($I$16))</f>
        <v/>
      </c>
      <c r="M20" s="493"/>
    </row>
    <row r="21" spans="2:14" hidden="1">
      <c r="B21" s="469" t="str">
        <f>IF(
INDEX('Mão de Obra'!$E$18:$X$18,1,ROW()-ROW($B$16))&lt;&gt;0,
INDEX('Mão de Obra'!$E$18:$X$18,1,ROW()-ROW($B$16)),
"OCULTAR ESTA LINHA"
)</f>
        <v>OCULTAR ESTA LINHA</v>
      </c>
      <c r="C21" s="470" t="str">
        <f>INDEX('Mão de Obra'!$E$17:$X$17,1,ROW()-ROW($C$16))</f>
        <v>Posto E</v>
      </c>
      <c r="D21" s="471">
        <f>INDEX('Mão de Obra'!$E$26:$X$26,1,ROW()-ROW($D$16))</f>
        <v>0</v>
      </c>
      <c r="E21" s="472">
        <f>INDEX('Mão de Obra'!$E$27:$X$27,1,ROW()-ROW($E$16))</f>
        <v>0</v>
      </c>
      <c r="F21" s="472" t="str">
        <f>INDEX('Mão de Obra'!$E$29:$X$29,1,ROW()-ROW($F$16))</f>
        <v/>
      </c>
      <c r="G21" s="473" t="str">
        <f>INDEX('Mão de Obra'!$E$176:$X$176,1,ROW()-ROW($G$16))</f>
        <v/>
      </c>
      <c r="H21" s="473" t="str">
        <f>INDEX('Mão de Obra'!$E$177:$X$177,1,ROW()-ROW($I$16))</f>
        <v/>
      </c>
      <c r="I21" s="473" t="str">
        <f>INDEX('Mão de Obra'!$E$179:$X$179,1,ROW()-ROW($I$16))</f>
        <v/>
      </c>
      <c r="J21" s="473" t="str">
        <f>INDEX('Mão de Obra'!$E$185:$X$185,1,ROW()-ROW($I$16))</f>
        <v/>
      </c>
      <c r="K21" s="474" t="str">
        <f>INDEX('Mão de Obra'!$E$191:$X$191,1,ROW()-ROW($I$16))</f>
        <v/>
      </c>
    </row>
    <row r="22" spans="2:14" hidden="1">
      <c r="B22" s="469" t="str">
        <f>IF(
INDEX('Mão de Obra'!$E$18:$X$18,1,ROW()-ROW($B$16))&lt;&gt;0,
INDEX('Mão de Obra'!$E$18:$X$18,1,ROW()-ROW($B$16)),
"OCULTAR ESTA LINHA"
)</f>
        <v>OCULTAR ESTA LINHA</v>
      </c>
      <c r="C22" s="470" t="str">
        <f>INDEX('Mão de Obra'!$E$17:$X$17,1,ROW()-ROW($C$16))</f>
        <v>Posto F</v>
      </c>
      <c r="D22" s="471">
        <f>INDEX('Mão de Obra'!$E$26:$X$26,1,ROW()-ROW($D$16))</f>
        <v>0</v>
      </c>
      <c r="E22" s="472">
        <f>INDEX('Mão de Obra'!$E$27:$X$27,1,ROW()-ROW($E$16))</f>
        <v>0</v>
      </c>
      <c r="F22" s="472" t="str">
        <f>INDEX('Mão de Obra'!$E$29:$X$29,1,ROW()-ROW($F$16))</f>
        <v/>
      </c>
      <c r="G22" s="473" t="str">
        <f>INDEX('Mão de Obra'!$E$176:$X$176,1,ROW()-ROW($G$16))</f>
        <v/>
      </c>
      <c r="H22" s="473" t="str">
        <f>INDEX('Mão de Obra'!$E$177:$X$177,1,ROW()-ROW($I$16))</f>
        <v/>
      </c>
      <c r="I22" s="473" t="str">
        <f>INDEX('Mão de Obra'!$E$179:$X$179,1,ROW()-ROW($I$16))</f>
        <v/>
      </c>
      <c r="J22" s="473" t="str">
        <f>INDEX('Mão de Obra'!$E$185:$X$185,1,ROW()-ROW($I$16))</f>
        <v/>
      </c>
      <c r="K22" s="474" t="str">
        <f>INDEX('Mão de Obra'!$E$191:$X$191,1,ROW()-ROW($I$16))</f>
        <v/>
      </c>
    </row>
    <row r="23" spans="2:14" hidden="1">
      <c r="B23" s="469" t="str">
        <f>IF(
INDEX('Mão de Obra'!$E$18:$X$18,1,ROW()-ROW($B$16))&lt;&gt;0,
INDEX('Mão de Obra'!$E$18:$X$18,1,ROW()-ROW($B$16)),
"OCULTAR ESTA LINHA"
)</f>
        <v>OCULTAR ESTA LINHA</v>
      </c>
      <c r="C23" s="470" t="str">
        <f>INDEX('Mão de Obra'!$E$17:$X$17,1,ROW()-ROW($C$16))</f>
        <v>Posto G</v>
      </c>
      <c r="D23" s="471">
        <f>INDEX('Mão de Obra'!$E$26:$X$26,1,ROW()-ROW($D$16))</f>
        <v>0</v>
      </c>
      <c r="E23" s="472">
        <f>INDEX('Mão de Obra'!$E$27:$X$27,1,ROW()-ROW($E$16))</f>
        <v>0</v>
      </c>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hidden="1">
      <c r="B24" s="469" t="str">
        <f>IF(
INDEX('Mão de Obra'!$E$18:$X$18,1,ROW()-ROW($B$16))&lt;&gt;0,
INDEX('Mão de Obra'!$E$18:$X$18,1,ROW()-ROW($B$16)),
"OCULTAR ESTA LINHA"
)</f>
        <v>OCULTAR ESTA LINHA</v>
      </c>
      <c r="C24" s="470" t="str">
        <f>INDEX('Mão de Obra'!$E$17:$X$17,1,ROW()-ROW($C$16))</f>
        <v>Posto H</v>
      </c>
      <c r="D24" s="471">
        <f>INDEX('Mão de Obra'!$E$26:$X$26,1,ROW()-ROW($D$16))</f>
        <v>0</v>
      </c>
      <c r="E24" s="472">
        <f>INDEX('Mão de Obra'!$E$27:$X$27,1,ROW()-ROW($E$16))</f>
        <v>0</v>
      </c>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hidden="1">
      <c r="B25" s="469" t="str">
        <f>IF(
INDEX('Mão de Obra'!$E$18:$X$18,1,ROW()-ROW($B$16))&lt;&gt;0,
INDEX('Mão de Obra'!$E$18:$X$18,1,ROW()-ROW($B$16)),
"OCULTAR ESTA LINHA"
)</f>
        <v>OCULTAR ESTA LINHA</v>
      </c>
      <c r="C25" s="470" t="str">
        <f>INDEX('Mão de Obra'!$E$17:$X$17,1,ROW()-ROW($C$16))</f>
        <v>Posto I</v>
      </c>
      <c r="D25" s="471">
        <f>INDEX('Mão de Obra'!$E$26:$X$26,1,ROW()-ROW($D$16))</f>
        <v>0</v>
      </c>
      <c r="E25" s="472">
        <f>INDEX('Mão de Obra'!$E$27:$X$27,1,ROW()-ROW($E$16))</f>
        <v>0</v>
      </c>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hidden="1">
      <c r="B26" s="469" t="str">
        <f>IF(
INDEX('Mão de Obra'!$E$18:$X$18,1,ROW()-ROW($B$16))&lt;&gt;0,
INDEX('Mão de Obra'!$E$18:$X$18,1,ROW()-ROW($B$16)),
"OCULTAR ESTA LINHA"
)</f>
        <v>OCULTAR ESTA LINHA</v>
      </c>
      <c r="C26" s="470" t="str">
        <f>INDEX('Mão de Obra'!$E$17:$X$17,1,ROW()-ROW($C$16))</f>
        <v>Posto J</v>
      </c>
      <c r="D26" s="471">
        <f>INDEX('Mão de Obra'!$E$26:$X$26,1,ROW()-ROW($D$16))</f>
        <v>0</v>
      </c>
      <c r="E26" s="472">
        <f>INDEX('Mão de Obra'!$E$27:$X$27,1,ROW()-ROW($E$16))</f>
        <v>0</v>
      </c>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1</v>
      </c>
      <c r="F27" s="475">
        <f>SUM(F17:F26)</f>
        <v>1</v>
      </c>
      <c r="G27" s="476"/>
      <c r="H27" s="476"/>
      <c r="I27" s="476"/>
      <c r="J27" s="476">
        <f>SUM(J17:J26)</f>
        <v>5901.64</v>
      </c>
      <c r="K27" s="761">
        <f>SUM(K17:K26)</f>
        <v>70819.679999999993</v>
      </c>
      <c r="M27" s="647"/>
    </row>
    <row r="28" spans="2:14" ht="6.75" customHeight="1">
      <c r="B28" s="477"/>
      <c r="C28" s="477"/>
      <c r="D28" s="477"/>
      <c r="E28" s="478"/>
      <c r="F28" s="478"/>
      <c r="G28" s="645"/>
      <c r="H28" s="645"/>
      <c r="I28" s="645"/>
      <c r="J28" s="645"/>
      <c r="K28" s="645"/>
    </row>
    <row r="29" spans="2:14">
      <c r="B29" s="462" t="s">
        <v>487</v>
      </c>
      <c r="C29" s="463"/>
      <c r="D29" s="463"/>
      <c r="E29" s="463"/>
      <c r="F29" s="463"/>
      <c r="G29" s="463"/>
      <c r="H29" s="463"/>
      <c r="I29" s="463"/>
      <c r="J29" s="463"/>
      <c r="K29" s="464"/>
    </row>
    <row r="30" spans="2:14">
      <c r="B30" s="465" t="s">
        <v>483</v>
      </c>
      <c r="C30" s="466"/>
      <c r="D30" s="466"/>
      <c r="E30" s="466"/>
      <c r="F30" s="466"/>
      <c r="G30" s="467"/>
      <c r="H30" s="467"/>
      <c r="I30" s="467"/>
      <c r="J30" s="467" t="s">
        <v>443</v>
      </c>
      <c r="K30" s="468" t="s">
        <v>396</v>
      </c>
    </row>
    <row r="31" spans="2:14">
      <c r="B31" s="646" t="s">
        <v>483</v>
      </c>
      <c r="C31" s="470"/>
      <c r="D31" s="472"/>
      <c r="E31" s="480"/>
      <c r="F31" s="481"/>
      <c r="G31" s="473"/>
      <c r="H31" s="473"/>
      <c r="I31" s="473"/>
      <c r="J31" s="775">
        <f>IFERROR(IF(OR('Mão de Obra'!$D$152="Não",'Mão de Obra'!$D$152=""),
'Mat Coletivo e Equipamentos'!J4,""),0)</f>
        <v>1.97</v>
      </c>
      <c r="K31" s="776">
        <f>IFERROR(J31*J6,0)</f>
        <v>23.64</v>
      </c>
      <c r="M31" s="647"/>
    </row>
    <row r="32" spans="2:14">
      <c r="B32" s="462"/>
      <c r="C32" s="463"/>
      <c r="D32" s="463"/>
      <c r="E32" s="463"/>
      <c r="F32" s="475"/>
      <c r="G32" s="483"/>
      <c r="H32" s="483"/>
      <c r="I32" s="483"/>
      <c r="J32" s="777">
        <f>SUM(J31)</f>
        <v>1.97</v>
      </c>
      <c r="K32" s="778">
        <f>SUM(K31)</f>
        <v>23.64</v>
      </c>
    </row>
    <row r="33" spans="2:14" ht="6.75" customHeight="1">
      <c r="B33" s="477"/>
      <c r="C33" s="477"/>
      <c r="D33" s="477"/>
      <c r="E33" s="477"/>
      <c r="F33" s="478"/>
      <c r="G33" s="479"/>
      <c r="H33" s="479"/>
      <c r="I33" s="479"/>
      <c r="J33" s="479"/>
      <c r="K33" s="479"/>
    </row>
    <row r="34" spans="2:14">
      <c r="B34" s="462" t="s">
        <v>419</v>
      </c>
      <c r="C34" s="463"/>
      <c r="D34" s="463"/>
      <c r="E34" s="463"/>
      <c r="F34" s="463"/>
      <c r="G34" s="463"/>
      <c r="H34" s="463"/>
      <c r="I34" s="463"/>
      <c r="J34" s="463"/>
      <c r="K34" s="464"/>
    </row>
    <row r="35" spans="2:14" ht="15" customHeight="1">
      <c r="B35" s="465" t="s">
        <v>413</v>
      </c>
      <c r="C35" s="466"/>
      <c r="D35" s="466" t="s">
        <v>415</v>
      </c>
      <c r="E35" s="466" t="s">
        <v>451</v>
      </c>
      <c r="F35" s="466" t="s">
        <v>414</v>
      </c>
      <c r="G35" s="467" t="s">
        <v>429</v>
      </c>
      <c r="H35" s="467" t="s">
        <v>447</v>
      </c>
      <c r="I35" s="467" t="s">
        <v>431</v>
      </c>
      <c r="J35" s="467" t="s">
        <v>443</v>
      </c>
      <c r="K35" s="468" t="s">
        <v>396</v>
      </c>
    </row>
    <row r="36" spans="2:14" ht="30">
      <c r="B36" s="469" t="str">
        <f>IF(
INDEX(Veículos!$E$3:$AR$3,1,ROW()-ROW(B$35))&lt;&gt;"",
INDEX(Veículos!$E$3:$AR$3,1,ROW()-ROW(B$35)),
"OCULTAR ESTA LINHA")</f>
        <v>AUTOMÓVEL DE SERVIÇO - 6 PASSAGEIROS</v>
      </c>
      <c r="C36" s="470"/>
      <c r="D36" s="472">
        <f>INDEX(Veículos!$E$4:$CS$4,1,ROW()-ROW(D$35))</f>
        <v>1</v>
      </c>
      <c r="E36" s="480">
        <f>INDEX(Veículos!$E$88:$CS$88,1,ROW()-ROW(E$35))</f>
        <v>200</v>
      </c>
      <c r="F36" s="481">
        <f>INDEX(Veículos!$E$5:$AR$5,1,ROW()-ROW(F$35))</f>
        <v>1000</v>
      </c>
      <c r="G36" s="473">
        <f>INDEX(Veículos!$E$89:$CS$89,1,ROW()-ROW(G$35))</f>
        <v>11.7491</v>
      </c>
      <c r="H36" s="473">
        <f>INDEX(Veículos!$E$86:$CS$86,1,ROW()-ROW(H$35))</f>
        <v>1.06321</v>
      </c>
      <c r="I36" s="473">
        <f>INDEX(Veículos!$E$94:$CS$94,1,ROW()-ROW(I$35))</f>
        <v>3413.03</v>
      </c>
      <c r="J36" s="482">
        <f>INDEX(Veículos!$E$99:$CS$99,1,ROW()-ROW(J$35))</f>
        <v>3413.03</v>
      </c>
      <c r="K36" s="474">
        <f>INDEX(Veículos!$E$100:$CS$100,1,ROW()-ROW(K$35))</f>
        <v>40956.36</v>
      </c>
    </row>
    <row r="37" spans="2:14" hidden="1">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hidden="1">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hidden="1">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hidden="1">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c r="B41" s="462"/>
      <c r="C41" s="463"/>
      <c r="D41" s="463"/>
      <c r="E41" s="463"/>
      <c r="F41" s="475"/>
      <c r="G41" s="483"/>
      <c r="H41" s="483"/>
      <c r="I41" s="483"/>
      <c r="J41" s="483">
        <f>SUM(J36:J40)</f>
        <v>3413.03</v>
      </c>
      <c r="K41" s="484">
        <f>SUM(K36:K40)</f>
        <v>40956.36</v>
      </c>
    </row>
    <row r="42" spans="2:14" ht="6.75" customHeight="1">
      <c r="B42" s="477"/>
      <c r="C42" s="477"/>
      <c r="D42" s="477"/>
      <c r="E42" s="477"/>
      <c r="F42" s="478"/>
      <c r="G42" s="478"/>
      <c r="H42" s="479"/>
      <c r="I42" s="479"/>
      <c r="J42" s="479"/>
      <c r="K42" s="479"/>
    </row>
    <row r="43" spans="2:14" hidden="1">
      <c r="B43" s="462" t="s">
        <v>418</v>
      </c>
      <c r="C43" s="463"/>
      <c r="D43" s="463"/>
      <c r="E43" s="463"/>
      <c r="F43" s="463"/>
      <c r="G43" s="463"/>
      <c r="H43" s="463"/>
      <c r="I43" s="463"/>
      <c r="J43" s="463"/>
      <c r="K43" s="464"/>
    </row>
    <row r="44" spans="2:14" hidden="1">
      <c r="B44" s="465" t="s">
        <v>409</v>
      </c>
      <c r="C44" s="466"/>
      <c r="D44" s="466"/>
      <c r="E44" s="466"/>
      <c r="F44" s="467" t="s">
        <v>40</v>
      </c>
      <c r="G44" s="467" t="s">
        <v>410</v>
      </c>
      <c r="H44" s="467" t="s">
        <v>411</v>
      </c>
      <c r="I44" s="467" t="s">
        <v>412</v>
      </c>
      <c r="J44" s="467" t="s">
        <v>322</v>
      </c>
      <c r="K44" s="468" t="s">
        <v>345</v>
      </c>
    </row>
    <row r="45" spans="2:14" hidden="1">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hidden="1">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hidden="1">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hidden="1">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6" hidden="1">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6" hidden="1">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6" hidden="1">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6" hidden="1">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6" hidden="1">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6" hidden="1">
      <c r="B54" s="462"/>
      <c r="C54" s="463"/>
      <c r="D54" s="463"/>
      <c r="E54" s="463"/>
      <c r="F54" s="475"/>
      <c r="G54" s="483"/>
      <c r="H54" s="486">
        <f>SUM(H45:H53)</f>
        <v>0</v>
      </c>
      <c r="I54" s="483"/>
      <c r="J54" s="483">
        <f>SUM(J45:J53)</f>
        <v>0</v>
      </c>
      <c r="K54" s="484">
        <f>SUM(K45:K53)</f>
        <v>0</v>
      </c>
      <c r="N54" s="488"/>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4">
        <f>SUM(
IFERROR(SUM(Produtividade!$E182:$II182),0),
IFERROR(SUM('Mão de Obra'!$E$182:$II$182),0)
)</f>
        <v>4612.62</v>
      </c>
      <c r="K58" s="765">
        <f>J58*$J$6</f>
        <v>55351.44</v>
      </c>
      <c r="L58" s="488"/>
      <c r="M58" s="647"/>
    </row>
    <row r="59" spans="2:16">
      <c r="B59" s="51" t="s">
        <v>275</v>
      </c>
      <c r="I59" s="371"/>
      <c r="J59" s="766">
        <f>SUM(
IFERROR(SUMPRODUCT(Produtividade!E151:II151,Produtividade!$E$29:$II$29),0),
IFERROR(SUMPRODUCT('Mão de Obra'!E151:II151,'Mão de Obra'!$E$29:$II$29),0)
)</f>
        <v>55.05</v>
      </c>
      <c r="K59" s="765">
        <f>J59*$J$6</f>
        <v>660.59999999999991</v>
      </c>
      <c r="L59" s="488"/>
      <c r="M59" s="647"/>
    </row>
    <row r="60" spans="2:16">
      <c r="B60" s="51" t="s">
        <v>274</v>
      </c>
      <c r="I60" s="371"/>
      <c r="J60" s="766">
        <f>IF(OR('Mão de Obra'!$D$152="Não",'Mão de Obra'!$D$152=""),'Mat Coletivo e Equipamentos'!I4,0)
+
SUM(
IFERROR(SUMPRODUCT('Mão de Obra'!E152:II152,'Mão de Obra'!$E$29:$II$29),0),
IFERROR(SUMPRODUCT(Produtividade!E152:II152,Produtividade!$E$29:$II$29),0))</f>
        <v>1.69</v>
      </c>
      <c r="K60" s="765">
        <f>J60*$J$6</f>
        <v>20.28</v>
      </c>
      <c r="L60" s="488"/>
      <c r="M60" s="647"/>
    </row>
    <row r="61" spans="2:16">
      <c r="B61" s="51" t="s">
        <v>424</v>
      </c>
      <c r="I61" s="371"/>
      <c r="J61" s="29">
        <f>IFERROR(SUM(Veículos!E97:II97),0)</f>
        <v>2699.4</v>
      </c>
      <c r="K61" s="765">
        <f>IFERROR(J61*$J$6,0)</f>
        <v>32392.800000000003</v>
      </c>
      <c r="L61" s="488"/>
      <c r="M61" s="647"/>
      <c r="P61" s="42">
        <v>9316.64</v>
      </c>
    </row>
    <row r="62" spans="2:16">
      <c r="B62" s="706" t="s">
        <v>252</v>
      </c>
      <c r="C62" s="3"/>
      <c r="D62" s="3"/>
      <c r="E62" s="3"/>
      <c r="F62" s="3"/>
      <c r="G62" s="3"/>
      <c r="H62" s="3"/>
      <c r="I62" s="707"/>
      <c r="J62" s="40">
        <f>IFERROR(SUM(J58:J61),0)</f>
        <v>7368.76</v>
      </c>
      <c r="K62" s="767">
        <f>IFERROR(J62*$J$6,0)</f>
        <v>88425.12</v>
      </c>
      <c r="L62" s="488"/>
      <c r="M62" s="647"/>
      <c r="P62" s="42">
        <f>P61*12</f>
        <v>111799.67999999999</v>
      </c>
    </row>
    <row r="63" spans="2:16">
      <c r="B63" s="708" t="s">
        <v>174</v>
      </c>
      <c r="C63" s="709"/>
      <c r="D63" s="709"/>
      <c r="E63" s="709"/>
      <c r="F63" s="709"/>
      <c r="G63" s="709"/>
      <c r="H63" s="709"/>
      <c r="I63" s="710"/>
      <c r="J63" s="768"/>
      <c r="K63" s="769"/>
      <c r="L63" s="488"/>
      <c r="M63" s="647"/>
    </row>
    <row r="64" spans="2:16">
      <c r="B64" s="51" t="s">
        <v>255</v>
      </c>
      <c r="C64" s="255"/>
      <c r="F64" s="29"/>
      <c r="I64" s="372"/>
      <c r="J64" s="770">
        <f>IFERROR(
SUM(
IFERROR(SUMPRODUCT('Mão de Obra'!E158:II158,'Mão de Obra'!$E$29:$II$29),0),
IFERROR(SUMPRODUCT(Produtividade!E158:II158,Produtividade!$E$29:$II$29),0),
IFERROR(SUMPRODUCT(Veículos!E68:II68,Veículos!$E$4:$II$4),0)
)
*
(1+IF(OR('Mão de Obra'!$D$152="Não",'Mão de Obra'!$D$152=""),'Mat Coletivo e Equipamentos'!I4,0)/SUM(J62,-'Mat Coletivo e Equipamentos'!I4)),0)</f>
        <v>368.43449919710281</v>
      </c>
      <c r="K64" s="765">
        <f>J64*$J$6</f>
        <v>4421.2139903652333</v>
      </c>
      <c r="L64" s="488"/>
      <c r="M64" s="647"/>
      <c r="N64" s="648"/>
      <c r="P64" s="488"/>
    </row>
    <row r="65" spans="2:14">
      <c r="B65" s="51" t="s">
        <v>228</v>
      </c>
      <c r="C65" s="255"/>
      <c r="F65" s="29"/>
      <c r="H65" s="33"/>
      <c r="I65" s="372"/>
      <c r="J65" s="770">
        <f>IFERROR(
SUM(
IFERROR(SUMPRODUCT('Mão de Obra'!E159:II159,'Mão de Obra'!$E$29:$II$29),0),
IFERROR(SUMPRODUCT(Produtividade!E159:II159,Produtividade!$E$29:$II$29),0),
IFERROR(SUMPRODUCT(Veículos!E69:II69,Veículos!$E$4:$II$4),0)
)
*
(1+IF(OR('Mão de Obra'!$D$152="Não",'Mão de Obra'!$D$152=""),'Mat Coletivo e Equipamentos'!I4,0)/SUM(J62,-'Mat Coletivo e Equipamentos'!I4)),0)</f>
        <v>773.71744946091178</v>
      </c>
      <c r="K65" s="765">
        <f>J65*$J$6</f>
        <v>9284.6093935309418</v>
      </c>
      <c r="L65" s="488"/>
      <c r="M65" s="647"/>
    </row>
    <row r="66" spans="2:14">
      <c r="B66" s="51" t="s">
        <v>254</v>
      </c>
      <c r="C66" s="255"/>
      <c r="F66" s="29"/>
      <c r="H66" s="33"/>
      <c r="I66" s="372"/>
      <c r="J66" s="770">
        <f>IFERROR(
SUM(
IFERROR(SUMPRODUCT('Mão de Obra'!E169:II169,'Mão de Obra'!$E$29:$II$29),0),
IFERROR(SUMPRODUCT(Produtividade!E169:II169,Produtividade!$E$29:$II$29),0),
IFERROR(SUMPRODUCT(Veículos!E79:II79,Veículos!$E$4:$II$4),0)
)
*
(1+IF(OR('Mão de Obra'!$D$152="Não",'Mão de Obra'!$D$152=""),'Mat Coletivo e Equipamentos'!I4,0)/SUM(J62,-'Mat Coletivo e Equipamentos'!I4)),0)</f>
        <v>805.89482923333162</v>
      </c>
      <c r="K66" s="765">
        <f>J66*$J$6</f>
        <v>9670.7379507999794</v>
      </c>
      <c r="L66" s="488"/>
      <c r="M66" s="647"/>
    </row>
    <row r="67" spans="2:14">
      <c r="B67" s="55" t="s">
        <v>252</v>
      </c>
      <c r="C67" s="52"/>
      <c r="D67" s="52"/>
      <c r="E67" s="52"/>
      <c r="F67" s="53"/>
      <c r="G67" s="54"/>
      <c r="H67" s="54"/>
      <c r="I67" s="373"/>
      <c r="J67" s="54">
        <f>IFERROR(
SUM(
IFERROR(SUMPRODUCT('Mão de Obra'!E171:II171,'Mão de Obra'!$E$29:$II$29),0),
IFERROR(SUMPRODUCT(Produtividade!E171:II171,Produtividade!$E$29:$II$29),0),
IFERROR(SUMPRODUCT(Veículos!E81:II81,Veículos!$E$4:$II$4),0),
IFERROR('Mat Coletivo e Equipamentos'!J4-'Mat Coletivo e Equipamentos'!I4,0)
),0)</f>
        <v>1947.8799999999999</v>
      </c>
      <c r="K67" s="771">
        <f>J67*$J$6</f>
        <v>23374.559999999998</v>
      </c>
      <c r="L67" s="488"/>
      <c r="M67" s="647"/>
      <c r="N67" s="488"/>
    </row>
    <row r="68" spans="2:14">
      <c r="B68" s="56" t="s">
        <v>222</v>
      </c>
      <c r="C68" s="28"/>
      <c r="D68" s="28"/>
      <c r="E68" s="28"/>
      <c r="F68" s="31"/>
      <c r="G68" s="30"/>
      <c r="H68" s="30"/>
      <c r="I68" s="30"/>
      <c r="J68" s="30">
        <f>SUM(J62,J67)</f>
        <v>9316.64</v>
      </c>
      <c r="K68" s="772">
        <f>SUM(K62,K67)</f>
        <v>111799.67999999999</v>
      </c>
      <c r="M68" s="647"/>
      <c r="N68" s="488"/>
    </row>
    <row r="69" spans="2:14" ht="6.75" customHeight="1">
      <c r="B69" s="350"/>
      <c r="C69" s="3"/>
      <c r="D69" s="3"/>
      <c r="E69" s="3"/>
      <c r="F69" s="299"/>
      <c r="G69" s="299"/>
      <c r="H69" s="40"/>
      <c r="I69" s="40"/>
      <c r="J69" s="40"/>
      <c r="K69" s="40"/>
      <c r="L69" s="489"/>
    </row>
    <row r="70" spans="2:14" hidden="1">
      <c r="B70" s="462" t="s">
        <v>418</v>
      </c>
      <c r="C70" s="463"/>
      <c r="D70" s="463"/>
      <c r="E70" s="463"/>
      <c r="F70" s="463"/>
      <c r="G70" s="463"/>
      <c r="H70" s="463"/>
      <c r="I70" s="463"/>
      <c r="J70" s="463"/>
      <c r="K70" s="464"/>
    </row>
    <row r="71" spans="2:14" ht="30" hidden="1">
      <c r="B71" s="465" t="s">
        <v>410</v>
      </c>
      <c r="C71" s="466"/>
      <c r="D71" s="466"/>
      <c r="E71" s="466"/>
      <c r="F71" s="868" t="s">
        <v>723</v>
      </c>
      <c r="G71" s="868"/>
      <c r="H71" s="467" t="s">
        <v>412</v>
      </c>
      <c r="I71" s="467" t="s">
        <v>724</v>
      </c>
      <c r="J71" s="467" t="s">
        <v>725</v>
      </c>
      <c r="K71" s="468" t="s">
        <v>345</v>
      </c>
      <c r="M71" s="488"/>
      <c r="N71" s="647"/>
    </row>
    <row r="72" spans="2:14" hidden="1">
      <c r="B72" s="646" t="s">
        <v>726</v>
      </c>
      <c r="C72" s="470"/>
      <c r="D72" s="471"/>
      <c r="E72" s="471"/>
      <c r="F72" s="869"/>
      <c r="G72" s="869"/>
      <c r="H72" s="473" t="str">
        <f>IFERROR(J68/F72,"")</f>
        <v/>
      </c>
      <c r="I72" s="755"/>
      <c r="J72" s="482">
        <f>K72/J6</f>
        <v>0</v>
      </c>
      <c r="K72" s="474">
        <f>PRODUCT(H72,I72)</f>
        <v>0</v>
      </c>
    </row>
    <row r="73" spans="2:14" hidden="1">
      <c r="B73" s="462"/>
      <c r="C73" s="463"/>
      <c r="D73" s="463"/>
      <c r="E73" s="463"/>
      <c r="F73" s="870"/>
      <c r="G73" s="870"/>
      <c r="H73" s="753"/>
      <c r="I73" s="754"/>
      <c r="J73" s="483">
        <f>SUM(J72:J72)</f>
        <v>0</v>
      </c>
      <c r="K73" s="484">
        <f>SUM(K72:K72)</f>
        <v>0</v>
      </c>
    </row>
    <row r="75" spans="2:14">
      <c r="J75" s="762"/>
    </row>
    <row r="76" spans="2:14">
      <c r="J76" s="763"/>
      <c r="K76" s="763"/>
    </row>
  </sheetData>
  <sheetProtection sheet="1" formatCells="0" formatColumns="0" formatRows="0" insertColumns="0" insertRows="0" deleteColumns="0" deleteRows="0"/>
  <mergeCells count="28">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 ref="G9:H9"/>
    <mergeCell ref="B2:K2"/>
    <mergeCell ref="B4:K4"/>
    <mergeCell ref="C9:F9"/>
    <mergeCell ref="J9:K9"/>
    <mergeCell ref="B3:K3"/>
    <mergeCell ref="B8:K8"/>
    <mergeCell ref="C6:F6"/>
    <mergeCell ref="C7:F7"/>
    <mergeCell ref="J6:K6"/>
    <mergeCell ref="J7:K7"/>
    <mergeCell ref="G7:I7"/>
    <mergeCell ref="G6:I6"/>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50" t="s">
        <v>434</v>
      </c>
      <c r="D3" s="286"/>
      <c r="E3" s="286" t="s">
        <v>388</v>
      </c>
      <c r="F3" s="286"/>
      <c r="G3" s="286">
        <v>15</v>
      </c>
      <c r="H3" s="286">
        <v>220</v>
      </c>
      <c r="I3" s="286">
        <f>G3*12</f>
        <v>180</v>
      </c>
      <c r="J3" s="286">
        <f>I3/G3</f>
        <v>12</v>
      </c>
    </row>
    <row r="4" spans="1:10">
      <c r="A4" s="165" t="s">
        <v>46</v>
      </c>
      <c r="B4" s="286">
        <v>2</v>
      </c>
      <c r="C4" s="450" t="s">
        <v>434</v>
      </c>
      <c r="D4" s="286"/>
      <c r="E4" s="286" t="s">
        <v>388</v>
      </c>
      <c r="F4" s="286"/>
      <c r="G4" s="286">
        <v>15</v>
      </c>
      <c r="H4" s="286">
        <v>220</v>
      </c>
      <c r="I4" s="286">
        <f>G4*12</f>
        <v>180</v>
      </c>
      <c r="J4" s="286">
        <f t="shared" ref="J4:J18" si="0">I4/G4</f>
        <v>12</v>
      </c>
    </row>
    <row r="5" spans="1:10">
      <c r="A5" s="165" t="s">
        <v>470</v>
      </c>
      <c r="B5" s="286">
        <v>1</v>
      </c>
      <c r="C5" s="450" t="s">
        <v>434</v>
      </c>
      <c r="D5" s="286"/>
      <c r="E5" s="286">
        <v>1</v>
      </c>
      <c r="F5" s="286">
        <v>4</v>
      </c>
      <c r="G5" s="286">
        <f>E5*4</f>
        <v>4</v>
      </c>
      <c r="H5" s="286">
        <f t="shared" ref="H5:H13" si="1">F5*30/6</f>
        <v>20</v>
      </c>
      <c r="I5" s="286">
        <f>F5*4</f>
        <v>16</v>
      </c>
      <c r="J5" s="286">
        <f t="shared" si="0"/>
        <v>4</v>
      </c>
    </row>
    <row r="6" spans="1:10">
      <c r="A6" s="165" t="s">
        <v>471</v>
      </c>
      <c r="B6" s="286">
        <v>1</v>
      </c>
      <c r="C6" s="450" t="s">
        <v>434</v>
      </c>
      <c r="D6" s="286"/>
      <c r="E6" s="286">
        <v>1</v>
      </c>
      <c r="F6" s="286">
        <v>6</v>
      </c>
      <c r="G6" s="286">
        <f t="shared" ref="G6:G10" si="2">E6*4</f>
        <v>4</v>
      </c>
      <c r="H6" s="286">
        <f t="shared" si="1"/>
        <v>30</v>
      </c>
      <c r="I6" s="286">
        <f>F6*4</f>
        <v>24</v>
      </c>
      <c r="J6" s="286">
        <f t="shared" si="0"/>
        <v>6</v>
      </c>
    </row>
    <row r="7" spans="1:10">
      <c r="A7" s="165" t="s">
        <v>472</v>
      </c>
      <c r="B7" s="286">
        <v>1</v>
      </c>
      <c r="C7" s="450" t="s">
        <v>434</v>
      </c>
      <c r="D7" s="286"/>
      <c r="E7" s="286">
        <v>1</v>
      </c>
      <c r="F7" s="286">
        <v>8</v>
      </c>
      <c r="G7" s="286">
        <f t="shared" si="2"/>
        <v>4</v>
      </c>
      <c r="H7" s="286">
        <f t="shared" si="1"/>
        <v>40</v>
      </c>
      <c r="I7" s="286">
        <f>F7*4</f>
        <v>32</v>
      </c>
      <c r="J7" s="286">
        <f t="shared" si="0"/>
        <v>8</v>
      </c>
    </row>
    <row r="8" spans="1:10">
      <c r="A8" s="165" t="s">
        <v>480</v>
      </c>
      <c r="B8" s="286">
        <v>1</v>
      </c>
      <c r="C8" s="450" t="s">
        <v>434</v>
      </c>
      <c r="D8" s="286"/>
      <c r="E8" s="286">
        <v>2</v>
      </c>
      <c r="F8" s="286">
        <v>12</v>
      </c>
      <c r="G8" s="286">
        <f t="shared" si="2"/>
        <v>8</v>
      </c>
      <c r="H8" s="286">
        <f t="shared" si="1"/>
        <v>60</v>
      </c>
      <c r="I8" s="286">
        <f t="shared" ref="I8:I9" si="3">F8*4</f>
        <v>48</v>
      </c>
      <c r="J8" s="286">
        <f t="shared" si="0"/>
        <v>6</v>
      </c>
    </row>
    <row r="9" spans="1:10">
      <c r="A9" s="165" t="s">
        <v>481</v>
      </c>
      <c r="B9" s="286">
        <v>1</v>
      </c>
      <c r="C9" s="450" t="s">
        <v>434</v>
      </c>
      <c r="D9" s="286"/>
      <c r="E9" s="286">
        <v>2</v>
      </c>
      <c r="F9" s="286">
        <v>16</v>
      </c>
      <c r="G9" s="286">
        <f t="shared" si="2"/>
        <v>8</v>
      </c>
      <c r="H9" s="286">
        <f t="shared" si="1"/>
        <v>80</v>
      </c>
      <c r="I9" s="286">
        <f t="shared" si="3"/>
        <v>64</v>
      </c>
      <c r="J9" s="286">
        <f t="shared" si="0"/>
        <v>8</v>
      </c>
    </row>
    <row r="10" spans="1:10">
      <c r="A10" s="165" t="s">
        <v>733</v>
      </c>
      <c r="B10" s="286">
        <v>1</v>
      </c>
      <c r="C10" s="450" t="s">
        <v>434</v>
      </c>
      <c r="D10" s="286"/>
      <c r="E10" s="286">
        <v>2</v>
      </c>
      <c r="F10" s="286">
        <f>58/4</f>
        <v>14.5</v>
      </c>
      <c r="G10" s="286">
        <f t="shared" si="2"/>
        <v>8</v>
      </c>
      <c r="H10" s="286">
        <f t="shared" si="1"/>
        <v>72.5</v>
      </c>
      <c r="I10" s="286">
        <f>F10*4</f>
        <v>58</v>
      </c>
      <c r="J10" s="286">
        <f>I10/G10</f>
        <v>7.25</v>
      </c>
    </row>
    <row r="11" spans="1:10">
      <c r="A11" s="165" t="s">
        <v>473</v>
      </c>
      <c r="B11" s="286">
        <v>1</v>
      </c>
      <c r="C11" s="450" t="s">
        <v>434</v>
      </c>
      <c r="D11" s="286"/>
      <c r="E11" s="286">
        <v>5</v>
      </c>
      <c r="F11" s="286">
        <v>20</v>
      </c>
      <c r="G11" s="286">
        <f>E11*4+2</f>
        <v>22</v>
      </c>
      <c r="H11" s="286">
        <f t="shared" si="1"/>
        <v>100</v>
      </c>
      <c r="I11" s="286">
        <f>F11*4+2*4</f>
        <v>88</v>
      </c>
      <c r="J11" s="286">
        <f t="shared" si="0"/>
        <v>4</v>
      </c>
    </row>
    <row r="12" spans="1:10">
      <c r="A12" s="165" t="s">
        <v>730</v>
      </c>
      <c r="B12" s="286">
        <v>1</v>
      </c>
      <c r="C12" s="450" t="s">
        <v>434</v>
      </c>
      <c r="D12" s="286"/>
      <c r="E12" s="286">
        <v>5</v>
      </c>
      <c r="F12" s="286">
        <v>25</v>
      </c>
      <c r="G12" s="286">
        <f>E12*4+2</f>
        <v>22</v>
      </c>
      <c r="H12" s="286">
        <f t="shared" si="1"/>
        <v>125</v>
      </c>
      <c r="I12" s="286">
        <f>F12*4+2*4</f>
        <v>108</v>
      </c>
      <c r="J12" s="760">
        <f t="shared" si="0"/>
        <v>4.9090909090909092</v>
      </c>
    </row>
    <row r="13" spans="1:10">
      <c r="A13" s="165" t="s">
        <v>474</v>
      </c>
      <c r="B13" s="286">
        <v>1</v>
      </c>
      <c r="C13" s="450" t="s">
        <v>434</v>
      </c>
      <c r="D13" s="286"/>
      <c r="E13" s="286">
        <v>5</v>
      </c>
      <c r="F13" s="286">
        <v>30</v>
      </c>
      <c r="G13" s="286">
        <f t="shared" ref="G13:G14" si="4">E13*4+2</f>
        <v>22</v>
      </c>
      <c r="H13" s="286">
        <f t="shared" si="1"/>
        <v>150</v>
      </c>
      <c r="I13" s="286">
        <f>F13*4+2*6</f>
        <v>132</v>
      </c>
      <c r="J13" s="286">
        <f t="shared" si="0"/>
        <v>6</v>
      </c>
    </row>
    <row r="14" spans="1:10">
      <c r="A14" s="165" t="s">
        <v>475</v>
      </c>
      <c r="B14" s="286">
        <v>1</v>
      </c>
      <c r="C14" s="450" t="s">
        <v>434</v>
      </c>
      <c r="D14" s="286"/>
      <c r="E14" s="286">
        <v>5</v>
      </c>
      <c r="F14" s="286">
        <v>35</v>
      </c>
      <c r="G14" s="286">
        <f t="shared" si="4"/>
        <v>22</v>
      </c>
      <c r="H14" s="286">
        <v>175</v>
      </c>
      <c r="I14" s="286">
        <f>F14*4+2*7</f>
        <v>154</v>
      </c>
      <c r="J14" s="286">
        <f t="shared" si="0"/>
        <v>7</v>
      </c>
    </row>
    <row r="15" spans="1:10">
      <c r="A15" s="165" t="s">
        <v>476</v>
      </c>
      <c r="B15" s="286">
        <v>1</v>
      </c>
      <c r="C15" s="450" t="s">
        <v>434</v>
      </c>
      <c r="D15" s="286"/>
      <c r="E15" s="286">
        <v>6</v>
      </c>
      <c r="F15" s="286">
        <v>36</v>
      </c>
      <c r="G15" s="286">
        <f>E15*4+2</f>
        <v>26</v>
      </c>
      <c r="H15" s="286">
        <f>F15*30/6</f>
        <v>180</v>
      </c>
      <c r="I15" s="286">
        <f>F15*4+2*6</f>
        <v>156</v>
      </c>
      <c r="J15" s="286">
        <f t="shared" si="0"/>
        <v>6</v>
      </c>
    </row>
    <row r="16" spans="1:10">
      <c r="A16" s="165" t="s">
        <v>477</v>
      </c>
      <c r="B16" s="286">
        <v>1</v>
      </c>
      <c r="C16" s="450" t="s">
        <v>434</v>
      </c>
      <c r="D16" s="286"/>
      <c r="E16" s="286">
        <v>5</v>
      </c>
      <c r="F16" s="286">
        <v>40</v>
      </c>
      <c r="G16" s="286">
        <f>E16*4+2</f>
        <v>22</v>
      </c>
      <c r="H16" s="286">
        <f>F16*30/6</f>
        <v>200</v>
      </c>
      <c r="I16" s="286">
        <f>F16*4+2*8</f>
        <v>176</v>
      </c>
      <c r="J16" s="286">
        <f t="shared" si="0"/>
        <v>8</v>
      </c>
    </row>
    <row r="17" spans="1:10">
      <c r="A17" s="165" t="s">
        <v>478</v>
      </c>
      <c r="B17" s="286">
        <v>1</v>
      </c>
      <c r="C17" s="450" t="s">
        <v>434</v>
      </c>
      <c r="D17" s="286"/>
      <c r="E17" s="286">
        <v>5</v>
      </c>
      <c r="F17" s="286">
        <v>44</v>
      </c>
      <c r="G17" s="286">
        <f>E17*4+2</f>
        <v>22</v>
      </c>
      <c r="H17" s="286">
        <f>F17*30/6</f>
        <v>220</v>
      </c>
      <c r="I17" s="286">
        <f>F17*4+2*8</f>
        <v>192</v>
      </c>
      <c r="J17" s="286">
        <f t="shared" si="0"/>
        <v>8.7272727272727266</v>
      </c>
    </row>
    <row r="18" spans="1:10">
      <c r="A18" s="165" t="s">
        <v>479</v>
      </c>
      <c r="B18" s="286">
        <v>1</v>
      </c>
      <c r="C18" s="450"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653</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646</v>
      </c>
      <c r="D6" s="507">
        <v>22</v>
      </c>
      <c r="E6" s="511"/>
      <c r="F6" s="509"/>
    </row>
    <row r="7" spans="1:18" ht="15" customHeight="1">
      <c r="B7" s="505" t="s">
        <v>7</v>
      </c>
      <c r="C7" s="506" t="s">
        <v>397</v>
      </c>
      <c r="D7" s="512">
        <f>D9/D10</f>
        <v>4.3482142857142856</v>
      </c>
      <c r="E7" s="513"/>
      <c r="F7" s="509" t="str">
        <f>""</f>
        <v/>
      </c>
    </row>
    <row r="8" spans="1:18" ht="15" customHeight="1">
      <c r="B8" s="505" t="s">
        <v>6</v>
      </c>
      <c r="C8" s="506" t="s">
        <v>650</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892"/>
      <c r="C14" s="889"/>
      <c r="D14" s="886" t="s">
        <v>315</v>
      </c>
      <c r="E14" s="886" t="s">
        <v>142</v>
      </c>
      <c r="F14" s="886" t="s">
        <v>312</v>
      </c>
      <c r="G14" s="503"/>
      <c r="H14" s="896" t="s">
        <v>130</v>
      </c>
      <c r="I14" s="896"/>
      <c r="J14" s="896"/>
      <c r="K14" s="896"/>
      <c r="L14" s="896"/>
      <c r="M14" s="896"/>
      <c r="N14" s="896"/>
      <c r="O14" s="896"/>
      <c r="P14" s="896"/>
      <c r="Q14" s="896"/>
      <c r="R14" s="525"/>
    </row>
    <row r="15" spans="1:18" ht="15" customHeight="1">
      <c r="A15" s="497"/>
      <c r="B15" s="893"/>
      <c r="C15" s="890"/>
      <c r="D15" s="887"/>
      <c r="E15" s="887"/>
      <c r="F15" s="887"/>
      <c r="H15" s="896" t="s">
        <v>59</v>
      </c>
      <c r="I15" s="896" t="s">
        <v>58</v>
      </c>
      <c r="J15" s="896" t="s">
        <v>427</v>
      </c>
      <c r="K15" s="524" t="s">
        <v>313</v>
      </c>
      <c r="L15" s="524" t="s">
        <v>313</v>
      </c>
      <c r="M15" s="524" t="s">
        <v>313</v>
      </c>
      <c r="N15" s="524" t="s">
        <v>313</v>
      </c>
      <c r="O15" s="524" t="s">
        <v>313</v>
      </c>
      <c r="P15" s="524" t="s">
        <v>313</v>
      </c>
      <c r="Q15" s="896" t="s">
        <v>48</v>
      </c>
      <c r="R15" s="527"/>
    </row>
    <row r="16" spans="1:18" ht="15" customHeight="1">
      <c r="A16" s="497"/>
      <c r="B16" s="894"/>
      <c r="C16" s="891"/>
      <c r="D16" s="888"/>
      <c r="E16" s="888"/>
      <c r="F16" s="888"/>
      <c r="H16" s="896"/>
      <c r="I16" s="896"/>
      <c r="J16" s="896"/>
      <c r="K16" s="524" t="s">
        <v>131</v>
      </c>
      <c r="L16" s="524" t="s">
        <v>136</v>
      </c>
      <c r="M16" s="524" t="s">
        <v>135</v>
      </c>
      <c r="N16" s="524" t="s">
        <v>134</v>
      </c>
      <c r="O16" s="524" t="s">
        <v>133</v>
      </c>
      <c r="P16" s="524" t="s">
        <v>132</v>
      </c>
      <c r="Q16" s="896"/>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IF(IFERROR(SUM(Produtividade!L196:L221)&gt;0,FALSE()),Produtividade!D13,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IF(IFERROR(SUM(Produtividade!L196:L221)&gt;0,FALSE()),Produtividade!D14,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727</v>
      </c>
      <c r="H22" s="545"/>
      <c r="I22" s="545"/>
      <c r="J22" s="545"/>
      <c r="K22" s="545"/>
      <c r="L22" s="545"/>
      <c r="M22" s="545"/>
      <c r="N22" s="545"/>
      <c r="O22" s="545"/>
      <c r="P22" s="545"/>
      <c r="Q22" s="545"/>
    </row>
    <row r="23" spans="1:18" s="503" customFormat="1" ht="15" customHeight="1">
      <c r="B23" s="541" t="s">
        <v>1</v>
      </c>
      <c r="C23" s="546" t="s">
        <v>144</v>
      </c>
      <c r="D23" s="547" t="s">
        <v>94</v>
      </c>
      <c r="E23" s="547" t="s">
        <v>495</v>
      </c>
      <c r="F23" s="548" t="s">
        <v>496</v>
      </c>
      <c r="H23" s="545"/>
      <c r="I23" s="545"/>
      <c r="J23" s="545"/>
      <c r="K23" s="545"/>
      <c r="L23" s="545"/>
      <c r="M23" s="545"/>
      <c r="N23" s="545"/>
      <c r="O23" s="545"/>
      <c r="P23" s="545"/>
      <c r="Q23" s="545"/>
    </row>
    <row r="24" spans="1:18" s="503" customFormat="1" ht="15" customHeight="1">
      <c r="B24" s="541" t="s">
        <v>0</v>
      </c>
      <c r="C24" s="542" t="s">
        <v>145</v>
      </c>
      <c r="D24" s="543" t="s">
        <v>497</v>
      </c>
      <c r="E24" s="544" t="s">
        <v>498</v>
      </c>
      <c r="F24" s="544" t="s">
        <v>499</v>
      </c>
      <c r="H24" s="545"/>
      <c r="I24" s="545"/>
      <c r="J24" s="545"/>
      <c r="K24" s="545"/>
      <c r="L24" s="545"/>
      <c r="M24" s="545"/>
      <c r="N24" s="545"/>
      <c r="O24" s="545"/>
      <c r="P24" s="545"/>
      <c r="Q24" s="545"/>
    </row>
    <row r="25" spans="1:18" s="503" customFormat="1" ht="15" customHeight="1">
      <c r="B25" s="541" t="s">
        <v>3</v>
      </c>
      <c r="C25" s="546" t="s">
        <v>81</v>
      </c>
      <c r="D25" s="547" t="s">
        <v>146</v>
      </c>
      <c r="E25" s="547" t="s">
        <v>500</v>
      </c>
      <c r="F25" s="548" t="s">
        <v>580</v>
      </c>
      <c r="H25" s="545"/>
      <c r="I25" s="545"/>
      <c r="J25" s="545"/>
      <c r="K25" s="545"/>
      <c r="L25" s="545"/>
      <c r="M25" s="545"/>
      <c r="N25" s="545"/>
      <c r="O25" s="545"/>
      <c r="P25" s="545"/>
      <c r="Q25" s="545"/>
    </row>
    <row r="26" spans="1:18" s="503" customFormat="1" ht="15" customHeight="1">
      <c r="B26" s="541" t="s">
        <v>7</v>
      </c>
      <c r="C26" s="542" t="s">
        <v>95</v>
      </c>
      <c r="D26" s="543" t="s">
        <v>147</v>
      </c>
      <c r="E26" s="544" t="s">
        <v>501</v>
      </c>
      <c r="F26" s="544" t="s">
        <v>502</v>
      </c>
      <c r="H26" s="545"/>
      <c r="I26" s="545"/>
      <c r="J26" s="545"/>
      <c r="K26" s="545"/>
      <c r="L26" s="545"/>
      <c r="M26" s="545"/>
      <c r="N26" s="545"/>
      <c r="O26" s="545"/>
      <c r="P26" s="545"/>
      <c r="Q26" s="545"/>
    </row>
    <row r="27" spans="1:18" s="503" customFormat="1" ht="15" customHeight="1">
      <c r="B27" s="541" t="s">
        <v>6</v>
      </c>
      <c r="C27" s="546" t="s">
        <v>139</v>
      </c>
      <c r="D27" s="547" t="s">
        <v>148</v>
      </c>
      <c r="E27" s="547" t="s">
        <v>501</v>
      </c>
      <c r="F27" s="548" t="s">
        <v>503</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504</v>
      </c>
      <c r="H28" s="545"/>
      <c r="I28" s="545"/>
      <c r="J28" s="545"/>
      <c r="K28" s="545"/>
      <c r="L28" s="545"/>
      <c r="M28" s="545"/>
      <c r="N28" s="545"/>
      <c r="O28" s="545"/>
      <c r="P28" s="545"/>
      <c r="Q28" s="545"/>
    </row>
    <row r="29" spans="1:18" s="503" customFormat="1" ht="15" customHeight="1">
      <c r="B29" s="541" t="s">
        <v>4</v>
      </c>
      <c r="C29" s="546" t="s">
        <v>82</v>
      </c>
      <c r="D29" s="547" t="s">
        <v>151</v>
      </c>
      <c r="E29" s="547" t="s">
        <v>505</v>
      </c>
      <c r="F29" s="548" t="s">
        <v>506</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507</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508</v>
      </c>
      <c r="F36" s="544" t="s">
        <v>509</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510</v>
      </c>
      <c r="F37" s="544" t="s">
        <v>511</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512</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513</v>
      </c>
      <c r="F41" s="544" t="s">
        <v>514</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611</v>
      </c>
      <c r="F42" s="544" t="s">
        <v>515</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612</v>
      </c>
      <c r="F43" s="544" t="s">
        <v>515</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613</v>
      </c>
      <c r="F44" s="544" t="s">
        <v>515</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614</v>
      </c>
      <c r="F45" s="544" t="s">
        <v>515</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516</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895" t="s">
        <v>5</v>
      </c>
      <c r="C47" s="506" t="s">
        <v>517</v>
      </c>
      <c r="D47" s="543" t="s">
        <v>278</v>
      </c>
      <c r="E47" s="544" t="s">
        <v>518</v>
      </c>
      <c r="F47" s="544" t="s">
        <v>615</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895"/>
      <c r="C48" s="575" t="s">
        <v>47</v>
      </c>
      <c r="D48" s="576"/>
      <c r="E48" s="576" t="s">
        <v>519</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895"/>
      <c r="C49" s="575" t="s">
        <v>42</v>
      </c>
      <c r="D49" s="577"/>
      <c r="E49" s="577" t="s">
        <v>520</v>
      </c>
      <c r="F49" s="577" t="s">
        <v>521</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515</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731</v>
      </c>
      <c r="F54" s="544" t="s">
        <v>578</v>
      </c>
      <c r="H54" s="572"/>
      <c r="I54" s="572"/>
      <c r="J54" s="572"/>
      <c r="K54" s="572"/>
      <c r="L54" s="572"/>
      <c r="M54" s="572"/>
      <c r="N54" s="572"/>
      <c r="O54" s="572"/>
      <c r="P54" s="572"/>
      <c r="Q54" s="572"/>
    </row>
    <row r="55" spans="1:18" ht="15" customHeight="1">
      <c r="B55" s="541" t="s">
        <v>1</v>
      </c>
      <c r="C55" s="542" t="s">
        <v>23</v>
      </c>
      <c r="D55" s="543" t="s">
        <v>156</v>
      </c>
      <c r="E55" s="544" t="s">
        <v>522</v>
      </c>
      <c r="F55" s="544" t="s">
        <v>577</v>
      </c>
      <c r="H55" s="572"/>
      <c r="I55" s="572"/>
      <c r="J55" s="572"/>
      <c r="K55" s="572"/>
      <c r="L55" s="572"/>
      <c r="M55" s="572"/>
      <c r="N55" s="572"/>
      <c r="O55" s="572"/>
      <c r="P55" s="572"/>
      <c r="Q55" s="572"/>
    </row>
    <row r="56" spans="1:18" ht="15" customHeight="1">
      <c r="B56" s="541" t="s">
        <v>0</v>
      </c>
      <c r="C56" s="542" t="s">
        <v>25</v>
      </c>
      <c r="D56" s="543" t="s">
        <v>159</v>
      </c>
      <c r="E56" s="544" t="s">
        <v>523</v>
      </c>
      <c r="F56" s="544" t="s">
        <v>578</v>
      </c>
      <c r="H56" s="572"/>
      <c r="I56" s="572"/>
      <c r="J56" s="572"/>
      <c r="K56" s="572"/>
      <c r="L56" s="572"/>
      <c r="M56" s="572"/>
      <c r="N56" s="572"/>
      <c r="O56" s="572"/>
      <c r="P56" s="572"/>
      <c r="Q56" s="572"/>
    </row>
    <row r="57" spans="1:18" ht="15" customHeight="1">
      <c r="B57" s="541" t="s">
        <v>3</v>
      </c>
      <c r="C57" s="542" t="s">
        <v>27</v>
      </c>
      <c r="D57" s="543" t="s">
        <v>157</v>
      </c>
      <c r="E57" s="544" t="s">
        <v>523</v>
      </c>
      <c r="F57" s="544" t="s">
        <v>579</v>
      </c>
      <c r="H57" s="572"/>
      <c r="I57" s="572"/>
      <c r="J57" s="572"/>
      <c r="K57" s="572"/>
      <c r="L57" s="572"/>
      <c r="M57" s="572"/>
      <c r="N57" s="572"/>
      <c r="O57" s="572"/>
      <c r="P57" s="572"/>
      <c r="Q57" s="572"/>
    </row>
    <row r="58" spans="1:18" ht="15" customHeight="1">
      <c r="B58" s="541" t="s">
        <v>7</v>
      </c>
      <c r="C58" s="542" t="s">
        <v>28</v>
      </c>
      <c r="D58" s="543" t="s">
        <v>157</v>
      </c>
      <c r="E58" s="544"/>
      <c r="F58" s="544" t="s">
        <v>579</v>
      </c>
      <c r="H58" s="572"/>
      <c r="I58" s="572"/>
      <c r="J58" s="572"/>
      <c r="K58" s="572"/>
      <c r="L58" s="572"/>
      <c r="M58" s="572"/>
      <c r="N58" s="572"/>
      <c r="O58" s="572"/>
      <c r="P58" s="572"/>
      <c r="Q58" s="572"/>
    </row>
    <row r="59" spans="1:18" ht="15" customHeight="1">
      <c r="B59" s="541" t="s">
        <v>6</v>
      </c>
      <c r="C59" s="542" t="s">
        <v>29</v>
      </c>
      <c r="D59" s="543" t="s">
        <v>159</v>
      </c>
      <c r="E59" s="544"/>
      <c r="F59" s="544" t="s">
        <v>578</v>
      </c>
      <c r="H59" s="572"/>
      <c r="I59" s="572"/>
      <c r="J59" s="572"/>
      <c r="K59" s="572"/>
      <c r="L59" s="572"/>
      <c r="M59" s="572"/>
      <c r="N59" s="572"/>
      <c r="O59" s="572"/>
      <c r="P59" s="572"/>
      <c r="Q59" s="572"/>
    </row>
    <row r="60" spans="1:18" ht="15" customHeight="1">
      <c r="B60" s="541" t="s">
        <v>5</v>
      </c>
      <c r="C60" s="542" t="s">
        <v>30</v>
      </c>
      <c r="D60" s="543" t="s">
        <v>157</v>
      </c>
      <c r="E60" s="544"/>
      <c r="F60" s="544" t="s">
        <v>579</v>
      </c>
      <c r="H60" s="572"/>
      <c r="I60" s="572"/>
      <c r="J60" s="572"/>
      <c r="K60" s="572"/>
      <c r="L60" s="572"/>
      <c r="M60" s="572"/>
      <c r="N60" s="572"/>
      <c r="O60" s="572"/>
      <c r="P60" s="572"/>
      <c r="Q60" s="572"/>
    </row>
    <row r="61" spans="1:18" ht="15" customHeight="1">
      <c r="B61" s="541" t="s">
        <v>4</v>
      </c>
      <c r="C61" s="542" t="s">
        <v>114</v>
      </c>
      <c r="D61" s="543" t="s">
        <v>157</v>
      </c>
      <c r="E61" s="544"/>
      <c r="F61" s="544" t="s">
        <v>579</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524</v>
      </c>
      <c r="F74" s="544" t="s">
        <v>525</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553</v>
      </c>
      <c r="D76" s="543" t="s">
        <v>161</v>
      </c>
      <c r="E76" s="544" t="s">
        <v>526</v>
      </c>
      <c r="F76" s="544" t="s">
        <v>527</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482</v>
      </c>
      <c r="E77" s="544" t="s">
        <v>528</v>
      </c>
      <c r="F77" s="544" t="s">
        <v>529</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554</v>
      </c>
      <c r="E78" s="544" t="s">
        <v>530</v>
      </c>
      <c r="F78" s="643" t="s">
        <v>531</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532</v>
      </c>
      <c r="F79" s="544" t="s">
        <v>533</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616</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463</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534</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535</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536</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537</v>
      </c>
      <c r="F105" s="544" t="s">
        <v>616</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538</v>
      </c>
      <c r="E106" s="544"/>
      <c r="F106" s="544" t="s">
        <v>539</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541</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540</v>
      </c>
      <c r="E108" s="544"/>
      <c r="F108" s="544" t="s">
        <v>541</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84" t="s">
        <v>2</v>
      </c>
      <c r="C111" s="542" t="s">
        <v>102</v>
      </c>
      <c r="D111" s="543" t="s">
        <v>111</v>
      </c>
      <c r="E111" s="544" t="s">
        <v>104</v>
      </c>
      <c r="F111" s="544" t="s">
        <v>542</v>
      </c>
      <c r="H111" s="609"/>
      <c r="I111" s="609"/>
      <c r="J111" s="609"/>
      <c r="K111" s="609"/>
      <c r="L111" s="609"/>
      <c r="M111" s="609"/>
      <c r="N111" s="609"/>
      <c r="O111" s="609"/>
      <c r="P111" s="609"/>
      <c r="Q111" s="610"/>
      <c r="R111" s="527"/>
    </row>
    <row r="112" spans="1:18" ht="15" customHeight="1">
      <c r="B112" s="885"/>
      <c r="C112" s="542" t="s">
        <v>103</v>
      </c>
      <c r="D112" s="543" t="s">
        <v>112</v>
      </c>
      <c r="E112" s="544" t="s">
        <v>104</v>
      </c>
      <c r="F112" s="544" t="s">
        <v>543</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544</v>
      </c>
      <c r="F117" s="685" t="s">
        <v>545</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546</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545</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545</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545</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545</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547</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548</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549</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550</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729</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551</v>
      </c>
      <c r="F154" s="544" t="s">
        <v>652</v>
      </c>
      <c r="H154" s="568"/>
      <c r="I154" s="568"/>
      <c r="J154" s="568"/>
      <c r="K154" s="568"/>
      <c r="L154" s="568"/>
      <c r="M154" s="568"/>
      <c r="N154" s="568"/>
      <c r="O154" s="568"/>
      <c r="P154" s="568"/>
      <c r="Q154" s="634">
        <v>800</v>
      </c>
    </row>
    <row r="155" spans="1:18" ht="15" customHeight="1">
      <c r="B155" s="632" t="s">
        <v>1</v>
      </c>
      <c r="C155" s="633" t="s">
        <v>359</v>
      </c>
      <c r="D155" s="506"/>
      <c r="E155" s="506" t="s">
        <v>551</v>
      </c>
      <c r="F155" s="544"/>
      <c r="H155" s="568"/>
      <c r="I155" s="568"/>
      <c r="J155" s="568"/>
      <c r="K155" s="568"/>
      <c r="L155" s="568"/>
      <c r="M155" s="568"/>
      <c r="N155" s="568"/>
      <c r="O155" s="568"/>
      <c r="P155" s="568"/>
      <c r="Q155" s="634">
        <v>800</v>
      </c>
    </row>
    <row r="156" spans="1:18" ht="15" customHeight="1">
      <c r="B156" s="632" t="s">
        <v>0</v>
      </c>
      <c r="C156" s="633" t="s">
        <v>360</v>
      </c>
      <c r="D156" s="506"/>
      <c r="E156" s="506" t="s">
        <v>551</v>
      </c>
      <c r="F156" s="544"/>
      <c r="H156" s="568"/>
      <c r="I156" s="568"/>
      <c r="J156" s="568"/>
      <c r="K156" s="568"/>
      <c r="L156" s="568"/>
      <c r="M156" s="568"/>
      <c r="N156" s="568"/>
      <c r="O156" s="568"/>
      <c r="P156" s="568"/>
      <c r="Q156" s="634">
        <v>360</v>
      </c>
    </row>
    <row r="157" spans="1:18" ht="15" customHeight="1">
      <c r="B157" s="632" t="s">
        <v>3</v>
      </c>
      <c r="C157" s="633" t="s">
        <v>361</v>
      </c>
      <c r="D157" s="506"/>
      <c r="E157" s="506" t="s">
        <v>551</v>
      </c>
      <c r="F157" s="544"/>
      <c r="H157" s="568"/>
      <c r="I157" s="568"/>
      <c r="J157" s="568"/>
      <c r="K157" s="568"/>
      <c r="L157" s="568"/>
      <c r="M157" s="568"/>
      <c r="N157" s="568"/>
      <c r="O157" s="568"/>
      <c r="P157" s="568"/>
      <c r="Q157" s="634">
        <v>1500</v>
      </c>
    </row>
    <row r="158" spans="1:18" ht="15" customHeight="1">
      <c r="B158" s="632" t="s">
        <v>7</v>
      </c>
      <c r="C158" s="633" t="s">
        <v>356</v>
      </c>
      <c r="D158" s="506"/>
      <c r="E158" s="506" t="s">
        <v>551</v>
      </c>
      <c r="F158" s="544"/>
      <c r="H158" s="568"/>
      <c r="I158" s="568"/>
      <c r="J158" s="568"/>
      <c r="K158" s="568"/>
      <c r="L158" s="568"/>
      <c r="M158" s="568"/>
      <c r="N158" s="568"/>
      <c r="O158" s="568"/>
      <c r="P158" s="568"/>
      <c r="Q158" s="634">
        <v>1200</v>
      </c>
    </row>
    <row r="159" spans="1:18" ht="15" customHeight="1">
      <c r="B159" s="632" t="s">
        <v>6</v>
      </c>
      <c r="C159" s="635" t="s">
        <v>389</v>
      </c>
      <c r="D159" s="506"/>
      <c r="E159" s="506" t="s">
        <v>551</v>
      </c>
      <c r="F159" s="544"/>
      <c r="H159" s="568"/>
      <c r="I159" s="568"/>
      <c r="J159" s="568"/>
      <c r="K159" s="568"/>
      <c r="L159" s="568"/>
      <c r="M159" s="568"/>
      <c r="N159" s="568"/>
      <c r="O159" s="568"/>
      <c r="P159" s="568"/>
      <c r="Q159" s="634">
        <v>1000</v>
      </c>
    </row>
    <row r="160" spans="1:18" ht="15" customHeight="1">
      <c r="B160" s="632" t="s">
        <v>5</v>
      </c>
      <c r="C160" s="635" t="s">
        <v>390</v>
      </c>
      <c r="D160" s="506"/>
      <c r="E160" s="506" t="s">
        <v>551</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551</v>
      </c>
      <c r="F163" s="544"/>
      <c r="H163" s="568"/>
      <c r="I163" s="568"/>
      <c r="J163" s="568"/>
      <c r="K163" s="568"/>
      <c r="L163" s="568"/>
      <c r="M163" s="568"/>
      <c r="N163" s="568"/>
      <c r="O163" s="568"/>
      <c r="P163" s="568"/>
      <c r="Q163" s="634">
        <v>1800</v>
      </c>
    </row>
    <row r="164" spans="2:18" ht="15" customHeight="1">
      <c r="B164" s="632" t="s">
        <v>1</v>
      </c>
      <c r="C164" s="633" t="s">
        <v>357</v>
      </c>
      <c r="D164" s="506"/>
      <c r="E164" s="506" t="s">
        <v>551</v>
      </c>
      <c r="F164" s="544"/>
      <c r="H164" s="568"/>
      <c r="I164" s="568"/>
      <c r="J164" s="568"/>
      <c r="K164" s="568"/>
      <c r="L164" s="568"/>
      <c r="M164" s="568"/>
      <c r="N164" s="568"/>
      <c r="O164" s="568"/>
      <c r="P164" s="568"/>
      <c r="Q164" s="634">
        <v>6000</v>
      </c>
    </row>
    <row r="165" spans="2:18" ht="15" customHeight="1">
      <c r="B165" s="632" t="s">
        <v>0</v>
      </c>
      <c r="C165" s="633" t="s">
        <v>363</v>
      </c>
      <c r="D165" s="506"/>
      <c r="E165" s="686" t="s">
        <v>551</v>
      </c>
      <c r="F165" s="544"/>
      <c r="H165" s="568"/>
      <c r="I165" s="568"/>
      <c r="J165" s="568"/>
      <c r="K165" s="568"/>
      <c r="L165" s="568"/>
      <c r="M165" s="568"/>
      <c r="N165" s="568"/>
      <c r="O165" s="568"/>
      <c r="P165" s="568"/>
      <c r="Q165" s="634">
        <v>1800</v>
      </c>
    </row>
    <row r="166" spans="2:18" ht="15" customHeight="1">
      <c r="B166" s="632" t="s">
        <v>3</v>
      </c>
      <c r="C166" s="633" t="s">
        <v>364</v>
      </c>
      <c r="D166" s="506"/>
      <c r="E166" s="686" t="s">
        <v>551</v>
      </c>
      <c r="F166" s="544"/>
      <c r="H166" s="568"/>
      <c r="I166" s="568"/>
      <c r="J166" s="568"/>
      <c r="K166" s="568"/>
      <c r="L166" s="568"/>
      <c r="M166" s="568"/>
      <c r="N166" s="568"/>
      <c r="O166" s="568"/>
      <c r="P166" s="568"/>
      <c r="Q166" s="634">
        <v>1800</v>
      </c>
    </row>
    <row r="167" spans="2:18" ht="15" customHeight="1">
      <c r="B167" s="632" t="s">
        <v>7</v>
      </c>
      <c r="C167" s="633" t="s">
        <v>365</v>
      </c>
      <c r="D167" s="506"/>
      <c r="E167" s="686" t="s">
        <v>551</v>
      </c>
      <c r="F167" s="544"/>
      <c r="H167" s="568"/>
      <c r="I167" s="568"/>
      <c r="J167" s="568"/>
      <c r="K167" s="568"/>
      <c r="L167" s="568"/>
      <c r="M167" s="568"/>
      <c r="N167" s="568"/>
      <c r="O167" s="568"/>
      <c r="P167" s="568"/>
      <c r="Q167" s="634">
        <v>1800</v>
      </c>
    </row>
    <row r="168" spans="2:18" ht="15" customHeight="1">
      <c r="B168" s="632" t="s">
        <v>6</v>
      </c>
      <c r="C168" s="633" t="s">
        <v>366</v>
      </c>
      <c r="D168" s="506"/>
      <c r="E168" s="506" t="s">
        <v>551</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551</v>
      </c>
      <c r="F171" s="544"/>
      <c r="H171" s="568"/>
      <c r="I171" s="568"/>
      <c r="J171" s="568"/>
      <c r="K171" s="568"/>
      <c r="L171" s="568"/>
      <c r="M171" s="568"/>
      <c r="N171" s="568"/>
      <c r="O171" s="568"/>
      <c r="P171" s="568"/>
      <c r="Q171" s="634">
        <v>130</v>
      </c>
    </row>
    <row r="172" spans="2:18" ht="15" customHeight="1">
      <c r="B172" s="632" t="s">
        <v>1</v>
      </c>
      <c r="C172" s="635" t="s">
        <v>386</v>
      </c>
      <c r="D172" s="506"/>
      <c r="E172" s="506" t="s">
        <v>551</v>
      </c>
      <c r="F172" s="544"/>
      <c r="H172" s="568"/>
      <c r="I172" s="568"/>
      <c r="J172" s="568"/>
      <c r="K172" s="568"/>
      <c r="L172" s="568"/>
      <c r="M172" s="568"/>
      <c r="N172" s="568"/>
      <c r="O172" s="568"/>
      <c r="P172" s="568"/>
      <c r="Q172" s="634">
        <v>300</v>
      </c>
    </row>
    <row r="173" spans="2:18" ht="15" customHeight="1">
      <c r="B173" s="632" t="s">
        <v>0</v>
      </c>
      <c r="C173" s="635" t="s">
        <v>387</v>
      </c>
      <c r="D173" s="506"/>
      <c r="E173" s="506" t="s">
        <v>551</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551</v>
      </c>
      <c r="F176" s="544"/>
      <c r="H176" s="568"/>
      <c r="I176" s="568"/>
      <c r="J176" s="568"/>
      <c r="K176" s="568"/>
      <c r="L176" s="568"/>
      <c r="M176" s="568"/>
      <c r="N176" s="568"/>
      <c r="O176" s="568"/>
      <c r="P176" s="568"/>
      <c r="Q176" s="634">
        <v>130</v>
      </c>
    </row>
    <row r="177" spans="2:19" ht="4.5" customHeight="1">
      <c r="C177" s="401"/>
      <c r="Q177" s="636"/>
    </row>
    <row r="178" spans="2:19" ht="15" customHeight="1">
      <c r="B178" s="559"/>
      <c r="C178" s="560" t="s">
        <v>395</v>
      </c>
      <c r="D178" s="560"/>
      <c r="E178" s="560"/>
      <c r="F178" s="561"/>
      <c r="G178" s="3"/>
      <c r="H178" s="559"/>
      <c r="I178" s="562"/>
      <c r="J178" s="562"/>
      <c r="K178" s="562"/>
      <c r="L178" s="562"/>
      <c r="M178" s="562"/>
      <c r="N178" s="562"/>
      <c r="O178" s="562"/>
      <c r="P178" s="562"/>
      <c r="Q178" s="637"/>
      <c r="R178" s="527"/>
    </row>
    <row r="179" spans="2:19" ht="15" customHeight="1">
      <c r="B179" s="632" t="s">
        <v>2</v>
      </c>
      <c r="C179" s="633" t="s">
        <v>372</v>
      </c>
      <c r="D179" s="506"/>
      <c r="E179" s="506" t="s">
        <v>551</v>
      </c>
      <c r="F179" s="544"/>
      <c r="H179" s="568"/>
      <c r="I179" s="568"/>
      <c r="J179" s="568"/>
      <c r="K179" s="568"/>
      <c r="L179" s="568"/>
      <c r="M179" s="568"/>
      <c r="N179" s="568"/>
      <c r="O179" s="568"/>
      <c r="P179" s="568"/>
      <c r="Q179" s="634">
        <v>360</v>
      </c>
    </row>
    <row r="181" spans="2:19" ht="15" customHeight="1">
      <c r="B181" s="498"/>
      <c r="C181" s="538" t="s">
        <v>737</v>
      </c>
      <c r="D181" s="538"/>
      <c r="E181" s="538"/>
      <c r="F181" s="500"/>
      <c r="G181" s="3"/>
      <c r="H181" s="498"/>
      <c r="I181" s="539"/>
      <c r="J181" s="539"/>
      <c r="K181" s="539"/>
      <c r="L181" s="539"/>
      <c r="M181" s="539"/>
      <c r="N181" s="539"/>
      <c r="O181" s="539"/>
      <c r="P181" s="539"/>
      <c r="Q181" s="540"/>
    </row>
    <row r="182" spans="2:19" ht="4.5" customHeight="1">
      <c r="B182" s="3"/>
      <c r="C182" s="3"/>
      <c r="D182" s="3"/>
      <c r="E182" s="3"/>
      <c r="F182" s="3"/>
      <c r="G182" s="3"/>
      <c r="H182" s="6"/>
      <c r="I182" s="6"/>
      <c r="J182" s="6"/>
      <c r="K182" s="6"/>
      <c r="L182" s="6"/>
      <c r="M182" s="6"/>
      <c r="N182" s="6"/>
      <c r="O182" s="6"/>
      <c r="P182" s="6"/>
      <c r="Q182" s="6"/>
    </row>
    <row r="183" spans="2:19" ht="15" customHeight="1">
      <c r="B183" s="559"/>
      <c r="C183" s="560" t="s">
        <v>738</v>
      </c>
      <c r="D183" s="560"/>
      <c r="E183" s="560"/>
      <c r="F183" s="561"/>
    </row>
    <row r="184" spans="2:19" ht="15" customHeight="1">
      <c r="B184" s="566"/>
      <c r="C184" s="567"/>
      <c r="D184" s="543"/>
      <c r="E184" s="544"/>
      <c r="F184" s="544" t="s">
        <v>740</v>
      </c>
    </row>
    <row r="185" spans="2:19" ht="4.5" customHeight="1">
      <c r="C185" s="401"/>
      <c r="H185" s="522"/>
      <c r="I185" s="522"/>
      <c r="J185" s="522"/>
      <c r="K185" s="522"/>
      <c r="L185" s="522"/>
      <c r="M185" s="522"/>
      <c r="N185" s="522"/>
      <c r="O185" s="522"/>
      <c r="P185" s="522"/>
      <c r="Q185" s="783"/>
      <c r="R185" s="784"/>
    </row>
    <row r="186" spans="2:19" ht="15" customHeight="1">
      <c r="B186" s="559"/>
      <c r="C186" s="560" t="s">
        <v>739</v>
      </c>
      <c r="D186" s="560"/>
      <c r="E186" s="560"/>
      <c r="F186" s="561"/>
      <c r="G186" s="3"/>
      <c r="H186" s="787"/>
      <c r="I186" s="787"/>
      <c r="J186" s="787"/>
      <c r="K186" s="787"/>
      <c r="L186" s="787"/>
      <c r="M186" s="787"/>
      <c r="N186" s="787"/>
      <c r="O186" s="787"/>
      <c r="P186" s="787"/>
      <c r="Q186" s="788"/>
      <c r="R186" s="35"/>
      <c r="S186" s="527"/>
    </row>
    <row r="187" spans="2:19" ht="15" customHeight="1">
      <c r="B187" s="632"/>
      <c r="C187" s="633"/>
      <c r="D187" s="506"/>
      <c r="E187" s="506"/>
      <c r="F187" s="544" t="s">
        <v>741</v>
      </c>
      <c r="H187" s="789"/>
      <c r="I187" s="789"/>
      <c r="J187" s="789"/>
      <c r="K187" s="789"/>
      <c r="L187" s="789"/>
      <c r="M187" s="789"/>
      <c r="N187" s="789"/>
      <c r="O187" s="789"/>
      <c r="P187" s="789"/>
      <c r="Q187" s="790"/>
      <c r="R187" s="35"/>
      <c r="S187" s="527"/>
    </row>
    <row r="188" spans="2:19" ht="15" customHeight="1">
      <c r="H188" s="791"/>
      <c r="I188" s="791"/>
      <c r="J188" s="791"/>
      <c r="K188" s="791"/>
      <c r="L188" s="791"/>
      <c r="M188" s="791"/>
      <c r="N188" s="791"/>
      <c r="O188" s="791"/>
      <c r="P188" s="791"/>
      <c r="Q188" s="791"/>
      <c r="R188" s="35"/>
      <c r="S188" s="527"/>
    </row>
    <row r="189" spans="2:19" ht="15" customHeight="1">
      <c r="H189" s="785"/>
      <c r="I189" s="785"/>
      <c r="J189" s="785"/>
      <c r="K189" s="785"/>
      <c r="L189" s="785"/>
      <c r="M189" s="785"/>
      <c r="N189" s="785"/>
      <c r="O189" s="785"/>
      <c r="P189" s="785"/>
      <c r="Q189" s="785"/>
      <c r="R189" s="786"/>
    </row>
  </sheetData>
  <sheetProtection algorithmName="SHA-512" hashValue="Olvkm9lAqLy5yajZtPh/w5l0Dm1ncVzZ2M3eq/Ku4vzxw2B0hTKsuyrr4IYYrX5MoMP9AGwTriaCkBLMgg/pyw==" saltValue="ji2K7dI6eK8cporCa5S3PQ=="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728</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728</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728</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728</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728</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728</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728</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728</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728</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728</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728</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728</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728</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728</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736</v>
      </c>
      <c r="E17" s="267">
        <v>46054</v>
      </c>
      <c r="F17" s="267">
        <v>46418</v>
      </c>
      <c r="G17" s="779">
        <v>2211</v>
      </c>
      <c r="H17" s="273">
        <v>220</v>
      </c>
      <c r="I17" s="780">
        <v>33</v>
      </c>
      <c r="J17" s="780"/>
      <c r="K17" s="264"/>
      <c r="L17" s="781">
        <f>G17/H17*1.3/6</f>
        <v>2.1775000000000002</v>
      </c>
      <c r="M17" s="270"/>
      <c r="N17" s="270" t="s">
        <v>316</v>
      </c>
      <c r="O17" s="270">
        <v>0.3</v>
      </c>
      <c r="P17" s="270">
        <v>0.06</v>
      </c>
      <c r="Q17" s="698">
        <v>0.2</v>
      </c>
      <c r="R17" s="780"/>
      <c r="S17" s="780">
        <f>$R$4</f>
        <v>25.52</v>
      </c>
      <c r="T17" s="782">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582</v>
      </c>
      <c r="D2" s="387" t="str">
        <f t="shared" ref="D2:D29" si="0">IF(AND(G2&gt;0,ISNUMBER(G2)),ROW(),"")</f>
        <v/>
      </c>
      <c r="E2" s="387" t="str">
        <f>Produtividade!C195</f>
        <v>2.1 - Áreas internas</v>
      </c>
      <c r="F2" s="387"/>
      <c r="G2" s="394" t="str">
        <f>IFERROR(INDEX(Produtividade!L:L,MATCH(E2,Produtividade!C:C,0)),"")</f>
        <v>Área contratada</v>
      </c>
      <c r="I2" s="387" t="str">
        <f>IFERROR(SMALL(D:D,ROW()-1),"")</f>
        <v/>
      </c>
      <c r="J2" s="387" t="str">
        <f t="shared" ref="J2:J19" si="1">IF($I2="","",INDEX(E:E,MATCH($I2,$D:$D,0)))</f>
        <v/>
      </c>
    </row>
    <row r="3" spans="1:10">
      <c r="A3" s="446" t="s">
        <v>583</v>
      </c>
      <c r="D3" s="387" t="str">
        <f t="shared" si="0"/>
        <v/>
      </c>
      <c r="E3" s="387" t="str">
        <f>Produtividade!C196</f>
        <v>Pisos acarpetados</v>
      </c>
      <c r="F3" s="387" t="s">
        <v>354</v>
      </c>
      <c r="G3" s="394">
        <f>IFERROR(INDEX(Produtividade!L:L,MATCH(E3,Produtividade!C:C,0)),"")</f>
        <v>0</v>
      </c>
      <c r="I3" s="387" t="str">
        <f t="shared" ref="I3:I19" si="2">IFERROR(SMALL(D:D,ROW()-1),"")</f>
        <v/>
      </c>
      <c r="J3" s="387" t="str">
        <f t="shared" si="1"/>
        <v/>
      </c>
    </row>
    <row r="4" spans="1:10">
      <c r="A4" s="446" t="s">
        <v>584</v>
      </c>
      <c r="D4" s="387" t="str">
        <f t="shared" si="0"/>
        <v/>
      </c>
      <c r="E4" s="387" t="str">
        <f>Produtividade!C197</f>
        <v>Pisos Frios</v>
      </c>
      <c r="F4" s="387" t="s">
        <v>354</v>
      </c>
      <c r="G4" s="394">
        <f>IFERROR(INDEX(Produtividade!L:L,MATCH(E4,Produtividade!C:C,0)),"")</f>
        <v>0</v>
      </c>
      <c r="I4" s="387" t="str">
        <f t="shared" si="2"/>
        <v/>
      </c>
      <c r="J4" s="387" t="str">
        <f t="shared" si="1"/>
        <v/>
      </c>
    </row>
    <row r="5" spans="1:10">
      <c r="A5" s="446" t="s">
        <v>585</v>
      </c>
      <c r="D5" s="387" t="str">
        <f t="shared" si="0"/>
        <v/>
      </c>
      <c r="E5" s="387" t="str">
        <f>Produtividade!C198</f>
        <v>Laboratoriais</v>
      </c>
      <c r="F5" s="387" t="s">
        <v>354</v>
      </c>
      <c r="G5" s="394">
        <f>IFERROR(INDEX(Produtividade!L:L,MATCH(E5,Produtividade!C:C,0)),"")</f>
        <v>0</v>
      </c>
      <c r="I5" s="387" t="str">
        <f t="shared" si="2"/>
        <v/>
      </c>
      <c r="J5" s="387" t="str">
        <f t="shared" si="1"/>
        <v/>
      </c>
    </row>
    <row r="6" spans="1:10">
      <c r="A6" s="446" t="s">
        <v>586</v>
      </c>
      <c r="D6" s="387" t="str">
        <f t="shared" si="0"/>
        <v/>
      </c>
      <c r="E6" s="387" t="str">
        <f>Produtividade!C199</f>
        <v>Almoxarifados/galpões</v>
      </c>
      <c r="F6" s="387" t="s">
        <v>354</v>
      </c>
      <c r="G6" s="394">
        <f>IFERROR(INDEX(Produtividade!L:L,MATCH(E6,Produtividade!C:C,0)),"")</f>
        <v>0</v>
      </c>
      <c r="I6" s="387" t="str">
        <f t="shared" si="2"/>
        <v/>
      </c>
      <c r="J6" s="387" t="str">
        <f t="shared" si="1"/>
        <v/>
      </c>
    </row>
    <row r="7" spans="1:10">
      <c r="A7" s="446" t="s">
        <v>587</v>
      </c>
      <c r="D7" s="387" t="str">
        <f t="shared" si="0"/>
        <v/>
      </c>
      <c r="E7" s="387" t="str">
        <f>Produtividade!C200</f>
        <v>Oficinas</v>
      </c>
      <c r="F7" s="387" t="s">
        <v>354</v>
      </c>
      <c r="G7" s="394">
        <f>IFERROR(INDEX(Produtividade!L:L,MATCH(E7,Produtividade!C:C,0)),"")</f>
        <v>0</v>
      </c>
      <c r="I7" s="387" t="str">
        <f t="shared" si="2"/>
        <v/>
      </c>
      <c r="J7" s="387" t="str">
        <f t="shared" si="1"/>
        <v/>
      </c>
    </row>
    <row r="8" spans="1:10">
      <c r="A8" s="446" t="s">
        <v>588</v>
      </c>
      <c r="D8" s="387" t="str">
        <f t="shared" si="0"/>
        <v/>
      </c>
      <c r="E8" s="387" t="str">
        <f>Produtividade!C201</f>
        <v>Áreas com espaços livres - saguão, hall e salão</v>
      </c>
      <c r="F8" s="387" t="s">
        <v>354</v>
      </c>
      <c r="G8" s="394">
        <f>IFERROR(INDEX(Produtividade!L:L,MATCH(E8,Produtividade!C:C,0)),"")</f>
        <v>0</v>
      </c>
      <c r="I8" s="387" t="str">
        <f t="shared" si="2"/>
        <v/>
      </c>
      <c r="J8" s="387" t="str">
        <f t="shared" si="1"/>
        <v/>
      </c>
    </row>
    <row r="9" spans="1:10">
      <c r="A9" s="446" t="s">
        <v>589</v>
      </c>
      <c r="D9" s="387" t="str">
        <f t="shared" si="0"/>
        <v/>
      </c>
      <c r="E9" s="387" t="str">
        <f>Produtividade!C202</f>
        <v>Banheiros</v>
      </c>
      <c r="F9" s="387" t="s">
        <v>354</v>
      </c>
      <c r="G9" s="394">
        <f>IFERROR(INDEX(Produtividade!L:L,MATCH(E9,Produtividade!C:C,0)),"")</f>
        <v>0</v>
      </c>
      <c r="I9" s="387" t="str">
        <f t="shared" si="2"/>
        <v/>
      </c>
      <c r="J9" s="387" t="str">
        <f t="shared" si="1"/>
        <v/>
      </c>
    </row>
    <row r="10" spans="1:10">
      <c r="A10" s="446" t="s">
        <v>590</v>
      </c>
      <c r="D10" s="387" t="str">
        <f t="shared" si="0"/>
        <v/>
      </c>
      <c r="E10" s="387">
        <f>Produtividade!C203</f>
        <v>0</v>
      </c>
      <c r="F10" s="387"/>
      <c r="G10" s="394" t="str">
        <f>IFERROR(INDEX(Produtividade!L:L,MATCH(E10,Produtividade!C:C,0)),"")</f>
        <v/>
      </c>
      <c r="I10" s="387" t="str">
        <f t="shared" si="2"/>
        <v/>
      </c>
      <c r="J10" s="387" t="str">
        <f t="shared" si="1"/>
        <v/>
      </c>
    </row>
    <row r="11" spans="1:10">
      <c r="A11" s="446" t="s">
        <v>591</v>
      </c>
      <c r="D11" s="387" t="str">
        <f t="shared" si="0"/>
        <v/>
      </c>
      <c r="E11" s="387" t="str">
        <f>Produtividade!C204</f>
        <v>2.2 - Áreas externas</v>
      </c>
      <c r="F11" s="387"/>
      <c r="G11" s="394">
        <f>IFERROR(INDEX(Produtividade!L:L,MATCH(E11,Produtividade!C:C,0)),"")</f>
        <v>0</v>
      </c>
      <c r="I11" s="387" t="str">
        <f t="shared" si="2"/>
        <v/>
      </c>
      <c r="J11" s="387" t="str">
        <f t="shared" si="1"/>
        <v/>
      </c>
    </row>
    <row r="12" spans="1:10">
      <c r="A12" s="446" t="s">
        <v>592</v>
      </c>
      <c r="D12" s="387" t="str">
        <f t="shared" si="0"/>
        <v/>
      </c>
      <c r="E12" s="387" t="str">
        <f>Produtividade!C205</f>
        <v>Pisos pavimentados adjacentes/contíguos às edificações</v>
      </c>
      <c r="F12" s="387" t="s">
        <v>355</v>
      </c>
      <c r="G12" s="394">
        <f>IFERROR(INDEX(Produtividade!L:L,MATCH(E12,Produtividade!C:C,0)),"")</f>
        <v>0</v>
      </c>
      <c r="I12" s="387" t="str">
        <f t="shared" si="2"/>
        <v/>
      </c>
      <c r="J12" s="387" t="str">
        <f t="shared" si="1"/>
        <v/>
      </c>
    </row>
    <row r="13" spans="1:10">
      <c r="A13" s="446" t="s">
        <v>593</v>
      </c>
      <c r="D13" s="387" t="str">
        <f t="shared" si="0"/>
        <v/>
      </c>
      <c r="E13" s="387" t="str">
        <f>Produtividade!C206</f>
        <v>Varrição de passeios e arruamentos</v>
      </c>
      <c r="F13" s="387" t="s">
        <v>355</v>
      </c>
      <c r="G13" s="394">
        <f>IFERROR(INDEX(Produtividade!L:L,MATCH(E13,Produtividade!C:C,0)),"")</f>
        <v>0</v>
      </c>
      <c r="I13" s="387" t="str">
        <f t="shared" si="2"/>
        <v/>
      </c>
      <c r="J13" s="387" t="str">
        <f t="shared" si="1"/>
        <v/>
      </c>
    </row>
    <row r="14" spans="1:10">
      <c r="A14" s="446" t="s">
        <v>594</v>
      </c>
      <c r="D14" s="387" t="str">
        <f t="shared" si="0"/>
        <v/>
      </c>
      <c r="E14" s="387" t="str">
        <f>Produtividade!C207</f>
        <v>Pátios e áreas verdes com alta frequência (semanal)</v>
      </c>
      <c r="F14" s="387" t="s">
        <v>355</v>
      </c>
      <c r="G14" s="394">
        <f>IFERROR(INDEX(Produtividade!L:L,MATCH(E14,Produtividade!C:C,0)),"")</f>
        <v>0</v>
      </c>
      <c r="I14" s="387" t="str">
        <f t="shared" si="2"/>
        <v/>
      </c>
      <c r="J14" s="387" t="str">
        <f t="shared" si="1"/>
        <v/>
      </c>
    </row>
    <row r="15" spans="1:10">
      <c r="A15" s="446" t="s">
        <v>595</v>
      </c>
      <c r="D15" s="387" t="str">
        <f t="shared" si="0"/>
        <v/>
      </c>
      <c r="E15" s="387" t="str">
        <f>Produtividade!C208</f>
        <v>Pátios e áreas verdes com média frequência (quinzenal)</v>
      </c>
      <c r="F15" s="387" t="s">
        <v>355</v>
      </c>
      <c r="G15" s="394">
        <f>IFERROR(INDEX(Produtividade!L:L,MATCH(E15,Produtividade!C:C,0)),"")</f>
        <v>0</v>
      </c>
      <c r="I15" s="387" t="str">
        <f t="shared" si="2"/>
        <v/>
      </c>
      <c r="J15" s="387" t="str">
        <f t="shared" si="1"/>
        <v/>
      </c>
    </row>
    <row r="16" spans="1:10">
      <c r="A16" s="446" t="s">
        <v>596</v>
      </c>
      <c r="D16" s="387" t="str">
        <f t="shared" si="0"/>
        <v/>
      </c>
      <c r="E16" s="387" t="str">
        <f>Produtividade!C209</f>
        <v>Pátios e áreas verdes com baixa frequência (mensal)</v>
      </c>
      <c r="F16" s="387" t="s">
        <v>355</v>
      </c>
      <c r="G16" s="394">
        <f>IFERROR(INDEX(Produtividade!L:L,MATCH(E16,Produtividade!C:C,0)),"")</f>
        <v>0</v>
      </c>
      <c r="I16" s="387" t="str">
        <f t="shared" si="2"/>
        <v/>
      </c>
      <c r="J16" s="387" t="str">
        <f t="shared" si="1"/>
        <v/>
      </c>
    </row>
    <row r="17" spans="1:10">
      <c r="A17" s="446" t="s">
        <v>597</v>
      </c>
      <c r="D17" s="387" t="str">
        <f t="shared" si="0"/>
        <v/>
      </c>
      <c r="E17" s="387" t="str">
        <f>Produtividade!C210</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598</v>
      </c>
      <c r="D18" s="387" t="str">
        <f t="shared" si="0"/>
        <v/>
      </c>
      <c r="E18" s="387">
        <f>Produtividade!C211</f>
        <v>0</v>
      </c>
      <c r="F18" s="387"/>
      <c r="G18" s="394" t="str">
        <f>IFERROR(INDEX(Produtividade!L:L,MATCH(E18,Produtividade!C:C,0)),"")</f>
        <v/>
      </c>
      <c r="I18" s="387" t="str">
        <f t="shared" si="2"/>
        <v/>
      </c>
      <c r="J18" s="387" t="str">
        <f t="shared" si="1"/>
        <v/>
      </c>
    </row>
    <row r="19" spans="1:10">
      <c r="A19" s="446" t="s">
        <v>599</v>
      </c>
      <c r="D19" s="387" t="str">
        <f t="shared" si="0"/>
        <v/>
      </c>
      <c r="E19" s="387" t="str">
        <f>Produtividade!C212</f>
        <v>2.3 - Esquadrias externas</v>
      </c>
      <c r="F19" s="387"/>
      <c r="G19" s="394">
        <f>IFERROR(INDEX(Produtividade!L:L,MATCH(E19,Produtividade!C:C,0)),"")</f>
        <v>0</v>
      </c>
      <c r="I19" s="387" t="str">
        <f t="shared" si="2"/>
        <v/>
      </c>
      <c r="J19" s="387" t="str">
        <f t="shared" si="1"/>
        <v/>
      </c>
    </row>
    <row r="20" spans="1:10">
      <c r="A20" s="446" t="s">
        <v>600</v>
      </c>
      <c r="D20" s="387" t="str">
        <f t="shared" si="0"/>
        <v/>
      </c>
      <c r="E20" s="387" t="str">
        <f>Produtividade!C213</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601</v>
      </c>
      <c r="D21" s="387" t="str">
        <f t="shared" si="0"/>
        <v/>
      </c>
      <c r="E21" s="387" t="str">
        <f>Produtividade!C214</f>
        <v>Face externa - sem exposição a situação de risco (trimestral)</v>
      </c>
      <c r="F21" s="387" t="s">
        <v>382</v>
      </c>
      <c r="G21" s="394">
        <f>IFERROR(INDEX(Produtividade!L:L,MATCH(E21,Produtividade!C:C,0)),"")</f>
        <v>0</v>
      </c>
      <c r="I21" t="str">
        <f t="shared" si="3"/>
        <v/>
      </c>
      <c r="J21" t="str">
        <f t="shared" si="4"/>
        <v/>
      </c>
    </row>
    <row r="22" spans="1:10">
      <c r="A22" s="446" t="s">
        <v>609</v>
      </c>
      <c r="D22" s="387" t="str">
        <f t="shared" si="0"/>
        <v/>
      </c>
      <c r="E22" s="387" t="str">
        <f>Produtividade!C215</f>
        <v>Face interna - sem exposição a situação de risco (quinzenal)</v>
      </c>
      <c r="F22" s="387" t="s">
        <v>382</v>
      </c>
      <c r="G22" s="394">
        <f>IFERROR(INDEX(Produtividade!L:L,MATCH(E22,Produtividade!C:C,0)),"")</f>
        <v>0</v>
      </c>
      <c r="I22" t="str">
        <f t="shared" si="3"/>
        <v/>
      </c>
      <c r="J22" t="str">
        <f t="shared" si="4"/>
        <v/>
      </c>
    </row>
    <row r="23" spans="1:10">
      <c r="A23" s="446" t="s">
        <v>602</v>
      </c>
      <c r="D23" s="387" t="str">
        <f t="shared" si="0"/>
        <v/>
      </c>
      <c r="E23" s="387">
        <f>Produtividade!C216</f>
        <v>0</v>
      </c>
      <c r="F23" s="387"/>
      <c r="G23" s="394" t="str">
        <f>IFERROR(INDEX(Produtividade!L:L,MATCH(E23,Produtividade!C:C,0)),"")</f>
        <v/>
      </c>
      <c r="I23" t="str">
        <f t="shared" si="3"/>
        <v/>
      </c>
      <c r="J23" t="str">
        <f t="shared" si="4"/>
        <v/>
      </c>
    </row>
    <row r="24" spans="1:10">
      <c r="A24" s="446" t="s">
        <v>603</v>
      </c>
      <c r="D24" s="387" t="str">
        <f t="shared" si="0"/>
        <v/>
      </c>
      <c r="E24" s="387" t="str">
        <f>Produtividade!C217</f>
        <v>2.4 - Fachadas</v>
      </c>
      <c r="F24" s="387"/>
      <c r="G24" s="394">
        <f>IFERROR(INDEX(Produtividade!L:L,MATCH(E24,Produtividade!C:C,0)),"")</f>
        <v>0</v>
      </c>
      <c r="I24" t="str">
        <f t="shared" si="3"/>
        <v/>
      </c>
      <c r="J24" t="str">
        <f t="shared" si="4"/>
        <v/>
      </c>
    </row>
    <row r="25" spans="1:10">
      <c r="A25" s="446" t="s">
        <v>604</v>
      </c>
      <c r="D25" s="387" t="str">
        <f t="shared" si="0"/>
        <v/>
      </c>
      <c r="E25" s="387" t="str">
        <f>Produtividade!C218</f>
        <v>Fachadas Envidraçadas (trimestral)</v>
      </c>
      <c r="F25" s="387" t="s">
        <v>383</v>
      </c>
      <c r="G25" s="394">
        <f>IFERROR(INDEX(Produtividade!L:L,MATCH(E25,Produtividade!C:C,0)),"")</f>
        <v>0</v>
      </c>
      <c r="I25" t="str">
        <f t="shared" si="3"/>
        <v/>
      </c>
      <c r="J25" t="str">
        <f t="shared" si="4"/>
        <v/>
      </c>
    </row>
    <row r="26" spans="1:10">
      <c r="A26" s="446" t="s">
        <v>605</v>
      </c>
      <c r="D26" s="387" t="str">
        <f t="shared" si="0"/>
        <v/>
      </c>
      <c r="E26" s="387">
        <f>Produtividade!C219</f>
        <v>0</v>
      </c>
      <c r="F26" s="387"/>
      <c r="G26" s="394" t="str">
        <f>IFERROR(INDEX(Produtividade!L:L,MATCH(E26,Produtividade!C:C,0)),"")</f>
        <v/>
      </c>
      <c r="I26" t="str">
        <f>IFERROR(SMALL(D:D,ROW()-1),"")</f>
        <v/>
      </c>
      <c r="J26" t="str">
        <f>IF($I26="","",INDEX(E:E,MATCH($I26,$D:$D,0)))</f>
        <v/>
      </c>
    </row>
    <row r="27" spans="1:10">
      <c r="A27" s="446" t="s">
        <v>606</v>
      </c>
      <c r="D27" s="387" t="str">
        <f t="shared" si="0"/>
        <v/>
      </c>
      <c r="E27" s="387" t="str">
        <f>Produtividade!C220</f>
        <v>2.5 - Áreas Hospitalares</v>
      </c>
      <c r="F27" s="387"/>
      <c r="G27" s="394">
        <f>IFERROR(INDEX(Produtividade!L:L,MATCH(E27,Produtividade!C:C,0)),"")</f>
        <v>0</v>
      </c>
      <c r="I27" t="str">
        <f>IFERROR(SMALL(D:D,ROW()-1),"")</f>
        <v/>
      </c>
      <c r="J27" t="str">
        <f>IF($I27="","",INDEX(E:E,MATCH($I27,$D:$D,0)))</f>
        <v/>
      </c>
    </row>
    <row r="28" spans="1:10">
      <c r="A28" s="446" t="s">
        <v>607</v>
      </c>
      <c r="D28" s="387" t="str">
        <f t="shared" si="0"/>
        <v/>
      </c>
      <c r="E28" s="387" t="str">
        <f>Produtividade!C221</f>
        <v>Áreas Hospitalares e assemelhadas</v>
      </c>
      <c r="F28" s="387" t="s">
        <v>384</v>
      </c>
      <c r="G28" s="394">
        <f>IFERROR(INDEX(Produtividade!L:L,MATCH(E28,Produtividade!C:C,0)),"")</f>
        <v>0</v>
      </c>
      <c r="I28" t="str">
        <f>IFERROR(SMALL(D:D,ROW()-1),"")</f>
        <v/>
      </c>
      <c r="J28" t="str">
        <f>IF($I28="","",INDEX(E:E,MATCH($I28,$D:$D,0)))</f>
        <v/>
      </c>
    </row>
    <row r="29" spans="1:10">
      <c r="A29" s="446" t="s">
        <v>608</v>
      </c>
      <c r="D29" s="387" t="str">
        <f t="shared" si="0"/>
        <v/>
      </c>
      <c r="E29" s="387">
        <f>Produtividade!C222</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Antonio Marcos Jeremias</cp:lastModifiedBy>
  <cp:lastPrinted>2023-11-16T17:30:01Z</cp:lastPrinted>
  <dcterms:created xsi:type="dcterms:W3CDTF">2015-06-05T18:19:34Z</dcterms:created>
  <dcterms:modified xsi:type="dcterms:W3CDTF">2026-08-25T19:57:53Z</dcterms:modified>
</cp:coreProperties>
</file>