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EstaPasta_de_trabalho" defaultThemeVersion="124226"/>
  <xr:revisionPtr revIDLastSave="0" documentId="8_{EC795192-9426-4C28-B627-AE1C4EA8F4A2}" xr6:coauthVersionLast="47" xr6:coauthVersionMax="47" xr10:uidLastSave="{00000000-0000-0000-0000-000000000000}"/>
  <bookViews>
    <workbookView xWindow="28680" yWindow="-135" windowWidth="29040" windowHeight="15720" firstSheet="2" activeTab="3"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57" i="2" l="1"/>
  <c r="P40" i="2"/>
  <c r="Q40" i="2"/>
  <c r="R40" i="2"/>
  <c r="R42"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R41" i="2"/>
  <c r="S41" i="2"/>
  <c r="T41" i="2"/>
  <c r="U41" i="2"/>
  <c r="V41" i="2"/>
  <c r="W41" i="2"/>
  <c r="X41" i="2"/>
  <c r="Y41" i="2"/>
  <c r="Z41" i="2"/>
  <c r="AA41" i="2"/>
  <c r="AB41" i="2"/>
  <c r="AC41" i="2"/>
  <c r="AD41" i="2"/>
  <c r="AE41" i="2"/>
  <c r="AF41" i="2"/>
  <c r="AG41" i="2"/>
  <c r="AH41" i="2"/>
  <c r="AI41" i="2"/>
  <c r="J42" i="2"/>
  <c r="O43" i="2"/>
  <c r="P43" i="2"/>
  <c r="S43" i="2"/>
  <c r="T43" i="2"/>
  <c r="U43" i="2"/>
  <c r="V43" i="2"/>
  <c r="W43" i="2"/>
  <c r="X43" i="2"/>
  <c r="Y43" i="2"/>
  <c r="Z43" i="2"/>
  <c r="AA43" i="2"/>
  <c r="AB43" i="2"/>
  <c r="AC43" i="2"/>
  <c r="AD43" i="2"/>
  <c r="AE43" i="2"/>
  <c r="AF43" i="2"/>
  <c r="AG43" i="2"/>
  <c r="AH43" i="2"/>
  <c r="AI43" i="2"/>
  <c r="O44" i="2"/>
  <c r="O45" i="2"/>
  <c r="P45" i="2"/>
  <c r="S45" i="2"/>
  <c r="T45" i="2"/>
  <c r="U45" i="2"/>
  <c r="V45" i="2"/>
  <c r="W45" i="2"/>
  <c r="X45" i="2"/>
  <c r="Y45" i="2"/>
  <c r="Z45" i="2"/>
  <c r="AA45" i="2"/>
  <c r="AB45" i="2"/>
  <c r="AC45" i="2"/>
  <c r="AD45" i="2"/>
  <c r="AE45" i="2"/>
  <c r="AF45" i="2"/>
  <c r="AG45" i="2"/>
  <c r="AH45" i="2"/>
  <c r="AI45" i="2"/>
  <c r="O46" i="2"/>
  <c r="O47" i="2"/>
  <c r="P47" i="2"/>
  <c r="S47" i="2"/>
  <c r="T47" i="2"/>
  <c r="U47" i="2"/>
  <c r="V47" i="2"/>
  <c r="W47" i="2"/>
  <c r="X47" i="2"/>
  <c r="Y47" i="2"/>
  <c r="Z47" i="2"/>
  <c r="AA47" i="2"/>
  <c r="AB47" i="2"/>
  <c r="AC47" i="2"/>
  <c r="AD47" i="2"/>
  <c r="AE47" i="2"/>
  <c r="AF47" i="2"/>
  <c r="AG47" i="2"/>
  <c r="AH47" i="2"/>
  <c r="AI47" i="2"/>
  <c r="O48" i="2"/>
  <c r="O49" i="2"/>
  <c r="P49" i="2"/>
  <c r="S49" i="2"/>
  <c r="T49" i="2"/>
  <c r="U49" i="2"/>
  <c r="V49" i="2"/>
  <c r="W49" i="2"/>
  <c r="X49" i="2"/>
  <c r="Y49" i="2"/>
  <c r="Z49" i="2"/>
  <c r="AA49" i="2"/>
  <c r="AB49" i="2"/>
  <c r="AC49" i="2"/>
  <c r="AD49" i="2"/>
  <c r="AE49" i="2"/>
  <c r="AF49" i="2"/>
  <c r="AG49" i="2"/>
  <c r="AH49" i="2"/>
  <c r="AI49" i="2"/>
  <c r="O50" i="2"/>
  <c r="O51" i="2"/>
  <c r="P51" i="2"/>
  <c r="S51" i="2"/>
  <c r="T51" i="2"/>
  <c r="U51" i="2"/>
  <c r="V51" i="2"/>
  <c r="W51" i="2"/>
  <c r="X51" i="2"/>
  <c r="Y51" i="2"/>
  <c r="Z51" i="2"/>
  <c r="AA51" i="2"/>
  <c r="AB51" i="2"/>
  <c r="AC51" i="2"/>
  <c r="AD51" i="2"/>
  <c r="AE51" i="2"/>
  <c r="AF51" i="2"/>
  <c r="AG51" i="2"/>
  <c r="AH51" i="2"/>
  <c r="AI51" i="2"/>
  <c r="O52" i="2"/>
  <c r="O53" i="2"/>
  <c r="P53" i="2"/>
  <c r="S53" i="2"/>
  <c r="T53" i="2"/>
  <c r="U53" i="2"/>
  <c r="V53" i="2"/>
  <c r="W53" i="2"/>
  <c r="X53" i="2"/>
  <c r="Y53" i="2"/>
  <c r="Z53" i="2"/>
  <c r="AA53" i="2"/>
  <c r="AB53" i="2"/>
  <c r="AC53" i="2"/>
  <c r="AD53" i="2"/>
  <c r="AE53" i="2"/>
  <c r="AF53" i="2"/>
  <c r="AG53" i="2"/>
  <c r="AH53" i="2"/>
  <c r="AI53" i="2"/>
  <c r="O54" i="2"/>
  <c r="P61" i="2"/>
  <c r="Q61" i="2"/>
  <c r="Q63" i="2" s="1"/>
  <c r="R61" i="2"/>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S64" i="2"/>
  <c r="T64" i="2"/>
  <c r="U64" i="2"/>
  <c r="V64" i="2"/>
  <c r="W64" i="2"/>
  <c r="X64" i="2"/>
  <c r="Y64" i="2"/>
  <c r="Z64" i="2"/>
  <c r="AA64" i="2"/>
  <c r="AB64" i="2"/>
  <c r="AC64" i="2"/>
  <c r="AD64" i="2"/>
  <c r="AE64" i="2"/>
  <c r="AF64" i="2"/>
  <c r="AG64" i="2"/>
  <c r="AH64" i="2"/>
  <c r="AI64" i="2"/>
  <c r="O65" i="2"/>
  <c r="O66" i="2"/>
  <c r="P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S68" i="2"/>
  <c r="T68" i="2"/>
  <c r="U68" i="2"/>
  <c r="V68" i="2"/>
  <c r="W68" i="2"/>
  <c r="X68" i="2"/>
  <c r="Y68" i="2"/>
  <c r="Z68" i="2"/>
  <c r="AA68" i="2"/>
  <c r="AB68" i="2"/>
  <c r="AC68" i="2"/>
  <c r="AD68" i="2"/>
  <c r="AE68" i="2"/>
  <c r="AF68" i="2"/>
  <c r="AG68" i="2"/>
  <c r="AH68" i="2"/>
  <c r="AI68" i="2"/>
  <c r="O69" i="2"/>
  <c r="O70" i="2"/>
  <c r="P70" i="2"/>
  <c r="S70" i="2"/>
  <c r="T70" i="2"/>
  <c r="U70" i="2"/>
  <c r="V70" i="2"/>
  <c r="W70" i="2"/>
  <c r="X70" i="2"/>
  <c r="Y70" i="2"/>
  <c r="Z70" i="2"/>
  <c r="AA70" i="2"/>
  <c r="AB70" i="2"/>
  <c r="AC70" i="2"/>
  <c r="AD70" i="2"/>
  <c r="AE70" i="2"/>
  <c r="AF70" i="2"/>
  <c r="AG70" i="2"/>
  <c r="AH70" i="2"/>
  <c r="AI70" i="2"/>
  <c r="O71" i="2"/>
  <c r="O72" i="2"/>
  <c r="P72" i="2"/>
  <c r="S72" i="2"/>
  <c r="T72" i="2"/>
  <c r="U72" i="2"/>
  <c r="V72" i="2"/>
  <c r="W72" i="2"/>
  <c r="X72" i="2"/>
  <c r="Y72" i="2"/>
  <c r="Z72" i="2"/>
  <c r="AA72" i="2"/>
  <c r="AB72" i="2"/>
  <c r="AC72" i="2"/>
  <c r="AD72" i="2"/>
  <c r="AE72" i="2"/>
  <c r="AF72" i="2"/>
  <c r="AG72" i="2"/>
  <c r="AH72" i="2"/>
  <c r="AI72" i="2"/>
  <c r="O73" i="2"/>
  <c r="O74" i="2"/>
  <c r="P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R63" i="2" l="1"/>
  <c r="P63" i="2"/>
  <c r="Q62" i="2"/>
  <c r="Q42" i="2"/>
  <c r="M44" i="2" s="1"/>
  <c r="P42" i="2"/>
  <c r="M49" i="2" s="1"/>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5"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M72" i="2"/>
  <c r="H63" i="2"/>
  <c r="M69" i="2"/>
  <c r="M71" i="2"/>
  <c r="H126" i="2"/>
  <c r="M112" i="2"/>
  <c r="P107" i="2"/>
  <c r="M106" i="2"/>
  <c r="M114" i="2"/>
  <c r="M135" i="2"/>
  <c r="M128" i="2"/>
  <c r="M133" i="2"/>
  <c r="M127" i="2"/>
  <c r="M132" i="2"/>
  <c r="AA44" i="2"/>
  <c r="AA46" i="2" s="1"/>
  <c r="AA48" i="2" s="1"/>
  <c r="AA50" i="2" s="1"/>
  <c r="AA52" i="2" s="1"/>
  <c r="AA54" i="2" s="1"/>
  <c r="T46" i="2"/>
  <c r="T48" i="2" s="1"/>
  <c r="T50" i="2" s="1"/>
  <c r="T52" i="2" s="1"/>
  <c r="T54" i="2" s="1"/>
  <c r="M23" i="13"/>
  <c r="R62" i="2" l="1"/>
  <c r="I63" i="2" s="1"/>
  <c r="M48" i="2"/>
  <c r="M43" i="2"/>
  <c r="H42" i="2"/>
  <c r="Q41" i="2"/>
  <c r="P44" i="2" s="1"/>
  <c r="M50" i="2"/>
  <c r="M51" i="2"/>
  <c r="I443"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H128" i="2"/>
  <c r="I130" i="2"/>
  <c r="I787" i="2"/>
  <c r="I621" i="2"/>
  <c r="H1514" i="2"/>
  <c r="J1514" i="2" s="1"/>
  <c r="H1665" i="2"/>
  <c r="J1665" i="2" s="1"/>
  <c r="I1516" i="2"/>
  <c r="H1667" i="2"/>
  <c r="J1667" i="2" s="1"/>
  <c r="I2167" i="2"/>
  <c r="H1663" i="2"/>
  <c r="J1663" i="2" s="1"/>
  <c r="I863" i="2"/>
  <c r="H863" i="2"/>
  <c r="H926" i="2"/>
  <c r="J926" i="2" s="1"/>
  <c r="I1514" i="2"/>
  <c r="I550" i="2"/>
  <c r="I779" i="2"/>
  <c r="H1220" i="2"/>
  <c r="I1220"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R65" i="2" l="1"/>
  <c r="M68" i="2"/>
  <c r="P65" i="2"/>
  <c r="Q65" i="2"/>
  <c r="H44" i="2"/>
  <c r="J44" i="2" s="1"/>
  <c r="R44" i="2"/>
  <c r="I42" i="2"/>
  <c r="M47" i="2"/>
  <c r="Q44" i="2"/>
  <c r="M822" i="2"/>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934" i="2"/>
  <c r="J1493" i="2"/>
  <c r="M1494" i="2"/>
  <c r="M2145" i="2"/>
  <c r="J2144" i="2"/>
  <c r="P262" i="2"/>
  <c r="H260" i="2"/>
  <c r="J260" i="2" s="1"/>
  <c r="I260" i="2"/>
  <c r="P953" i="2"/>
  <c r="H951" i="2"/>
  <c r="J951" i="2" s="1"/>
  <c r="I951" i="2"/>
  <c r="P405" i="2"/>
  <c r="H403" i="2"/>
  <c r="J403" i="2" s="1"/>
  <c r="I403" i="2"/>
  <c r="J2039" i="2"/>
  <c r="M2040"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H1671" i="2"/>
  <c r="J1671" i="2" s="1"/>
  <c r="I1671"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Q64" i="2" l="1"/>
  <c r="Q67" i="2" s="1"/>
  <c r="H65" i="2"/>
  <c r="R67" i="2"/>
  <c r="R64" i="2"/>
  <c r="P67" i="2" s="1"/>
  <c r="Q43" i="2"/>
  <c r="R43" i="2"/>
  <c r="R46" i="2" s="1"/>
  <c r="M166" i="2"/>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Q66" i="2" l="1"/>
  <c r="P69" i="2" s="1"/>
  <c r="H67" i="2"/>
  <c r="J67" i="2" s="1"/>
  <c r="J65" i="2"/>
  <c r="I65" i="2"/>
  <c r="R66" i="2"/>
  <c r="R69" i="2" s="1"/>
  <c r="R45" i="2"/>
  <c r="Q46" i="2"/>
  <c r="I44" i="2"/>
  <c r="P46" i="2"/>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R21" i="2" s="1"/>
  <c r="S19" i="2"/>
  <c r="S21" i="2" s="1"/>
  <c r="T19" i="2"/>
  <c r="U19" i="2"/>
  <c r="R68" i="2" l="1"/>
  <c r="H69" i="2"/>
  <c r="J69" i="2" s="1"/>
  <c r="I67" i="2"/>
  <c r="Q69" i="2"/>
  <c r="H46" i="2"/>
  <c r="Q45"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Q68" i="2" l="1"/>
  <c r="I46" i="2"/>
  <c r="R48" i="2"/>
  <c r="J46" i="2"/>
  <c r="Q48" i="2"/>
  <c r="P48"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390" i="2"/>
  <c r="I390" i="2"/>
  <c r="M859" i="2"/>
  <c r="AF874" i="2"/>
  <c r="H537" i="2"/>
  <c r="J537" i="2" s="1"/>
  <c r="I537" i="2"/>
  <c r="W1273" i="2"/>
  <c r="M802" i="2"/>
  <c r="H1629" i="2"/>
  <c r="I1629" i="2"/>
  <c r="M23" i="2"/>
  <c r="O33" i="2"/>
  <c r="O32" i="2"/>
  <c r="O31" i="2"/>
  <c r="O30" i="2"/>
  <c r="O29" i="2"/>
  <c r="O28" i="2"/>
  <c r="O27" i="2"/>
  <c r="O26" i="2"/>
  <c r="O25" i="2"/>
  <c r="O24" i="2"/>
  <c r="O23" i="2"/>
  <c r="O22" i="2"/>
  <c r="I69" i="2" l="1"/>
  <c r="R71" i="2"/>
  <c r="P71" i="2"/>
  <c r="Q71" i="2"/>
  <c r="H48" i="2"/>
  <c r="Q47" i="2"/>
  <c r="I48" i="2" s="1"/>
  <c r="R47"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70" i="2" l="1"/>
  <c r="H71" i="2"/>
  <c r="R70" i="2"/>
  <c r="Q73" i="2" s="1"/>
  <c r="Q50" i="2"/>
  <c r="R50" i="2"/>
  <c r="J48" i="2"/>
  <c r="P50"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J21" i="2"/>
  <c r="Q72" i="2" l="1"/>
  <c r="R73" i="2"/>
  <c r="J71" i="2"/>
  <c r="P73" i="2"/>
  <c r="I71" i="2"/>
  <c r="H50" i="2"/>
  <c r="R49" i="2"/>
  <c r="Q52" i="2" s="1"/>
  <c r="Q49" i="2"/>
  <c r="R52" i="2" s="1"/>
  <c r="U20" i="2"/>
  <c r="P20" i="2"/>
  <c r="Q20" i="2"/>
  <c r="R20" i="2"/>
  <c r="H73" i="2" l="1"/>
  <c r="R72" i="2"/>
  <c r="R75" i="2" s="1"/>
  <c r="R74" i="2" s="1"/>
  <c r="R51" i="2"/>
  <c r="Q51" i="2"/>
  <c r="P52" i="2"/>
  <c r="J50" i="2"/>
  <c r="I50" i="2"/>
  <c r="V20" i="2"/>
  <c r="Q75" i="2" l="1"/>
  <c r="Q74" i="2" s="1"/>
  <c r="I75" i="2" s="1"/>
  <c r="P75" i="2"/>
  <c r="H75" i="2" s="1"/>
  <c r="J75" i="2" s="1"/>
  <c r="I73" i="2"/>
  <c r="J73" i="2"/>
  <c r="I52" i="2"/>
  <c r="P54" i="2"/>
  <c r="H54" i="2" s="1"/>
  <c r="J54" i="2" s="1"/>
  <c r="H52" i="2"/>
  <c r="Q54" i="2"/>
  <c r="Q53" i="2" s="1"/>
  <c r="R54" i="2"/>
  <c r="R53" i="2" s="1"/>
  <c r="B5" i="12"/>
  <c r="E3" i="12"/>
  <c r="Z76" i="2" l="1"/>
  <c r="S76" i="2"/>
  <c r="T76" i="2"/>
  <c r="AF76" i="2"/>
  <c r="AG76" i="2"/>
  <c r="AA76" i="2"/>
  <c r="P76" i="2"/>
  <c r="R76" i="2"/>
  <c r="AC76" i="2"/>
  <c r="AD76" i="2"/>
  <c r="AI76" i="2"/>
  <c r="AH76" i="2"/>
  <c r="Y76" i="2"/>
  <c r="AB76" i="2"/>
  <c r="W76" i="2"/>
  <c r="Q76" i="2"/>
  <c r="V76" i="2"/>
  <c r="U76" i="2"/>
  <c r="X76" i="2"/>
  <c r="AE76" i="2"/>
  <c r="M61" i="2"/>
  <c r="M67" i="2"/>
  <c r="M66" i="2"/>
  <c r="M63" i="2" s="1"/>
  <c r="M57" i="2" s="1"/>
  <c r="I54" i="2"/>
  <c r="J52" i="2"/>
  <c r="M46" i="2"/>
  <c r="M45" i="2"/>
  <c r="M42" i="2" s="1"/>
  <c r="M36" i="2" s="1"/>
  <c r="S20" i="2"/>
  <c r="T20" i="2"/>
  <c r="Z20" i="2"/>
  <c r="AA20" i="2"/>
  <c r="AB20" i="2"/>
  <c r="AC20" i="2"/>
  <c r="AD20" i="2"/>
  <c r="AE20" i="2"/>
  <c r="AF20" i="2"/>
  <c r="AG20" i="2"/>
  <c r="AH20" i="2"/>
  <c r="AI20" i="2"/>
  <c r="R55" i="2" l="1"/>
  <c r="AB55" i="2"/>
  <c r="AH55" i="2"/>
  <c r="AA55" i="2"/>
  <c r="T55" i="2"/>
  <c r="S55" i="2"/>
  <c r="AG55" i="2"/>
  <c r="U55" i="2"/>
  <c r="Q55" i="2"/>
  <c r="W55" i="2"/>
  <c r="P55" i="2"/>
  <c r="AE55" i="2"/>
  <c r="Z55" i="2"/>
  <c r="X55" i="2"/>
  <c r="M40" i="2"/>
  <c r="AD55" i="2"/>
  <c r="AC55" i="2"/>
  <c r="AI55" i="2"/>
  <c r="Y55" i="2"/>
  <c r="V55" i="2"/>
  <c r="AF55" i="2"/>
  <c r="E3" i="1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C17" i="2"/>
  <c r="C18" i="2" s="1"/>
  <c r="M18" i="2" l="1"/>
  <c r="P23" i="2"/>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H100"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I8" i="12" s="1"/>
  <c r="AJ8" i="12"/>
  <c r="AD8" i="12"/>
  <c r="Z8" i="12"/>
  <c r="N8" i="12"/>
  <c r="AB8" i="12"/>
  <c r="AF8" i="12"/>
  <c r="F9" i="11"/>
  <c r="H9" i="11"/>
  <c r="L9" i="11"/>
  <c r="I9" i="11"/>
  <c r="B10" i="11"/>
  <c r="G9" i="11"/>
  <c r="I9" i="12"/>
  <c r="G9" i="12"/>
  <c r="H9" i="12"/>
  <c r="B10" i="12"/>
  <c r="F9" i="12"/>
  <c r="AE8" i="12" l="1"/>
  <c r="AK8" i="12"/>
  <c r="Y8" i="12"/>
  <c r="U8" i="12"/>
  <c r="W8" i="12"/>
  <c r="Q8" i="12"/>
  <c r="S8" i="12"/>
  <c r="O8" i="12"/>
  <c r="AG8" i="12"/>
  <c r="AC8" i="12"/>
  <c r="AA8" i="12"/>
  <c r="D10" i="12"/>
  <c r="C10" i="12"/>
  <c r="D10" i="11"/>
  <c r="C10" i="11"/>
  <c r="AH9" i="12"/>
  <c r="P9" i="12"/>
  <c r="AB9" i="12"/>
  <c r="AD9" i="12"/>
  <c r="T9" i="12"/>
  <c r="K9" i="12"/>
  <c r="Z9" i="12"/>
  <c r="AA9" i="12" s="1"/>
  <c r="N9" i="12"/>
  <c r="O9" i="12" s="1"/>
  <c r="X9" i="12"/>
  <c r="Y9" i="12" s="1"/>
  <c r="AF9" i="12"/>
  <c r="R9" i="12"/>
  <c r="AJ9" i="12"/>
  <c r="AK9" i="12" l="1"/>
  <c r="S9" i="12"/>
  <c r="AG9" i="12"/>
  <c r="U9" i="12"/>
  <c r="Q9" i="12"/>
  <c r="AE9" i="12"/>
  <c r="AC9" i="12"/>
  <c r="AI9" i="12"/>
  <c r="B11" i="12"/>
  <c r="G10" i="12"/>
  <c r="F10" i="12"/>
  <c r="I10" i="12"/>
  <c r="H10" i="12"/>
  <c r="J10" i="12"/>
  <c r="L10" i="11"/>
  <c r="I10" i="11"/>
  <c r="H10" i="11"/>
  <c r="G10" i="11"/>
  <c r="F10" i="11"/>
  <c r="B11" i="11"/>
  <c r="C11" i="11" s="1"/>
  <c r="C11" i="12"/>
  <c r="D11" i="12"/>
  <c r="F11" i="11" l="1"/>
  <c r="I11" i="11"/>
  <c r="L11" i="11"/>
  <c r="G11" i="11"/>
  <c r="H11" i="11"/>
  <c r="D11" i="11"/>
  <c r="K10" i="12"/>
  <c r="V9" i="12" s="1"/>
  <c r="W9" i="12" s="1"/>
  <c r="B12" i="12"/>
  <c r="C12" i="12" s="1"/>
  <c r="H11" i="12"/>
  <c r="I11" i="12"/>
  <c r="G11" i="12"/>
  <c r="F11" i="12"/>
  <c r="AH10" i="12"/>
  <c r="AF10" i="12"/>
  <c r="AD10" i="12"/>
  <c r="AJ10" i="12"/>
  <c r="Z10" i="12"/>
  <c r="X10" i="12"/>
  <c r="AB10" i="12"/>
  <c r="J11" i="12"/>
  <c r="P10" i="12"/>
  <c r="R10" i="12" s="1"/>
  <c r="T10" i="12" s="1"/>
  <c r="V10" i="12" s="1"/>
  <c r="W10" i="12" s="1"/>
  <c r="B12" i="11"/>
  <c r="Y10" i="12" l="1"/>
  <c r="AE10" i="12"/>
  <c r="AA10" i="12"/>
  <c r="AK10" i="12"/>
  <c r="AG10" i="12"/>
  <c r="AI10" i="12"/>
  <c r="U10" i="12"/>
  <c r="Q10" i="12"/>
  <c r="S10" i="12"/>
  <c r="AC10" i="12"/>
  <c r="D12" i="12"/>
  <c r="L11" i="12"/>
  <c r="B13" i="12"/>
  <c r="F12" i="12"/>
  <c r="I12" i="12"/>
  <c r="G12" i="12"/>
  <c r="H12" i="12"/>
  <c r="K11" i="12"/>
  <c r="J12" i="12"/>
  <c r="C12" i="11"/>
  <c r="D12" i="11"/>
  <c r="T11" i="12" l="1"/>
  <c r="U11" i="12" s="1"/>
  <c r="D13" i="12"/>
  <c r="C13" i="12"/>
  <c r="K12" i="12"/>
  <c r="AB11" i="12" s="1"/>
  <c r="L12" i="11"/>
  <c r="I12" i="11"/>
  <c r="G12" i="11"/>
  <c r="H12" i="11"/>
  <c r="F12" i="11"/>
  <c r="B13" i="11"/>
  <c r="AF11" i="12" l="1"/>
  <c r="AG11" i="12" s="1"/>
  <c r="V11" i="12"/>
  <c r="W11" i="12" s="1"/>
  <c r="AH11" i="12"/>
  <c r="AI11" i="12" s="1"/>
  <c r="R11" i="12"/>
  <c r="S11" i="12" s="1"/>
  <c r="P11" i="12"/>
  <c r="Q11" i="12" s="1"/>
  <c r="X11" i="12"/>
  <c r="Y11" i="12" s="1"/>
  <c r="AD11" i="12"/>
  <c r="AE11" i="12" s="1"/>
  <c r="AC11" i="12"/>
  <c r="AJ11" i="12"/>
  <c r="Z11" i="12"/>
  <c r="J13" i="12"/>
  <c r="B14" i="12"/>
  <c r="D14" i="12" s="1"/>
  <c r="E13" i="12"/>
  <c r="F13" i="12"/>
  <c r="H13" i="12"/>
  <c r="I13" i="12"/>
  <c r="G13" i="12"/>
  <c r="D13" i="11"/>
  <c r="C13" i="11"/>
  <c r="AA11" i="12" l="1"/>
  <c r="AK11" i="12"/>
  <c r="N13" i="12"/>
  <c r="O13" i="12" s="1"/>
  <c r="AD13" i="12"/>
  <c r="AE13" i="12" s="1"/>
  <c r="X13" i="12"/>
  <c r="Y13" i="12" s="1"/>
  <c r="P13" i="12"/>
  <c r="Q13" i="12" s="1"/>
  <c r="AF13" i="12"/>
  <c r="AG13" i="12" s="1"/>
  <c r="AH13" i="12"/>
  <c r="AI13" i="12" s="1"/>
  <c r="AJ13" i="12"/>
  <c r="AK13" i="12" s="1"/>
  <c r="L13" i="12"/>
  <c r="AB13" i="12"/>
  <c r="AC13" i="12" s="1"/>
  <c r="Z13" i="12"/>
  <c r="AA13" i="12" s="1"/>
  <c r="V13" i="12"/>
  <c r="W13" i="12" s="1"/>
  <c r="R13" i="12"/>
  <c r="S13" i="12" s="1"/>
  <c r="T13" i="12"/>
  <c r="U13" i="12" s="1"/>
  <c r="K13" i="12"/>
  <c r="C14" i="12"/>
  <c r="B15" i="12" s="1"/>
  <c r="D15" i="12" s="1"/>
  <c r="G13" i="11"/>
  <c r="F13" i="11"/>
  <c r="E13" i="11"/>
  <c r="H13" i="11"/>
  <c r="L13" i="11"/>
  <c r="I13" i="11"/>
  <c r="E14" i="12"/>
  <c r="H14" i="12"/>
  <c r="I14" i="12"/>
  <c r="F14" i="12"/>
  <c r="B14" i="11"/>
  <c r="G14" i="12" s="1"/>
  <c r="J14" i="12" l="1"/>
  <c r="C15" i="12"/>
  <c r="B16" i="12" s="1"/>
  <c r="C14" i="11"/>
  <c r="D14" i="11"/>
  <c r="U14" i="12" l="1"/>
  <c r="P14" i="12"/>
  <c r="T14" i="12"/>
  <c r="AH14" i="12"/>
  <c r="AD14" i="12"/>
  <c r="R14" i="12"/>
  <c r="AC14" i="12"/>
  <c r="Z14" i="12"/>
  <c r="AB14" i="12"/>
  <c r="V14" i="12"/>
  <c r="AI14" i="12"/>
  <c r="O14" i="12"/>
  <c r="AG14" i="12"/>
  <c r="X14" i="12"/>
  <c r="K14" i="12"/>
  <c r="AA14" i="12"/>
  <c r="Q14" i="12"/>
  <c r="Y14" i="12"/>
  <c r="L14" i="12"/>
  <c r="AE14" i="12"/>
  <c r="S14" i="12"/>
  <c r="W14" i="12"/>
  <c r="AK14" i="12"/>
  <c r="AF14" i="12"/>
  <c r="AJ14" i="12"/>
  <c r="N14" i="12"/>
  <c r="J15" i="12"/>
  <c r="AJ15" i="12" s="1"/>
  <c r="AK15" i="12" s="1"/>
  <c r="D16" i="12"/>
  <c r="C16" i="12"/>
  <c r="E16" i="12" s="1"/>
  <c r="I15" i="12"/>
  <c r="H15" i="12"/>
  <c r="F15" i="12"/>
  <c r="E15" i="12"/>
  <c r="G14" i="11"/>
  <c r="H14" i="11"/>
  <c r="I14" i="11"/>
  <c r="F14" i="11"/>
  <c r="L14" i="11"/>
  <c r="E14" i="11"/>
  <c r="B15" i="11"/>
  <c r="W15" i="12" l="1"/>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1"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L9" i="12" l="1"/>
  <c r="L10" i="12"/>
  <c r="N10" i="12" s="1"/>
  <c r="O10" i="12" s="1"/>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AD68" i="12"/>
  <c r="AE68" i="12"/>
  <c r="G67" i="12"/>
  <c r="C67" i="11"/>
  <c r="D67" i="11"/>
  <c r="E67" i="11" s="1"/>
  <c r="L12" i="12" l="1"/>
  <c r="N11" i="12"/>
  <c r="O12" i="12"/>
  <c r="Q12" i="12" s="1"/>
  <c r="S12" i="12" s="1"/>
  <c r="U12" i="12" s="1"/>
  <c r="W12" i="12" s="1"/>
  <c r="Y12" i="12" s="1"/>
  <c r="AA12" i="12" s="1"/>
  <c r="AC12" i="12" s="1"/>
  <c r="AE12" i="12" s="1"/>
  <c r="AG12" i="12" s="1"/>
  <c r="AI12" i="12" s="1"/>
  <c r="AK12" i="12" s="1"/>
  <c r="B68" i="11"/>
  <c r="H67" i="11"/>
  <c r="G67" i="11"/>
  <c r="F67" i="11"/>
  <c r="L67" i="11"/>
  <c r="I67" i="11"/>
  <c r="O11" i="12" l="1"/>
  <c r="N12" i="12"/>
  <c r="P12" i="12" s="1"/>
  <c r="R12" i="12" s="1"/>
  <c r="T12" i="12" s="1"/>
  <c r="V12" i="12" s="1"/>
  <c r="X12" i="12" s="1"/>
  <c r="Z12" i="12" s="1"/>
  <c r="AB12" i="12" s="1"/>
  <c r="AD12" i="12" s="1"/>
  <c r="AF12" i="12" s="1"/>
  <c r="AH12" i="12" s="1"/>
  <c r="AJ12" i="12" s="1"/>
  <c r="D68" i="1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11" i="11"/>
  <c r="J105" i="11"/>
  <c r="K105" i="11" s="1"/>
  <c r="J65" i="11"/>
  <c r="K65" i="11" s="1"/>
  <c r="J67" i="11"/>
  <c r="K67"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9" i="11" l="1"/>
  <c r="J10" i="11" s="1"/>
  <c r="K107" i="11"/>
  <c r="K18" i="11"/>
  <c r="K10" i="11" l="1"/>
  <c r="J11" i="11"/>
  <c r="K9" i="11"/>
  <c r="K11" i="11" s="1"/>
  <c r="J12" i="11" l="1"/>
  <c r="C57" i="10"/>
  <c r="C40" i="10"/>
  <c r="C28" i="10"/>
  <c r="C60" i="10"/>
  <c r="C56" i="10"/>
  <c r="C29" i="10"/>
  <c r="C81" i="10"/>
  <c r="C72" i="10"/>
  <c r="C93" i="10"/>
  <c r="C32" i="10"/>
  <c r="C15" i="10"/>
  <c r="C9" i="10"/>
  <c r="C47" i="10"/>
  <c r="C85" i="10"/>
  <c r="C63" i="10"/>
  <c r="C6" i="10"/>
  <c r="D6" i="10" s="1"/>
  <c r="C64" i="10"/>
  <c r="C75" i="10"/>
  <c r="C65" i="10"/>
  <c r="C100" i="10"/>
  <c r="C23" i="10"/>
  <c r="C82" i="10"/>
  <c r="C88" i="10"/>
  <c r="C31" i="10"/>
  <c r="C21" i="10"/>
  <c r="C18" i="10"/>
  <c r="C39" i="10"/>
  <c r="C43" i="10"/>
  <c r="C99" i="10"/>
  <c r="C80" i="10"/>
  <c r="C48" i="10"/>
  <c r="C7" i="10"/>
  <c r="D7" i="10" s="1"/>
  <c r="C13" i="10"/>
  <c r="C45" i="10"/>
  <c r="C26" i="10"/>
  <c r="C101" i="10"/>
  <c r="C76" i="10"/>
  <c r="C44" i="10"/>
  <c r="C53" i="10"/>
  <c r="C46" i="10"/>
  <c r="C33" i="10"/>
  <c r="C74" i="10"/>
  <c r="C37" i="10"/>
  <c r="C83" i="10"/>
  <c r="C97" i="10"/>
  <c r="C105" i="10"/>
  <c r="C95" i="10"/>
  <c r="C54" i="10"/>
  <c r="C62" i="10"/>
  <c r="C77" i="10"/>
  <c r="C42" i="10"/>
  <c r="C102" i="10"/>
  <c r="C61" i="10"/>
  <c r="C78" i="10"/>
  <c r="C103" i="10"/>
  <c r="C92" i="10"/>
  <c r="C8" i="10"/>
  <c r="C89" i="10"/>
  <c r="C38" i="10"/>
  <c r="C71" i="10"/>
  <c r="C66" i="10"/>
  <c r="C58" i="10"/>
  <c r="C20" i="10"/>
  <c r="C36" i="10"/>
  <c r="C50" i="10"/>
  <c r="C86" i="10"/>
  <c r="C25" i="10"/>
  <c r="C19" i="10"/>
  <c r="C73" i="10"/>
  <c r="C91" i="10"/>
  <c r="C94" i="10"/>
  <c r="C16" i="10"/>
  <c r="C68" i="10"/>
  <c r="C14" i="10"/>
  <c r="C35" i="10"/>
  <c r="C41" i="10"/>
  <c r="C55" i="10"/>
  <c r="C11" i="10"/>
  <c r="C52" i="10"/>
  <c r="C22" i="10"/>
  <c r="C98" i="10"/>
  <c r="C34" i="10"/>
  <c r="C30" i="10"/>
  <c r="C24" i="10"/>
  <c r="C51" i="10"/>
  <c r="C17" i="10"/>
  <c r="C27" i="10"/>
  <c r="C67" i="10"/>
  <c r="C59" i="10"/>
  <c r="C90" i="10"/>
  <c r="C70" i="10"/>
  <c r="C84" i="10"/>
  <c r="C69" i="10"/>
  <c r="C104" i="10"/>
  <c r="C12" i="10"/>
  <c r="C10" i="10"/>
  <c r="C79" i="10"/>
  <c r="C49" i="10"/>
  <c r="C96" i="10"/>
  <c r="C87" i="10"/>
  <c r="D8" i="10" l="1"/>
  <c r="D9" i="10" l="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77" i="10" l="1"/>
  <c r="E51" i="10"/>
  <c r="E23" i="10"/>
  <c r="E24" i="10"/>
  <c r="E104" i="10"/>
  <c r="E66" i="10"/>
  <c r="E63" i="10"/>
  <c r="E65" i="10"/>
  <c r="E83" i="10"/>
  <c r="E12" i="10"/>
  <c r="E14" i="10"/>
  <c r="E27" i="10"/>
  <c r="E69" i="10"/>
  <c r="E78" i="10"/>
  <c r="E80" i="10"/>
  <c r="E8" i="10"/>
  <c r="E46" i="10"/>
  <c r="E82" i="10"/>
  <c r="E35" i="10"/>
  <c r="E6" i="10"/>
  <c r="E26" i="10"/>
  <c r="E87" i="10"/>
  <c r="E86" i="10"/>
  <c r="E71" i="10"/>
  <c r="E41" i="10"/>
  <c r="E75" i="10"/>
  <c r="E40" i="10"/>
  <c r="E22" i="10"/>
  <c r="E56" i="10"/>
  <c r="E17" i="10"/>
  <c r="E9" i="10"/>
  <c r="E58" i="10"/>
  <c r="E68" i="10"/>
  <c r="E54" i="10"/>
  <c r="E92" i="10"/>
  <c r="E73" i="10"/>
  <c r="E103" i="10"/>
  <c r="E32" i="10"/>
  <c r="E70" i="10"/>
  <c r="E101" i="10"/>
  <c r="E97" i="10"/>
  <c r="E74" i="10"/>
  <c r="E7" i="10"/>
  <c r="E88" i="10"/>
  <c r="E43" i="10"/>
  <c r="E85" i="10"/>
  <c r="E21" i="10"/>
  <c r="E25" i="10"/>
  <c r="E57" i="10"/>
  <c r="E95" i="10"/>
  <c r="E33" i="10"/>
  <c r="E96" i="10"/>
  <c r="E94" i="10"/>
  <c r="E64" i="10"/>
  <c r="E53" i="10"/>
  <c r="E45" i="10"/>
  <c r="E11" i="10"/>
  <c r="E38" i="10"/>
  <c r="E100" i="10"/>
  <c r="E99" i="10"/>
  <c r="E37" i="10"/>
  <c r="E90" i="10"/>
  <c r="E81" i="10"/>
  <c r="E67" i="10"/>
  <c r="E47" i="10"/>
  <c r="E105" i="10"/>
  <c r="E31" i="10"/>
  <c r="E48" i="10"/>
  <c r="E84" i="10"/>
  <c r="E34" i="10"/>
  <c r="E42" i="10"/>
  <c r="E28" i="10"/>
  <c r="E18" i="10"/>
  <c r="E36" i="10"/>
  <c r="E15" i="10"/>
  <c r="E29" i="10"/>
  <c r="E76" i="10"/>
  <c r="E10" i="10"/>
  <c r="E102" i="10"/>
  <c r="E39" i="10"/>
  <c r="E19" i="10"/>
  <c r="E49" i="10"/>
  <c r="E44" i="10"/>
  <c r="E55" i="10"/>
  <c r="E60" i="10"/>
  <c r="M60" i="10" s="1"/>
  <c r="E62" i="10"/>
  <c r="E50" i="10"/>
  <c r="E13" i="10"/>
  <c r="E91" i="10"/>
  <c r="E20" i="10"/>
  <c r="E16" i="10"/>
  <c r="E93" i="10"/>
  <c r="E30" i="10"/>
  <c r="E52" i="10"/>
  <c r="E79" i="10"/>
  <c r="E72" i="10"/>
  <c r="E61" i="10"/>
  <c r="E89" i="10"/>
  <c r="E98" i="10"/>
  <c r="N59" i="10"/>
  <c r="G59" i="10"/>
  <c r="J59" i="10"/>
  <c r="H59" i="10" a="1"/>
  <c r="H59" i="10" s="1"/>
  <c r="I59" i="10"/>
  <c r="K59" i="10" a="1"/>
  <c r="K59" i="10" s="1"/>
  <c r="F59" i="10"/>
  <c r="L60" i="10" l="1" a="1"/>
  <c r="L60" i="10" s="1"/>
  <c r="N72" i="10"/>
  <c r="K72" i="10" a="1"/>
  <c r="K72" i="10" s="1"/>
  <c r="H72" i="10" a="1"/>
  <c r="H72" i="10" s="1"/>
  <c r="I72" i="10"/>
  <c r="G72" i="10"/>
  <c r="F72" i="10"/>
  <c r="L73" i="10" a="1"/>
  <c r="L73" i="10" s="1"/>
  <c r="M73" i="10"/>
  <c r="J72" i="10"/>
  <c r="K28" i="10" a="1"/>
  <c r="K28" i="10" s="1"/>
  <c r="N28" i="10"/>
  <c r="M29" i="10"/>
  <c r="L29" i="10" a="1"/>
  <c r="L29" i="10" s="1"/>
  <c r="F28" i="10"/>
  <c r="I28" i="10"/>
  <c r="H28" i="10" a="1"/>
  <c r="H28" i="10" s="1"/>
  <c r="G28" i="10"/>
  <c r="J28" i="10"/>
  <c r="J99" i="10"/>
  <c r="M100" i="10"/>
  <c r="F99" i="10"/>
  <c r="K99" i="10" a="1"/>
  <c r="K99" i="10" s="1"/>
  <c r="H99" i="10" a="1"/>
  <c r="H99" i="10" s="1"/>
  <c r="G99" i="10"/>
  <c r="I99" i="10"/>
  <c r="N99" i="10"/>
  <c r="L100" i="10" a="1"/>
  <c r="L100" i="10" s="1"/>
  <c r="L26" i="10" a="1"/>
  <c r="L26" i="10" s="1"/>
  <c r="M26" i="10"/>
  <c r="K25" i="10" a="1"/>
  <c r="K25" i="10" s="1"/>
  <c r="H25" i="10" a="1"/>
  <c r="H25" i="10" s="1"/>
  <c r="I25" i="10"/>
  <c r="F25" i="10"/>
  <c r="G25" i="10"/>
  <c r="J25" i="10"/>
  <c r="N25" i="10"/>
  <c r="J73" i="10"/>
  <c r="L74" i="10" a="1"/>
  <c r="L74" i="10" s="1"/>
  <c r="H73" i="10" a="1"/>
  <c r="H73" i="10" s="1"/>
  <c r="K73" i="10" a="1"/>
  <c r="K73" i="10" s="1"/>
  <c r="G73" i="10"/>
  <c r="M74" i="10"/>
  <c r="I73" i="10"/>
  <c r="F73" i="10"/>
  <c r="N73" i="10"/>
  <c r="I71" i="10"/>
  <c r="L72" i="10" a="1"/>
  <c r="L72" i="10" s="1"/>
  <c r="N71" i="10"/>
  <c r="F71" i="10"/>
  <c r="J71" i="10"/>
  <c r="H71" i="10" a="1"/>
  <c r="H71" i="10" s="1"/>
  <c r="M72" i="10"/>
  <c r="K71" i="10" a="1"/>
  <c r="K71" i="10" s="1"/>
  <c r="G71" i="10"/>
  <c r="I27" i="10"/>
  <c r="H27" i="10" a="1"/>
  <c r="H27" i="10" s="1"/>
  <c r="J27" i="10"/>
  <c r="M28" i="10"/>
  <c r="F27" i="10"/>
  <c r="N27" i="10"/>
  <c r="K27" i="10" a="1"/>
  <c r="K27" i="10" s="1"/>
  <c r="G27" i="10"/>
  <c r="L28" i="10" a="1"/>
  <c r="L28" i="10" s="1"/>
  <c r="G79" i="10"/>
  <c r="K79" i="10" a="1"/>
  <c r="K79" i="10" s="1"/>
  <c r="I79" i="10"/>
  <c r="J79" i="10"/>
  <c r="N79" i="10"/>
  <c r="H79" i="10" a="1"/>
  <c r="H79" i="10" s="1"/>
  <c r="M80" i="10"/>
  <c r="F79" i="10"/>
  <c r="L80" i="10" a="1"/>
  <c r="L80" i="10" s="1"/>
  <c r="F42" i="10"/>
  <c r="G42" i="10"/>
  <c r="N42" i="10"/>
  <c r="M43" i="10"/>
  <c r="J42" i="10"/>
  <c r="H42" i="10" a="1"/>
  <c r="H42" i="10" s="1"/>
  <c r="I42" i="10"/>
  <c r="K42" i="10" a="1"/>
  <c r="K42" i="10" s="1"/>
  <c r="L43" i="10" a="1"/>
  <c r="L43" i="10" s="1"/>
  <c r="J100" i="10"/>
  <c r="G100" i="10"/>
  <c r="N100" i="10"/>
  <c r="H100" i="10" a="1"/>
  <c r="H100" i="10" s="1"/>
  <c r="K100" i="10" a="1"/>
  <c r="K100" i="10" s="1"/>
  <c r="M101" i="10"/>
  <c r="F100" i="10"/>
  <c r="L101" i="10" a="1"/>
  <c r="L101" i="10" s="1"/>
  <c r="I100" i="10"/>
  <c r="F21" i="10"/>
  <c r="N21" i="10"/>
  <c r="I21" i="10"/>
  <c r="G21" i="10"/>
  <c r="M22" i="10"/>
  <c r="K21" i="10" a="1"/>
  <c r="K21" i="10" s="1"/>
  <c r="L22" i="10" a="1"/>
  <c r="L22" i="10" s="1"/>
  <c r="H21" i="10" a="1"/>
  <c r="H21" i="10" s="1"/>
  <c r="J21" i="10"/>
  <c r="I92" i="10"/>
  <c r="G92" i="10"/>
  <c r="K92" i="10" a="1"/>
  <c r="K92" i="10" s="1"/>
  <c r="L93" i="10" a="1"/>
  <c r="L93" i="10" s="1"/>
  <c r="J92" i="10"/>
  <c r="M93" i="10"/>
  <c r="F92" i="10"/>
  <c r="N92" i="10"/>
  <c r="H92" i="10" a="1"/>
  <c r="H92" i="10" s="1"/>
  <c r="J86" i="10"/>
  <c r="G86" i="10"/>
  <c r="M87" i="10"/>
  <c r="L87" i="10" a="1"/>
  <c r="L87" i="10" s="1"/>
  <c r="I86" i="10"/>
  <c r="H86" i="10" a="1"/>
  <c r="H86" i="10" s="1"/>
  <c r="N86" i="10"/>
  <c r="K86" i="10" a="1"/>
  <c r="K86" i="10" s="1"/>
  <c r="F86" i="10"/>
  <c r="J14" i="10"/>
  <c r="K14" i="10" a="1"/>
  <c r="K14" i="10" s="1"/>
  <c r="L15" i="10" a="1"/>
  <c r="L15" i="10" s="1"/>
  <c r="I14" i="10"/>
  <c r="M15" i="10"/>
  <c r="N14" i="10"/>
  <c r="H14" i="10" a="1"/>
  <c r="H14" i="10" s="1"/>
  <c r="G14" i="10"/>
  <c r="F14" i="10"/>
  <c r="F34" i="10"/>
  <c r="L35" i="10" a="1"/>
  <c r="L35" i="10" s="1"/>
  <c r="N34" i="10"/>
  <c r="I34" i="10"/>
  <c r="J34" i="10"/>
  <c r="M35" i="10"/>
  <c r="K34" i="10" a="1"/>
  <c r="K34" i="10" s="1"/>
  <c r="H34" i="10" a="1"/>
  <c r="H34" i="10" s="1"/>
  <c r="G34" i="10"/>
  <c r="G38" i="10"/>
  <c r="L39" i="10" a="1"/>
  <c r="L39" i="10" s="1"/>
  <c r="F38" i="10"/>
  <c r="N38" i="10"/>
  <c r="I38" i="10"/>
  <c r="K38" i="10" a="1"/>
  <c r="K38" i="10" s="1"/>
  <c r="J38" i="10"/>
  <c r="H38" i="10" a="1"/>
  <c r="H38" i="10" s="1"/>
  <c r="M39" i="10"/>
  <c r="I85" i="10"/>
  <c r="K85" i="10" a="1"/>
  <c r="K85" i="10" s="1"/>
  <c r="G85" i="10"/>
  <c r="M86" i="10"/>
  <c r="N85" i="10"/>
  <c r="L86" i="10" a="1"/>
  <c r="L86" i="10" s="1"/>
  <c r="F85" i="10"/>
  <c r="H85" i="10" a="1"/>
  <c r="H85" i="10" s="1"/>
  <c r="J85" i="10"/>
  <c r="I54" i="10"/>
  <c r="F54" i="10"/>
  <c r="J54" i="10"/>
  <c r="H54" i="10" a="1"/>
  <c r="H54" i="10" s="1"/>
  <c r="K54" i="10" a="1"/>
  <c r="K54" i="10" s="1"/>
  <c r="G54" i="10"/>
  <c r="N54" i="10"/>
  <c r="L55" i="10" a="1"/>
  <c r="L55" i="10" s="1"/>
  <c r="M55" i="10"/>
  <c r="M88" i="10"/>
  <c r="F87" i="10"/>
  <c r="G87" i="10"/>
  <c r="J87" i="10"/>
  <c r="K87" i="10" a="1"/>
  <c r="K87" i="10" s="1"/>
  <c r="N87" i="10"/>
  <c r="I87" i="10"/>
  <c r="H87" i="10" a="1"/>
  <c r="H87" i="10" s="1"/>
  <c r="L88" i="10" a="1"/>
  <c r="L88" i="10" s="1"/>
  <c r="F12" i="10"/>
  <c r="M13" i="10"/>
  <c r="K12" i="10" a="1"/>
  <c r="K12" i="10" s="1"/>
  <c r="H12" i="10" a="1"/>
  <c r="H12" i="10" s="1"/>
  <c r="G12" i="10"/>
  <c r="N12" i="10"/>
  <c r="I12" i="10"/>
  <c r="L13" i="10" a="1"/>
  <c r="L13" i="10" s="1"/>
  <c r="J12" i="10"/>
  <c r="N19" i="10"/>
  <c r="L20" i="10" a="1"/>
  <c r="L20" i="10" s="1"/>
  <c r="H19" i="10" a="1"/>
  <c r="H19" i="10" s="1"/>
  <c r="M20" i="10"/>
  <c r="I19" i="10"/>
  <c r="J19" i="10"/>
  <c r="G19" i="10"/>
  <c r="K19" i="10" a="1"/>
  <c r="K19" i="10" s="1"/>
  <c r="F19" i="10"/>
  <c r="L85" i="10" a="1"/>
  <c r="L85" i="10" s="1"/>
  <c r="F84" i="10"/>
  <c r="M85" i="10"/>
  <c r="N84" i="10"/>
  <c r="H84" i="10" a="1"/>
  <c r="H84" i="10" s="1"/>
  <c r="K84" i="10" a="1"/>
  <c r="K84" i="10" s="1"/>
  <c r="J84" i="10"/>
  <c r="G84" i="10"/>
  <c r="I84" i="10"/>
  <c r="K11" i="10" a="1"/>
  <c r="K11" i="10" s="1"/>
  <c r="F11" i="10"/>
  <c r="G11" i="10"/>
  <c r="L12" i="10" a="1"/>
  <c r="L12" i="10" s="1"/>
  <c r="J11" i="10"/>
  <c r="I11" i="10"/>
  <c r="H11" i="10" a="1"/>
  <c r="H11" i="10" s="1"/>
  <c r="M12" i="10"/>
  <c r="N11" i="10"/>
  <c r="L44" i="10" a="1"/>
  <c r="L44" i="10" s="1"/>
  <c r="N43" i="10"/>
  <c r="I43" i="10"/>
  <c r="F43" i="10"/>
  <c r="G43" i="10"/>
  <c r="K43" i="10" a="1"/>
  <c r="K43" i="10" s="1"/>
  <c r="J43" i="10"/>
  <c r="M44" i="10"/>
  <c r="H43" i="10" a="1"/>
  <c r="H43" i="10" s="1"/>
  <c r="J68" i="10"/>
  <c r="H68" i="10" a="1"/>
  <c r="H68" i="10" s="1"/>
  <c r="K68" i="10" a="1"/>
  <c r="K68" i="10" s="1"/>
  <c r="L69" i="10" a="1"/>
  <c r="L69" i="10" s="1"/>
  <c r="M69" i="10"/>
  <c r="F68" i="10"/>
  <c r="G68" i="10"/>
  <c r="N68" i="10"/>
  <c r="I68" i="10"/>
  <c r="M27" i="10"/>
  <c r="G26" i="10"/>
  <c r="N26" i="10"/>
  <c r="J26" i="10"/>
  <c r="F26" i="10"/>
  <c r="L27" i="10" a="1"/>
  <c r="L27" i="10" s="1"/>
  <c r="H26" i="10" a="1"/>
  <c r="H26" i="10" s="1"/>
  <c r="I26" i="10"/>
  <c r="K26" i="10" a="1"/>
  <c r="K26" i="10" s="1"/>
  <c r="F83" i="10"/>
  <c r="J83" i="10"/>
  <c r="K83" i="10" a="1"/>
  <c r="K83" i="10" s="1"/>
  <c r="H83" i="10" a="1"/>
  <c r="H83" i="10" s="1"/>
  <c r="I83" i="10"/>
  <c r="G83" i="10"/>
  <c r="M84" i="10"/>
  <c r="L84" i="10" a="1"/>
  <c r="L84" i="10" s="1"/>
  <c r="N83" i="10"/>
  <c r="H44" i="10" a="1"/>
  <c r="H44" i="10" s="1"/>
  <c r="I44" i="10"/>
  <c r="M45" i="10"/>
  <c r="N44" i="10"/>
  <c r="J44" i="10"/>
  <c r="K44" i="10" a="1"/>
  <c r="K44" i="10" s="1"/>
  <c r="G44" i="10"/>
  <c r="F44" i="10"/>
  <c r="L45" i="10" a="1"/>
  <c r="L45" i="10" s="1"/>
  <c r="I39" i="10"/>
  <c r="H39" i="10" a="1"/>
  <c r="H39" i="10" s="1"/>
  <c r="G39" i="10"/>
  <c r="J39" i="10"/>
  <c r="F39" i="10"/>
  <c r="M40" i="10"/>
  <c r="K39" i="10" a="1"/>
  <c r="K39" i="10" s="1"/>
  <c r="L40" i="10" a="1"/>
  <c r="L40" i="10" s="1"/>
  <c r="N39" i="10"/>
  <c r="N48" i="10"/>
  <c r="H48" i="10" a="1"/>
  <c r="H48" i="10" s="1"/>
  <c r="M49" i="10"/>
  <c r="J48" i="10"/>
  <c r="I48" i="10"/>
  <c r="G48" i="10"/>
  <c r="F48" i="10"/>
  <c r="K48" i="10" a="1"/>
  <c r="K48" i="10" s="1"/>
  <c r="L49" i="10" a="1"/>
  <c r="L49" i="10" s="1"/>
  <c r="K45" i="10" a="1"/>
  <c r="K45" i="10" s="1"/>
  <c r="H45" i="10" a="1"/>
  <c r="H45" i="10" s="1"/>
  <c r="L46" i="10" a="1"/>
  <c r="L46" i="10" s="1"/>
  <c r="I45" i="10"/>
  <c r="M46" i="10"/>
  <c r="N45" i="10"/>
  <c r="G45" i="10"/>
  <c r="J45" i="10"/>
  <c r="F45" i="10"/>
  <c r="G88" i="10"/>
  <c r="H88" i="10" a="1"/>
  <c r="H88" i="10" s="1"/>
  <c r="F88" i="10"/>
  <c r="N88" i="10"/>
  <c r="J88" i="10"/>
  <c r="K88" i="10" a="1"/>
  <c r="K88" i="10" s="1"/>
  <c r="L89" i="10" a="1"/>
  <c r="L89" i="10" s="1"/>
  <c r="M89" i="10"/>
  <c r="I88" i="10"/>
  <c r="I58" i="10"/>
  <c r="J58" i="10"/>
  <c r="N58" i="10"/>
  <c r="M59" i="10"/>
  <c r="K58" i="10" a="1"/>
  <c r="K58" i="10" s="1"/>
  <c r="G58" i="10"/>
  <c r="L59" i="10" a="1"/>
  <c r="L59" i="10" s="1"/>
  <c r="H58" i="10" a="1"/>
  <c r="H58" i="10" s="1"/>
  <c r="F58" i="10"/>
  <c r="M7" i="10"/>
  <c r="L6" i="10" a="1"/>
  <c r="L6" i="10" s="1"/>
  <c r="K6" i="10" a="1"/>
  <c r="K6" i="10" s="1"/>
  <c r="F6" i="10"/>
  <c r="I6" i="10"/>
  <c r="J6" i="10"/>
  <c r="L7" i="10" a="1"/>
  <c r="L7" i="10" s="1"/>
  <c r="M6" i="10"/>
  <c r="N6" i="10"/>
  <c r="O6" i="10" s="1"/>
  <c r="P6" i="10" s="1"/>
  <c r="G6" i="10"/>
  <c r="H6" i="10" a="1"/>
  <c r="H6" i="10" s="1"/>
  <c r="J65" i="10"/>
  <c r="L66" i="10" a="1"/>
  <c r="L66" i="10" s="1"/>
  <c r="M66" i="10"/>
  <c r="K65" i="10" a="1"/>
  <c r="K65" i="10" s="1"/>
  <c r="N65" i="10"/>
  <c r="G65" i="10"/>
  <c r="H65" i="10" a="1"/>
  <c r="H65" i="10" s="1"/>
  <c r="I65" i="10"/>
  <c r="F65" i="10"/>
  <c r="I55" i="10"/>
  <c r="L56" i="10" a="1"/>
  <c r="L56" i="10" s="1"/>
  <c r="M56" i="10"/>
  <c r="K55" i="10" a="1"/>
  <c r="K55" i="10" s="1"/>
  <c r="J55" i="10"/>
  <c r="G55" i="10"/>
  <c r="F55" i="10"/>
  <c r="N55" i="10"/>
  <c r="H55" i="10" a="1"/>
  <c r="H55" i="10" s="1"/>
  <c r="M53" i="10"/>
  <c r="F52" i="10"/>
  <c r="I52" i="10"/>
  <c r="G52" i="10"/>
  <c r="H52" i="10" a="1"/>
  <c r="H52" i="10" s="1"/>
  <c r="L53" i="10" a="1"/>
  <c r="L53" i="10" s="1"/>
  <c r="K52" i="10" a="1"/>
  <c r="K52" i="10" s="1"/>
  <c r="N52" i="10"/>
  <c r="J52" i="10"/>
  <c r="L94" i="10" a="1"/>
  <c r="L94" i="10" s="1"/>
  <c r="J93" i="10"/>
  <c r="G93" i="10"/>
  <c r="H93" i="10" a="1"/>
  <c r="H93" i="10" s="1"/>
  <c r="F93" i="10"/>
  <c r="K93" i="10" a="1"/>
  <c r="K93" i="10" s="1"/>
  <c r="I93" i="10"/>
  <c r="N93" i="10"/>
  <c r="M94" i="10"/>
  <c r="N102" i="10"/>
  <c r="M103" i="10"/>
  <c r="H102" i="10" a="1"/>
  <c r="H102" i="10" s="1"/>
  <c r="K102" i="10" a="1"/>
  <c r="K102" i="10" s="1"/>
  <c r="I102" i="10"/>
  <c r="L103" i="10" a="1"/>
  <c r="L103" i="10" s="1"/>
  <c r="J102" i="10"/>
  <c r="F102" i="10"/>
  <c r="G102" i="10"/>
  <c r="L32" i="10" a="1"/>
  <c r="L32" i="10" s="1"/>
  <c r="I31" i="10"/>
  <c r="J31" i="10"/>
  <c r="F31" i="10"/>
  <c r="N31" i="10"/>
  <c r="M32" i="10"/>
  <c r="G31" i="10"/>
  <c r="H31" i="10" a="1"/>
  <c r="H31" i="10" s="1"/>
  <c r="K31" i="10" a="1"/>
  <c r="K31" i="10" s="1"/>
  <c r="K53" i="10" a="1"/>
  <c r="K53" i="10" s="1"/>
  <c r="H53" i="10" a="1"/>
  <c r="H53" i="10" s="1"/>
  <c r="F53" i="10"/>
  <c r="M54" i="10"/>
  <c r="L54" i="10" a="1"/>
  <c r="L54" i="10" s="1"/>
  <c r="I53" i="10"/>
  <c r="J53" i="10"/>
  <c r="N53" i="10"/>
  <c r="G53" i="10"/>
  <c r="K7" i="10" a="1"/>
  <c r="K7" i="10" s="1"/>
  <c r="H7" i="10" a="1"/>
  <c r="H7" i="10" s="1"/>
  <c r="N7" i="10"/>
  <c r="J7" i="10"/>
  <c r="M8" i="10"/>
  <c r="L8" i="10" a="1"/>
  <c r="L8" i="10" s="1"/>
  <c r="I7" i="10"/>
  <c r="G7" i="10"/>
  <c r="F7" i="10"/>
  <c r="H9" i="10" a="1"/>
  <c r="H9" i="10" s="1"/>
  <c r="L10" i="10" a="1"/>
  <c r="L10" i="10" s="1"/>
  <c r="I9" i="10"/>
  <c r="K9" i="10" a="1"/>
  <c r="K9" i="10" s="1"/>
  <c r="J9" i="10"/>
  <c r="M10" i="10"/>
  <c r="F9" i="10"/>
  <c r="N9" i="10"/>
  <c r="G9" i="10"/>
  <c r="F35" i="10"/>
  <c r="I35" i="10"/>
  <c r="J35" i="10"/>
  <c r="M36" i="10"/>
  <c r="K35" i="10" a="1"/>
  <c r="K35" i="10" s="1"/>
  <c r="G35" i="10"/>
  <c r="L36" i="10" a="1"/>
  <c r="L36" i="10" s="1"/>
  <c r="H35" i="10" a="1"/>
  <c r="H35" i="10" s="1"/>
  <c r="N35" i="10"/>
  <c r="I63" i="10"/>
  <c r="F63" i="10"/>
  <c r="K63" i="10" a="1"/>
  <c r="K63" i="10" s="1"/>
  <c r="J63" i="10"/>
  <c r="N63" i="10"/>
  <c r="H63" i="10" a="1"/>
  <c r="H63" i="10" s="1"/>
  <c r="L64" i="10" a="1"/>
  <c r="L64" i="10" s="1"/>
  <c r="G63" i="10"/>
  <c r="M64" i="10"/>
  <c r="J49" i="10"/>
  <c r="G49" i="10"/>
  <c r="H49" i="10" a="1"/>
  <c r="H49" i="10" s="1"/>
  <c r="M50" i="10"/>
  <c r="K49" i="10" a="1"/>
  <c r="K49" i="10" s="1"/>
  <c r="I49" i="10"/>
  <c r="N49" i="10"/>
  <c r="F49" i="10"/>
  <c r="L50" i="10" a="1"/>
  <c r="L50" i="10" s="1"/>
  <c r="J20" i="10"/>
  <c r="M21" i="10"/>
  <c r="F20" i="10"/>
  <c r="K20" i="10" a="1"/>
  <c r="K20" i="10" s="1"/>
  <c r="L21" i="10" a="1"/>
  <c r="L21" i="10" s="1"/>
  <c r="N20" i="10"/>
  <c r="H20" i="10" a="1"/>
  <c r="H20" i="10" s="1"/>
  <c r="G20" i="10"/>
  <c r="I20" i="10"/>
  <c r="G10" i="10"/>
  <c r="J10" i="10"/>
  <c r="I10" i="10"/>
  <c r="F10" i="10"/>
  <c r="L11" i="10" a="1"/>
  <c r="L11" i="10" s="1"/>
  <c r="M11" i="10"/>
  <c r="K10" i="10" a="1"/>
  <c r="K10" i="10" s="1"/>
  <c r="N10" i="10"/>
  <c r="H10" i="10" a="1"/>
  <c r="H10" i="10" s="1"/>
  <c r="K105" i="10" a="1"/>
  <c r="K105" i="10" s="1"/>
  <c r="I105" i="10"/>
  <c r="G105" i="10"/>
  <c r="H105" i="10" a="1"/>
  <c r="H105" i="10" s="1"/>
  <c r="F105" i="10"/>
  <c r="J105" i="10"/>
  <c r="N105" i="10"/>
  <c r="J64" i="10"/>
  <c r="F64" i="10"/>
  <c r="M65" i="10"/>
  <c r="G64" i="10"/>
  <c r="N64" i="10"/>
  <c r="I64" i="10"/>
  <c r="H64" i="10" a="1"/>
  <c r="H64" i="10" s="1"/>
  <c r="L65" i="10" a="1"/>
  <c r="L65" i="10" s="1"/>
  <c r="K64" i="10" a="1"/>
  <c r="K64" i="10" s="1"/>
  <c r="H74" i="10" a="1"/>
  <c r="H74" i="10" s="1"/>
  <c r="I74" i="10"/>
  <c r="M75" i="10"/>
  <c r="J74" i="10"/>
  <c r="N74" i="10"/>
  <c r="F74" i="10"/>
  <c r="L75" i="10" a="1"/>
  <c r="L75" i="10" s="1"/>
  <c r="K74" i="10" a="1"/>
  <c r="K74" i="10" s="1"/>
  <c r="G74" i="10"/>
  <c r="F17" i="10"/>
  <c r="K17" i="10" a="1"/>
  <c r="K17" i="10" s="1"/>
  <c r="I17" i="10"/>
  <c r="H17" i="10" a="1"/>
  <c r="H17" i="10" s="1"/>
  <c r="J17" i="10"/>
  <c r="L18" i="10" a="1"/>
  <c r="L18" i="10" s="1"/>
  <c r="M18" i="10"/>
  <c r="G17" i="10"/>
  <c r="N17" i="10"/>
  <c r="L83" i="10" a="1"/>
  <c r="L83" i="10" s="1"/>
  <c r="N82" i="10"/>
  <c r="I82" i="10"/>
  <c r="K82" i="10" a="1"/>
  <c r="K82" i="10" s="1"/>
  <c r="G82" i="10"/>
  <c r="F82" i="10"/>
  <c r="M83" i="10"/>
  <c r="J82" i="10"/>
  <c r="H82" i="10" a="1"/>
  <c r="H82" i="10" s="1"/>
  <c r="M67" i="10"/>
  <c r="L67" i="10" a="1"/>
  <c r="L67" i="10" s="1"/>
  <c r="N66" i="10"/>
  <c r="I66" i="10"/>
  <c r="H66" i="10" a="1"/>
  <c r="H66" i="10" s="1"/>
  <c r="K66" i="10" a="1"/>
  <c r="K66" i="10" s="1"/>
  <c r="G66" i="10"/>
  <c r="J66" i="10"/>
  <c r="F66" i="10"/>
  <c r="K47" i="10" a="1"/>
  <c r="K47" i="10" s="1"/>
  <c r="F47" i="10"/>
  <c r="H47" i="10" a="1"/>
  <c r="H47" i="10" s="1"/>
  <c r="I47" i="10"/>
  <c r="M48" i="10"/>
  <c r="N47" i="10"/>
  <c r="G47" i="10"/>
  <c r="J47" i="10"/>
  <c r="L48" i="10" a="1"/>
  <c r="L48" i="10" s="1"/>
  <c r="K94" i="10" a="1"/>
  <c r="K94" i="10" s="1"/>
  <c r="L95" i="10" a="1"/>
  <c r="L95" i="10" s="1"/>
  <c r="M95" i="10"/>
  <c r="F94" i="10"/>
  <c r="G94" i="10"/>
  <c r="I94" i="10"/>
  <c r="N94" i="10"/>
  <c r="J94" i="10"/>
  <c r="H94" i="10" a="1"/>
  <c r="H94" i="10" s="1"/>
  <c r="L98" i="10" a="1"/>
  <c r="L98" i="10" s="1"/>
  <c r="G97" i="10"/>
  <c r="H97" i="10" a="1"/>
  <c r="H97" i="10" s="1"/>
  <c r="M98" i="10"/>
  <c r="K97" i="10" a="1"/>
  <c r="K97" i="10" s="1"/>
  <c r="I97" i="10"/>
  <c r="N97" i="10"/>
  <c r="J97" i="10"/>
  <c r="F97" i="10"/>
  <c r="K56" i="10" a="1"/>
  <c r="K56" i="10" s="1"/>
  <c r="M57" i="10"/>
  <c r="J56" i="10"/>
  <c r="I56" i="10"/>
  <c r="G56" i="10"/>
  <c r="L57" i="10" a="1"/>
  <c r="L57" i="10" s="1"/>
  <c r="H56" i="10" a="1"/>
  <c r="H56" i="10" s="1"/>
  <c r="N56" i="10"/>
  <c r="F56" i="10"/>
  <c r="K46" i="10" a="1"/>
  <c r="K46" i="10" s="1"/>
  <c r="N46" i="10"/>
  <c r="L47" i="10" a="1"/>
  <c r="L47" i="10" s="1"/>
  <c r="J46" i="10"/>
  <c r="M47" i="10"/>
  <c r="F46" i="10"/>
  <c r="I46" i="10"/>
  <c r="G46" i="10"/>
  <c r="H46" i="10" a="1"/>
  <c r="H46" i="10" s="1"/>
  <c r="L105" i="10" a="1"/>
  <c r="L105" i="10" s="1"/>
  <c r="H104" i="10" a="1"/>
  <c r="H104" i="10" s="1"/>
  <c r="J104" i="10"/>
  <c r="N104" i="10"/>
  <c r="I104" i="10"/>
  <c r="F104" i="10"/>
  <c r="M105" i="10"/>
  <c r="G104" i="10"/>
  <c r="K104" i="10" a="1"/>
  <c r="K104" i="10" s="1"/>
  <c r="K30" i="10" a="1"/>
  <c r="K30" i="10" s="1"/>
  <c r="L31" i="10" a="1"/>
  <c r="L31" i="10" s="1"/>
  <c r="G30" i="10"/>
  <c r="J30" i="10"/>
  <c r="N30" i="10"/>
  <c r="F30" i="10"/>
  <c r="M31" i="10"/>
  <c r="I30" i="10"/>
  <c r="H30" i="10" a="1"/>
  <c r="H30" i="10" s="1"/>
  <c r="H91" i="10" a="1"/>
  <c r="H91" i="10" s="1"/>
  <c r="F91" i="10"/>
  <c r="N91" i="10"/>
  <c r="L92" i="10" a="1"/>
  <c r="L92" i="10" s="1"/>
  <c r="J91" i="10"/>
  <c r="I91" i="10"/>
  <c r="G91" i="10"/>
  <c r="M92" i="10"/>
  <c r="K91" i="10" a="1"/>
  <c r="K91" i="10" s="1"/>
  <c r="L30" i="10" a="1"/>
  <c r="L30" i="10" s="1"/>
  <c r="H29" i="10" a="1"/>
  <c r="H29" i="10" s="1"/>
  <c r="M30" i="10"/>
  <c r="K29" i="10" a="1"/>
  <c r="K29" i="10" s="1"/>
  <c r="I29" i="10"/>
  <c r="G29" i="10"/>
  <c r="F29" i="10"/>
  <c r="N29" i="10"/>
  <c r="J29" i="10"/>
  <c r="I67" i="10"/>
  <c r="K67" i="10" a="1"/>
  <c r="K67" i="10" s="1"/>
  <c r="G67" i="10"/>
  <c r="H67" i="10" a="1"/>
  <c r="H67" i="10" s="1"/>
  <c r="L68" i="10" a="1"/>
  <c r="L68" i="10" s="1"/>
  <c r="M68" i="10"/>
  <c r="N67" i="10"/>
  <c r="F67" i="10"/>
  <c r="J67" i="10"/>
  <c r="H96" i="10" a="1"/>
  <c r="H96" i="10" s="1"/>
  <c r="I96" i="10"/>
  <c r="F96" i="10"/>
  <c r="N96" i="10"/>
  <c r="K96" i="10" a="1"/>
  <c r="K96" i="10" s="1"/>
  <c r="J96" i="10"/>
  <c r="M97" i="10"/>
  <c r="G96" i="10"/>
  <c r="L97" i="10" a="1"/>
  <c r="L97" i="10" s="1"/>
  <c r="L102" i="10" a="1"/>
  <c r="L102" i="10" s="1"/>
  <c r="F101" i="10"/>
  <c r="M102" i="10"/>
  <c r="K101" i="10" a="1"/>
  <c r="K101" i="10" s="1"/>
  <c r="J101" i="10"/>
  <c r="N101" i="10"/>
  <c r="G101" i="10"/>
  <c r="I101" i="10"/>
  <c r="H101" i="10" a="1"/>
  <c r="H101" i="10" s="1"/>
  <c r="L23" i="10" a="1"/>
  <c r="L23" i="10" s="1"/>
  <c r="G22" i="10"/>
  <c r="N22" i="10"/>
  <c r="M23" i="10"/>
  <c r="F22" i="10"/>
  <c r="I22" i="10"/>
  <c r="H22" i="10" a="1"/>
  <c r="H22" i="10" s="1"/>
  <c r="J22" i="10"/>
  <c r="K22" i="10" a="1"/>
  <c r="K22" i="10" s="1"/>
  <c r="I8" i="10"/>
  <c r="N8" i="10"/>
  <c r="H8" i="10" a="1"/>
  <c r="H8" i="10" s="1"/>
  <c r="L9" i="10" a="1"/>
  <c r="L9" i="10" s="1"/>
  <c r="K8" i="10" a="1"/>
  <c r="K8" i="10" s="1"/>
  <c r="J8" i="10"/>
  <c r="F8" i="10"/>
  <c r="G8" i="10"/>
  <c r="N24" i="10"/>
  <c r="M25" i="10"/>
  <c r="L25" i="10" a="1"/>
  <c r="L25" i="10" s="1"/>
  <c r="G24" i="10"/>
  <c r="J24" i="10"/>
  <c r="H24" i="10" a="1"/>
  <c r="H24" i="10" s="1"/>
  <c r="K24" i="10" a="1"/>
  <c r="K24" i="10" s="1"/>
  <c r="I24" i="10"/>
  <c r="F24" i="10"/>
  <c r="H50" i="10" a="1"/>
  <c r="H50" i="10" s="1"/>
  <c r="N50" i="10"/>
  <c r="K50" i="10" a="1"/>
  <c r="K50" i="10" s="1"/>
  <c r="J50" i="10"/>
  <c r="G50" i="10"/>
  <c r="L51" i="10" a="1"/>
  <c r="L51" i="10" s="1"/>
  <c r="F50" i="10"/>
  <c r="I50" i="10"/>
  <c r="M51" i="10"/>
  <c r="J15" i="10"/>
  <c r="L16" i="10" a="1"/>
  <c r="L16" i="10" s="1"/>
  <c r="F15" i="10"/>
  <c r="H15" i="10" a="1"/>
  <c r="H15" i="10" s="1"/>
  <c r="N15" i="10"/>
  <c r="I15" i="10"/>
  <c r="M16" i="10"/>
  <c r="K15" i="10" a="1"/>
  <c r="K15" i="10" s="1"/>
  <c r="G15" i="10"/>
  <c r="F81" i="10"/>
  <c r="L82" i="10" a="1"/>
  <c r="L82" i="10" s="1"/>
  <c r="H81" i="10" a="1"/>
  <c r="H81" i="10" s="1"/>
  <c r="M82" i="10"/>
  <c r="G81" i="10"/>
  <c r="I81" i="10"/>
  <c r="J81" i="10"/>
  <c r="K81" i="10" a="1"/>
  <c r="K81" i="10" s="1"/>
  <c r="N81" i="10"/>
  <c r="N33" i="10"/>
  <c r="K33" i="10" a="1"/>
  <c r="K33" i="10" s="1"/>
  <c r="J33" i="10"/>
  <c r="M34" i="10"/>
  <c r="H33" i="10" a="1"/>
  <c r="H33" i="10" s="1"/>
  <c r="F33" i="10"/>
  <c r="L34" i="10" a="1"/>
  <c r="L34" i="10" s="1"/>
  <c r="G33" i="10"/>
  <c r="I33" i="10"/>
  <c r="M71" i="10"/>
  <c r="H70" i="10" a="1"/>
  <c r="H70" i="10" s="1"/>
  <c r="G70" i="10"/>
  <c r="I70" i="10"/>
  <c r="L71" i="10" a="1"/>
  <c r="L71" i="10" s="1"/>
  <c r="F70" i="10"/>
  <c r="K70" i="10" a="1"/>
  <c r="K70" i="10" s="1"/>
  <c r="N70" i="10"/>
  <c r="J70" i="10"/>
  <c r="M41" i="10"/>
  <c r="H40" i="10" a="1"/>
  <c r="H40" i="10" s="1"/>
  <c r="I40" i="10"/>
  <c r="F40" i="10"/>
  <c r="N40" i="10"/>
  <c r="L41" i="10" a="1"/>
  <c r="L41" i="10" s="1"/>
  <c r="K40" i="10" a="1"/>
  <c r="K40" i="10" s="1"/>
  <c r="J40" i="10"/>
  <c r="G40" i="10"/>
  <c r="K80" i="10" a="1"/>
  <c r="K80" i="10" s="1"/>
  <c r="I80" i="10"/>
  <c r="H80" i="10" a="1"/>
  <c r="H80" i="10" s="1"/>
  <c r="G80" i="10"/>
  <c r="L81" i="10" a="1"/>
  <c r="L81" i="10" s="1"/>
  <c r="M81" i="10"/>
  <c r="F80" i="10"/>
  <c r="N80" i="10"/>
  <c r="J80" i="10"/>
  <c r="F23" i="10"/>
  <c r="M24" i="10"/>
  <c r="J23" i="10"/>
  <c r="I23" i="10"/>
  <c r="L24" i="10" a="1"/>
  <c r="L24" i="10" s="1"/>
  <c r="N23" i="10"/>
  <c r="K23" i="10" a="1"/>
  <c r="K23" i="10" s="1"/>
  <c r="G23" i="10"/>
  <c r="H23" i="10" a="1"/>
  <c r="H23" i="10" s="1"/>
  <c r="N16" i="10"/>
  <c r="J16" i="10"/>
  <c r="K16" i="10" a="1"/>
  <c r="K16" i="10" s="1"/>
  <c r="L17" i="10" a="1"/>
  <c r="L17" i="10" s="1"/>
  <c r="F16" i="10"/>
  <c r="M17" i="10"/>
  <c r="I16" i="10"/>
  <c r="G16" i="10"/>
  <c r="H16" i="10" a="1"/>
  <c r="H16" i="10" s="1"/>
  <c r="L77" i="10" a="1"/>
  <c r="L77" i="10" s="1"/>
  <c r="H76" i="10" a="1"/>
  <c r="H76" i="10" s="1"/>
  <c r="N76" i="10"/>
  <c r="F76" i="10"/>
  <c r="M77" i="10"/>
  <c r="J76" i="10"/>
  <c r="G76" i="10"/>
  <c r="K76" i="10" a="1"/>
  <c r="K76" i="10" s="1"/>
  <c r="I76" i="10"/>
  <c r="J98" i="10"/>
  <c r="K98" i="10" a="1"/>
  <c r="K98" i="10" s="1"/>
  <c r="L99" i="10" a="1"/>
  <c r="L99" i="10" s="1"/>
  <c r="H98" i="10" a="1"/>
  <c r="H98" i="10" s="1"/>
  <c r="N98" i="10"/>
  <c r="I98" i="10"/>
  <c r="F98" i="10"/>
  <c r="G98" i="10"/>
  <c r="M99" i="10"/>
  <c r="H62" i="10" a="1"/>
  <c r="H62" i="10" s="1"/>
  <c r="I62" i="10"/>
  <c r="G62" i="10"/>
  <c r="N62" i="10"/>
  <c r="K62" i="10" a="1"/>
  <c r="K62" i="10" s="1"/>
  <c r="J62" i="10"/>
  <c r="M63" i="10"/>
  <c r="F62" i="10"/>
  <c r="L63" i="10" a="1"/>
  <c r="L63" i="10" s="1"/>
  <c r="I36" i="10"/>
  <c r="H36" i="10" a="1"/>
  <c r="H36" i="10" s="1"/>
  <c r="G36" i="10"/>
  <c r="F36" i="10"/>
  <c r="M37" i="10"/>
  <c r="J36" i="10"/>
  <c r="N36" i="10"/>
  <c r="K36" i="10" a="1"/>
  <c r="K36" i="10" s="1"/>
  <c r="L37" i="10" a="1"/>
  <c r="L37" i="10" s="1"/>
  <c r="J90" i="10"/>
  <c r="N90" i="10"/>
  <c r="L91" i="10" a="1"/>
  <c r="L91" i="10" s="1"/>
  <c r="M91" i="10"/>
  <c r="H90" i="10" a="1"/>
  <c r="H90" i="10" s="1"/>
  <c r="I90" i="10"/>
  <c r="F90" i="10"/>
  <c r="K90" i="10" a="1"/>
  <c r="K90" i="10" s="1"/>
  <c r="G90" i="10"/>
  <c r="N95" i="10"/>
  <c r="J95" i="10"/>
  <c r="I95" i="10"/>
  <c r="H95" i="10" a="1"/>
  <c r="H95" i="10" s="1"/>
  <c r="G95" i="10"/>
  <c r="K95" i="10" a="1"/>
  <c r="K95" i="10" s="1"/>
  <c r="L96" i="10" a="1"/>
  <c r="L96" i="10" s="1"/>
  <c r="F95" i="10"/>
  <c r="M96" i="10"/>
  <c r="M33" i="10"/>
  <c r="K32" i="10" a="1"/>
  <c r="K32" i="10" s="1"/>
  <c r="G32" i="10"/>
  <c r="I32" i="10"/>
  <c r="H32" i="10" a="1"/>
  <c r="H32" i="10" s="1"/>
  <c r="N32" i="10"/>
  <c r="J32" i="10"/>
  <c r="F32" i="10"/>
  <c r="L33" i="10" a="1"/>
  <c r="L33" i="10" s="1"/>
  <c r="G75" i="10"/>
  <c r="M76" i="10"/>
  <c r="J75" i="10"/>
  <c r="L76" i="10" a="1"/>
  <c r="L76" i="10" s="1"/>
  <c r="K75" i="10" a="1"/>
  <c r="K75" i="10" s="1"/>
  <c r="H75" i="10" a="1"/>
  <c r="H75" i="10" s="1"/>
  <c r="F75" i="10"/>
  <c r="N75" i="10"/>
  <c r="I75" i="10"/>
  <c r="J78" i="10"/>
  <c r="G78" i="10"/>
  <c r="N78" i="10"/>
  <c r="K78" i="10" a="1"/>
  <c r="K78" i="10" s="1"/>
  <c r="M79" i="10"/>
  <c r="F78" i="10"/>
  <c r="I78" i="10"/>
  <c r="H78" i="10" a="1"/>
  <c r="H78" i="10" s="1"/>
  <c r="L79" i="10" a="1"/>
  <c r="L79" i="10" s="1"/>
  <c r="F51" i="10"/>
  <c r="G51" i="10"/>
  <c r="H51" i="10" a="1"/>
  <c r="H51" i="10" s="1"/>
  <c r="L52" i="10" a="1"/>
  <c r="L52" i="10" s="1"/>
  <c r="M52" i="10"/>
  <c r="K51" i="10" a="1"/>
  <c r="K51" i="10" s="1"/>
  <c r="N51" i="10"/>
  <c r="I51" i="10"/>
  <c r="J51" i="10"/>
  <c r="K13" i="10" a="1"/>
  <c r="K13" i="10" s="1"/>
  <c r="L14" i="10" a="1"/>
  <c r="L14" i="10" s="1"/>
  <c r="N13" i="10"/>
  <c r="G13" i="10"/>
  <c r="F13" i="10"/>
  <c r="J13" i="10"/>
  <c r="I13" i="10"/>
  <c r="M14" i="10"/>
  <c r="H13" i="10" a="1"/>
  <c r="H13" i="10" s="1"/>
  <c r="N89" i="10"/>
  <c r="F89" i="10"/>
  <c r="K89" i="10" a="1"/>
  <c r="K89" i="10" s="1"/>
  <c r="J89" i="10"/>
  <c r="L90" i="10" a="1"/>
  <c r="L90" i="10" s="1"/>
  <c r="M90" i="10"/>
  <c r="I89" i="10"/>
  <c r="H89" i="10" a="1"/>
  <c r="H89" i="10" s="1"/>
  <c r="G89" i="10"/>
  <c r="H61" i="10" a="1"/>
  <c r="H61" i="10" s="1"/>
  <c r="F61" i="10"/>
  <c r="I61" i="10"/>
  <c r="N61" i="10"/>
  <c r="M62" i="10"/>
  <c r="K61" i="10" a="1"/>
  <c r="K61" i="10" s="1"/>
  <c r="L62" i="10" a="1"/>
  <c r="L62" i="10" s="1"/>
  <c r="G61" i="10"/>
  <c r="J61" i="10"/>
  <c r="H60" i="10" a="1"/>
  <c r="H60" i="10" s="1"/>
  <c r="K60" i="10" a="1"/>
  <c r="K60" i="10" s="1"/>
  <c r="I60" i="10"/>
  <c r="F60" i="10"/>
  <c r="N60" i="10"/>
  <c r="L61" i="10" a="1"/>
  <c r="L61" i="10" s="1"/>
  <c r="G60" i="10"/>
  <c r="J60" i="10"/>
  <c r="M61" i="10"/>
  <c r="I18" i="10"/>
  <c r="F18" i="10"/>
  <c r="H18" i="10" a="1"/>
  <c r="H18" i="10" s="1"/>
  <c r="K18" i="10" a="1"/>
  <c r="K18" i="10" s="1"/>
  <c r="J18" i="10"/>
  <c r="N18" i="10"/>
  <c r="G18" i="10"/>
  <c r="M19" i="10"/>
  <c r="L19" i="10" a="1"/>
  <c r="L19" i="10" s="1"/>
  <c r="J37" i="10"/>
  <c r="H37" i="10" a="1"/>
  <c r="H37" i="10" s="1"/>
  <c r="M38" i="10"/>
  <c r="N37" i="10"/>
  <c r="K37" i="10" a="1"/>
  <c r="K37" i="10" s="1"/>
  <c r="I37" i="10"/>
  <c r="G37" i="10"/>
  <c r="F37" i="10"/>
  <c r="L38" i="10" a="1"/>
  <c r="L38" i="10" s="1"/>
  <c r="G57" i="10"/>
  <c r="H57" i="10" a="1"/>
  <c r="H57" i="10" s="1"/>
  <c r="F57" i="10"/>
  <c r="K57" i="10" a="1"/>
  <c r="K57" i="10" s="1"/>
  <c r="L58" i="10" a="1"/>
  <c r="L58" i="10" s="1"/>
  <c r="N57" i="10"/>
  <c r="J57" i="10"/>
  <c r="I57" i="10"/>
  <c r="M58" i="10"/>
  <c r="I103" i="10"/>
  <c r="F103" i="10"/>
  <c r="K103" i="10" a="1"/>
  <c r="K103" i="10" s="1"/>
  <c r="L104" i="10" a="1"/>
  <c r="L104" i="10" s="1"/>
  <c r="J103" i="10"/>
  <c r="M104" i="10"/>
  <c r="H103" i="10" a="1"/>
  <c r="H103" i="10" s="1"/>
  <c r="N103" i="10"/>
  <c r="G103" i="10"/>
  <c r="L42" i="10" a="1"/>
  <c r="L42" i="10" s="1"/>
  <c r="H41" i="10" a="1"/>
  <c r="H41" i="10" s="1"/>
  <c r="N41" i="10"/>
  <c r="M42" i="10"/>
  <c r="F41" i="10"/>
  <c r="G41" i="10"/>
  <c r="K41" i="10" a="1"/>
  <c r="K41" i="10" s="1"/>
  <c r="I41" i="10"/>
  <c r="J41" i="10"/>
  <c r="N69" i="10"/>
  <c r="M70" i="10"/>
  <c r="K69" i="10" a="1"/>
  <c r="K69" i="10" s="1"/>
  <c r="J69" i="10"/>
  <c r="H69" i="10" a="1"/>
  <c r="H69" i="10" s="1"/>
  <c r="I69" i="10"/>
  <c r="F69" i="10"/>
  <c r="L70" i="10" a="1"/>
  <c r="L70" i="10" s="1"/>
  <c r="G69" i="10"/>
  <c r="H77" i="10" a="1"/>
  <c r="H77" i="10" s="1"/>
  <c r="K77" i="10" a="1"/>
  <c r="K77" i="10" s="1"/>
  <c r="N77" i="10"/>
  <c r="I77" i="10"/>
  <c r="J77" i="10"/>
  <c r="M78" i="10"/>
  <c r="G77" i="10"/>
  <c r="L78" i="10" a="1"/>
  <c r="L78" i="10" s="1"/>
  <c r="F77" i="10"/>
  <c r="M9" i="10" l="1"/>
  <c r="O7" i="10"/>
  <c r="P7" i="10" s="1"/>
  <c r="O8" i="10" l="1"/>
  <c r="P8" i="10" l="1"/>
  <c r="O9" i="10"/>
  <c r="P9" i="10" l="1"/>
  <c r="O10" i="10"/>
  <c r="P10" i="10" l="1"/>
  <c r="O11" i="10"/>
  <c r="P11" i="10" l="1"/>
  <c r="O12" i="10"/>
  <c r="P12" i="10" l="1"/>
  <c r="O13" i="10"/>
  <c r="O14" i="10" l="1"/>
  <c r="P13" i="10"/>
  <c r="O15" i="10" l="1"/>
  <c r="P14" i="10"/>
  <c r="O16" i="10" l="1"/>
  <c r="P15" i="10"/>
  <c r="P16" i="10" l="1"/>
  <c r="O17" i="10"/>
  <c r="P17" i="10" l="1"/>
  <c r="O18" i="10"/>
  <c r="P18" i="10" l="1"/>
  <c r="O19" i="10"/>
  <c r="O20" i="10" l="1"/>
  <c r="P19" i="10"/>
  <c r="O21" i="10" l="1"/>
  <c r="P20" i="10"/>
  <c r="P21" i="10" l="1"/>
  <c r="O22" i="10"/>
  <c r="P22" i="10" l="1"/>
  <c r="O23" i="10"/>
  <c r="P23" i="10" l="1"/>
  <c r="O24" i="10"/>
  <c r="O25" i="10" l="1"/>
  <c r="P24" i="10"/>
  <c r="O26" i="10" l="1"/>
  <c r="P25" i="10"/>
  <c r="O27" i="10" l="1"/>
  <c r="P26" i="10"/>
  <c r="P27" i="10" l="1"/>
  <c r="O28" i="10"/>
  <c r="P28" i="10" l="1"/>
  <c r="O29" i="10"/>
  <c r="P29" i="10" l="1"/>
  <c r="O30" i="10"/>
  <c r="P30" i="10" l="1"/>
  <c r="O31" i="10"/>
  <c r="O32" i="10" l="1"/>
  <c r="P31" i="10"/>
  <c r="O33" i="10" l="1"/>
  <c r="P32" i="10"/>
  <c r="O34" i="10" l="1"/>
  <c r="P33" i="10"/>
  <c r="P34" i="10" l="1"/>
  <c r="O35" i="10"/>
  <c r="P35" i="10" l="1"/>
  <c r="O36" i="10"/>
  <c r="P36" i="10" l="1"/>
  <c r="O37" i="10"/>
  <c r="O38" i="10" l="1"/>
  <c r="P37" i="10"/>
  <c r="O39" i="10" l="1"/>
  <c r="P38" i="10"/>
  <c r="O40" i="10" l="1"/>
  <c r="P39" i="10"/>
  <c r="P40" i="10" l="1"/>
  <c r="O41" i="10"/>
  <c r="P41" i="10" l="1"/>
  <c r="O42" i="10"/>
  <c r="P42" i="10" l="1"/>
  <c r="O43" i="10"/>
  <c r="O44" i="10" l="1"/>
  <c r="P43" i="10"/>
  <c r="O45" i="10" l="1"/>
  <c r="P44" i="10"/>
  <c r="O46" i="10" l="1"/>
  <c r="P45" i="10"/>
  <c r="P46" i="10" l="1"/>
  <c r="O47" i="10"/>
  <c r="P47" i="10" l="1"/>
  <c r="O48" i="10"/>
  <c r="P48" i="10" l="1"/>
  <c r="O49" i="10"/>
  <c r="P49" i="10" l="1"/>
  <c r="O50" i="10"/>
  <c r="O51" i="10" l="1"/>
  <c r="P50" i="10"/>
  <c r="P51" i="10" l="1"/>
  <c r="O52" i="10"/>
  <c r="P52" i="10" l="1"/>
  <c r="O53" i="10"/>
  <c r="P53" i="10" l="1"/>
  <c r="O54" i="10"/>
  <c r="O55" i="10" l="1"/>
  <c r="P54" i="10"/>
  <c r="O56" i="10" l="1"/>
  <c r="P55" i="10"/>
  <c r="O57" i="10" l="1"/>
  <c r="P56" i="10"/>
  <c r="P57" i="10" l="1"/>
  <c r="O58" i="10"/>
  <c r="P58" i="10" l="1"/>
  <c r="O59" i="10"/>
  <c r="P59" i="10" l="1"/>
  <c r="O60" i="10"/>
  <c r="O61" i="10" l="1"/>
  <c r="P60" i="10"/>
  <c r="O62" i="10" l="1"/>
  <c r="P61" i="10"/>
  <c r="O63" i="10" l="1"/>
  <c r="P62" i="10"/>
  <c r="P63" i="10" l="1"/>
  <c r="O64" i="10"/>
  <c r="P64" i="10" l="1"/>
  <c r="O65" i="10"/>
  <c r="P65" i="10" l="1"/>
  <c r="O66" i="10"/>
  <c r="O67" i="10" l="1"/>
  <c r="P66" i="10"/>
  <c r="O68" i="10" l="1"/>
  <c r="P67" i="10"/>
  <c r="O69" i="10" l="1"/>
  <c r="P68" i="10"/>
  <c r="P69" i="10" l="1"/>
  <c r="O70" i="10"/>
  <c r="P70" i="10" l="1"/>
  <c r="O71" i="10"/>
  <c r="P71" i="10" l="1"/>
  <c r="O72" i="10"/>
  <c r="O73" i="10" l="1"/>
  <c r="P72" i="10"/>
  <c r="O74" i="10" l="1"/>
  <c r="P73" i="10"/>
  <c r="O75" i="10" l="1"/>
  <c r="P74" i="10"/>
  <c r="P75" i="10" l="1"/>
  <c r="O76" i="10"/>
  <c r="P76" i="10" l="1"/>
  <c r="O77" i="10"/>
  <c r="P77" i="10" l="1"/>
  <c r="O78" i="10"/>
  <c r="O79" i="10" l="1"/>
  <c r="P78" i="10"/>
  <c r="O80" i="10" l="1"/>
  <c r="P79" i="10"/>
  <c r="O81" i="10" l="1"/>
  <c r="P80" i="10"/>
  <c r="P81" i="10" l="1"/>
  <c r="O82" i="10"/>
  <c r="P82" i="10" l="1"/>
  <c r="O83" i="10"/>
  <c r="P83" i="10" l="1"/>
  <c r="O84" i="10"/>
  <c r="O85" i="10" l="1"/>
  <c r="P84" i="10"/>
  <c r="O86" i="10" l="1"/>
  <c r="P85" i="10"/>
  <c r="O87" i="10" l="1"/>
  <c r="P86" i="10"/>
  <c r="P87" i="10" l="1"/>
  <c r="O88" i="10"/>
  <c r="P88" i="10" l="1"/>
  <c r="O89" i="10"/>
  <c r="P89" i="10" l="1"/>
  <c r="O90" i="10"/>
  <c r="P90" i="10" l="1"/>
  <c r="O91" i="10"/>
  <c r="O92" i="10" l="1"/>
  <c r="P91" i="10"/>
  <c r="P92" i="10" l="1"/>
  <c r="O93" i="10"/>
  <c r="P93" i="10" l="1"/>
  <c r="O94" i="10"/>
  <c r="P94" i="10" l="1"/>
  <c r="O95" i="10"/>
  <c r="O96" i="10" l="1"/>
  <c r="P95" i="10"/>
  <c r="P96" i="10" l="1"/>
  <c r="O97" i="10"/>
  <c r="P97" i="10" l="1"/>
  <c r="O98" i="10"/>
  <c r="P98" i="10" l="1"/>
  <c r="O99" i="10"/>
  <c r="P99" i="10" l="1"/>
  <c r="O100" i="10"/>
  <c r="P100" i="10" l="1"/>
  <c r="O101" i="10"/>
  <c r="P101" i="10" l="1"/>
  <c r="O102" i="10"/>
  <c r="P102" i="10" l="1"/>
  <c r="O103" i="10"/>
  <c r="P103" i="10" s="1"/>
  <c r="T6" i="10"/>
  <c r="U6" i="10"/>
  <c r="T8" i="10"/>
  <c r="T7" i="10"/>
  <c r="U7" i="10"/>
  <c r="U8" i="10"/>
</calcChain>
</file>

<file path=xl/sharedStrings.xml><?xml version="1.0" encoding="utf-8"?>
<sst xmlns="http://schemas.openxmlformats.org/spreadsheetml/2006/main" count="3467" uniqueCount="449">
  <si>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</si>
  <si>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</si>
  <si>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</si>
  <si>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</si>
  <si>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</si>
  <si>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</si>
  <si>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</si>
  <si>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</si>
  <si>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</si>
  <si>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</si>
  <si>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</si>
  <si>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</si>
  <si>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</si>
  <si>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</si>
  <si>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</si>
  <si>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</si>
  <si>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</si>
  <si>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</si>
  <si>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</si>
  <si>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</si>
  <si>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</si>
  <si>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</si>
  <si>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</si>
  <si>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</si>
  <si>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</si>
  <si>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</si>
  <si>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</si>
  <si>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</si>
  <si>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</si>
  <si>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</si>
  <si>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</si>
  <si>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</si>
  <si>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</si>
  <si>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</si>
  <si>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</si>
  <si>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</si>
  <si>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</si>
  <si>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</si>
  <si>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</si>
  <si>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</si>
  <si>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</si>
  <si>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</si>
  <si>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</si>
  <si>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</si>
  <si>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</si>
  <si>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</si>
  <si>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</si>
  <si>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</si>
  <si>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</si>
  <si>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</si>
  <si>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</si>
  <si>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</si>
  <si>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</si>
  <si>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</si>
  <si>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</si>
  <si>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</si>
  <si>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</si>
  <si>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</si>
  <si>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</si>
  <si>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</si>
  <si>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</si>
  <si>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</si>
  <si>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</si>
  <si>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</si>
  <si>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</si>
  <si>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</si>
  <si>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</si>
  <si>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</si>
  <si>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</si>
  <si>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</si>
  <si>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</si>
  <si>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</si>
  <si>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</si>
  <si>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</si>
  <si>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</si>
  <si>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</si>
  <si>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</si>
  <si>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</si>
  <si>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</si>
  <si>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</si>
  <si>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</si>
  <si>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</si>
  <si>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</si>
  <si>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</si>
  <si>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</si>
  <si>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</si>
  <si>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</si>
  <si>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</si>
  <si>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</si>
  <si>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</si>
  <si>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</si>
  <si>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</si>
  <si>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</si>
  <si>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</si>
  <si>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</si>
  <si>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</si>
  <si>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</si>
  <si>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</si>
  <si>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</si>
  <si>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</si>
  <si>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</si>
  <si>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</si>
  <si>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</si>
  <si>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</si>
  <si>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</si>
  <si>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</si>
  <si>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</si>
  <si>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</si>
  <si>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</si>
  <si>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</si>
  <si>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</si>
  <si>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</si>
  <si>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</si>
  <si>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</si>
  <si>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</si>
  <si>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</si>
  <si>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</si>
  <si>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</si>
  <si>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</si>
  <si>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</si>
  <si>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</si>
  <si>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</si>
  <si>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</si>
  <si>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</si>
  <si>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</si>
  <si>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</si>
  <si>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</si>
  <si>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</si>
  <si>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</si>
  <si>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</si>
  <si>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</si>
  <si>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</si>
  <si>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</si>
  <si>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</si>
  <si>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</si>
  <si>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</si>
  <si>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</si>
  <si>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</si>
  <si>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</si>
  <si>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</si>
  <si>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</si>
  <si>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</si>
  <si>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</si>
  <si>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</si>
  <si>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</si>
  <si>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</si>
  <si>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</si>
  <si>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</si>
  <si>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</si>
  <si>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</si>
  <si>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</si>
  <si>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</si>
  <si>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</si>
  <si>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</si>
  <si>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</si>
  <si>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</si>
  <si>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</si>
  <si>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</si>
  <si>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</si>
  <si>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</si>
  <si>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</si>
  <si>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</si>
  <si>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</si>
  <si>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</si>
  <si>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</si>
  <si>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</si>
  <si>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</si>
  <si>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</si>
  <si>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</si>
  <si>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</si>
  <si>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</si>
  <si>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</si>
  <si>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</si>
  <si>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</si>
  <si>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</si>
  <si>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</si>
  <si>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</si>
  <si>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</si>
  <si>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</si>
  <si>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</si>
  <si>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</si>
  <si>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</si>
  <si>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</si>
  <si>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</si>
  <si>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</si>
  <si>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</si>
  <si>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</si>
  <si>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</si>
  <si>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</si>
  <si>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</si>
  <si>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</si>
  <si>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</si>
  <si>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</si>
  <si>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</si>
  <si>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</si>
  <si>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</si>
  <si>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</si>
  <si>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</si>
  <si>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</si>
  <si>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</si>
  <si>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</si>
  <si>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</si>
  <si>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</si>
  <si>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</si>
  <si>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</si>
  <si>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</si>
  <si>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</si>
  <si>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</si>
  <si>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</si>
  <si>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</si>
  <si>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</si>
  <si>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</si>
  <si>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</si>
  <si>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</si>
  <si>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</si>
  <si>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</si>
  <si>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</si>
  <si>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</si>
  <si>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</si>
  <si>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</si>
  <si>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</si>
  <si>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</si>
  <si>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</si>
  <si>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</si>
  <si>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</si>
  <si>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</si>
  <si>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</si>
  <si>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</si>
  <si>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</si>
  <si>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</si>
  <si>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</si>
  <si>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</si>
  <si>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</si>
  <si>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</si>
  <si>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</si>
  <si>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</si>
  <si>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</si>
  <si>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</si>
  <si>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</si>
  <si>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</si>
  <si>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</si>
  <si>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</si>
  <si>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</si>
  <si>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</si>
  <si>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</si>
  <si>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</si>
  <si>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</si>
  <si>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</si>
  <si>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</si>
  <si>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</si>
  <si>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</si>
  <si>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</si>
  <si>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</si>
  <si>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</si>
  <si>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</si>
  <si>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</si>
  <si>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</si>
  <si>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</si>
  <si>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</si>
  <si>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</si>
  <si>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</si>
  <si>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</si>
  <si>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</si>
  <si>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</si>
  <si>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</si>
  <si>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</si>
  <si>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</si>
  <si>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</si>
  <si>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</si>
  <si>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</si>
  <si>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</si>
  <si>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</si>
  <si>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</si>
  <si>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</si>
  <si>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</si>
  <si>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</si>
  <si>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</si>
  <si>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</si>
  <si>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</si>
  <si>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</si>
  <si>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</si>
  <si>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</si>
  <si>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</si>
  <si>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</si>
  <si>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</si>
  <si>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</si>
  <si>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</si>
  <si>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</si>
  <si>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</si>
  <si>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</si>
  <si>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</si>
  <si>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</si>
  <si>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</si>
  <si>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</si>
  <si>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</si>
  <si>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</si>
  <si>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</si>
  <si>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</si>
  <si>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</si>
  <si>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</si>
  <si>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</si>
  <si>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</si>
  <si>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</si>
  <si>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</si>
  <si>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</si>
  <si>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</si>
  <si>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</si>
  <si>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</si>
  <si>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</si>
  <si>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</si>
  <si>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</si>
  <si>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</si>
  <si>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</si>
  <si>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</si>
  <si>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</si>
  <si>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</si>
  <si>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</si>
  <si>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</si>
  <si>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</si>
  <si>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</si>
  <si>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</si>
  <si>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</si>
  <si>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</si>
  <si>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</si>
  <si>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</si>
  <si>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</si>
  <si>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</si>
  <si>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</si>
  <si>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</si>
  <si>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</si>
  <si>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</si>
  <si>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</si>
  <si>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</si>
  <si>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</si>
  <si>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</si>
  <si>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</si>
  <si>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</si>
  <si>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</si>
  <si>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</si>
  <si>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</si>
  <si>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</si>
  <si>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</si>
  <si>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</si>
  <si>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</si>
  <si>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</si>
  <si>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</si>
  <si>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</si>
  <si>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</si>
  <si>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</si>
  <si>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</si>
  <si>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</si>
  <si>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</si>
  <si>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</si>
  <si>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</si>
  <si>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</si>
  <si>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</si>
  <si>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</si>
  <si>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</si>
  <si>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</si>
  <si>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</si>
  <si>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</si>
  <si>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</si>
  <si>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</si>
  <si>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</si>
  <si>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</si>
  <si>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</si>
  <si>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</si>
  <si>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</si>
  <si>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</si>
  <si>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</si>
  <si>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</si>
  <si>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</si>
  <si>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</si>
  <si>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</si>
  <si>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</si>
  <si>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</si>
  <si>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</si>
  <si>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</si>
  <si>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</si>
  <si>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</si>
  <si>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</si>
  <si>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</si>
  <si>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</si>
  <si>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</si>
  <si>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</si>
  <si>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</si>
  <si>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</si>
  <si>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</si>
  <si>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</si>
  <si>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</si>
  <si>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</si>
  <si>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</si>
  <si>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</si>
  <si>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</si>
  <si>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</si>
  <si>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</si>
  <si>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</si>
  <si>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</si>
  <si>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</si>
  <si>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</si>
  <si>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</si>
  <si>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</si>
  <si>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</si>
  <si>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</si>
  <si>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</si>
  <si>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</si>
  <si>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</si>
  <si>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</si>
  <si>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</si>
  <si>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</si>
  <si>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</si>
  <si>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</si>
  <si>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</si>
  <si>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</si>
  <si>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</si>
  <si>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</si>
  <si>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</si>
  <si>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</si>
  <si>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</si>
  <si>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</si>
  <si>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</si>
  <si>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</si>
  <si>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</si>
  <si>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</si>
  <si>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</si>
  <si>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</si>
  <si>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</si>
  <si>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</si>
  <si>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</si>
  <si>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</si>
  <si>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</si>
  <si>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</si>
  <si>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</si>
  <si>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25.0.000053832-1</t>
  </si>
  <si>
    <t>ULAB-HMIPV</t>
  </si>
  <si>
    <t>Adriana Steffens</t>
  </si>
  <si>
    <t>107108-4</t>
  </si>
  <si>
    <t>Frasco/garrafa a vácuo, PEDIÁTRICO, com meio de cultura com sistema neutralizador de antibióticos para detecção de microorganismos aeróbicos e anaeróbicos facultativos (bactérias e fungos) no sangue, a vácuo, compatível com o equipamento.</t>
  </si>
  <si>
    <t>FRASCO</t>
  </si>
  <si>
    <t>6000</t>
  </si>
  <si>
    <t>Frasco/garrafa a vácuo, ADULTO, com meio de cultura com sistema neutralizador de antibióticos para detecção de microorganismos aeróbicos e anaeróbicos facultativos (bactérias e fungos) no sangue, a vácuo, compatível com o equipamento.</t>
  </si>
  <si>
    <t>9000</t>
  </si>
  <si>
    <t>Locação de 2 equipamentos automatizados destinados à realização dos testes de hemocultura, incluindo o fornecimento de insumos e equipamentos de automação, e a manutenção preventiva, corretiva, calibração dos equipamentos e treinamento técnico.</t>
  </si>
  <si>
    <t>MENSALIDADE</t>
  </si>
  <si>
    <t>12 MESES</t>
  </si>
  <si>
    <t>ORÇAMENTO BD 37513191</t>
  </si>
  <si>
    <t>HCPA 38467015</t>
  </si>
  <si>
    <t>Vitória/ES 38466937 e 38466967</t>
  </si>
  <si>
    <t>HCPA 38467048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</si>
</sst>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7">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C2" sqref="C2:E4"/>
    </sheetView>
  </sheetViews>
  <sheetFormatPr defaultColWidth="9.140625" defaultRowHeight="15" x14ac:dyDescent="0.25"/>
  <cols>
    <col min="1" max="1" width="7.140625" style="19" customWidth="1"/>
    <col min="2" max="2" width="8.140625" style="19" bestFit="1" customWidth="1"/>
    <col min="3" max="3" width="28.7109375" style="19"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2" spans="1:11" x14ac:dyDescent="0.25">
      <c r="C2" s="19" t="s">
        <v>437</v>
      </c>
      <c r="D2" s="19" t="s">
        <v>438</v>
      </c>
      <c r="E2" s="163" t="s">
        <v>439</v>
      </c>
    </row>
    <row r="3" spans="1:11" x14ac:dyDescent="0.25">
      <c r="C3" s="19" t="s">
        <v>440</v>
      </c>
      <c r="D3" s="19" t="s">
        <v>438</v>
      </c>
      <c r="E3" s="163" t="s">
        <v>441</v>
      </c>
      <c r="I3" s="129"/>
    </row>
    <row r="4" spans="1:11" x14ac:dyDescent="0.25">
      <c r="C4" s="19" t="s">
        <v>442</v>
      </c>
      <c r="D4" s="19" t="s">
        <v>443</v>
      </c>
      <c r="E4" s="163" t="s">
        <v>444</v>
      </c>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E3 D4:E4">
    <cfRule type="expression" dxfId="26" priority="1">
      <formula>AND(ISNUMBER($B3),$B2&gt;$B3,$A2=$A3)</formula>
    </cfRule>
  </conditionalFormatting>
  <conditionalFormatting sqref="F3:K4 A4:A264 B5:C5 D5:K264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2">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zoomScale="85" zoomScaleNormal="85" workbookViewId="0">
      <selection activeCell="R81" sqref="R81"/>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17" width="19.85546875" style="121" customWidth="1"/>
    <col min="18" max="18" width="29.42578125" style="121" customWidth="1"/>
    <col min="19"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5" t="str">
        <f>CONCATENATE("PREFEITURA MUNICIPAL DE PORTO ALEGRE
",H5,"
MAPA DE PREÇOS - ", UPPER(TEXT(MAX('Tabela de Apoio'!A:A),"MMM/AA")))</f>
        <v>PREFEITURA MUNICIPAL DE PORTO ALEGRE
SECRETARIA MUNICIPAL DA SAÚDE (SMS)
MAPA DE PREÇOS - JUN/26</v>
      </c>
      <c r="F2" s="205"/>
      <c r="G2" s="205"/>
      <c r="H2" s="205"/>
      <c r="I2" s="205"/>
      <c r="J2" s="205"/>
      <c r="K2" s="205"/>
      <c r="L2" s="205"/>
      <c r="M2" s="205"/>
      <c r="N2" s="205"/>
      <c r="O2" s="205"/>
      <c r="P2" s="205"/>
      <c r="Q2" s="205"/>
      <c r="R2" s="205"/>
      <c r="S2" s="205"/>
      <c r="T2" s="205"/>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12" t="s">
        <v>14</v>
      </c>
      <c r="S4" s="212"/>
      <c r="T4" s="212"/>
      <c r="U4" s="212"/>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07" t="s">
        <v>426</v>
      </c>
      <c r="I5" s="207"/>
      <c r="J5" s="207"/>
      <c r="K5" s="141"/>
      <c r="L5" s="215" t="s">
        <v>321</v>
      </c>
      <c r="M5" s="206"/>
      <c r="N5" s="206"/>
      <c r="O5" s="208" t="s">
        <v>434</v>
      </c>
      <c r="P5" s="209"/>
      <c r="Q5" s="98"/>
      <c r="R5" s="213" t="s">
        <v>383</v>
      </c>
      <c r="S5" s="213"/>
      <c r="T5" s="213"/>
      <c r="U5" s="213"/>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11"/>
      <c r="I6" s="211"/>
      <c r="J6" s="211"/>
      <c r="K6" s="142"/>
      <c r="L6" s="215" t="s">
        <v>352</v>
      </c>
      <c r="M6" s="206"/>
      <c r="N6" s="206"/>
      <c r="O6" s="208" t="s">
        <v>435</v>
      </c>
      <c r="P6" s="209"/>
      <c r="Q6" s="98"/>
      <c r="R6" s="213"/>
      <c r="S6" s="213"/>
      <c r="T6" s="213"/>
      <c r="U6" s="213"/>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07" t="s">
        <v>433</v>
      </c>
      <c r="I7" s="207"/>
      <c r="J7" s="207"/>
      <c r="K7" s="141"/>
      <c r="L7" s="215" t="s">
        <v>351</v>
      </c>
      <c r="M7" s="206"/>
      <c r="N7" s="206"/>
      <c r="O7" s="208" t="s">
        <v>436</v>
      </c>
      <c r="P7" s="209"/>
      <c r="Q7" s="98"/>
      <c r="R7" s="213"/>
      <c r="S7" s="213"/>
      <c r="T7" s="213"/>
      <c r="U7" s="213"/>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24">
        <f>MIN(MAX(COUNTA('BASE FORMAÇÃO'!C:C)-1,1),100)</f>
        <v>3</v>
      </c>
      <c r="I8" s="225"/>
      <c r="J8" s="226"/>
      <c r="K8" s="141"/>
      <c r="L8" s="227" t="s">
        <v>301</v>
      </c>
      <c r="M8" s="228"/>
      <c r="N8" s="229"/>
      <c r="O8" s="219">
        <v>46227</v>
      </c>
      <c r="P8" s="220"/>
      <c r="Q8" s="97"/>
      <c r="R8" s="214" t="s">
        <v>379</v>
      </c>
      <c r="S8" s="214"/>
      <c r="T8" s="214"/>
      <c r="U8" s="214"/>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23">
        <f>SUMIF(L:L,"TOTAL ITEM",M:M)</f>
        <v>336324.12</v>
      </c>
      <c r="I9" s="223"/>
      <c r="J9" s="223"/>
      <c r="K9" s="141"/>
      <c r="L9" s="216"/>
      <c r="M9" s="217"/>
      <c r="N9" s="218"/>
      <c r="O9" s="221"/>
      <c r="P9" s="222"/>
      <c r="Q9" s="97"/>
      <c r="R9" s="214"/>
      <c r="S9" s="214"/>
      <c r="T9" s="214"/>
      <c r="U9" s="214"/>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2" t="s">
        <v>314</v>
      </c>
      <c r="F11" s="65"/>
      <c r="G11" s="212" t="s">
        <v>324</v>
      </c>
      <c r="H11" s="212"/>
      <c r="I11" s="212"/>
      <c r="J11" s="212"/>
      <c r="K11" s="65"/>
      <c r="L11" s="212" t="s">
        <v>10</v>
      </c>
      <c r="M11" s="212"/>
      <c r="N11" s="68"/>
      <c r="O11" s="210"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2"/>
      <c r="F12" s="65"/>
      <c r="G12" s="212"/>
      <c r="H12" s="212"/>
      <c r="I12" s="212"/>
      <c r="J12" s="212"/>
      <c r="K12" s="65"/>
      <c r="L12" s="212"/>
      <c r="M12" s="212"/>
      <c r="N12" s="69"/>
      <c r="O12" s="210"/>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2" t="s">
        <v>10</v>
      </c>
      <c r="M15" s="184">
        <f>IF(OR(ISBLANK($O$8),ISBLANK($O$7),ISBLANK($H$8),ISBLANK($O$6),ISBLANK($O$5),ISBLANK($H$5)),"",IFERROR(IF(VLOOKUP(L15,L21:M30,2,FALSE)&lt;1,ROUND(VLOOKUP(L15,L21:M30,2,FALSE),4),ROUND(VLOOKUP(L15,L21:M30,2,FALSE),2)),""))</f>
        <v>17.75</v>
      </c>
      <c r="N15" s="69"/>
      <c r="O15" s="27" t="s">
        <v>17</v>
      </c>
      <c r="P15" s="113">
        <v>37.369999999999997</v>
      </c>
      <c r="Q15" s="113">
        <v>15.5</v>
      </c>
      <c r="R15" s="113">
        <v>17</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191" t="str">
        <f>INDEX('BASE FORMAÇÃO'!C:C,B15+1)</f>
        <v>Frasco/garrafa a vácuo, PEDIÁTRICO, com meio de cultura com sistema neutralizador de antibióticos para detecção de microorganismos aeróbicos e anaeróbicos facultativos (bactérias e fungos) no sangue, a vácuo, compatível com o equipamento.</v>
      </c>
      <c r="I16" s="191"/>
      <c r="J16" s="192"/>
      <c r="K16" s="66"/>
      <c r="L16" s="183"/>
      <c r="M16" s="185"/>
      <c r="N16" s="70"/>
      <c r="O16" s="27" t="s">
        <v>13</v>
      </c>
      <c r="P16" s="122">
        <v>46042</v>
      </c>
      <c r="Q16" s="122">
        <v>45177</v>
      </c>
      <c r="R16" s="122">
        <v>46099</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6000</v>
      </c>
      <c r="N17" s="71"/>
      <c r="O17" s="27" t="s">
        <v>380</v>
      </c>
      <c r="P17" s="114" t="s">
        <v>377</v>
      </c>
      <c r="Q17" s="114" t="s">
        <v>12</v>
      </c>
      <c r="R17" s="114" t="s">
        <v>12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tr">
        <f>INDEX('BASE FORMAÇÃO'!D:D,B19+1)</f>
        <v>FRASCO</v>
      </c>
      <c r="N18" s="71"/>
      <c r="O18" s="27" t="s">
        <v>381</v>
      </c>
      <c r="P18" s="115" t="s">
        <v>445</v>
      </c>
      <c r="Q18" s="115" t="s">
        <v>446</v>
      </c>
      <c r="R18" s="115" t="s">
        <v>447</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0.36793342897784126</v>
      </c>
      <c r="N19" s="71"/>
      <c r="O19" s="27" t="s">
        <v>18</v>
      </c>
      <c r="P19" s="106">
        <f>IF(P15="","",
IF(OR(P17="Orçamento",P16="",MAX('Tabela de Apoio'!$A:$A)&lt;=P16),
P15,
(INDEX('Tabela de Apoio'!$B:$B,MATCH('MAPA DE PREÇOS'!$O$8,'Tabela de Apoio'!$A:$A,1))/INDEX('Tabela de Apoio'!$B:$B,MATCH('MAPA DE PREÇOS'!P16,'Tabela de Apoio'!$A:$A,1)-1))*P15))</f>
        <v>37.369999999999997</v>
      </c>
      <c r="Q19" s="106">
        <f>IF(Q15="","",
IF(OR(Q17="Orçamento",Q16="",MAX('Tabela de Apoio'!$A:$A)&lt;=Q16),
Q15,
(INDEX('Tabela de Apoio'!$B:$B,MATCH('MAPA DE PREÇOS'!$O$8,'Tabela de Apoio'!$A:$A,1))/INDEX('Tabela de Apoio'!$B:$B,MATCH('MAPA DE PREÇOS'!Q16,'Tabela de Apoio'!$A:$A,1)-1))*Q15))</f>
        <v>17.747533396775236</v>
      </c>
      <c r="R19" s="106">
        <f>IF(R15="","",
IF(OR(R17="Orçamento",R16="",MAX('Tabela de Apoio'!$A:$A)&lt;=R16),
R15,
(INDEX('Tabela de Apoio'!$B:$B,MATCH('MAPA DE PREÇOS'!$O$8,'Tabela de Apoio'!$A:$A,1))/INDEX('Tabela de Apoio'!$B:$B,MATCH('MAPA DE PREÇOS'!R16,'Tabela de Apoio'!$A:$A,1)-1))*R15))</f>
        <v>17.392424305220391</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t="str">
        <f>IF(IFERROR(VLOOKUP(P17,'Tabela de Apoio'!$D:$E,2,FALSE),1)=1,"",P21)</f>
        <v/>
      </c>
      <c r="Q20" s="107">
        <f>IF(IFERROR(VLOOKUP(Q17,'Tabela de Apoio'!$D:$E,2,FALSE),1)=1,"",Q21)</f>
        <v>17.747533396775236</v>
      </c>
      <c r="R20" s="107">
        <f>IF(IFERROR(VLOOKUP(R17,'Tabela de Apoio'!$D:$E,2,FALSE),1)=1,"",R21)</f>
        <v>17.392424305220391</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3</v>
      </c>
      <c r="I21" s="132">
        <f>_xlfn.STDEV.P($P20:$XX21)/AVERAGE($P20:$XX21)</f>
        <v>0.36793342897784126</v>
      </c>
      <c r="J21" s="7">
        <f>ROW()</f>
        <v>21</v>
      </c>
      <c r="K21" s="67"/>
      <c r="L21" s="29" t="s">
        <v>10</v>
      </c>
      <c r="M21" s="30">
        <f>IFERROR(
IF(COUNTA(P15:AI15)=COUNTIF(P17:XX17,"Orçamento"),MIN(M26,M23),
IF(M24&lt;&gt;"",M24,
IF(M25&lt;&gt;"",M25,
M23
))),"")</f>
        <v>17.747533396775236</v>
      </c>
      <c r="N21" s="71"/>
      <c r="O21" s="27" t="s">
        <v>376</v>
      </c>
      <c r="P21" s="106">
        <f>IFERROR(IF(P19="",
            "",
            IF(COUNT($P19:$XX19)&lt;=4,
               P19,
               IF(OR(P19&gt;(QUARTILE($P19:$XX19,3)+(QUARTILE($P19:$XX19,3)-QUARTILE($P19:$XX19,1))),
                     P19&lt;(QUARTILE($P19:$XX19,1)-(QUARTILE($P19:$XX19,3)-QUARTILE($P19:$XX19,1)))
                  ),
               "DESCARTADO",P19)
             )
  ),P19)</f>
        <v>37.369999999999997</v>
      </c>
      <c r="Q21" s="106">
        <f t="shared" ref="Q21:AI21" si="3">IFERROR(IF(Q19="",
            "",
            IF(COUNT($P19:$XX19)&lt;=4,
               Q19,
               IF(OR(Q19&gt;(QUARTILE($P19:$XX19,3)+(QUARTILE($P19:$XX19,3)-QUARTILE($P19:$XX19,1))),
                     Q19&lt;(QUARTILE($P19:$XX19,1)-(QUARTILE($P19:$XX19,3)-QUARTILE($P19:$XX19,1)))
                  ),
               "DESCARTADO",Q19)
             )
  ),Q19)</f>
        <v>17.747533396775236</v>
      </c>
      <c r="R21" s="106">
        <f t="shared" si="3"/>
        <v>17.392424305220391</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24.169985900665207</v>
      </c>
      <c r="N22" s="71"/>
      <c r="O22" s="27" t="str">
        <f>"1 POND"</f>
        <v>1 POND</v>
      </c>
      <c r="P22" s="107" t="str">
        <f>IF(IFERROR(VLOOKUP(P17,'Tabela de Apoio'!$D:$E,2,FALSE),1)=1,"",P23)</f>
        <v/>
      </c>
      <c r="Q22" s="107">
        <f>IF(IFERROR(VLOOKUP(Q17,'Tabela de Apoio'!$D:$E,2,FALSE),1)=1,"",Q23)</f>
        <v>17.747533396775236</v>
      </c>
      <c r="R22" s="107">
        <f>IF(IFERROR(VLOOKUP(R17,'Tabela de Apoio'!$D:$E,2,FALSE),1)=1,"",R23)</f>
        <v>17.392424305220391</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2</v>
      </c>
      <c r="I23" s="132">
        <f>_xlfn.STDEV.P($P22:$XX23)/AVERAGE($P22:$XX23)</f>
        <v>1.0105564001139287E-2</v>
      </c>
      <c r="J23" s="7">
        <f>IF(AND(H23&gt;2,
OR(L15="MÉDIA SANEADA",L15="MEDIANA SANEADA",
AND(L15="PREÇO ESTIMADO",NOT(AND(P17="Orçamento",COUNTA(P15:XX15)=COUNTIF(P17:XX17,"Orçamento")))))),
ROW(),0)</f>
        <v>0</v>
      </c>
      <c r="K23" s="66"/>
      <c r="L23" s="29" t="s">
        <v>361</v>
      </c>
      <c r="M23" s="30">
        <f>MEDIAN($P21:$XX21)</f>
        <v>17.747533396775236</v>
      </c>
      <c r="N23" s="71"/>
      <c r="O23" s="27" t="str">
        <f>"1 RODADA"</f>
        <v>1 RODADA</v>
      </c>
      <c r="P23" s="107" t="str">
        <f>IF(P21="","",IF((_xlfn.STDEV.P($P20:$XX21)/AVERAGE($P20:$XX21))&lt;=25%,P21,IF(OR(P21&gt;(AVERAGE($P20:$XX21)+_xlfn.STDEV.P($P20:$XX21)),P21&lt;(AVERAGE($P20:$XX21)-_xlfn.STDEV.P($P20:$XX21))),"DESCARTADO",P21)))</f>
        <v>DESCARTADO</v>
      </c>
      <c r="Q23" s="107">
        <f t="shared" ref="Q23:AI23" si="6">IF(Q21="","",IF((_xlfn.STDEV.P($P20:$XX21)/AVERAGE($P20:$XX21))&lt;=25%,Q21,IF(OR(Q21&gt;(AVERAGE($P20:$XX21)+_xlfn.STDEV.P($P20:$XX21)),Q21&lt;(AVERAGE($P20:$XX21)-_xlfn.STDEV.P($P20:$XX21))),"DESCARTADO",Q21)))</f>
        <v>17.747533396775236</v>
      </c>
      <c r="R23" s="107">
        <f t="shared" si="6"/>
        <v>17.392424305220391</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t="str">
        <f>IF(IFERROR(VLOOKUP(P17,'Tabela de Apoio'!$D:$E,2,FALSE),1)=1,"",P25)</f>
        <v/>
      </c>
      <c r="Q24" s="107">
        <f>IF(IFERROR(VLOOKUP(Q17,'Tabela de Apoio'!$D:$E,2,FALSE),1)=1,"",Q25)</f>
        <v>17.747533396775236</v>
      </c>
      <c r="R24" s="107">
        <f>IF(IFERROR(VLOOKUP(R17,'Tabela de Apoio'!$D:$E,2,FALSE),1)=1,"",R25)</f>
        <v>17.392424305220391</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2</v>
      </c>
      <c r="I25" s="132">
        <f>_xlfn.STDEV.P($P24:$XX25)/AVERAGE($P24:$XX25)</f>
        <v>1.0105564001139287E-2</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17.747533396775236</v>
      </c>
      <c r="N25" s="71"/>
      <c r="O25" s="27" t="str">
        <f>"2 RODADA"</f>
        <v>2 RODADA</v>
      </c>
      <c r="P25" s="107" t="str">
        <f>IF(P23="","",IF((_xlfn.STDEV.P($P22:$XX23)/AVERAGE($P22:$XX23))&lt;=25%,P23,IF(OR(P23&gt;(AVERAGE($P22:$XX23)+_xlfn.STDEV.P($P22:$XX23)),P23&lt;(AVERAGE($P22:$XX23)-_xlfn.STDEV.P($P22:$XX23))),"DESCARTADO",P23)))</f>
        <v>DESCARTADO</v>
      </c>
      <c r="Q25" s="107">
        <f t="shared" ref="Q25:AI25" si="7">IF(Q23="","",IF((_xlfn.STDEV.P($P22:$XX23)/AVERAGE($P22:$XX23))&lt;=25%,Q23,IF(OR(Q23&gt;(AVERAGE($P22:$XX23)+_xlfn.STDEV.P($P22:$XX23)),Q23&lt;(AVERAGE($P22:$XX23)-_xlfn.STDEV.P($P22:$XX23))),"DESCARTADO",Q23)))</f>
        <v>17.747533396775236</v>
      </c>
      <c r="R25" s="107">
        <f t="shared" si="7"/>
        <v>17.392424305220391</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19.650709129497155</v>
      </c>
      <c r="N26" s="71"/>
      <c r="O26" s="27" t="str">
        <f>"3 POND"</f>
        <v>3 POND</v>
      </c>
      <c r="P26" s="107" t="str">
        <f>IF(IFERROR(VLOOKUP(P17,'Tabela de Apoio'!$D:$E,2,FALSE),1)=1,"",P27)</f>
        <v/>
      </c>
      <c r="Q26" s="107">
        <f>IF(IFERROR(VLOOKUP(Q17,'Tabela de Apoio'!$D:$E,2,FALSE),1)=1,"",Q27)</f>
        <v>17.747533396775236</v>
      </c>
      <c r="R26" s="107">
        <f>IF(IFERROR(VLOOKUP(R17,'Tabela de Apoio'!$D:$E,2,FALSE),1)=1,"",R27)</f>
        <v>17.392424305220391</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2</v>
      </c>
      <c r="I27" s="132">
        <f>_xlfn.STDEV.P($P26:$XX27)/AVERAGE($P26:$XX27)</f>
        <v>1.0105564001139287E-2</v>
      </c>
      <c r="J27" s="7">
        <f>IF(AND(H27&gt;2,
OR(L15="MÉDIA SANEADA",L15="MEDIANA SANEADA",
AND(L15="PREÇO ESTIMADO",NOT(AND(P17="Orçamento",COUNTA(P15:XX15)=COUNTIF(P17:XX17,"Orçamento")))))),
ROW(),0)</f>
        <v>0</v>
      </c>
      <c r="K27" s="66"/>
      <c r="L27" s="29" t="s">
        <v>41</v>
      </c>
      <c r="M27" s="30">
        <f>IFERROR(_xlfn.QUARTILE.EXC($P21:$XX21,1),"")</f>
        <v>17.392424305220391</v>
      </c>
      <c r="N27" s="71"/>
      <c r="O27" s="27" t="str">
        <f>"3 RODADA"</f>
        <v>3 RODADA</v>
      </c>
      <c r="P27" s="107" t="str">
        <f>IF(P25="","",IF((_xlfn.STDEV.P($P24:$XX25)/AVERAGE($P24:$XX25))&lt;=25%,P25,IF(OR(P25&gt;(AVERAGE($P24:$XX25)+_xlfn.STDEV.P($P24:$XX25)),P25&lt;(AVERAGE($P24:$XX25)-_xlfn.STDEV.P($P24:$XX25))),"DESCARTADO",P25)))</f>
        <v>DESCARTADO</v>
      </c>
      <c r="Q27" s="107">
        <f t="shared" ref="Q27:AI27" si="8">IF(Q25="","",IF((_xlfn.STDEV.P($P24:$XX25)/AVERAGE($P24:$XX25))&lt;=25%,Q25,IF(OR(Q25&gt;(AVERAGE($P24:$XX25)+_xlfn.STDEV.P($P24:$XX25)),Q25&lt;(AVERAGE($P24:$XX25)-_xlfn.STDEV.P($P24:$XX25))),"DESCARTADO",Q25)))</f>
        <v>17.747533396775236</v>
      </c>
      <c r="R27" s="107">
        <f t="shared" si="8"/>
        <v>17.392424305220391</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37.369999999999997</v>
      </c>
      <c r="N28" s="71"/>
      <c r="O28" s="27" t="str">
        <f>"4 POND"</f>
        <v>4 POND</v>
      </c>
      <c r="P28" s="107" t="str">
        <f>IF(IFERROR(VLOOKUP(P17,'Tabela de Apoio'!$D:$E,2,FALSE),1)=1,"",P29)</f>
        <v/>
      </c>
      <c r="Q28" s="107">
        <f>IF(IFERROR(VLOOKUP(Q17,'Tabela de Apoio'!$D:$E,2,FALSE),1)=1,"",Q29)</f>
        <v>17.747533396775236</v>
      </c>
      <c r="R28" s="107">
        <f>IF(IFERROR(VLOOKUP(R17,'Tabela de Apoio'!$D:$E,2,FALSE),1)=1,"",R29)</f>
        <v>17.392424305220391</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2</v>
      </c>
      <c r="I29" s="132">
        <f>_xlfn.STDEV.P($P28:$XX29)/AVERAGE($P28:$XX29)</f>
        <v>1.0105564001139287E-2</v>
      </c>
      <c r="J29" s="7">
        <f>IF(AND(H29&gt;2,
OR(L15="MÉDIA SANEADA",L15="MEDIANA SANEADA",
AND(L15="PREÇO ESTIMADO",NOT(AND(P17="Orçamento",COUNTA(P15:XX15)=COUNTIF(P17:XX17,"Orçamento")))))),
ROW(),0)</f>
        <v>0</v>
      </c>
      <c r="K29" s="66"/>
      <c r="L29" s="29" t="s">
        <v>42</v>
      </c>
      <c r="M29" s="30">
        <f>MIN($P21:$XX21)</f>
        <v>17.392424305220391</v>
      </c>
      <c r="N29" s="71"/>
      <c r="O29" s="27" t="str">
        <f>"4 RODADA"</f>
        <v>4 RODADA</v>
      </c>
      <c r="P29" s="107" t="str">
        <f>IF(P27="","",IF((_xlfn.STDEV.P($P26:$XX27)/AVERAGE($P26:$XX27))&lt;=25%,P27,IF(OR(P27&gt;(AVERAGE($P26:$XX27)+_xlfn.STDEV.P($P26:$XX27)),P27&lt;(AVERAGE($P26:$XX27)-_xlfn.STDEV.P($P26:$XX27))),"DESCARTADO",P27)))</f>
        <v>DESCARTADO</v>
      </c>
      <c r="Q29" s="107">
        <f t="shared" ref="Q29:AI29" si="9">IF(Q27="","",IF((_xlfn.STDEV.P($P26:$XX27)/AVERAGE($P26:$XX27))&lt;=25%,Q27,IF(OR(Q27&gt;(AVERAGE($P26:$XX27)+_xlfn.STDEV.P($P26:$XX27)),Q27&lt;(AVERAGE($P26:$XX27)-_xlfn.STDEV.P($P26:$XX27))),"DESCARTADO",Q27)))</f>
        <v>17.747533396775236</v>
      </c>
      <c r="R29" s="107">
        <f t="shared" si="9"/>
        <v>17.392424305220391</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37.369999999999997</v>
      </c>
      <c r="N30" s="71"/>
      <c r="O30" s="27" t="str">
        <f>"5 POND"</f>
        <v>5 POND</v>
      </c>
      <c r="P30" s="107" t="str">
        <f>IF(IFERROR(VLOOKUP(P17,'Tabela de Apoio'!$D:$E,2,FALSE),1)=1,"",P31)</f>
        <v/>
      </c>
      <c r="Q30" s="107">
        <f>IF(IFERROR(VLOOKUP(Q17,'Tabela de Apoio'!$D:$E,2,FALSE),1)=1,"",Q31)</f>
        <v>17.747533396775236</v>
      </c>
      <c r="R30" s="107">
        <f>IF(IFERROR(VLOOKUP(R17,'Tabela de Apoio'!$D:$E,2,FALSE),1)=1,"",R31)</f>
        <v>17.392424305220391</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2</v>
      </c>
      <c r="I31" s="132">
        <f>_xlfn.STDEV.P($P30:$XX31)/AVERAGE($P30:$XX31)</f>
        <v>1.0105564001139287E-2</v>
      </c>
      <c r="J31" s="7">
        <f>IF(AND(H31&gt;2,
OR(L15="MÉDIA SANEADA",L15="MEDIANA SANEADA",
AND(L15="PREÇO ESTIMADO",NOT(AND(P17="Orçamento",COUNTA(P15:XX15)=COUNTIF(P17:XX17,"Orçamento")))))),
ROW(),0)</f>
        <v>0</v>
      </c>
      <c r="K31" s="66"/>
      <c r="N31" s="71"/>
      <c r="O31" s="27" t="str">
        <f>"5 RODADA"</f>
        <v>5 RODADA</v>
      </c>
      <c r="P31" s="107" t="str">
        <f>IF(P29="","",IF((_xlfn.STDEV.P($P28:$XX29)/AVERAGE($P28:$XX29))&lt;=25%,P29,IF(OR(P29&gt;(AVERAGE($P28:$XX29)+_xlfn.STDEV.P($P28:$XX29)),P29&lt;(AVERAGE($P28:$XX29)-_xlfn.STDEV.P($P28:$XX29))),"DESCARTADO",P29)))</f>
        <v>DESCARTADO</v>
      </c>
      <c r="Q31" s="107">
        <f t="shared" ref="Q31:AI31" si="10">IF(Q29="","",IF((_xlfn.STDEV.P($P28:$XX29)/AVERAGE($P28:$XX29))&lt;=25%,Q29,IF(OR(Q29&gt;(AVERAGE($P28:$XX29)+_xlfn.STDEV.P($P28:$XX29)),Q29&lt;(AVERAGE($P28:$XX29)-_xlfn.STDEV.P($P28:$XX29))),"DESCARTADO",Q29)))</f>
        <v>17.747533396775236</v>
      </c>
      <c r="R31" s="107">
        <f t="shared" si="10"/>
        <v>17.392424305220391</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t="str">
        <f>IF(IFERROR(VLOOKUP(P17,'Tabela de Apoio'!$D:$E,2,FALSE),1)=1,"",P33)</f>
        <v/>
      </c>
      <c r="Q32" s="107">
        <f>IF(IFERROR(VLOOKUP(Q17,'Tabela de Apoio'!$D:$E,2,FALSE),1)=1,"",Q33)</f>
        <v>17.747533396775236</v>
      </c>
      <c r="R32" s="107">
        <f>IF(IFERROR(VLOOKUP(R17,'Tabela de Apoio'!$D:$E,2,FALSE),1)=1,"",R33)</f>
        <v>17.392424305220391</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2</v>
      </c>
      <c r="I33" s="132">
        <f>_xlfn.STDEV.P($P32:$XX33)/AVERAGE($P32:$XX33)</f>
        <v>1.0105564001139287E-2</v>
      </c>
      <c r="J33" s="7">
        <f>IF(AND(H33&gt;2,
OR(L15="MÉDIA SANEADA",L15="MEDIANA SANEADA",
AND(L15="PREÇO ESTIMADO",NOT(AND(P17="Orçamento",COUNTA(P15:XX15)=COUNTIF(P17:XX17,"Orçamento")))))),
ROW(),0)</f>
        <v>0</v>
      </c>
      <c r="N33" s="71"/>
      <c r="O33" s="27" t="str">
        <f>"6 RODADA"</f>
        <v>6 RODADA</v>
      </c>
      <c r="P33" s="107" t="str">
        <f>IFERROR(IF(P31="","",IF((_xlfn.STDEV.P($P30:$XX31)/AVERAGE($P30:$XX31))&lt;=25%,P31,IF(OR(P31&gt;(AVERAGE($P30:$XX31)+_xlfn.STDEV.P($P30:$XX31)),P31&lt;(AVERAGE($P30:$XX31)-_xlfn.STDEV.P($P30:$XX31))),"DESCARTADO",P31))),)</f>
        <v>DESCARTADO</v>
      </c>
      <c r="Q33" s="107">
        <f t="shared" ref="Q33:AI33" si="11">IFERROR(IF(Q31="","",IF((_xlfn.STDEV.P($P30:$XX31)/AVERAGE($P30:$XX31))&lt;=25%,Q31,IF(OR(Q31&gt;(AVERAGE($P30:$XX31)+_xlfn.STDEV.P($P30:$XX31)),Q31&lt;(AVERAGE($P30:$XX31)-_xlfn.STDEV.P($P30:$XX31))),"DESCARTADO",Q31))),)</f>
        <v>17.747533396775236</v>
      </c>
      <c r="R33" s="107">
        <f t="shared" si="11"/>
        <v>17.392424305220391</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3">
        <f>IFERROR(ROUND(M15*M17,2),"")</f>
        <v>106500</v>
      </c>
      <c r="O34" s="27" t="s">
        <v>363</v>
      </c>
      <c r="P34" s="107">
        <f>INDEX(P21:P33,MATCH(MAX($J21:$J33),$J21:$J33,0))</f>
        <v>37.369999999999997</v>
      </c>
      <c r="Q34" s="107">
        <f t="shared" ref="Q34:R34" si="12">INDEX(Q21:Q33,MATCH(MAX($J21:$J33),$J21:$J33,0))</f>
        <v>17.747533396775236</v>
      </c>
      <c r="R34" s="107">
        <f t="shared" si="12"/>
        <v>17.392424305220391</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2" t="s">
        <v>10</v>
      </c>
      <c r="M36" s="184">
        <f t="shared" ref="M36" si="32">IF(OR(ISBLANK($O$8),ISBLANK($O$7),ISBLANK($H$8),ISBLANK($O$6),ISBLANK($O$5),ISBLANK($H$5)),"",IFERROR(IF(VLOOKUP(L36,L42:M51,2,FALSE)&lt;1,ROUND(VLOOKUP(L36,L42:M51,2,FALSE),4),ROUND(VLOOKUP(L36,L42:M51,2,FALSE),2)),""))</f>
        <v>17.75</v>
      </c>
      <c r="N36" s="69"/>
      <c r="O36" s="27" t="s">
        <v>17</v>
      </c>
      <c r="P36" s="113">
        <v>37.369999999999997</v>
      </c>
      <c r="Q36" s="113">
        <v>15.5</v>
      </c>
      <c r="R36" s="113">
        <v>17</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6">
        <f t="shared" ref="E37" si="34">D36</f>
        <v>2</v>
      </c>
      <c r="F37" s="92"/>
      <c r="G37" s="188" t="s">
        <v>1</v>
      </c>
      <c r="H37" s="191" t="str">
        <f>INDEX('BASE FORMAÇÃO'!C:C,B36+1)</f>
        <v>Frasco/garrafa a vácuo, ADULTO, com meio de cultura com sistema neutralizador de antibióticos para detecção de microorganismos aeróbicos e anaeróbicos facultativos (bactérias e fungos) no sangue, a vácuo, compatível com o equipamento.</v>
      </c>
      <c r="I37" s="191"/>
      <c r="J37" s="192"/>
      <c r="K37" s="66"/>
      <c r="L37" s="183"/>
      <c r="M37" s="185"/>
      <c r="N37" s="70"/>
      <c r="O37" s="27" t="s">
        <v>13</v>
      </c>
      <c r="P37" s="122">
        <v>46042</v>
      </c>
      <c r="Q37" s="122">
        <v>45177</v>
      </c>
      <c r="R37" s="122">
        <v>46099</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7"/>
      <c r="F38" s="93"/>
      <c r="G38" s="189"/>
      <c r="H38" s="193"/>
      <c r="I38" s="193"/>
      <c r="J38" s="194"/>
      <c r="K38" s="64"/>
      <c r="L38" s="130" t="s">
        <v>44</v>
      </c>
      <c r="M38" s="131">
        <v>9000</v>
      </c>
      <c r="N38" s="71"/>
      <c r="O38" s="27" t="s">
        <v>380</v>
      </c>
      <c r="P38" s="114" t="s">
        <v>377</v>
      </c>
      <c r="Q38" s="114" t="s">
        <v>12</v>
      </c>
      <c r="R38" s="114" t="s">
        <v>12</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0"/>
      <c r="H39" s="195"/>
      <c r="I39" s="195"/>
      <c r="J39" s="196"/>
      <c r="K39" s="64"/>
      <c r="L39" s="1" t="s">
        <v>2</v>
      </c>
      <c r="M39" s="6" t="str">
        <f>INDEX('BASE FORMAÇÃO'!D:D,B40+1)</f>
        <v>FRASCO</v>
      </c>
      <c r="N39" s="71"/>
      <c r="O39" s="27" t="s">
        <v>381</v>
      </c>
      <c r="P39" s="115" t="s">
        <v>445</v>
      </c>
      <c r="Q39" s="115" t="s">
        <v>446</v>
      </c>
      <c r="R39" s="115" t="s">
        <v>447</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7">
        <f t="shared" ref="E40" si="38">C36</f>
        <v>1</v>
      </c>
      <c r="F40" s="93"/>
      <c r="G40" s="199" t="s">
        <v>304</v>
      </c>
      <c r="H40" s="201"/>
      <c r="I40" s="202"/>
      <c r="J40" s="202"/>
      <c r="K40" s="67"/>
      <c r="L40" s="28" t="s">
        <v>303</v>
      </c>
      <c r="M40" s="133">
        <f t="shared" ref="M40" si="39">IFERROR(INDEX(I42:I54,MATCH(MAX(J42:J54),J42:J54,0)),"")</f>
        <v>0.36793342897784126</v>
      </c>
      <c r="N40" s="71"/>
      <c r="O40" s="27" t="s">
        <v>18</v>
      </c>
      <c r="P40" s="106">
        <f>IF(P36="","",
IF(OR(P38="Orçamento",P37="",MAX('Tabela de Apoio'!$A:$A)&lt;=P37),
P36,
(INDEX('Tabela de Apoio'!$B:$B,MATCH('MAPA DE PREÇOS'!$O$8,'Tabela de Apoio'!$A:$A,1))/INDEX('Tabela de Apoio'!$B:$B,MATCH('MAPA DE PREÇOS'!P37,'Tabela de Apoio'!$A:$A,1)-1))*P36))</f>
        <v>37.369999999999997</v>
      </c>
      <c r="Q40" s="106">
        <f>IF(Q36="","",
IF(OR(Q38="Orçamento",Q37="",MAX('Tabela de Apoio'!$A:$A)&lt;=Q37),
Q36,
(INDEX('Tabela de Apoio'!$B:$B,MATCH('MAPA DE PREÇOS'!$O$8,'Tabela de Apoio'!$A:$A,1))/INDEX('Tabela de Apoio'!$B:$B,MATCH('MAPA DE PREÇOS'!Q37,'Tabela de Apoio'!$A:$A,1)-1))*Q36))</f>
        <v>17.747533396775236</v>
      </c>
      <c r="R40" s="106">
        <f>IF(R36="","",
IF(OR(R38="Orçamento",R37="",MAX('Tabela de Apoio'!$A:$A)&lt;=R37),
R36,
(INDEX('Tabela de Apoio'!$B:$B,MATCH('MAPA DE PREÇOS'!$O$8,'Tabela de Apoio'!$A:$A,1))/INDEX('Tabela de Apoio'!$B:$B,MATCH('MAPA DE PREÇOS'!R37,'Tabela de Apoio'!$A:$A,1)-1))*R36))</f>
        <v>17.392424305220391</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8"/>
      <c r="F41" s="93"/>
      <c r="G41" s="200"/>
      <c r="H41"/>
      <c r="I41"/>
      <c r="J41"/>
      <c r="N41" s="71"/>
      <c r="O41" s="27" t="s">
        <v>375</v>
      </c>
      <c r="P41" s="107" t="str">
        <f>IF(IFERROR(VLOOKUP(P38,'Tabela de Apoio'!$D:$E,2,FALSE),1)=1,"",P42)</f>
        <v/>
      </c>
      <c r="Q41" s="107">
        <f>IF(IFERROR(VLOOKUP(Q38,'Tabela de Apoio'!$D:$E,2,FALSE),1)=1,"",Q42)</f>
        <v>17.747533396775236</v>
      </c>
      <c r="R41" s="107">
        <f>IF(IFERROR(VLOOKUP(R38,'Tabela de Apoio'!$D:$E,2,FALSE),1)=1,"",R42)</f>
        <v>17.392424305220391</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8"/>
      <c r="F42" s="93"/>
      <c r="G42" s="200"/>
      <c r="H42" s="134">
        <f t="shared" ref="H42" si="44">COUNT($P42:$XX42)</f>
        <v>3</v>
      </c>
      <c r="I42" s="132">
        <f t="shared" ref="I42" si="45">_xlfn.STDEV.P($P41:$XX42)/AVERAGE($P41:$XX42)</f>
        <v>0.36793342897784126</v>
      </c>
      <c r="J42" s="7">
        <f>ROW()</f>
        <v>42</v>
      </c>
      <c r="K42" s="67"/>
      <c r="L42" s="29" t="s">
        <v>10</v>
      </c>
      <c r="M42" s="30">
        <f t="shared" ref="M42" si="46">IFERROR(
IF(COUNTA(P36:AI36)=COUNTIF(P38:XX38,"Orçamento"),MIN(M47,M44),
IF(M45&lt;&gt;"",M45,
IF(M46&lt;&gt;"",M46,
M44
))),"")</f>
        <v>17.747533396775236</v>
      </c>
      <c r="N42" s="71"/>
      <c r="O42" s="27" t="s">
        <v>376</v>
      </c>
      <c r="P42" s="106">
        <f t="shared" ref="P42:AI42" si="47">IFERROR(IF(P40="",
            "",
            IF(COUNT($P40:$XX40)&lt;=4,
               P40,
               IF(OR(P40&gt;(QUARTILE($P40:$XX40,3)+(QUARTILE($P40:$XX40,3)-QUARTILE($P40:$XX40,1))),
                     P40&lt;(QUARTILE($P40:$XX40,1)-(QUARTILE($P40:$XX40,3)-QUARTILE($P40:$XX40,1)))
                  ),
               "DESCARTADO",P40)
             )
  ),P40)</f>
        <v>37.369999999999997</v>
      </c>
      <c r="Q42" s="106">
        <f t="shared" si="47"/>
        <v>17.747533396775236</v>
      </c>
      <c r="R42" s="106">
        <f t="shared" si="47"/>
        <v>17.392424305220391</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8"/>
      <c r="F43" s="93"/>
      <c r="G43" s="200"/>
      <c r="H43"/>
      <c r="I43"/>
      <c r="J43"/>
      <c r="K43" s="66"/>
      <c r="L43" s="29" t="s">
        <v>360</v>
      </c>
      <c r="M43" s="30">
        <f t="shared" ref="M43" si="51">AVERAGE($P42:$XX42)</f>
        <v>24.169985900665207</v>
      </c>
      <c r="N43" s="71"/>
      <c r="O43" s="27" t="str">
        <f t="shared" ref="O43" si="52">"1 POND"</f>
        <v>1 POND</v>
      </c>
      <c r="P43" s="107" t="str">
        <f>IF(IFERROR(VLOOKUP(P38,'Tabela de Apoio'!$D:$E,2,FALSE),1)=1,"",P44)</f>
        <v/>
      </c>
      <c r="Q43" s="107">
        <f>IF(IFERROR(VLOOKUP(Q38,'Tabela de Apoio'!$D:$E,2,FALSE),1)=1,"",Q44)</f>
        <v>17.747533396775236</v>
      </c>
      <c r="R43" s="107">
        <f>IF(IFERROR(VLOOKUP(R38,'Tabela de Apoio'!$D:$E,2,FALSE),1)=1,"",R44)</f>
        <v>17.392424305220391</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8"/>
      <c r="F44" s="93"/>
      <c r="G44" s="200"/>
      <c r="H44" s="134">
        <f t="shared" ref="H44" si="53">COUNT($P44:$XX44)</f>
        <v>2</v>
      </c>
      <c r="I44" s="132">
        <f t="shared" ref="I44" si="54">_xlfn.STDEV.P($P43:$XX44)/AVERAGE($P43:$XX44)</f>
        <v>1.0105564001139287E-2</v>
      </c>
      <c r="J44" s="7">
        <f t="shared" ref="J44" si="55">IF(AND(H44&gt;2,
OR(L36="MÉDIA SANEADA",L36="MEDIANA SANEADA",
AND(L36="PREÇO ESTIMADO",NOT(AND(P38="Orçamento",COUNTA(P36:XX36)=COUNTIF(P38:XX38,"Orçamento")))))),
ROW(),0)</f>
        <v>0</v>
      </c>
      <c r="K44" s="66"/>
      <c r="L44" s="29" t="s">
        <v>361</v>
      </c>
      <c r="M44" s="30">
        <f t="shared" ref="M44" si="56">MEDIAN($P42:$XX42)</f>
        <v>17.747533396775236</v>
      </c>
      <c r="N44" s="71"/>
      <c r="O44" s="27" t="str">
        <f t="shared" ref="O44" si="57">"1 RODADA"</f>
        <v>1 RODADA</v>
      </c>
      <c r="P44" s="107" t="str">
        <f t="shared" ref="P44:AI44" si="58">IF(P42="","",IF((_xlfn.STDEV.P($P41:$XX42)/AVERAGE($P41:$XX42))&lt;=25%,P42,IF(OR(P42&gt;(AVERAGE($P41:$XX42)+_xlfn.STDEV.P($P41:$XX42)),P42&lt;(AVERAGE($P41:$XX42)-_xlfn.STDEV.P($P41:$XX42))),"DESCARTADO",P42)))</f>
        <v>DESCARTADO</v>
      </c>
      <c r="Q44" s="107">
        <f t="shared" si="58"/>
        <v>17.747533396775236</v>
      </c>
      <c r="R44" s="107">
        <f t="shared" si="58"/>
        <v>17.392424305220391</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8"/>
      <c r="F45" s="93"/>
      <c r="G45" s="200"/>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f>IF(IFERROR(VLOOKUP(Q38,'Tabela de Apoio'!$D:$E,2,FALSE),1)=1,"",Q46)</f>
        <v>17.747533396775236</v>
      </c>
      <c r="R45" s="107">
        <f>IF(IFERROR(VLOOKUP(R38,'Tabela de Apoio'!$D:$E,2,FALSE),1)=1,"",R46)</f>
        <v>17.392424305220391</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8"/>
      <c r="F46" s="93"/>
      <c r="G46" s="200"/>
      <c r="H46" s="134">
        <f t="shared" ref="H46" si="61">COUNT($P46:$XX46)</f>
        <v>2</v>
      </c>
      <c r="I46" s="132">
        <f t="shared" ref="I46" si="62">_xlfn.STDEV.P($P45:$XX46)/AVERAGE($P45:$XX46)</f>
        <v>1.0105564001139287E-2</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17.747533396775236</v>
      </c>
      <c r="N46" s="71"/>
      <c r="O46" s="27" t="str">
        <f t="shared" ref="O46" si="65">"2 RODADA"</f>
        <v>2 RODADA</v>
      </c>
      <c r="P46" s="107" t="str">
        <f t="shared" ref="P46:AI46" si="66">IF(P44="","",IF((_xlfn.STDEV.P($P43:$XX44)/AVERAGE($P43:$XX44))&lt;=25%,P44,IF(OR(P44&gt;(AVERAGE($P43:$XX44)+_xlfn.STDEV.P($P43:$XX44)),P44&lt;(AVERAGE($P43:$XX44)-_xlfn.STDEV.P($P43:$XX44))),"DESCARTADO",P44)))</f>
        <v>DESCARTADO</v>
      </c>
      <c r="Q46" s="107">
        <f t="shared" si="66"/>
        <v>17.747533396775236</v>
      </c>
      <c r="R46" s="107">
        <f t="shared" si="66"/>
        <v>17.392424305220391</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8"/>
      <c r="F47" s="93"/>
      <c r="G47" s="200"/>
      <c r="H47"/>
      <c r="I47"/>
      <c r="J47"/>
      <c r="K47" s="66"/>
      <c r="L47" s="29" t="s">
        <v>359</v>
      </c>
      <c r="M47" s="30">
        <f t="shared" ref="M47" si="67">HARMEAN($P41:$XX42)</f>
        <v>19.650709129497155</v>
      </c>
      <c r="N47" s="71"/>
      <c r="O47" s="27" t="str">
        <f t="shared" ref="O47" si="68">"3 POND"</f>
        <v>3 POND</v>
      </c>
      <c r="P47" s="107" t="str">
        <f>IF(IFERROR(VLOOKUP(P38,'Tabela de Apoio'!$D:$E,2,FALSE),1)=1,"",P48)</f>
        <v/>
      </c>
      <c r="Q47" s="107">
        <f>IF(IFERROR(VLOOKUP(Q38,'Tabela de Apoio'!$D:$E,2,FALSE),1)=1,"",Q48)</f>
        <v>17.747533396775236</v>
      </c>
      <c r="R47" s="107">
        <f>IF(IFERROR(VLOOKUP(R38,'Tabela de Apoio'!$D:$E,2,FALSE),1)=1,"",R48)</f>
        <v>17.392424305220391</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8"/>
      <c r="F48" s="93"/>
      <c r="G48" s="200"/>
      <c r="H48" s="134">
        <f t="shared" ref="H48" si="69">COUNT($P48:$XX48)</f>
        <v>2</v>
      </c>
      <c r="I48" s="132">
        <f t="shared" ref="I48" si="70">_xlfn.STDEV.P($P47:$XX48)/AVERAGE($P47:$XX48)</f>
        <v>1.0105564001139287E-2</v>
      </c>
      <c r="J48" s="7">
        <f t="shared" ref="J48" si="71">IF(AND(H48&gt;2,
OR(L36="MÉDIA SANEADA",L36="MEDIANA SANEADA",
AND(L36="PREÇO ESTIMADO",NOT(AND(P38="Orçamento",COUNTA(P36:XX36)=COUNTIF(P38:XX38,"Orçamento")))))),
ROW(),0)</f>
        <v>0</v>
      </c>
      <c r="K48" s="66"/>
      <c r="L48" s="29" t="s">
        <v>41</v>
      </c>
      <c r="M48" s="30">
        <f t="shared" ref="M48" si="72">IFERROR(_xlfn.QUARTILE.EXC($P42:$XX42,1),"")</f>
        <v>17.392424305220391</v>
      </c>
      <c r="N48" s="71"/>
      <c r="O48" s="27" t="str">
        <f t="shared" ref="O48" si="73">"3 RODADA"</f>
        <v>3 RODADA</v>
      </c>
      <c r="P48" s="107" t="str">
        <f t="shared" ref="P48:AI48" si="74">IF(P46="","",IF((_xlfn.STDEV.P($P45:$XX46)/AVERAGE($P45:$XX46))&lt;=25%,P46,IF(OR(P46&gt;(AVERAGE($P45:$XX46)+_xlfn.STDEV.P($P45:$XX46)),P46&lt;(AVERAGE($P45:$XX46)-_xlfn.STDEV.P($P45:$XX46))),"DESCARTADO",P46)))</f>
        <v>DESCARTADO</v>
      </c>
      <c r="Q48" s="107">
        <f t="shared" si="74"/>
        <v>17.747533396775236</v>
      </c>
      <c r="R48" s="107">
        <f t="shared" si="74"/>
        <v>17.392424305220391</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8"/>
      <c r="F49" s="93"/>
      <c r="G49" s="200"/>
      <c r="H49"/>
      <c r="I49"/>
      <c r="J49"/>
      <c r="K49" s="66"/>
      <c r="L49" s="29" t="s">
        <v>39</v>
      </c>
      <c r="M49" s="30">
        <f t="shared" ref="M49" si="75">IFERROR(_xlfn.QUARTILE.EXC($P42:$XX42,3),"")</f>
        <v>37.369999999999997</v>
      </c>
      <c r="N49" s="71"/>
      <c r="O49" s="27" t="str">
        <f t="shared" ref="O49" si="76">"4 POND"</f>
        <v>4 POND</v>
      </c>
      <c r="P49" s="107" t="str">
        <f>IF(IFERROR(VLOOKUP(P38,'Tabela de Apoio'!$D:$E,2,FALSE),1)=1,"",P50)</f>
        <v/>
      </c>
      <c r="Q49" s="107">
        <f>IF(IFERROR(VLOOKUP(Q38,'Tabela de Apoio'!$D:$E,2,FALSE),1)=1,"",Q50)</f>
        <v>17.747533396775236</v>
      </c>
      <c r="R49" s="107">
        <f>IF(IFERROR(VLOOKUP(R38,'Tabela de Apoio'!$D:$E,2,FALSE),1)=1,"",R50)</f>
        <v>17.392424305220391</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8"/>
      <c r="F50" s="93"/>
      <c r="G50" s="200"/>
      <c r="H50" s="134">
        <f t="shared" ref="H50" si="77">COUNT($P50:$XX50)</f>
        <v>2</v>
      </c>
      <c r="I50" s="132">
        <f t="shared" ref="I50" si="78">_xlfn.STDEV.P($P49:$XX50)/AVERAGE($P49:$XX50)</f>
        <v>1.0105564001139287E-2</v>
      </c>
      <c r="J50" s="7">
        <f t="shared" ref="J50" si="79">IF(AND(H50&gt;2,
OR(L36="MÉDIA SANEADA",L36="MEDIANA SANEADA",
AND(L36="PREÇO ESTIMADO",NOT(AND(P38="Orçamento",COUNTA(P36:XX36)=COUNTIF(P38:XX38,"Orçamento")))))),
ROW(),0)</f>
        <v>0</v>
      </c>
      <c r="K50" s="66"/>
      <c r="L50" s="29" t="s">
        <v>42</v>
      </c>
      <c r="M50" s="30">
        <f t="shared" ref="M50" si="80">MIN($P42:$XX42)</f>
        <v>17.392424305220391</v>
      </c>
      <c r="N50" s="71"/>
      <c r="O50" s="27" t="str">
        <f t="shared" ref="O50" si="81">"4 RODADA"</f>
        <v>4 RODADA</v>
      </c>
      <c r="P50" s="107" t="str">
        <f t="shared" ref="P50:AI50" si="82">IF(P48="","",IF((_xlfn.STDEV.P($P47:$XX48)/AVERAGE($P47:$XX48))&lt;=25%,P48,IF(OR(P48&gt;(AVERAGE($P47:$XX48)+_xlfn.STDEV.P($P47:$XX48)),P48&lt;(AVERAGE($P47:$XX48)-_xlfn.STDEV.P($P47:$XX48))),"DESCARTADO",P48)))</f>
        <v>DESCARTADO</v>
      </c>
      <c r="Q50" s="107">
        <f t="shared" si="82"/>
        <v>17.747533396775236</v>
      </c>
      <c r="R50" s="107">
        <f t="shared" si="82"/>
        <v>17.392424305220391</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8"/>
      <c r="F51" s="93"/>
      <c r="G51" s="200"/>
      <c r="H51"/>
      <c r="I51"/>
      <c r="J51"/>
      <c r="K51" s="66"/>
      <c r="L51" s="29" t="s">
        <v>40</v>
      </c>
      <c r="M51" s="30">
        <f t="shared" ref="M51" si="83">MAX($P42:$XX42)</f>
        <v>37.369999999999997</v>
      </c>
      <c r="N51" s="71"/>
      <c r="O51" s="27" t="str">
        <f t="shared" ref="O51" si="84">"5 POND"</f>
        <v>5 POND</v>
      </c>
      <c r="P51" s="107" t="str">
        <f>IF(IFERROR(VLOOKUP(P38,'Tabela de Apoio'!$D:$E,2,FALSE),1)=1,"",P52)</f>
        <v/>
      </c>
      <c r="Q51" s="107">
        <f>IF(IFERROR(VLOOKUP(Q38,'Tabela de Apoio'!$D:$E,2,FALSE),1)=1,"",Q52)</f>
        <v>17.747533396775236</v>
      </c>
      <c r="R51" s="107">
        <f>IF(IFERROR(VLOOKUP(R38,'Tabela de Apoio'!$D:$E,2,FALSE),1)=1,"",R52)</f>
        <v>17.392424305220391</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8"/>
      <c r="F52" s="93"/>
      <c r="G52" s="200"/>
      <c r="H52" s="134">
        <f t="shared" ref="H52" si="85">COUNT($P52:$XX52)</f>
        <v>2</v>
      </c>
      <c r="I52" s="132">
        <f t="shared" ref="I52" si="86">_xlfn.STDEV.P($P51:$XX52)/AVERAGE($P51:$XX52)</f>
        <v>1.0105564001139287E-2</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DESCARTADO</v>
      </c>
      <c r="Q52" s="107">
        <f t="shared" si="89"/>
        <v>17.747533396775236</v>
      </c>
      <c r="R52" s="107">
        <f t="shared" si="89"/>
        <v>17.392424305220391</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8"/>
      <c r="F53" s="93"/>
      <c r="G53" s="200"/>
      <c r="H53"/>
      <c r="I53"/>
      <c r="J53"/>
      <c r="K53" s="66"/>
      <c r="L53" s="22"/>
      <c r="M53" s="22"/>
      <c r="N53" s="71"/>
      <c r="O53" s="27" t="str">
        <f t="shared" ref="O53" si="90">"6 POND"</f>
        <v>6 POND</v>
      </c>
      <c r="P53" s="107" t="str">
        <f>IF(IFERROR(VLOOKUP(P38,'Tabela de Apoio'!$D:$E,2,FALSE),1)=1,"",P54)</f>
        <v/>
      </c>
      <c r="Q53" s="107">
        <f>IF(IFERROR(VLOOKUP(Q38,'Tabela de Apoio'!$D:$E,2,FALSE),1)=1,"",Q54)</f>
        <v>17.747533396775236</v>
      </c>
      <c r="R53" s="107">
        <f>IF(IFERROR(VLOOKUP(R38,'Tabela de Apoio'!$D:$E,2,FALSE),1)=1,"",R54)</f>
        <v>17.392424305220391</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8"/>
      <c r="F54" s="93"/>
      <c r="G54" s="200"/>
      <c r="H54" s="134">
        <f t="shared" ref="H54" si="91">COUNT($P54:$XX54)</f>
        <v>2</v>
      </c>
      <c r="I54" s="132">
        <f t="shared" ref="I54" si="92">_xlfn.STDEV.P($P53:$XX54)/AVERAGE($P53:$XX54)</f>
        <v>1.0105564001139287E-2</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DESCARTADO</v>
      </c>
      <c r="Q54" s="107">
        <f t="shared" si="95"/>
        <v>17.747533396775236</v>
      </c>
      <c r="R54" s="107">
        <f t="shared" si="95"/>
        <v>17.392424305220391</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8"/>
      <c r="F55" s="136"/>
      <c r="G55" s="200"/>
      <c r="H55" s="203"/>
      <c r="I55" s="203"/>
      <c r="J55" s="204"/>
      <c r="K55" s="67"/>
      <c r="L55" s="1" t="s">
        <v>43</v>
      </c>
      <c r="M55" s="143">
        <f t="shared" ref="M55" si="96">IFERROR(ROUND(M36*M38,2),"")</f>
        <v>159750</v>
      </c>
      <c r="O55" s="27" t="s">
        <v>363</v>
      </c>
      <c r="P55" s="107">
        <f t="shared" ref="P55:AI76" si="97">INDEX(P42:P54,MATCH(MAX($J42:$J54),$J42:$J54,0))</f>
        <v>37.369999999999997</v>
      </c>
      <c r="Q55" s="107">
        <f t="shared" si="97"/>
        <v>17.747533396775236</v>
      </c>
      <c r="R55" s="107">
        <f t="shared" si="97"/>
        <v>17.392424305220391</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2" t="s">
        <v>10</v>
      </c>
      <c r="M57" s="184">
        <f t="shared" ref="M57" si="100">IF(OR(ISBLANK($O$8),ISBLANK($O$7),ISBLANK($H$8),ISBLANK($O$6),ISBLANK($O$5),ISBLANK($H$5)),"",IFERROR(IF(VLOOKUP(L57,L63:M72,2,FALSE)&lt;1,ROUND(VLOOKUP(L57,L63:M72,2,FALSE),4),ROUND(VLOOKUP(L57,L63:M72,2,FALSE),2)),""))</f>
        <v>5839.51</v>
      </c>
      <c r="N57" s="69"/>
      <c r="O57" s="27" t="s">
        <v>17</v>
      </c>
      <c r="P57" s="113">
        <f>8000*2</f>
        <v>16000</v>
      </c>
      <c r="Q57" s="113">
        <v>5100</v>
      </c>
      <c r="R57" s="113">
        <v>4000</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6">
        <f t="shared" ref="E58" si="102">D57</f>
        <v>3</v>
      </c>
      <c r="F58" s="92"/>
      <c r="G58" s="188" t="s">
        <v>1</v>
      </c>
      <c r="H58" s="191" t="str">
        <f>INDEX('BASE FORMAÇÃO'!C:C,B57+1)</f>
        <v>Locação de 2 equipamentos automatizados destinados à realização dos testes de hemocultura, incluindo o fornecimento de insumos e equipamentos de automação, e a manutenção preventiva, corretiva, calibração dos equipamentos e treinamento técnico.</v>
      </c>
      <c r="I58" s="191"/>
      <c r="J58" s="192"/>
      <c r="K58" s="66"/>
      <c r="L58" s="183"/>
      <c r="M58" s="185"/>
      <c r="N58" s="70"/>
      <c r="O58" s="27" t="s">
        <v>13</v>
      </c>
      <c r="P58" s="122">
        <v>46042</v>
      </c>
      <c r="Q58" s="122">
        <v>45177</v>
      </c>
      <c r="R58" s="122">
        <v>46099</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7"/>
      <c r="F59" s="93"/>
      <c r="G59" s="189"/>
      <c r="H59" s="193"/>
      <c r="I59" s="193"/>
      <c r="J59" s="194"/>
      <c r="K59" s="64"/>
      <c r="L59" s="130" t="s">
        <v>44</v>
      </c>
      <c r="M59" s="131">
        <v>12</v>
      </c>
      <c r="N59" s="71"/>
      <c r="O59" s="27" t="s">
        <v>380</v>
      </c>
      <c r="P59" s="114" t="s">
        <v>377</v>
      </c>
      <c r="Q59" s="114" t="s">
        <v>12</v>
      </c>
      <c r="R59" s="114" t="s">
        <v>12</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0"/>
      <c r="H60" s="195"/>
      <c r="I60" s="195"/>
      <c r="J60" s="196"/>
      <c r="K60" s="64"/>
      <c r="L60" s="1" t="s">
        <v>2</v>
      </c>
      <c r="M60" s="6" t="str">
        <f>INDEX('BASE FORMAÇÃO'!D:D,B61+1)</f>
        <v>MENSALIDADE</v>
      </c>
      <c r="N60" s="71"/>
      <c r="O60" s="27" t="s">
        <v>381</v>
      </c>
      <c r="P60" s="115" t="s">
        <v>445</v>
      </c>
      <c r="Q60" s="115" t="s">
        <v>448</v>
      </c>
      <c r="R60" s="115" t="s">
        <v>447</v>
      </c>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7">
        <f t="shared" ref="E61" si="106">C57</f>
        <v>1</v>
      </c>
      <c r="F61" s="93"/>
      <c r="G61" s="199" t="s">
        <v>304</v>
      </c>
      <c r="H61" s="201"/>
      <c r="I61" s="202"/>
      <c r="J61" s="202"/>
      <c r="K61" s="67"/>
      <c r="L61" s="28" t="s">
        <v>303</v>
      </c>
      <c r="M61" s="133">
        <f t="shared" ref="M61" si="107">IFERROR(INDEX(I63:I75,MATCH(MAX(J63:J75),J63:J75,0)),"")</f>
        <v>0.62490229787903306</v>
      </c>
      <c r="N61" s="71"/>
      <c r="O61" s="27" t="s">
        <v>18</v>
      </c>
      <c r="P61" s="106">
        <f>IF(P57="","",
IF(OR(P59="Orçamento",P58="",MAX('Tabela de Apoio'!$A:$A)&lt;=P58),
P57,
(INDEX('Tabela de Apoio'!$B:$B,MATCH('MAPA DE PREÇOS'!$O$8,'Tabela de Apoio'!$A:$A,1))/INDEX('Tabela de Apoio'!$B:$B,MATCH('MAPA DE PREÇOS'!P58,'Tabela de Apoio'!$A:$A,1)-1))*P57))</f>
        <v>16000</v>
      </c>
      <c r="Q61" s="106">
        <f>IF(Q57="","",
IF(OR(Q59="Orçamento",Q58="",MAX('Tabela de Apoio'!$A:$A)&lt;=Q58),
Q57,
(INDEX('Tabela de Apoio'!$B:$B,MATCH('MAPA DE PREÇOS'!$O$8,'Tabela de Apoio'!$A:$A,1))/INDEX('Tabela de Apoio'!$B:$B,MATCH('MAPA DE PREÇOS'!Q58,'Tabela de Apoio'!$A:$A,1)-1))*Q57))</f>
        <v>5839.5109886163682</v>
      </c>
      <c r="R61" s="106">
        <f>IF(R57="","",
IF(OR(R59="Orçamento",R58="",MAX('Tabela de Apoio'!$A:$A)&lt;=R58),
R57,
(INDEX('Tabela de Apoio'!$B:$B,MATCH('MAPA DE PREÇOS'!$O$8,'Tabela de Apoio'!$A:$A,1))/INDEX('Tabela de Apoio'!$B:$B,MATCH('MAPA DE PREÇOS'!R58,'Tabela de Apoio'!$A:$A,1)-1))*R57))</f>
        <v>4092.3351306400918</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98"/>
      <c r="F62" s="93"/>
      <c r="G62" s="200"/>
      <c r="H62"/>
      <c r="I62"/>
      <c r="J62"/>
      <c r="N62" s="71"/>
      <c r="O62" s="27" t="s">
        <v>375</v>
      </c>
      <c r="P62" s="107" t="str">
        <f>IF(IFERROR(VLOOKUP(P59,'Tabela de Apoio'!$D:$E,2,FALSE),1)=1,"",P63)</f>
        <v/>
      </c>
      <c r="Q62" s="107">
        <f>IF(IFERROR(VLOOKUP(Q59,'Tabela de Apoio'!$D:$E,2,FALSE),1)=1,"",Q63)</f>
        <v>5839.5109886163682</v>
      </c>
      <c r="R62" s="107">
        <f>IF(IFERROR(VLOOKUP(R59,'Tabela de Apoio'!$D:$E,2,FALSE),1)=1,"",R63)</f>
        <v>4092.3351306400918</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98"/>
      <c r="F63" s="93"/>
      <c r="G63" s="200"/>
      <c r="H63" s="134">
        <f t="shared" ref="H63" si="111">COUNT($P63:$XX63)</f>
        <v>3</v>
      </c>
      <c r="I63" s="132">
        <f t="shared" ref="I63" si="112">_xlfn.STDEV.P($P62:$XX63)/AVERAGE($P62:$XX63)</f>
        <v>0.62490229787903306</v>
      </c>
      <c r="J63" s="7">
        <f>ROW()</f>
        <v>63</v>
      </c>
      <c r="K63" s="67"/>
      <c r="L63" s="29" t="s">
        <v>10</v>
      </c>
      <c r="M63" s="30">
        <f t="shared" ref="M63" si="113">IFERROR(
IF(COUNTA(P57:AI57)=COUNTIF(P59:XX59,"Orçamento"),MIN(M68,M65),
IF(M66&lt;&gt;"",M66,
IF(M67&lt;&gt;"",M67,
M65
))),"")</f>
        <v>5839.5109886163682</v>
      </c>
      <c r="N63" s="71"/>
      <c r="O63" s="27" t="s">
        <v>376</v>
      </c>
      <c r="P63" s="106">
        <f t="shared" ref="P63:AI63" si="114">IFERROR(IF(P61="",
            "",
            IF(COUNT($P61:$XX61)&lt;=4,
               P61,
               IF(OR(P61&gt;(QUARTILE($P61:$XX61,3)+(QUARTILE($P61:$XX61,3)-QUARTILE($P61:$XX61,1))),
                     P61&lt;(QUARTILE($P61:$XX61,1)-(QUARTILE($P61:$XX61,3)-QUARTILE($P61:$XX61,1)))
                  ),
               "DESCARTADO",P61)
             )
  ),P61)</f>
        <v>16000</v>
      </c>
      <c r="Q63" s="106">
        <f t="shared" si="114"/>
        <v>5839.5109886163682</v>
      </c>
      <c r="R63" s="106">
        <f t="shared" si="114"/>
        <v>4092.3351306400918</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98"/>
      <c r="F64" s="93"/>
      <c r="G64" s="200"/>
      <c r="H64"/>
      <c r="I64"/>
      <c r="J64"/>
      <c r="K64" s="66"/>
      <c r="L64" s="29" t="s">
        <v>360</v>
      </c>
      <c r="M64" s="30">
        <f t="shared" ref="M64" si="117">AVERAGE($P63:$XX63)</f>
        <v>8643.9487064188197</v>
      </c>
      <c r="N64" s="71"/>
      <c r="O64" s="27" t="str">
        <f t="shared" ref="O64" si="118">"1 POND"</f>
        <v>1 POND</v>
      </c>
      <c r="P64" s="107" t="str">
        <f>IF(IFERROR(VLOOKUP(P59,'Tabela de Apoio'!$D:$E,2,FALSE),1)=1,"",P65)</f>
        <v/>
      </c>
      <c r="Q64" s="107">
        <f>IF(IFERROR(VLOOKUP(Q59,'Tabela de Apoio'!$D:$E,2,FALSE),1)=1,"",Q65)</f>
        <v>5839.5109886163682</v>
      </c>
      <c r="R64" s="107">
        <f>IF(IFERROR(VLOOKUP(R59,'Tabela de Apoio'!$D:$E,2,FALSE),1)=1,"",R65)</f>
        <v>4092.3351306400918</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98"/>
      <c r="F65" s="93"/>
      <c r="G65" s="200"/>
      <c r="H65" s="134">
        <f t="shared" ref="H65" si="119">COUNT($P65:$XX65)</f>
        <v>2</v>
      </c>
      <c r="I65" s="132">
        <f t="shared" ref="I65" si="120">_xlfn.STDEV.P($P64:$XX65)/AVERAGE($P64:$XX65)</f>
        <v>0.17591652518545844</v>
      </c>
      <c r="J65" s="7">
        <f t="shared" ref="J65" si="121">IF(AND(H65&gt;2,
OR(L57="MÉDIA SANEADA",L57="MEDIANA SANEADA",
AND(L57="PREÇO ESTIMADO",NOT(AND(P59="Orçamento",COUNTA(P57:XX57)=COUNTIF(P59:XX59,"Orçamento")))))),
ROW(),0)</f>
        <v>0</v>
      </c>
      <c r="K65" s="66"/>
      <c r="L65" s="29" t="s">
        <v>361</v>
      </c>
      <c r="M65" s="30">
        <f t="shared" ref="M65" si="122">MEDIAN($P63:$XX63)</f>
        <v>5839.5109886163682</v>
      </c>
      <c r="N65" s="71"/>
      <c r="O65" s="27" t="str">
        <f t="shared" ref="O65" si="123">"1 RODADA"</f>
        <v>1 RODADA</v>
      </c>
      <c r="P65" s="107" t="str">
        <f t="shared" ref="P65:AI65" si="124">IF(P63="","",IF((_xlfn.STDEV.P($P62:$XX63)/AVERAGE($P62:$XX63))&lt;=25%,P63,IF(OR(P63&gt;(AVERAGE($P62:$XX63)+_xlfn.STDEV.P($P62:$XX63)),P63&lt;(AVERAGE($P62:$XX63)-_xlfn.STDEV.P($P62:$XX63))),"DESCARTADO",P63)))</f>
        <v>DESCARTADO</v>
      </c>
      <c r="Q65" s="107">
        <f t="shared" si="124"/>
        <v>5839.5109886163682</v>
      </c>
      <c r="R65" s="107">
        <f t="shared" si="124"/>
        <v>4092.3351306400918</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f>IF(IFERROR(VLOOKUP(Q59,'Tabela de Apoio'!$D:$E,2,FALSE),1)=1,"",Q67)</f>
        <v>5839.5109886163682</v>
      </c>
      <c r="R66" s="107">
        <f>IF(IFERROR(VLOOKUP(R59,'Tabela de Apoio'!$D:$E,2,FALSE),1)=1,"",R67)</f>
        <v>4092.3351306400918</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98"/>
      <c r="F67" s="93"/>
      <c r="G67" s="200"/>
      <c r="H67" s="134">
        <f t="shared" ref="H67" si="127">COUNT($P67:$XX67)</f>
        <v>2</v>
      </c>
      <c r="I67" s="132">
        <f t="shared" ref="I67" si="128">_xlfn.STDEV.P($P66:$XX67)/AVERAGE($P66:$XX67)</f>
        <v>0.17591652518545844</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5839.5109886163682</v>
      </c>
      <c r="N67" s="71"/>
      <c r="O67" s="27" t="str">
        <f t="shared" ref="O67" si="131">"2 RODADA"</f>
        <v>2 RODADA</v>
      </c>
      <c r="P67" s="107" t="str">
        <f t="shared" ref="P67:AI67" si="132">IF(P65="","",IF((_xlfn.STDEV.P($P64:$XX65)/AVERAGE($P64:$XX65))&lt;=25%,P65,IF(OR(P65&gt;(AVERAGE($P64:$XX65)+_xlfn.STDEV.P($P64:$XX65)),P65&lt;(AVERAGE($P64:$XX65)-_xlfn.STDEV.P($P64:$XX65))),"DESCARTADO",P65)))</f>
        <v>DESCARTADO</v>
      </c>
      <c r="Q67" s="107">
        <f t="shared" si="132"/>
        <v>5839.5109886163682</v>
      </c>
      <c r="R67" s="107">
        <f t="shared" si="132"/>
        <v>4092.3351306400918</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98"/>
      <c r="F68" s="93"/>
      <c r="G68" s="200"/>
      <c r="H68"/>
      <c r="I68"/>
      <c r="J68"/>
      <c r="K68" s="66"/>
      <c r="L68" s="29" t="s">
        <v>359</v>
      </c>
      <c r="M68" s="30">
        <f t="shared" ref="M68" si="133">HARMEAN($P62:$XX63)</f>
        <v>5594.6374558347188</v>
      </c>
      <c r="N68" s="71"/>
      <c r="O68" s="27" t="str">
        <f t="shared" ref="O68" si="134">"3 POND"</f>
        <v>3 POND</v>
      </c>
      <c r="P68" s="107" t="str">
        <f>IF(IFERROR(VLOOKUP(P59,'Tabela de Apoio'!$D:$E,2,FALSE),1)=1,"",P69)</f>
        <v/>
      </c>
      <c r="Q68" s="107">
        <f>IF(IFERROR(VLOOKUP(Q59,'Tabela de Apoio'!$D:$E,2,FALSE),1)=1,"",Q69)</f>
        <v>5839.5109886163682</v>
      </c>
      <c r="R68" s="107">
        <f>IF(IFERROR(VLOOKUP(R59,'Tabela de Apoio'!$D:$E,2,FALSE),1)=1,"",R69)</f>
        <v>4092.3351306400918</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98"/>
      <c r="F69" s="93"/>
      <c r="G69" s="200"/>
      <c r="H69" s="134">
        <f t="shared" ref="H69" si="135">COUNT($P69:$XX69)</f>
        <v>2</v>
      </c>
      <c r="I69" s="132">
        <f t="shared" ref="I69" si="136">_xlfn.STDEV.P($P68:$XX69)/AVERAGE($P68:$XX69)</f>
        <v>0.17591652518545844</v>
      </c>
      <c r="J69" s="7">
        <f t="shared" ref="J69" si="137">IF(AND(H69&gt;2,
OR(L57="MÉDIA SANEADA",L57="MEDIANA SANEADA",
AND(L57="PREÇO ESTIMADO",NOT(AND(P59="Orçamento",COUNTA(P57:XX57)=COUNTIF(P59:XX59,"Orçamento")))))),
ROW(),0)</f>
        <v>0</v>
      </c>
      <c r="K69" s="66"/>
      <c r="L69" s="29" t="s">
        <v>41</v>
      </c>
      <c r="M69" s="30">
        <f t="shared" ref="M69" si="138">IFERROR(_xlfn.QUARTILE.EXC($P63:$XX63,1),"")</f>
        <v>4092.3351306400918</v>
      </c>
      <c r="N69" s="71"/>
      <c r="O69" s="27" t="str">
        <f t="shared" ref="O69" si="139">"3 RODADA"</f>
        <v>3 RODADA</v>
      </c>
      <c r="P69" s="107" t="str">
        <f t="shared" ref="P69:AI69" si="140">IF(P67="","",IF((_xlfn.STDEV.P($P66:$XX67)/AVERAGE($P66:$XX67))&lt;=25%,P67,IF(OR(P67&gt;(AVERAGE($P66:$XX67)+_xlfn.STDEV.P($P66:$XX67)),P67&lt;(AVERAGE($P66:$XX67)-_xlfn.STDEV.P($P66:$XX67))),"DESCARTADO",P67)))</f>
        <v>DESCARTADO</v>
      </c>
      <c r="Q69" s="107">
        <f t="shared" si="140"/>
        <v>5839.5109886163682</v>
      </c>
      <c r="R69" s="107">
        <f t="shared" si="140"/>
        <v>4092.3351306400918</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98"/>
      <c r="F70" s="93"/>
      <c r="G70" s="200"/>
      <c r="H70"/>
      <c r="I70"/>
      <c r="J70"/>
      <c r="K70" s="66"/>
      <c r="L70" s="29" t="s">
        <v>39</v>
      </c>
      <c r="M70" s="30">
        <f t="shared" ref="M70" si="141">IFERROR(_xlfn.QUARTILE.EXC($P63:$XX63,3),"")</f>
        <v>16000</v>
      </c>
      <c r="N70" s="71"/>
      <c r="O70" s="27" t="str">
        <f t="shared" ref="O70" si="142">"4 POND"</f>
        <v>4 POND</v>
      </c>
      <c r="P70" s="107" t="str">
        <f>IF(IFERROR(VLOOKUP(P59,'Tabela de Apoio'!$D:$E,2,FALSE),1)=1,"",P71)</f>
        <v/>
      </c>
      <c r="Q70" s="107">
        <f>IF(IFERROR(VLOOKUP(Q59,'Tabela de Apoio'!$D:$E,2,FALSE),1)=1,"",Q71)</f>
        <v>5839.5109886163682</v>
      </c>
      <c r="R70" s="107">
        <f>IF(IFERROR(VLOOKUP(R59,'Tabela de Apoio'!$D:$E,2,FALSE),1)=1,"",R71)</f>
        <v>4092.3351306400918</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98"/>
      <c r="F71" s="93"/>
      <c r="G71" s="200"/>
      <c r="H71" s="134">
        <f t="shared" ref="H71" si="143">COUNT($P71:$XX71)</f>
        <v>2</v>
      </c>
      <c r="I71" s="132">
        <f t="shared" ref="I71" si="144">_xlfn.STDEV.P($P70:$XX71)/AVERAGE($P70:$XX71)</f>
        <v>0.17591652518545844</v>
      </c>
      <c r="J71" s="7">
        <f t="shared" ref="J71" si="145">IF(AND(H71&gt;2,
OR(L57="MÉDIA SANEADA",L57="MEDIANA SANEADA",
AND(L57="PREÇO ESTIMADO",NOT(AND(P59="Orçamento",COUNTA(P57:XX57)=COUNTIF(P59:XX59,"Orçamento")))))),
ROW(),0)</f>
        <v>0</v>
      </c>
      <c r="K71" s="66"/>
      <c r="L71" s="29" t="s">
        <v>42</v>
      </c>
      <c r="M71" s="30">
        <f t="shared" ref="M71" si="146">MIN($P63:$XX63)</f>
        <v>4092.3351306400918</v>
      </c>
      <c r="N71" s="71"/>
      <c r="O71" s="27" t="str">
        <f t="shared" ref="O71" si="147">"4 RODADA"</f>
        <v>4 RODADA</v>
      </c>
      <c r="P71" s="107" t="str">
        <f t="shared" ref="P71:AI71" si="148">IF(P69="","",IF((_xlfn.STDEV.P($P68:$XX69)/AVERAGE($P68:$XX69))&lt;=25%,P69,IF(OR(P69&gt;(AVERAGE($P68:$XX69)+_xlfn.STDEV.P($P68:$XX69)),P69&lt;(AVERAGE($P68:$XX69)-_xlfn.STDEV.P($P68:$XX69))),"DESCARTADO",P69)))</f>
        <v>DESCARTADO</v>
      </c>
      <c r="Q71" s="107">
        <f t="shared" si="148"/>
        <v>5839.5109886163682</v>
      </c>
      <c r="R71" s="107">
        <f t="shared" si="148"/>
        <v>4092.3351306400918</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98"/>
      <c r="F72" s="93"/>
      <c r="G72" s="200"/>
      <c r="H72"/>
      <c r="I72"/>
      <c r="J72"/>
      <c r="K72" s="66"/>
      <c r="L72" s="29" t="s">
        <v>40</v>
      </c>
      <c r="M72" s="30">
        <f t="shared" ref="M72" si="149">MAX($P63:$XX63)</f>
        <v>16000</v>
      </c>
      <c r="N72" s="71"/>
      <c r="O72" s="27" t="str">
        <f t="shared" ref="O72" si="150">"5 POND"</f>
        <v>5 POND</v>
      </c>
      <c r="P72" s="107" t="str">
        <f>IF(IFERROR(VLOOKUP(P59,'Tabela de Apoio'!$D:$E,2,FALSE),1)=1,"",P73)</f>
        <v/>
      </c>
      <c r="Q72" s="107">
        <f>IF(IFERROR(VLOOKUP(Q59,'Tabela de Apoio'!$D:$E,2,FALSE),1)=1,"",Q73)</f>
        <v>5839.5109886163682</v>
      </c>
      <c r="R72" s="107">
        <f>IF(IFERROR(VLOOKUP(R59,'Tabela de Apoio'!$D:$E,2,FALSE),1)=1,"",R73)</f>
        <v>4092.3351306400918</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98"/>
      <c r="F73" s="93"/>
      <c r="G73" s="200"/>
      <c r="H73" s="134">
        <f t="shared" ref="H73" si="151">COUNT($P73:$XX73)</f>
        <v>2</v>
      </c>
      <c r="I73" s="132">
        <f t="shared" ref="I73" si="152">_xlfn.STDEV.P($P72:$XX73)/AVERAGE($P72:$XX73)</f>
        <v>0.17591652518545844</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DESCARTADO</v>
      </c>
      <c r="Q73" s="107">
        <f t="shared" si="155"/>
        <v>5839.5109886163682</v>
      </c>
      <c r="R73" s="107">
        <f t="shared" si="155"/>
        <v>4092.3351306400918</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98"/>
      <c r="F74" s="93"/>
      <c r="G74" s="200"/>
      <c r="H74"/>
      <c r="I74"/>
      <c r="J74"/>
      <c r="K74" s="66"/>
      <c r="L74" s="22"/>
      <c r="M74" s="22"/>
      <c r="N74" s="71"/>
      <c r="O74" s="27" t="str">
        <f t="shared" ref="O74" si="156">"6 POND"</f>
        <v>6 POND</v>
      </c>
      <c r="P74" s="107" t="str">
        <f>IF(IFERROR(VLOOKUP(P59,'Tabela de Apoio'!$D:$E,2,FALSE),1)=1,"",P75)</f>
        <v/>
      </c>
      <c r="Q74" s="107">
        <f>IF(IFERROR(VLOOKUP(Q59,'Tabela de Apoio'!$D:$E,2,FALSE),1)=1,"",Q75)</f>
        <v>5839.5109886163682</v>
      </c>
      <c r="R74" s="107">
        <f>IF(IFERROR(VLOOKUP(R59,'Tabela de Apoio'!$D:$E,2,FALSE),1)=1,"",R75)</f>
        <v>4092.3351306400918</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98"/>
      <c r="F75" s="93"/>
      <c r="G75" s="200"/>
      <c r="H75" s="134">
        <f t="shared" ref="H75" si="157">COUNT($P75:$XX75)</f>
        <v>2</v>
      </c>
      <c r="I75" s="132">
        <f t="shared" ref="I75" si="158">_xlfn.STDEV.P($P74:$XX75)/AVERAGE($P74:$XX75)</f>
        <v>0.17591652518545844</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DESCARTADO</v>
      </c>
      <c r="Q75" s="107">
        <f t="shared" si="161"/>
        <v>5839.5109886163682</v>
      </c>
      <c r="R75" s="107">
        <f t="shared" si="161"/>
        <v>4092.3351306400918</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98"/>
      <c r="F76" s="136"/>
      <c r="G76" s="200"/>
      <c r="H76" s="203"/>
      <c r="I76" s="203"/>
      <c r="J76" s="204"/>
      <c r="K76" s="67"/>
      <c r="L76" s="1" t="s">
        <v>43</v>
      </c>
      <c r="M76" s="143">
        <f t="shared" ref="M76" si="162">IFERROR(ROUND(M57*M59,2),"")</f>
        <v>70074.12</v>
      </c>
      <c r="O76" s="27" t="s">
        <v>363</v>
      </c>
      <c r="P76" s="107">
        <f t="shared" ref="P76:R76" si="163">INDEX(P63:P75,MATCH(MAX($J63:$J75),$J63:$J75,0))</f>
        <v>16000</v>
      </c>
      <c r="Q76" s="107">
        <f t="shared" si="163"/>
        <v>5839.5109886163682</v>
      </c>
      <c r="R76" s="107">
        <f t="shared" si="163"/>
        <v>4092.3351306400918</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topLeftCell="A6"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6.710937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SECRETARIA MUNICIPAL DA SAÚDE (SMS)</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90"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Frasco/garrafa a vácuo, PEDIÁTRICO, com meio de cultura com sistema neutralizador de antibióticos para detecção de microorganismos aeróbicos e anaeróbicos facultativos (bactérias e fungos) no sangue, a vácuo, compatível com o equipamento.</v>
      </c>
      <c r="H8" s="84" t="str">
        <f>IF($B7="","",IF($C8=$C5,INDEX('MAPA DE PREÇOS'!$M:$M,MATCH($B8,'MAPA DE PREÇOS'!$B:$B)-16),IF($C8=$C6,"Unidade","")))</f>
        <v>FRASCO</v>
      </c>
      <c r="I8" s="84">
        <f>IF($B7="","",IF($C8=$C5,INDEX('MAPA DE PREÇOS'!$M:$M,MATCH($B8,'MAPA DE PREÇOS'!$B:$B)-17),IF($C8=$C6,"Quant.","")))</f>
        <v>6000</v>
      </c>
      <c r="J8" s="60">
        <f>IF(AND(COUNTBLANK($B5:$B7)=2,$B7="",$B6="",MAX(C:C)&gt;1),"Total Estimado",IF($B7="","",IF($C8=$C5,INDEX('MAPA DE PREÇOS'!$M:$M,MATCH($B8,'MAPA DE PREÇOS'!$B:$B)-19),IF($C8=$C6,"Valor Unit. (R$)",IF(AND($C8&lt;&gt;$C7,$J7&lt;&gt;""),IF(MAX(C:C)=1,"Total Estimado","Subtotal"),"")))))</f>
        <v>17.75</v>
      </c>
      <c r="K8" s="75">
        <f>IFERROR(IF(AND(COUNTBLANK($B5:$B7)=2,$B7="",$B6="",MAX($C:$C)&gt;1),SUM($K$3:K7)/2,IF($B7="","",IF($C8=$C5,ROUND(J8*I8,2),IF($C8=$C6,"Total Item (R$)",IF(AND($C8&lt;&gt;$C7,$J7&lt;&gt;""),SUMIFS(K:K,$C:$C,C7,J:J,"&lt;&gt;Subtotal"),""))))),"")</f>
        <v>106500</v>
      </c>
      <c r="L8" s="75" t="str">
        <f t="shared" si="1"/>
        <v/>
      </c>
      <c r="N8" s="137"/>
    </row>
    <row r="9" spans="2:14" ht="90"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Frasco/garrafa a vácuo, ADULTO, com meio de cultura com sistema neutralizador de antibióticos para detecção de microorganismos aeróbicos e anaeróbicos facultativos (bactérias e fungos) no sangue, a vácuo, compatível com o equipamento.</v>
      </c>
      <c r="H9" s="84" t="str">
        <f>IF($B8="","",IF($C9=$C6,INDEX('MAPA DE PREÇOS'!$M:$M,MATCH($B9,'MAPA DE PREÇOS'!$B:$B)-16),IF($C9=$C7,"Unidade","")))</f>
        <v>FRASCO</v>
      </c>
      <c r="I9" s="84">
        <f>IF($B8="","",IF($C9=$C6,INDEX('MAPA DE PREÇOS'!$M:$M,MATCH($B9,'MAPA DE PREÇOS'!$B:$B)-17),IF($C9=$C7,"Quant.","")))</f>
        <v>9000</v>
      </c>
      <c r="J9" s="60">
        <f>IF(AND(COUNTBLANK($B6:$B8)=2,$B8="",$B7="",MAX(C:C)&gt;1),"Total Estimado",IF($B8="","",IF($C9=$C6,INDEX('MAPA DE PREÇOS'!$M:$M,MATCH($B9,'MAPA DE PREÇOS'!$B:$B)-19),IF($C9=$C7,"Valor Unit. (R$)",IF(AND($C9&lt;&gt;$C8,$J8&lt;&gt;""),IF(MAX(C:C)=1,"Total Estimado","Subtotal"),"")))))</f>
        <v>17.75</v>
      </c>
      <c r="K9" s="75">
        <f>IFERROR(IF(AND(COUNTBLANK($B6:$B8)=2,$B8="",$B7="",MAX(C:C)&gt;1),SUM($K$3:K8)/2,IF($B8="","",IF($C9=$C6,ROUND(J9*I9,2),IF($C9=$C7,"Total Item (R$)",IF(AND($C9&lt;&gt;$C8,$J8&lt;&gt;""),SUMIFS(K:K,C:C,C8,J:J,"&lt;&gt;Subtotal"),""))))),"")</f>
        <v>159750</v>
      </c>
      <c r="L9" s="75" t="str">
        <f t="shared" si="1"/>
        <v/>
      </c>
    </row>
    <row r="10" spans="2:14" ht="90"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Locação de 2 equipamentos automatizados destinados à realização dos testes de hemocultura, incluindo o fornecimento de insumos e equipamentos de automação, e a manutenção preventiva, corretiva, calibração dos equipamentos e treinamento técnico.</v>
      </c>
      <c r="H10" s="84" t="str">
        <f>IF($B9="","",IF($C10=$C7,INDEX('MAPA DE PREÇOS'!$M:$M,MATCH($B10,'MAPA DE PREÇOS'!$B:$B)-16),IF($C10=$C8,"Unidade","")))</f>
        <v>MENSALIDADE</v>
      </c>
      <c r="I10" s="84">
        <f>IF($B9="","",IF($C10=$C7,INDEX('MAPA DE PREÇOS'!$M:$M,MATCH($B10,'MAPA DE PREÇOS'!$B:$B)-17),IF($C10=$C8,"Quant.","")))</f>
        <v>12</v>
      </c>
      <c r="J10" s="60">
        <f>IF(AND(COUNTBLANK($B7:$B9)=2,$B9="",$B8="",MAX(C:C)&gt;1),"Total Estimado",IF($B9="","",IF($C10=$C7,INDEX('MAPA DE PREÇOS'!$M:$M,MATCH($B10,'MAPA DE PREÇOS'!$B:$B)-19),IF($C10=$C8,"Valor Unit. (R$)",IF(AND($C10&lt;&gt;$C9,$J9&lt;&gt;""),IF(MAX(C:C)=1,"Total Estimado","Subtotal"),"")))))</f>
        <v>5839.51</v>
      </c>
      <c r="K10" s="75">
        <f>IFERROR(IF(AND(COUNTBLANK($B7:$B9)=2,$B9="",$B8="",MAX(C:C)&gt;1),SUM($K$3:K9)/2,IF($B9="","",IF($C10=$C7,ROUND(J10*I10,2),IF($C10=$C8,"Total Item (R$)",IF(AND($C10&lt;&gt;$C9,$J9&lt;&gt;""),SUMIFS(K:K,C:C,C9,J:J,"&lt;&gt;Subtotal"),""))))),"")</f>
        <v>70074.12</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Total Estimado</v>
      </c>
      <c r="K11" s="75">
        <f>IFERROR(IF(AND(COUNTBLANK($B8:$B10)=2,$B10="",$B9="",MAX(C:C)&gt;1),SUM($K$3:K10)/2,IF($B10="","",IF($C11=$C8,ROUND(J11*I11,2),IF($C11=$C9,"Total Item (R$)",IF(AND($C11&lt;&gt;$C10,$J10&lt;&gt;""),SUMIFS(K:K,C:C,C10,J:J,"&lt;&gt;Subtotal"),""))))),"")</f>
        <v>336324.12</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39" t="s">
        <v>305</v>
      </c>
      <c r="F2" s="240"/>
      <c r="G2" s="240"/>
      <c r="H2" s="240"/>
      <c r="I2" s="240"/>
      <c r="J2" s="240"/>
      <c r="K2" s="240"/>
      <c r="L2" s="241"/>
      <c r="M2" s="110"/>
    </row>
    <row r="3" spans="2:37" ht="21" x14ac:dyDescent="0.35">
      <c r="E3" s="233" t="str">
        <f>'MAPA DE PREÇOS'!H5</f>
        <v>SECRETARIA MUNICIPAL DA SAÚDE (SMS)</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2" t="s">
        <v>358</v>
      </c>
      <c r="F5" s="243"/>
      <c r="G5" s="243"/>
      <c r="H5" s="243"/>
      <c r="I5" s="243"/>
      <c r="J5" s="243"/>
      <c r="K5" s="243"/>
      <c r="L5" s="244"/>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5" t="s">
        <v>354</v>
      </c>
      <c r="O7" s="246"/>
      <c r="P7" s="245" t="s">
        <v>364</v>
      </c>
      <c r="Q7" s="246"/>
      <c r="R7" s="245" t="s">
        <v>365</v>
      </c>
      <c r="S7" s="246"/>
      <c r="T7" s="245" t="s">
        <v>366</v>
      </c>
      <c r="U7" s="246"/>
      <c r="V7" s="245" t="s">
        <v>367</v>
      </c>
      <c r="W7" s="246"/>
      <c r="X7" s="245" t="s">
        <v>368</v>
      </c>
      <c r="Y7" s="246"/>
      <c r="Z7" s="245" t="s">
        <v>369</v>
      </c>
      <c r="AA7" s="246"/>
      <c r="AB7" s="245" t="s">
        <v>370</v>
      </c>
      <c r="AC7" s="246"/>
      <c r="AD7" s="245" t="s">
        <v>371</v>
      </c>
      <c r="AE7" s="246"/>
      <c r="AF7" s="245" t="s">
        <v>372</v>
      </c>
      <c r="AG7" s="246"/>
      <c r="AH7" s="245" t="s">
        <v>373</v>
      </c>
      <c r="AI7" s="246"/>
      <c r="AJ7" s="245" t="s">
        <v>374</v>
      </c>
      <c r="AK7" s="246"/>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Frasco/garrafa a vácuo, PEDIÁTRICO, com meio de cultura com sistema neutralizador de antibióticos para detecção de microorganismos aeróbicos e anaeróbicos facultativos (bactérias e fungos) no sangue, a vácuo, compatível com o equipamento.</v>
      </c>
      <c r="H8" s="84" t="str">
        <f>IF($B7="","",IF($C8=$C5,INDEX('MAPA DE PREÇOS'!$M:$M,MATCH($B8,'MAPA DE PREÇOS'!$B:$B)-16),IF($C8=$C6,"Unidade","")))</f>
        <v>FRASCO</v>
      </c>
      <c r="I8" s="84">
        <f>IF($B7="","",IF($C8=$C5,INDEX('MAPA DE PREÇOS'!$M:$M,MATCH($B8,'MAPA DE PREÇOS'!$B:$B)-17),IF($C8=$C6,"Quant.","")))</f>
        <v>6000</v>
      </c>
      <c r="J8" s="60">
        <f>IF(J7="Total Mensal","Total Acumulado",IF($B7="","",IF($C8=$C5,INDEX('MAPA DE PREÇOS'!$M:$M,MATCH($B8,'MAPA DE PREÇOS'!$B:$B)-19),IF($C8=$C6,"Valor Unit. (R$)",IF(AND($C8&lt;&gt;$C7,$J7&lt;&gt;""),"Total Mensal","")))))</f>
        <v>17.75</v>
      </c>
      <c r="K8" s="75">
        <f>IF(J8="","",IF(J8="Total Mensal","-",IF(J8="Total Acumulado",SUM(K$7:K7),I8*J8)))</f>
        <v>106500</v>
      </c>
      <c r="L8" s="112">
        <f>IF(J8="","",IF(J8="Total Mensal","-",IF(J8="Total Acumulado",SUM(L$7:L7),K8/SUMIF(J:J,"Total Acumulado",K:K))))</f>
        <v>0.31665882304248649</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Frasco/garrafa a vácuo, ADULTO, com meio de cultura com sistema neutralizador de antibióticos para detecção de microorganismos aeróbicos e anaeróbicos facultativos (bactérias e fungos) no sangue, a vácuo, compatível com o equipamento.</v>
      </c>
      <c r="H9" s="84" t="str">
        <f>IF($B8="","",IF($C9=$C6,INDEX('MAPA DE PREÇOS'!$M:$M,MATCH($B9,'MAPA DE PREÇOS'!$B:$B)-16),IF($C9=$C7,"Unidade","")))</f>
        <v>FRASCO</v>
      </c>
      <c r="I9" s="84">
        <f>IF($B8="","",IF($C9=$C6,INDEX('MAPA DE PREÇOS'!$M:$M,MATCH($B9,'MAPA DE PREÇOS'!$B:$B)-17),IF($C9=$C7,"Quant.","")))</f>
        <v>9000</v>
      </c>
      <c r="J9" s="60">
        <f>IF(J8="Total Mensal","Total Acumulado",IF($B8="","",IF($C9=$C6,INDEX('MAPA DE PREÇOS'!$M:$M,MATCH($B9,'MAPA DE PREÇOS'!$B:$B)-19),IF($C9=$C7,"Valor Unit. (R$)",IF(AND($C9&lt;&gt;$C8,$J8&lt;&gt;""),"Total Mensal","")))))</f>
        <v>17.75</v>
      </c>
      <c r="K9" s="75">
        <f>IF(J9="","",IF(J9="Total Mensal","-",IF(J9="Total Acumulado",SUM(K$7:K8),I9*J9)))</f>
        <v>159750</v>
      </c>
      <c r="L9" s="112">
        <f>IF(J9="","",IF(J9="Total Mensal","-",IF(J9="Total Acumulado",SUM(L$7:L8),K9/SUMIF(J:J,"Total Acumulado",K:K))))</f>
        <v>0.47498823456372979</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Locação de 2 equipamentos automatizados destinados à realização dos testes de hemocultura, incluindo o fornecimento de insumos e equipamentos de automação, e a manutenção preventiva, corretiva, calibração dos equipamentos e treinamento técnico.</v>
      </c>
      <c r="H10" s="84" t="str">
        <f>IF($B9="","",IF($C10=$C7,INDEX('MAPA DE PREÇOS'!$M:$M,MATCH($B10,'MAPA DE PREÇOS'!$B:$B)-16),IF($C10=$C8,"Unidade","")))</f>
        <v>MENSALIDADE</v>
      </c>
      <c r="I10" s="84">
        <f>IF($B9="","",IF($C10=$C7,INDEX('MAPA DE PREÇOS'!$M:$M,MATCH($B10,'MAPA DE PREÇOS'!$B:$B)-17),IF($C10=$C8,"Quant.","")))</f>
        <v>12</v>
      </c>
      <c r="J10" s="60">
        <f>IF(J9="Total Mensal","Total Acumulado",IF($B9="","",IF($C10=$C7,INDEX('MAPA DE PREÇOS'!$M:$M,MATCH($B10,'MAPA DE PREÇOS'!$B:$B)-19),IF($C10=$C8,"Valor Unit. (R$)",IF(AND($C10&lt;&gt;$C9,$J9&lt;&gt;""),"Total Mensal","")))))</f>
        <v>5839.51</v>
      </c>
      <c r="K10" s="75">
        <f>IF(J10="","",IF(J10="Total Mensal","-",IF(J10="Total Acumulado",SUM(K$7:K9),I10*J10)))</f>
        <v>70074.12</v>
      </c>
      <c r="L10" s="112">
        <f>IF(J10="","",IF(J10="Total Mensal","-",IF(J10="Total Acumulado",SUM(L$7:L9),K10/SUMIF(J:J,"Total Acumulado",K:K))))</f>
        <v>0.20835294239378371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Total Mensal</v>
      </c>
      <c r="K11" s="75" t="str">
        <f>IF(J11="","",IF(J11="Total Mensal","-",IF(J11="Total Acumulado",SUM(K$7:K10),I11*J11)))</f>
        <v>-</v>
      </c>
      <c r="L11" s="112" t="str">
        <f>IF(J11="","",IF(J11="Total Mensal","-",IF(J11="Total Acumulado",SUM(L$7:L10),K11/SUMIF(J:J,"Total Acumulado",K:K))))</f>
        <v>-</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Total Acumulado</v>
      </c>
      <c r="K12" s="75">
        <f>IF(J12="","",IF(J12="Total Mensal","-",IF(J12="Total Acumulado",SUM(K$7:K11),I12*J12)))</f>
        <v>336324.12</v>
      </c>
      <c r="L12" s="112">
        <f>IF(J12="","",IF(J12="Total Mensal","-",IF(J12="Total Acumulado",SUM(L$7:L11),K12/SUMIF(J:J,"Total Acumulado",K:K))))</f>
        <v>1</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0.31665882304248649</v>
      </c>
      <c r="D6" s="42">
        <f>IFERROR(IF(C6=C5,IF(D5="","",D5+0.000000001),C6),"")</f>
        <v>0.31665882304248649</v>
      </c>
      <c r="E6" s="41">
        <f t="shared" ref="E6:E37" si="0">IFERROR(INDEX(B:B,MATCH(LARGE(D:D,ROW()-5),D:D,0)),"")</f>
        <v>2</v>
      </c>
      <c r="F6" s="41">
        <f>IFERROR(VLOOKUP($E6,'MAPA DE PREÇOS'!$B:$D,2,FALSE),"")</f>
        <v>1</v>
      </c>
      <c r="G6" s="41">
        <f>IFERROR(VLOOKUP($E6,'MAPA DE PREÇOS'!$B:$D,3,FALSE),"")</f>
        <v>2</v>
      </c>
      <c r="H6" s="41">
        <f t="array" ref="H6">IFERROR(IF(E6="","",INDEX('MAPA DE PREÇOS'!H:H,0+MATCH(ABC!E6,'MAPA DE PREÇOS'!B:B,0))),"")</f>
        <v>0</v>
      </c>
      <c r="I6" t="str">
        <f>IF(E6="","",INDEX('MAPA DE PREÇOS'!H:H,MATCH(ABC!E6,'MAPA DE PREÇOS'!B:B,0)+1))</f>
        <v>Frasco/garrafa a vácuo, ADULTO, com meio de cultura com sistema neutralizador de antibióticos para detecção de microorganismos aeróbicos e anaeróbicos facultativos (bactérias e fungos) no sangue, a vácuo, compatível com o equipamento.</v>
      </c>
      <c r="J6" s="41" t="str">
        <f>IFERROR(IF(E6="","",INDEX('MAPA DE PREÇOS'!M:M,3+MATCH(ABC!E6,'MAPA DE PREÇOS'!B:B,0))),"")</f>
        <v>FRASCO</v>
      </c>
      <c r="K6" s="52">
        <f t="array" ref="K6">IFERROR(IF(E6="","",INDEX('MAPA DE PREÇOS'!M:M,2+MATCH(ABC!E6,'MAPA DE PREÇOS'!B:B,0))),"")</f>
        <v>9000</v>
      </c>
      <c r="L6" s="53">
        <f t="array" ref="L6">IFERROR(IF(AND(E5&lt;&gt;"",E6=""),"TOTAL ESTIMADO",INDEX('MAPA DE PREÇOS'!M:M,0+MATCH(ABC!E6,'MAPA DE PREÇOS'!B:B,0))),"")</f>
        <v>17.75</v>
      </c>
      <c r="M6" s="54">
        <f>IFERROR(IF(AND(E5&lt;&gt;"",E6=""),SUM($M$5:M5),INDEX('MAPA DE PREÇOS'!M:M,19+MATCH(ABC!E6,'MAPA DE PREÇOS'!B:B,0))),"")</f>
        <v>159750</v>
      </c>
      <c r="N6" s="90">
        <f t="shared" ref="N6:N37" si="1">IFERROR(VLOOKUP(E6,$B:$C,2),"")</f>
        <v>0.47498823456372979</v>
      </c>
      <c r="O6" s="90">
        <f>N6</f>
        <v>0.47498823456372979</v>
      </c>
      <c r="P6" s="54" t="str">
        <f>IF(O6="","",IF(OR(N6&gt;=$S$6,O6&lt;=$S$6),"A",IF(O6&lt;=SUM($S$6:$S$7),"B","C")))</f>
        <v>A</v>
      </c>
      <c r="R6" s="156" t="s">
        <v>310</v>
      </c>
      <c r="S6" s="157">
        <v>0.8</v>
      </c>
      <c r="T6" s="156">
        <f>COUNTIF($P$6:$P$107,$R6)</f>
        <v>2</v>
      </c>
      <c r="U6" s="158">
        <f>SUMIFS($M$6:$M$107,$P$6:$P$107,$R6)</f>
        <v>266250</v>
      </c>
    </row>
    <row r="7" spans="1:21" x14ac:dyDescent="0.25">
      <c r="B7" s="41">
        <v>2</v>
      </c>
      <c r="C7" s="42">
        <f>IFERROR(INDEX('MAPA DE PREÇOS'!M:M,MATCH(B7,'MAPA DE PREÇOS'!B:B,0)+19)/(SUMPRODUCT(EDITAL!I:I,EDITAL!J:J)),"")</f>
        <v>0.47498823456372979</v>
      </c>
      <c r="D7" s="42">
        <f t="shared" ref="D7:D70" si="2">IFERROR(IF(C7=C6,IF(D6="","",D6+0.000000001),C7),"")</f>
        <v>0.47498823456372979</v>
      </c>
      <c r="E7" s="41">
        <f t="shared" si="0"/>
        <v>1</v>
      </c>
      <c r="F7" s="41">
        <f>IFERROR(VLOOKUP($E7,'MAPA DE PREÇOS'!$B:$D,2,FALSE),"")</f>
        <v>1</v>
      </c>
      <c r="G7" s="41">
        <f>IFERROR(VLOOKUP($E7,'MAPA DE PREÇOS'!$B:$D,3,FALSE),"")</f>
        <v>1</v>
      </c>
      <c r="H7" s="41">
        <f t="array" ref="H7">IFERROR(IF(E7="","",INDEX('MAPA DE PREÇOS'!H:H,0+MATCH(ABC!E7,'MAPA DE PREÇOS'!B:B,0))),"")</f>
        <v>0</v>
      </c>
      <c r="I7" t="str">
        <f>IF(E7="","",INDEX('MAPA DE PREÇOS'!H:H,MATCH(ABC!E7,'MAPA DE PREÇOS'!B:B,0)+1))</f>
        <v>Frasco/garrafa a vácuo, PEDIÁTRICO, com meio de cultura com sistema neutralizador de antibióticos para detecção de microorganismos aeróbicos e anaeróbicos facultativos (bactérias e fungos) no sangue, a vácuo, compatível com o equipamento.</v>
      </c>
      <c r="J7" s="41" t="str">
        <f>IFERROR(IF(E7="","",INDEX('MAPA DE PREÇOS'!M:M,3+MATCH(ABC!E7,'MAPA DE PREÇOS'!B:B,0))),"")</f>
        <v>FRASCO</v>
      </c>
      <c r="K7" s="52">
        <f t="array" ref="K7">IFERROR(IF(E7="","",INDEX('MAPA DE PREÇOS'!M:M,2+MATCH(ABC!E7,'MAPA DE PREÇOS'!B:B,0))),"")</f>
        <v>6000</v>
      </c>
      <c r="L7" s="53">
        <f t="array" ref="L7">IFERROR(IF(AND(E6&lt;&gt;"",E7=""),"TOTAL ESTIMADO",INDEX('MAPA DE PREÇOS'!M:M,0+MATCH(ABC!E7,'MAPA DE PREÇOS'!B:B,0))),"")</f>
        <v>17.75</v>
      </c>
      <c r="M7" s="54">
        <f>IFERROR(IF(AND(E6&lt;&gt;"",E7=""),SUM($M$5:M6),INDEX('MAPA DE PREÇOS'!M:M,19+MATCH(ABC!E7,'MAPA DE PREÇOS'!B:B,0))),"")</f>
        <v>106500</v>
      </c>
      <c r="N7" s="90">
        <f t="shared" si="1"/>
        <v>0.31665882304248649</v>
      </c>
      <c r="O7" s="90">
        <f>IFERROR(N7+O6,"")</f>
        <v>0.79164705760621623</v>
      </c>
      <c r="P7" s="54" t="str">
        <f t="shared" ref="P7:P70" si="3">IF(O7="","",IF(OR(N7&gt;=$S$6,O7&lt;=$S$6),"A",IF(O7&lt;=SUM($S$6:$S$7),"B","C")))</f>
        <v>A</v>
      </c>
      <c r="R7" s="159" t="s">
        <v>311</v>
      </c>
      <c r="S7" s="160">
        <v>0.15</v>
      </c>
      <c r="T7" s="159">
        <f>COUNTIF($P$6:$P$107,$R7)</f>
        <v>0</v>
      </c>
      <c r="U7" s="161">
        <f>SUMIFS($M$6:$M$107,$P$6:$P$107,$R7)</f>
        <v>0</v>
      </c>
    </row>
    <row r="8" spans="1:21" x14ac:dyDescent="0.25">
      <c r="B8" s="41">
        <v>3</v>
      </c>
      <c r="C8" s="42">
        <f>IFERROR(INDEX('MAPA DE PREÇOS'!M:M,MATCH(B8,'MAPA DE PREÇOS'!B:B,0)+19)/(SUMPRODUCT(EDITAL!I:I,EDITAL!J:J)),"")</f>
        <v>0.20835294239378371</v>
      </c>
      <c r="D8" s="42">
        <f t="shared" si="2"/>
        <v>0.20835294239378371</v>
      </c>
      <c r="E8" s="41">
        <f t="shared" si="0"/>
        <v>3</v>
      </c>
      <c r="F8" s="41">
        <f>IFERROR(VLOOKUP($E8,'MAPA DE PREÇOS'!$B:$D,2,FALSE),"")</f>
        <v>1</v>
      </c>
      <c r="G8" s="41">
        <f>IFERROR(VLOOKUP($E8,'MAPA DE PREÇOS'!$B:$D,3,FALSE),"")</f>
        <v>3</v>
      </c>
      <c r="H8" s="41">
        <f t="array" ref="H8">IFERROR(IF(E8="","",INDEX('MAPA DE PREÇOS'!H:H,0+MATCH(ABC!E8,'MAPA DE PREÇOS'!B:B,0))),"")</f>
        <v>0</v>
      </c>
      <c r="I8" t="str">
        <f>IF(E8="","",INDEX('MAPA DE PREÇOS'!H:H,MATCH(ABC!E8,'MAPA DE PREÇOS'!B:B,0)+1))</f>
        <v>Locação de 2 equipamentos automatizados destinados à realização dos testes de hemocultura, incluindo o fornecimento de insumos e equipamentos de automação, e a manutenção preventiva, corretiva, calibração dos equipamentos e treinamento técnico.</v>
      </c>
      <c r="J8" s="41" t="str">
        <f>IFERROR(IF(E8="","",INDEX('MAPA DE PREÇOS'!M:M,3+MATCH(ABC!E8,'MAPA DE PREÇOS'!B:B,0))),"")</f>
        <v>MENSALIDADE</v>
      </c>
      <c r="K8" s="52">
        <f t="array" ref="K8">IFERROR(IF(E8="","",INDEX('MAPA DE PREÇOS'!M:M,2+MATCH(ABC!E8,'MAPA DE PREÇOS'!B:B,0))),"")</f>
        <v>12</v>
      </c>
      <c r="L8" s="53">
        <f t="array" ref="L8">IFERROR(IF(AND(E7&lt;&gt;"",E8=""),"TOTAL ESTIMADO",INDEX('MAPA DE PREÇOS'!M:M,0+MATCH(ABC!E8,'MAPA DE PREÇOS'!B:B,0))),"")</f>
        <v>5839.51</v>
      </c>
      <c r="M8" s="54">
        <f>IFERROR(IF(AND(E7&lt;&gt;"",E8=""),SUM($M$5:M7),INDEX('MAPA DE PREÇOS'!M:M,19+MATCH(ABC!E8,'MAPA DE PREÇOS'!B:B,0))),"")</f>
        <v>70074.12</v>
      </c>
      <c r="N8" s="90">
        <f t="shared" si="1"/>
        <v>0.20835294239378371</v>
      </c>
      <c r="O8" s="90">
        <f t="shared" ref="O8:O71" si="4">IFERROR(N8+O7,"")</f>
        <v>1</v>
      </c>
      <c r="P8" s="54" t="str">
        <f t="shared" si="3"/>
        <v>C</v>
      </c>
      <c r="R8" s="153" t="s">
        <v>312</v>
      </c>
      <c r="S8" s="154">
        <v>0.05</v>
      </c>
      <c r="T8" s="153">
        <f>COUNTIF($P$6:$P$107,$R8)</f>
        <v>1</v>
      </c>
      <c r="U8" s="155">
        <f>SUMIFS($M$6:$M$107,$P$6:$P$107,$R8)</f>
        <v>70074.12</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TOTAL ESTIMADO</v>
      </c>
      <c r="M9" s="54">
        <f>IFERROR(IF(AND(E8&lt;&gt;"",E9=""),SUM($M$5:M8),INDEX('MAPA DE PREÇOS'!M:M,19+MATCH(ABC!E9,'MAPA DE PREÇOS'!B:B,0))),"")</f>
        <v>336324.12</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9" t="s">
        <v>35</v>
      </c>
      <c r="C2" s="270"/>
      <c r="D2" s="271"/>
    </row>
    <row r="3" spans="2:4" ht="78" customHeight="1" x14ac:dyDescent="0.2">
      <c r="B3" s="272" t="s">
        <v>384</v>
      </c>
      <c r="C3" s="273"/>
      <c r="D3" s="274"/>
    </row>
    <row r="4" spans="2:4" s="32" customFormat="1" ht="32.1" customHeight="1" x14ac:dyDescent="0.25">
      <c r="B4" s="275" t="s">
        <v>385</v>
      </c>
      <c r="C4" s="275"/>
      <c r="D4" s="275"/>
    </row>
    <row r="5" spans="2:4" ht="61.5" customHeight="1" x14ac:dyDescent="0.2">
      <c r="B5" s="266" t="s">
        <v>386</v>
      </c>
      <c r="C5" s="267"/>
      <c r="D5" s="268"/>
    </row>
    <row r="6" spans="2:4" s="33" customFormat="1" ht="32.1" customHeight="1" x14ac:dyDescent="0.25">
      <c r="B6" s="275" t="s">
        <v>387</v>
      </c>
      <c r="C6" s="275"/>
      <c r="D6" s="275"/>
    </row>
    <row r="7" spans="2:4" ht="61.5" customHeight="1" x14ac:dyDescent="0.2">
      <c r="B7" s="266" t="s">
        <v>388</v>
      </c>
      <c r="C7" s="267"/>
      <c r="D7" s="268"/>
    </row>
    <row r="8" spans="2:4" ht="21.6" customHeight="1" x14ac:dyDescent="0.2">
      <c r="B8" s="253" t="s">
        <v>389</v>
      </c>
      <c r="C8" s="254"/>
      <c r="D8" s="255"/>
    </row>
    <row r="9" spans="2:4" ht="14.25" x14ac:dyDescent="0.2">
      <c r="B9" s="256"/>
      <c r="C9" s="257"/>
      <c r="D9" s="258"/>
    </row>
    <row r="10" spans="2:4" ht="14.25" x14ac:dyDescent="0.2">
      <c r="B10" s="256"/>
      <c r="C10" s="257"/>
      <c r="D10" s="258"/>
    </row>
    <row r="11" spans="2:4" ht="14.25" x14ac:dyDescent="0.2">
      <c r="B11" s="256"/>
      <c r="C11" s="257"/>
      <c r="D11" s="258"/>
    </row>
    <row r="12" spans="2:4" ht="14.25" x14ac:dyDescent="0.2">
      <c r="B12" s="256"/>
      <c r="C12" s="257"/>
      <c r="D12" s="258"/>
    </row>
    <row r="13" spans="2:4" ht="61.5" customHeight="1" x14ac:dyDescent="0.2">
      <c r="B13" s="256"/>
      <c r="C13" s="257"/>
      <c r="D13" s="258"/>
    </row>
    <row r="14" spans="2:4" ht="61.5" customHeight="1" x14ac:dyDescent="0.2">
      <c r="B14" s="256"/>
      <c r="C14" s="257"/>
      <c r="D14" s="258"/>
    </row>
    <row r="15" spans="2:4" ht="61.5" customHeight="1" x14ac:dyDescent="0.2">
      <c r="B15" s="256"/>
      <c r="C15" s="257"/>
      <c r="D15" s="258"/>
    </row>
    <row r="16" spans="2:4" ht="61.5" customHeight="1" x14ac:dyDescent="0.2">
      <c r="B16" s="256"/>
      <c r="C16" s="257"/>
      <c r="D16" s="258"/>
    </row>
    <row r="17" spans="2:4" ht="61.5" customHeight="1" x14ac:dyDescent="0.2">
      <c r="B17" s="256"/>
      <c r="C17" s="257"/>
      <c r="D17" s="258"/>
    </row>
    <row r="18" spans="2:4" ht="61.5" customHeight="1" x14ac:dyDescent="0.2">
      <c r="B18" s="256"/>
      <c r="C18" s="257"/>
      <c r="D18" s="258"/>
    </row>
    <row r="19" spans="2:4" ht="15" customHeight="1" x14ac:dyDescent="0.2">
      <c r="B19" s="256"/>
      <c r="C19" s="257"/>
      <c r="D19" s="258"/>
    </row>
    <row r="20" spans="2:4" ht="15" customHeight="1" x14ac:dyDescent="0.2">
      <c r="B20" s="256"/>
      <c r="C20" s="257"/>
      <c r="D20" s="258"/>
    </row>
    <row r="21" spans="2:4" ht="15" customHeight="1" x14ac:dyDescent="0.2">
      <c r="B21" s="256"/>
      <c r="C21" s="257"/>
      <c r="D21" s="258"/>
    </row>
    <row r="22" spans="2:4" ht="15" customHeight="1" x14ac:dyDescent="0.2">
      <c r="B22" s="256"/>
      <c r="C22" s="257"/>
      <c r="D22" s="258"/>
    </row>
    <row r="23" spans="2:4" ht="15" customHeight="1" x14ac:dyDescent="0.2">
      <c r="B23" s="256"/>
      <c r="C23" s="257"/>
      <c r="D23" s="258"/>
    </row>
    <row r="24" spans="2:4" ht="15" customHeight="1" x14ac:dyDescent="0.2">
      <c r="B24" s="256"/>
      <c r="C24" s="257"/>
      <c r="D24" s="258"/>
    </row>
    <row r="25" spans="2:4" ht="15" customHeight="1" x14ac:dyDescent="0.2">
      <c r="B25" s="256"/>
      <c r="C25" s="257"/>
      <c r="D25" s="258"/>
    </row>
    <row r="26" spans="2:4" ht="15" customHeight="1" x14ac:dyDescent="0.2">
      <c r="B26" s="256"/>
      <c r="C26" s="257"/>
      <c r="D26" s="258"/>
    </row>
    <row r="27" spans="2:4" ht="15" customHeight="1" x14ac:dyDescent="0.2">
      <c r="B27" s="256"/>
      <c r="C27" s="257"/>
      <c r="D27" s="258"/>
    </row>
    <row r="28" spans="2:4" ht="15" customHeight="1" x14ac:dyDescent="0.2">
      <c r="B28" s="256"/>
      <c r="C28" s="257"/>
      <c r="D28" s="258"/>
    </row>
    <row r="29" spans="2:4" ht="15" customHeight="1" x14ac:dyDescent="0.2">
      <c r="B29" s="256"/>
      <c r="C29" s="257"/>
      <c r="D29" s="258"/>
    </row>
    <row r="30" spans="2:4" ht="15" customHeight="1" x14ac:dyDescent="0.2">
      <c r="B30" s="256"/>
      <c r="C30" s="257"/>
      <c r="D30" s="258"/>
    </row>
    <row r="31" spans="2:4" ht="15" customHeight="1" x14ac:dyDescent="0.2">
      <c r="B31" s="256"/>
      <c r="C31" s="257"/>
      <c r="D31" s="258"/>
    </row>
    <row r="32" spans="2:4" ht="15" customHeight="1" x14ac:dyDescent="0.2">
      <c r="B32" s="256"/>
      <c r="C32" s="257"/>
      <c r="D32" s="258"/>
    </row>
    <row r="33" spans="2:4" ht="15" customHeight="1" x14ac:dyDescent="0.2">
      <c r="B33" s="256"/>
      <c r="C33" s="257"/>
      <c r="D33" s="258"/>
    </row>
    <row r="34" spans="2:4" ht="15" customHeight="1" x14ac:dyDescent="0.2">
      <c r="B34" s="256"/>
      <c r="C34" s="257"/>
      <c r="D34" s="258"/>
    </row>
    <row r="35" spans="2:4" ht="15" customHeight="1" x14ac:dyDescent="0.2">
      <c r="B35" s="256"/>
      <c r="C35" s="257"/>
      <c r="D35" s="258"/>
    </row>
    <row r="36" spans="2:4" ht="15" customHeight="1" x14ac:dyDescent="0.2">
      <c r="B36" s="256"/>
      <c r="C36" s="257"/>
      <c r="D36" s="258"/>
    </row>
    <row r="37" spans="2:4" ht="15" customHeight="1" x14ac:dyDescent="0.2">
      <c r="B37" s="256"/>
      <c r="C37" s="257"/>
      <c r="D37" s="258"/>
    </row>
    <row r="38" spans="2:4" s="34" customFormat="1" ht="32.450000000000003" customHeight="1" x14ac:dyDescent="0.2">
      <c r="B38" s="259"/>
      <c r="C38" s="260"/>
      <c r="D38" s="261"/>
    </row>
    <row r="39" spans="2:4" s="32" customFormat="1" ht="32.1" customHeight="1" x14ac:dyDescent="0.25">
      <c r="B39" s="262" t="s">
        <v>390</v>
      </c>
      <c r="C39" s="263"/>
      <c r="D39" s="264"/>
    </row>
    <row r="40" spans="2:4" s="164" customFormat="1" ht="64.900000000000006" customHeight="1" x14ac:dyDescent="0.25">
      <c r="B40" s="265" t="s">
        <v>391</v>
      </c>
      <c r="C40" s="265"/>
      <c r="D40" s="265"/>
    </row>
    <row r="41" spans="2:4" s="164" customFormat="1" ht="64.900000000000006" customHeight="1" x14ac:dyDescent="0.25">
      <c r="B41" s="265"/>
      <c r="C41" s="265"/>
      <c r="D41" s="265"/>
    </row>
    <row r="42" spans="2:4" s="164" customFormat="1" ht="64.900000000000006" customHeight="1" x14ac:dyDescent="0.25">
      <c r="B42" s="265"/>
      <c r="C42" s="265"/>
      <c r="D42" s="265"/>
    </row>
    <row r="43" spans="2:4" s="164" customFormat="1" ht="64.900000000000006" customHeight="1" x14ac:dyDescent="0.25">
      <c r="B43" s="265"/>
      <c r="C43" s="265"/>
      <c r="D43" s="265"/>
    </row>
    <row r="44" spans="2:4" s="164" customFormat="1" ht="64.900000000000006" customHeight="1" x14ac:dyDescent="0.25">
      <c r="B44" s="265"/>
      <c r="C44" s="265"/>
      <c r="D44" s="265"/>
    </row>
    <row r="45" spans="2:4" s="164" customFormat="1" ht="112.15" customHeight="1" x14ac:dyDescent="0.25">
      <c r="B45" s="265"/>
      <c r="C45" s="265"/>
      <c r="D45" s="265"/>
    </row>
    <row r="46" spans="2:4" s="33" customFormat="1" ht="32.1" customHeight="1" x14ac:dyDescent="0.25">
      <c r="B46" s="269" t="s">
        <v>392</v>
      </c>
      <c r="C46" s="270"/>
      <c r="D46" s="271"/>
    </row>
    <row r="47" spans="2:4" ht="140.44999999999999" customHeight="1" x14ac:dyDescent="0.2">
      <c r="B47" s="276" t="s">
        <v>393</v>
      </c>
      <c r="C47" s="277"/>
      <c r="D47" s="278"/>
    </row>
    <row r="48" spans="2:4" s="33" customFormat="1" ht="32.1" customHeight="1" x14ac:dyDescent="0.25">
      <c r="B48" s="275" t="s">
        <v>394</v>
      </c>
      <c r="C48" s="275"/>
      <c r="D48" s="275"/>
    </row>
    <row r="49" spans="2:4" ht="14.25" x14ac:dyDescent="0.2">
      <c r="B49" s="276" t="s">
        <v>395</v>
      </c>
      <c r="C49" s="277"/>
      <c r="D49" s="278"/>
    </row>
    <row r="50" spans="2:4" ht="14.25" x14ac:dyDescent="0.2">
      <c r="B50" s="279"/>
      <c r="C50" s="280"/>
      <c r="D50" s="281"/>
    </row>
    <row r="51" spans="2:4" ht="14.25" x14ac:dyDescent="0.2">
      <c r="B51" s="279"/>
      <c r="C51" s="280"/>
      <c r="D51" s="281"/>
    </row>
    <row r="52" spans="2:4" ht="14.25" x14ac:dyDescent="0.2">
      <c r="B52" s="279"/>
      <c r="C52" s="280"/>
      <c r="D52" s="281"/>
    </row>
    <row r="53" spans="2:4" ht="14.25" x14ac:dyDescent="0.2">
      <c r="B53" s="279"/>
      <c r="C53" s="280"/>
      <c r="D53" s="281"/>
    </row>
    <row r="54" spans="2:4" ht="14.25" x14ac:dyDescent="0.2">
      <c r="B54" s="279"/>
      <c r="C54" s="280"/>
      <c r="D54" s="281"/>
    </row>
    <row r="55" spans="2:4" ht="14.25" x14ac:dyDescent="0.2">
      <c r="B55" s="279"/>
      <c r="C55" s="280"/>
      <c r="D55" s="281"/>
    </row>
    <row r="56" spans="2:4" ht="14.25" x14ac:dyDescent="0.2">
      <c r="B56" s="279"/>
      <c r="C56" s="280"/>
      <c r="D56" s="281"/>
    </row>
    <row r="57" spans="2:4" ht="14.25" x14ac:dyDescent="0.2">
      <c r="B57" s="282"/>
      <c r="C57" s="283"/>
      <c r="D57" s="284"/>
    </row>
    <row r="58" spans="2:4" s="33" customFormat="1" ht="32.1" customHeight="1" x14ac:dyDescent="0.25">
      <c r="B58" s="275" t="s">
        <v>396</v>
      </c>
      <c r="C58" s="275"/>
      <c r="D58" s="275"/>
    </row>
    <row r="59" spans="2:4" ht="14.25" x14ac:dyDescent="0.2">
      <c r="B59" s="276" t="s">
        <v>36</v>
      </c>
      <c r="C59" s="277"/>
      <c r="D59" s="278"/>
    </row>
    <row r="60" spans="2:4" ht="14.25" x14ac:dyDescent="0.2">
      <c r="B60" s="279"/>
      <c r="C60" s="280"/>
      <c r="D60" s="281"/>
    </row>
    <row r="61" spans="2:4" ht="14.25" x14ac:dyDescent="0.2">
      <c r="B61" s="279"/>
      <c r="C61" s="280"/>
      <c r="D61" s="281"/>
    </row>
    <row r="62" spans="2:4" ht="14.25" x14ac:dyDescent="0.2">
      <c r="B62" s="279"/>
      <c r="C62" s="280"/>
      <c r="D62" s="281"/>
    </row>
    <row r="63" spans="2:4" ht="14.25" x14ac:dyDescent="0.2">
      <c r="B63" s="279"/>
      <c r="C63" s="280"/>
      <c r="D63" s="281"/>
    </row>
    <row r="64" spans="2:4" ht="14.25" x14ac:dyDescent="0.2">
      <c r="B64" s="279"/>
      <c r="C64" s="280"/>
      <c r="D64" s="281"/>
    </row>
    <row r="65" spans="2:4" ht="14.25" x14ac:dyDescent="0.2">
      <c r="B65" s="282"/>
      <c r="C65" s="283"/>
      <c r="D65" s="284"/>
    </row>
    <row r="66" spans="2:4" s="33" customFormat="1" ht="32.1" customHeight="1" x14ac:dyDescent="0.25">
      <c r="B66" s="275" t="s">
        <v>397</v>
      </c>
      <c r="C66" s="275"/>
      <c r="D66" s="275"/>
    </row>
    <row r="67" spans="2:4" ht="14.25" x14ac:dyDescent="0.2">
      <c r="B67" s="276" t="s">
        <v>37</v>
      </c>
      <c r="C67" s="277"/>
      <c r="D67" s="278"/>
    </row>
    <row r="68" spans="2:4" ht="14.25" x14ac:dyDescent="0.2">
      <c r="B68" s="279"/>
      <c r="C68" s="280"/>
      <c r="D68" s="281"/>
    </row>
    <row r="69" spans="2:4" ht="14.25" x14ac:dyDescent="0.2">
      <c r="B69" s="279"/>
      <c r="C69" s="280"/>
      <c r="D69" s="281"/>
    </row>
    <row r="70" spans="2:4" ht="14.25" x14ac:dyDescent="0.2">
      <c r="B70" s="282"/>
      <c r="C70" s="283"/>
      <c r="D70" s="284"/>
    </row>
    <row r="71" spans="2:4" s="33" customFormat="1" ht="32.1" customHeight="1" x14ac:dyDescent="0.25">
      <c r="B71" s="275" t="s">
        <v>398</v>
      </c>
      <c r="C71" s="275"/>
      <c r="D71" s="275"/>
    </row>
    <row r="72" spans="2:4" ht="14.25" x14ac:dyDescent="0.2">
      <c r="B72" s="276" t="s">
        <v>34</v>
      </c>
      <c r="C72" s="277"/>
      <c r="D72" s="278"/>
    </row>
    <row r="73" spans="2:4" ht="14.25" x14ac:dyDescent="0.2">
      <c r="B73" s="279"/>
      <c r="C73" s="280"/>
      <c r="D73" s="281"/>
    </row>
    <row r="74" spans="2:4" ht="14.25" x14ac:dyDescent="0.2">
      <c r="B74" s="279"/>
      <c r="C74" s="280"/>
      <c r="D74" s="281"/>
    </row>
    <row r="75" spans="2:4" ht="14.25" x14ac:dyDescent="0.2">
      <c r="B75" s="282"/>
      <c r="C75" s="283"/>
      <c r="D75" s="284"/>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1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1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1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1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1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1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1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1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1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5"/>
      <c r="L13" s="285"/>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A392" sqref="A392"/>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2026-08-26T19:02:50Z</dcterms:modified>
</cp:coreProperties>
</file>