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8_{E04997C0-3C09-49F0-9BA0-7AE152724256}" xr6:coauthVersionLast="47" xr6:coauthVersionMax="47" xr10:uidLastSave="{00000000-0000-0000-0000-000000000000}"/>
  <bookViews>
    <workbookView xWindow="57480" yWindow="-12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I443" i="2" l="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V22" i="2"/>
  <c r="W22" i="2"/>
  <c r="X22" i="2"/>
  <c r="Y22" i="2"/>
  <c r="Z22" i="2"/>
  <c r="AA22" i="2"/>
  <c r="AB22" i="2"/>
  <c r="AC22" i="2"/>
  <c r="AD22" i="2"/>
  <c r="AE22" i="2"/>
  <c r="AF22" i="2"/>
  <c r="AG22" i="2"/>
  <c r="AH22" i="2"/>
  <c r="AI22" i="2"/>
  <c r="T24" i="2"/>
  <c r="V24" i="2"/>
  <c r="W24" i="2"/>
  <c r="X24" i="2"/>
  <c r="Y24" i="2"/>
  <c r="Z24" i="2"/>
  <c r="AA24" i="2"/>
  <c r="AB24" i="2"/>
  <c r="AC24" i="2"/>
  <c r="AD24" i="2"/>
  <c r="AE24" i="2"/>
  <c r="AF24" i="2"/>
  <c r="AG24" i="2"/>
  <c r="AH24" i="2"/>
  <c r="AI24" i="2"/>
  <c r="T26" i="2"/>
  <c r="V26" i="2"/>
  <c r="W26" i="2"/>
  <c r="X26" i="2"/>
  <c r="Y26" i="2"/>
  <c r="Z26" i="2"/>
  <c r="AA26" i="2"/>
  <c r="AB26" i="2"/>
  <c r="AC26" i="2"/>
  <c r="AD26" i="2"/>
  <c r="AE26" i="2"/>
  <c r="AF26" i="2"/>
  <c r="AG26" i="2"/>
  <c r="AH26" i="2"/>
  <c r="AI26" i="2"/>
  <c r="T28" i="2"/>
  <c r="V28" i="2"/>
  <c r="W28" i="2"/>
  <c r="X28" i="2"/>
  <c r="Y28" i="2"/>
  <c r="Z28" i="2"/>
  <c r="AA28" i="2"/>
  <c r="AB28" i="2"/>
  <c r="AC28" i="2"/>
  <c r="AD28" i="2"/>
  <c r="AE28" i="2"/>
  <c r="AF28" i="2"/>
  <c r="AG28" i="2"/>
  <c r="AH28" i="2"/>
  <c r="AI28" i="2"/>
  <c r="T30" i="2"/>
  <c r="V30" i="2"/>
  <c r="W30" i="2"/>
  <c r="X30" i="2"/>
  <c r="Y30" i="2"/>
  <c r="Z30" i="2"/>
  <c r="AA30" i="2"/>
  <c r="AB30" i="2"/>
  <c r="AC30" i="2"/>
  <c r="AD30" i="2"/>
  <c r="AE30" i="2"/>
  <c r="AF30" i="2"/>
  <c r="AG30" i="2"/>
  <c r="AH30" i="2"/>
  <c r="AI30" i="2"/>
  <c r="T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S21" i="2" l="1"/>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V23" i="2" l="1"/>
  <c r="U23" i="2"/>
  <c r="U22" i="2" s="1"/>
  <c r="T23" i="2"/>
  <c r="M18" i="2"/>
  <c r="P23" i="2"/>
  <c r="P22" i="2" s="1"/>
  <c r="M26" i="2"/>
  <c r="S23" i="2"/>
  <c r="S22" i="2" s="1"/>
  <c r="R23" i="2"/>
  <c r="R22" i="2" s="1"/>
  <c r="Q23" i="2"/>
  <c r="Q22" i="2" s="1"/>
  <c r="I21" i="2"/>
  <c r="B21" i="2"/>
  <c r="C19" i="2"/>
  <c r="U25" i="2" l="1"/>
  <c r="U24" i="2" s="1"/>
  <c r="V25" i="2"/>
  <c r="T25" i="2"/>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V27" i="2" s="1"/>
  <c r="T27" i="2" l="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U29" i="2" l="1"/>
  <c r="U28" i="2" s="1"/>
  <c r="V29" i="2"/>
  <c r="S29" i="2"/>
  <c r="S28" i="2" s="1"/>
  <c r="T29" i="2"/>
  <c r="B60" i="2"/>
  <c r="B61" i="2"/>
  <c r="D57" i="2"/>
  <c r="C58" i="2"/>
  <c r="C59" i="2" s="1"/>
  <c r="E61" i="2"/>
  <c r="Q29" i="2"/>
  <c r="Q28" i="2" s="1"/>
  <c r="R29" i="2"/>
  <c r="R28" i="2" s="1"/>
  <c r="I27" i="2"/>
  <c r="P29" i="2"/>
  <c r="P28" i="2"/>
  <c r="V31" i="2" l="1"/>
  <c r="U31" i="2"/>
  <c r="U30" i="2" s="1"/>
  <c r="T31" i="2"/>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V33" i="2" l="1"/>
  <c r="U33" i="2"/>
  <c r="U32" i="2" s="1"/>
  <c r="T33" i="2"/>
  <c r="H78" i="2"/>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5" i="2"/>
  <c r="M21" i="2" l="1"/>
  <c r="M15" i="2" s="1"/>
  <c r="J99" i="2"/>
  <c r="C99" i="2"/>
  <c r="H99" i="2"/>
  <c r="H100" i="2"/>
  <c r="B100" i="2"/>
  <c r="B101" i="2" s="1"/>
  <c r="M19"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O8" i="12" l="1"/>
  <c r="AE8" i="12"/>
  <c r="AK8" i="12"/>
  <c r="Y8" i="12"/>
  <c r="Q8" i="12"/>
  <c r="U8" i="12"/>
  <c r="AI8" i="12"/>
  <c r="AG8" i="12"/>
  <c r="AC8" i="12"/>
  <c r="W8" i="12"/>
  <c r="S8" i="12"/>
  <c r="AA8" i="12"/>
  <c r="D10" i="12"/>
  <c r="C10" i="12"/>
  <c r="D10" i="11"/>
  <c r="C10" i="11"/>
  <c r="K9" i="12"/>
  <c r="L9" i="12"/>
  <c r="B11" i="12" l="1"/>
  <c r="G10" i="12"/>
  <c r="F10" i="12"/>
  <c r="I10" i="12"/>
  <c r="H10" i="12"/>
  <c r="J10" i="12"/>
  <c r="L10" i="11"/>
  <c r="I10" i="11"/>
  <c r="H10" i="11"/>
  <c r="G10" i="11"/>
  <c r="F10" i="11"/>
  <c r="B11" i="11"/>
  <c r="C11" i="11" s="1"/>
  <c r="C11" i="12" l="1"/>
  <c r="B12" i="12" s="1"/>
  <c r="C12" i="12" s="1"/>
  <c r="D11" i="12"/>
  <c r="F11" i="11"/>
  <c r="I11" i="11"/>
  <c r="L11" i="11"/>
  <c r="G11" i="11"/>
  <c r="H11" i="11"/>
  <c r="D11" i="11"/>
  <c r="E11" i="11" s="1"/>
  <c r="K10" i="12"/>
  <c r="V9" i="12" s="1"/>
  <c r="W9" i="12" s="1"/>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AF9" i="12" l="1"/>
  <c r="AG9" i="12" s="1"/>
  <c r="X9" i="12"/>
  <c r="Y9" i="12" s="1"/>
  <c r="AB9" i="12"/>
  <c r="AC9" i="12" s="1"/>
  <c r="AD9" i="12"/>
  <c r="N9" i="12"/>
  <c r="O9" i="12" s="1"/>
  <c r="AJ9" i="12"/>
  <c r="P9" i="12"/>
  <c r="R9" i="12"/>
  <c r="S9" i="12" s="1"/>
  <c r="T9" i="12"/>
  <c r="U9" i="12" s="1"/>
  <c r="AH9" i="12"/>
  <c r="Z9" i="12"/>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Z11" i="12"/>
  <c r="AA11" i="12" s="1"/>
  <c r="C12" i="11"/>
  <c r="D12" i="11"/>
  <c r="Q9" i="12" l="1"/>
  <c r="AA9" i="12"/>
  <c r="AK9" i="12"/>
  <c r="AI9" i="12"/>
  <c r="V12" i="12"/>
  <c r="AE9"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B14" i="12" l="1"/>
  <c r="D14" i="12" s="1"/>
  <c r="E13" i="12"/>
  <c r="F13" i="12"/>
  <c r="H13" i="12"/>
  <c r="I13" i="12"/>
  <c r="G13" i="12"/>
  <c r="AD13" i="12"/>
  <c r="AE13" i="12" s="1"/>
  <c r="Z13" i="12"/>
  <c r="AA13" i="12" s="1"/>
  <c r="AF13" i="12"/>
  <c r="AG13" i="12" s="1"/>
  <c r="AB13" i="12"/>
  <c r="AC13" i="12" s="1"/>
  <c r="P13" i="12"/>
  <c r="Q13" i="12" s="1"/>
  <c r="X13" i="12"/>
  <c r="Y13" i="12" s="1"/>
  <c r="C14" i="12"/>
  <c r="J14" i="12" s="1"/>
  <c r="K13" i="12"/>
  <c r="T13" i="12"/>
  <c r="U13" i="12" s="1"/>
  <c r="L13" i="12"/>
  <c r="R13" i="12"/>
  <c r="S13" i="12" s="1"/>
  <c r="V13" i="12"/>
  <c r="W13" i="12" s="1"/>
  <c r="AJ13" i="12"/>
  <c r="AK13" i="12" s="1"/>
  <c r="AH13" i="12"/>
  <c r="AI13" i="12" s="1"/>
  <c r="D13" i="11"/>
  <c r="C13" i="11"/>
  <c r="U14" i="12" l="1"/>
  <c r="Z14" i="12"/>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C15" i="12" l="1"/>
  <c r="B16" i="12" s="1"/>
  <c r="C14" i="11"/>
  <c r="D14" i="11"/>
  <c r="J15" i="12" l="1"/>
  <c r="D16" i="12"/>
  <c r="C16" i="12"/>
  <c r="E16" i="12" s="1"/>
  <c r="I15" i="12"/>
  <c r="H15" i="12"/>
  <c r="F15" i="12"/>
  <c r="E15" i="12"/>
  <c r="G14" i="11"/>
  <c r="H14" i="11"/>
  <c r="I14" i="11"/>
  <c r="F14" i="11"/>
  <c r="L14" i="11"/>
  <c r="E14" i="11"/>
  <c r="B15" i="11"/>
  <c r="AJ15" i="12" l="1"/>
  <c r="AK15"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<sst xmlns="http://schemas.openxmlformats.org/spreadsheetml/2006/main" count="3454" uniqueCount="444">
  <si>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</si>
  <si>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</si>
  <si>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</si>
  <si>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</si>
  <si>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</si>
  <si>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</si>
  <si>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</si>
  <si>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</si>
  <si>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</si>
  <si>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</si>
  <si>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</si>
  <si>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</si>
  <si>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</si>
  <si>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</si>
  <si>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</si>
  <si>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</si>
  <si>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</si>
  <si>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</si>
  <si>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</si>
  <si>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</si>
  <si>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</si>
  <si>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</si>
  <si>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</si>
  <si>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</si>
  <si>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</si>
  <si>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</si>
  <si>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</si>
  <si>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</si>
  <si>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</si>
  <si>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</si>
  <si>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</si>
  <si>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</si>
  <si>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</si>
  <si>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</si>
  <si>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</si>
  <si>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</si>
  <si>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</si>
  <si>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</si>
  <si>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</si>
  <si>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</si>
  <si>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</si>
  <si>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</si>
  <si>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</si>
  <si>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</si>
  <si>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</si>
  <si>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</si>
  <si>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</si>
  <si>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</si>
  <si>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</si>
  <si>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</si>
  <si>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</si>
  <si>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</si>
  <si>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</si>
  <si>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</si>
  <si>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</si>
  <si>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</si>
  <si>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</si>
  <si>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</si>
  <si>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</si>
  <si>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</si>
  <si>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</si>
  <si>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</si>
  <si>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</si>
  <si>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</si>
  <si>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</si>
  <si>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</si>
  <si>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</si>
  <si>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</si>
  <si>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</si>
  <si>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</si>
  <si>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</si>
  <si>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</si>
  <si>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</si>
  <si>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</si>
  <si>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</si>
  <si>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</si>
  <si>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</si>
  <si>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</si>
  <si>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</si>
  <si>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</si>
  <si>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</si>
  <si>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</si>
  <si>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</si>
  <si>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</si>
  <si>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</si>
  <si>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</si>
  <si>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</si>
  <si>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</si>
  <si>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</si>
  <si>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</si>
  <si>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</si>
  <si>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</si>
  <si>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</si>
  <si>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</si>
  <si>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</si>
  <si>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</si>
  <si>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</si>
  <si>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</si>
  <si>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</si>
  <si>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</si>
  <si>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</si>
  <si>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</si>
  <si>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</si>
  <si>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</si>
  <si>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</si>
  <si>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</si>
  <si>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</si>
  <si>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</si>
  <si>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</si>
  <si>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</si>
  <si>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</si>
  <si>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</si>
  <si>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</si>
  <si>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</si>
  <si>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</si>
  <si>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</si>
  <si>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</si>
  <si>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</si>
  <si>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</si>
  <si>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</si>
  <si>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</si>
  <si>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</si>
  <si>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</si>
  <si>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</si>
  <si>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</si>
  <si>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</si>
  <si>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</si>
  <si>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</si>
  <si>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</si>
  <si>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</si>
  <si>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</si>
  <si>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</si>
  <si>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</si>
  <si>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</si>
  <si>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</si>
  <si>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</si>
  <si>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</si>
  <si>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</si>
  <si>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</si>
  <si>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</si>
  <si>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</si>
  <si>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</si>
  <si>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</si>
  <si>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</si>
  <si>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</si>
  <si>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</si>
  <si>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</si>
  <si>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</si>
  <si>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</si>
  <si>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</si>
  <si>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</si>
  <si>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</si>
  <si>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</si>
  <si>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</si>
  <si>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</si>
  <si>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</si>
  <si>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</si>
  <si>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</si>
  <si>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</si>
  <si>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</si>
  <si>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</si>
  <si>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</si>
  <si>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</si>
  <si>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</si>
  <si>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</si>
  <si>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</si>
  <si>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</si>
  <si>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</si>
  <si>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</si>
  <si>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</si>
  <si>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</si>
  <si>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</si>
  <si>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</si>
  <si>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</si>
  <si>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</si>
  <si>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</si>
  <si>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</si>
  <si>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</si>
  <si>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</si>
  <si>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</si>
  <si>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</si>
  <si>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</si>
  <si>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</si>
  <si>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</si>
  <si>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</si>
  <si>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</si>
  <si>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</si>
  <si>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</si>
  <si>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</si>
  <si>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</si>
  <si>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</si>
  <si>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</si>
  <si>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</si>
  <si>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</si>
  <si>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</si>
  <si>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</si>
  <si>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</si>
  <si>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</si>
  <si>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</si>
  <si>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</si>
  <si>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</si>
  <si>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</si>
  <si>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</si>
  <si>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</si>
  <si>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</si>
  <si>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</si>
  <si>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</si>
  <si>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</si>
  <si>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</si>
  <si>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</si>
  <si>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</si>
  <si>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</si>
  <si>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</si>
  <si>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</si>
  <si>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</si>
  <si>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</si>
  <si>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</si>
  <si>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</si>
  <si>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</si>
  <si>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</si>
  <si>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</si>
  <si>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</si>
  <si>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</si>
  <si>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</si>
  <si>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</si>
  <si>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</si>
  <si>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</si>
  <si>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</si>
  <si>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</si>
  <si>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</si>
  <si>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</si>
  <si>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</si>
  <si>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</si>
  <si>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</si>
  <si>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</si>
  <si>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</si>
  <si>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</si>
  <si>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</si>
  <si>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</si>
  <si>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</si>
  <si>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</si>
  <si>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</si>
  <si>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</si>
  <si>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</si>
  <si>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</si>
  <si>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</si>
  <si>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</si>
  <si>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</si>
  <si>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</si>
  <si>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</si>
  <si>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</si>
  <si>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</si>
  <si>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</si>
  <si>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</si>
  <si>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</si>
  <si>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</si>
  <si>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</si>
  <si>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</si>
  <si>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</si>
  <si>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</si>
  <si>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</si>
  <si>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</si>
  <si>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</si>
  <si>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</si>
  <si>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</si>
  <si>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</si>
  <si>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</si>
  <si>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</si>
  <si>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</si>
  <si>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</si>
  <si>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</si>
  <si>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</si>
  <si>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</si>
  <si>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</si>
  <si>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</si>
  <si>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</si>
  <si>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</si>
  <si>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</si>
  <si>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</si>
  <si>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</si>
  <si>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</si>
  <si>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</si>
  <si>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</si>
  <si>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</si>
  <si>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</si>
  <si>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</si>
  <si>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</si>
  <si>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</si>
  <si>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</si>
  <si>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</si>
  <si>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</si>
  <si>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</si>
  <si>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</si>
  <si>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</si>
  <si>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</si>
  <si>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</si>
  <si>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</si>
  <si>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</si>
  <si>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</si>
  <si>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</si>
  <si>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</si>
  <si>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</si>
  <si>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</si>
  <si>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</si>
  <si>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</si>
  <si>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</si>
  <si>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</si>
  <si>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</si>
  <si>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</si>
  <si>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</si>
  <si>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</si>
  <si>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</si>
  <si>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</si>
  <si>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</si>
  <si>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</si>
  <si>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</si>
  <si>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</si>
  <si>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</si>
  <si>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</si>
  <si>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</si>
  <si>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</si>
  <si>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</si>
  <si>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</si>
  <si>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</si>
  <si>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</si>
  <si>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</si>
  <si>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</si>
  <si>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</si>
  <si>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</si>
  <si>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</si>
  <si>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</si>
  <si>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</si>
  <si>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</si>
  <si>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</si>
  <si>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</si>
  <si>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</si>
  <si>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</si>
  <si>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</si>
  <si>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</si>
  <si>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</si>
  <si>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</si>
  <si>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</si>
  <si>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</si>
  <si>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</si>
  <si>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</si>
  <si>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</si>
  <si>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</si>
  <si>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</si>
  <si>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</si>
  <si>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</si>
  <si>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</si>
  <si>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</si>
  <si>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</si>
  <si>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</si>
  <si>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</si>
  <si>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</si>
  <si>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</si>
  <si>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</si>
  <si>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</si>
  <si>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</si>
  <si>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</si>
  <si>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</si>
  <si>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</si>
  <si>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</si>
  <si>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</si>
  <si>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</si>
  <si>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</si>
  <si>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</si>
  <si>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</si>
  <si>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</si>
  <si>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</si>
  <si>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</si>
  <si>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</si>
  <si>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</si>
  <si>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</si>
  <si>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</si>
  <si>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</si>
  <si>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</si>
  <si>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</si>
  <si>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</si>
  <si>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</si>
  <si>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</si>
  <si>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</si>
  <si>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</si>
  <si>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</si>
  <si>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</si>
  <si>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</si>
  <si>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</si>
  <si>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</si>
  <si>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</si>
  <si>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</si>
  <si>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</si>
  <si>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</si>
  <si>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</si>
  <si>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</si>
  <si>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</si>
  <si>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</si>
  <si>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</si>
  <si>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</si>
  <si>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</si>
  <si>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</si>
  <si>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</si>
  <si>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</si>
  <si>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</si>
  <si>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</si>
  <si>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</si>
  <si>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</si>
  <si>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</si>
  <si>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</si>
  <si>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</si>
  <si>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</si>
  <si>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</si>
  <si>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</si>
  <si>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</si>
  <si>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</si>
  <si>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</si>
  <si>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</si>
  <si>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</si>
  <si>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</si>
  <si>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</si>
  <si>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</si>
  <si>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</si>
  <si>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</si>
  <si>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</si>
  <si>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</si>
  <si>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</si>
  <si>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</si>
  <si>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</si>
  <si>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</si>
  <si>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</si>
  <si>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</si>
  <si>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</si>
  <si>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</si>
  <si>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UCLC - SMED</t>
  </si>
  <si>
    <t>Bianca Zonta dos Santos</t>
  </si>
  <si>
    <t>1711369-01</t>
  </si>
  <si>
    <t>Secretaria Municipal de Educação de Porto Alegre - SMED</t>
  </si>
  <si>
    <t xml:space="preserve">Contratação de empresa para locação, montagem e desmontagem de estande com infraestrutura </t>
  </si>
  <si>
    <t>Serviço</t>
  </si>
  <si>
    <t>26.0.000074569-2</t>
  </si>
  <si>
    <t>JPG STANDS E CENOGRAFIA</t>
  </si>
  <si>
    <t>PNCP</t>
  </si>
  <si>
    <t>EMPÓRIO EVENTOS</t>
  </si>
  <si>
    <t>IMPACTO VENTO NORTE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</si>
</sst>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D2" sqref="D2"/>
    </sheetView>
  </sheetViews>
  <sheetFormatPr defaultColWidth="9.140625" defaultRowHeight="15" x14ac:dyDescent="0.25"/>
  <cols>
    <col min="1" max="1" width="7.140625" style="19" customWidth="1"/>
    <col min="2" max="2" width="8.140625" style="19" bestFit="1" customWidth="1"/>
    <col min="3" max="3" width="85.7109375" style="19"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C2" s="19" t="s">
        <v>437</v>
      </c>
      <c r="D2" s="19" t="s">
        <v>438</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opLeftCell="A4" zoomScale="85" zoomScaleNormal="85" workbookViewId="0">
      <selection activeCell="O38" sqref="O38"/>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24" style="3" customWidth="1"/>
    <col min="11" max="11" width="0.85546875" style="64" customWidth="1"/>
    <col min="12" max="12" width="18.140625" style="3" customWidth="1"/>
    <col min="13" max="13" width="19" style="3" customWidth="1"/>
    <col min="14" max="14" width="0.85546875" style="72" customWidth="1"/>
    <col min="15" max="15" width="14.5703125" style="4" customWidth="1"/>
    <col min="16" max="16" width="26.140625" style="121" customWidth="1"/>
    <col min="17" max="19" width="19.85546875" style="121" customWidth="1"/>
    <col min="20" max="20" width="23.85546875" style="121" customWidth="1"/>
    <col min="21"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Secretaria Municipal de Educação de Porto Alegre - SMED
MAPA DE PREÇOS - JUN/26</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436</v>
      </c>
      <c r="I5" s="207"/>
      <c r="J5" s="207"/>
      <c r="K5" s="141"/>
      <c r="L5" s="215" t="s">
        <v>321</v>
      </c>
      <c r="M5" s="206"/>
      <c r="N5" s="206"/>
      <c r="O5" s="208" t="s">
        <v>433</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1"/>
      <c r="I6" s="211"/>
      <c r="J6" s="211"/>
      <c r="K6" s="142"/>
      <c r="L6" s="215" t="s">
        <v>352</v>
      </c>
      <c r="M6" s="206"/>
      <c r="N6" s="206"/>
      <c r="O6" s="208" t="s">
        <v>434</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439</v>
      </c>
      <c r="I7" s="207"/>
      <c r="J7" s="207"/>
      <c r="K7" s="141"/>
      <c r="L7" s="215" t="s">
        <v>351</v>
      </c>
      <c r="M7" s="206"/>
      <c r="N7" s="206"/>
      <c r="O7" s="208" t="s">
        <v>435</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1</v>
      </c>
      <c r="I8" s="225"/>
      <c r="J8" s="226"/>
      <c r="K8" s="141"/>
      <c r="L8" s="227" t="s">
        <v>301</v>
      </c>
      <c r="M8" s="228"/>
      <c r="N8" s="229"/>
      <c r="O8" s="219">
        <v>46227</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30444.639999999999</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30444.639999999999</v>
      </c>
      <c r="N15" s="69"/>
      <c r="O15" s="27" t="s">
        <v>17</v>
      </c>
      <c r="P15" s="113">
        <v>79000</v>
      </c>
      <c r="Q15" s="113">
        <v>22577.91</v>
      </c>
      <c r="R15" s="113">
        <v>71000</v>
      </c>
      <c r="S15" s="113">
        <v>39800</v>
      </c>
      <c r="T15" s="113">
        <v>295000</v>
      </c>
      <c r="U15" s="105">
        <v>26872.400000000001</v>
      </c>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tr">
        <f>INDEX('BASE FORMAÇÃO'!C:C,B15+1)</f>
        <v xml:space="preserve">Contratação de empresa para locação, montagem e desmontagem de estande com infraestrutura </v>
      </c>
      <c r="I16" s="191"/>
      <c r="J16" s="192"/>
      <c r="K16" s="66"/>
      <c r="L16" s="183"/>
      <c r="M16" s="185"/>
      <c r="N16" s="70"/>
      <c r="O16" s="27" t="s">
        <v>13</v>
      </c>
      <c r="P16" s="122">
        <v>46212</v>
      </c>
      <c r="Q16" s="122">
        <v>45925</v>
      </c>
      <c r="R16" s="122">
        <v>46213</v>
      </c>
      <c r="S16" s="122">
        <v>46206</v>
      </c>
      <c r="T16" s="122">
        <v>46213</v>
      </c>
      <c r="U16" s="122">
        <v>45937</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1</v>
      </c>
      <c r="N17" s="71"/>
      <c r="O17" s="27" t="s">
        <v>380</v>
      </c>
      <c r="P17" s="114" t="s">
        <v>377</v>
      </c>
      <c r="Q17" s="114" t="s">
        <v>12</v>
      </c>
      <c r="R17" s="114" t="s">
        <v>377</v>
      </c>
      <c r="S17" s="114" t="s">
        <v>12</v>
      </c>
      <c r="T17" s="114" t="s">
        <v>377</v>
      </c>
      <c r="U17" s="114" t="s">
        <v>12</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tr">
        <f>INDEX('BASE FORMAÇÃO'!D:D,B19+1)</f>
        <v>Serviço</v>
      </c>
      <c r="N18" s="71"/>
      <c r="O18" s="27" t="s">
        <v>381</v>
      </c>
      <c r="P18" s="115" t="s">
        <v>440</v>
      </c>
      <c r="Q18" s="115" t="s">
        <v>441</v>
      </c>
      <c r="R18" s="115" t="s">
        <v>442</v>
      </c>
      <c r="S18" s="115" t="s">
        <v>441</v>
      </c>
      <c r="T18" s="115" t="s">
        <v>443</v>
      </c>
      <c r="U18" s="118" t="s">
        <v>441</v>
      </c>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0.22499115224721897</v>
      </c>
      <c r="N19" s="71"/>
      <c r="O19" s="27" t="s">
        <v>18</v>
      </c>
      <c r="P19" s="106">
        <f>IF(P15="","",
IF(OR(P17="Orçamento",P16="",MAX('Tabela de Apoio'!$A:$A)&lt;=P16),
P15,
(INDEX('Tabela de Apoio'!$B:$B,MATCH('MAPA DE PREÇOS'!$O$8,'Tabela de Apoio'!$A:$A,1))/INDEX('Tabela de Apoio'!$B:$B,MATCH('MAPA DE PREÇOS'!P16,'Tabela de Apoio'!$A:$A,1)-1))*P15))</f>
        <v>79000</v>
      </c>
      <c r="Q19" s="106">
        <f>IF(Q15="","",
IF(OR(Q17="Orçamento",Q16="",MAX('Tabela de Apoio'!$A:$A)&lt;=Q16),
Q15,
(INDEX('Tabela de Apoio'!$B:$B,MATCH('MAPA DE PREÇOS'!$O$8,'Tabela de Apoio'!$A:$A,1))/INDEX('Tabela de Apoio'!$B:$B,MATCH('MAPA DE PREÇOS'!Q16,'Tabela de Apoio'!$A:$A,1)-1))*Q15))</f>
        <v>23590.475735870594</v>
      </c>
      <c r="R19" s="106">
        <f>IF(R15="","",
IF(OR(R17="Orçamento",R16="",MAX('Tabela de Apoio'!$A:$A)&lt;=R16),
R15,
(INDEX('Tabela de Apoio'!$B:$B,MATCH('MAPA DE PREÇOS'!$O$8,'Tabela de Apoio'!$A:$A,1))/INDEX('Tabela de Apoio'!$B:$B,MATCH('MAPA DE PREÇOS'!R16,'Tabela de Apoio'!$A:$A,1)-1))*R15))</f>
        <v>71000</v>
      </c>
      <c r="S19" s="106">
        <f>IF(S15="","",
IF(OR(S17="Orçamento",S16="",MAX('Tabela de Apoio'!$A:$A)&lt;=S16),
S15,
(INDEX('Tabela de Apoio'!$B:$B,MATCH('MAPA DE PREÇOS'!$O$8,'Tabela de Apoio'!$A:$A,1))/INDEX('Tabela de Apoio'!$B:$B,MATCH('MAPA DE PREÇOS'!S16,'Tabela de Apoio'!$A:$A,1)-1))*S15))</f>
        <v>39800</v>
      </c>
      <c r="T19" s="106">
        <f>IF(T15="","",
IF(OR(T17="Orçamento",T16="",MAX('Tabela de Apoio'!$A:$A)&lt;=T16),
T15,
(INDEX('Tabela de Apoio'!$B:$B,MATCH('MAPA DE PREÇOS'!$O$8,'Tabela de Apoio'!$A:$A,1))/INDEX('Tabela de Apoio'!$B:$B,MATCH('MAPA DE PREÇOS'!T16,'Tabela de Apoio'!$A:$A,1)-1))*T15))</f>
        <v>295000</v>
      </c>
      <c r="U19" s="106">
        <f>IF(U15="","",
IF(OR(U17="Orçamento",U16="",MAX('Tabela de Apoio'!$A:$A)&lt;=U16),
U15,
(INDEX('Tabela de Apoio'!$B:$B,MATCH('MAPA DE PREÇOS'!$O$8,'Tabela de Apoio'!$A:$A,1))/INDEX('Tabela de Apoio'!$B:$B,MATCH('MAPA DE PREÇOS'!U16,'Tabela de Apoio'!$A:$A,1)-1))*U15))</f>
        <v>27943.453048079507</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t="str">
        <f>IF(IFERROR(VLOOKUP(P17,'Tabela de Apoio'!$D:$E,2,FALSE),1)=1,"",P21)</f>
        <v/>
      </c>
      <c r="Q20" s="107">
        <f>IF(IFERROR(VLOOKUP(Q17,'Tabela de Apoio'!$D:$E,2,FALSE),1)=1,"",Q21)</f>
        <v>23590.475735870594</v>
      </c>
      <c r="R20" s="107" t="str">
        <f>IF(IFERROR(VLOOKUP(R17,'Tabela de Apoio'!$D:$E,2,FALSE),1)=1,"",R21)</f>
        <v/>
      </c>
      <c r="S20" s="107">
        <f>IF(IFERROR(VLOOKUP(S17,'Tabela de Apoio'!$D:$E,2,FALSE),1)=1,"",S21)</f>
        <v>39800</v>
      </c>
      <c r="T20" s="107" t="str">
        <f>IF(IFERROR(VLOOKUP(T17,'Tabela de Apoio'!$D:$E,2,FALSE),1)=1,"",T21)</f>
        <v/>
      </c>
      <c r="U20" s="107">
        <f>IF(IFERROR(VLOOKUP(U17,'Tabela de Apoio'!$D:$E,2,FALSE),1)=1,"",U21)</f>
        <v>27943.453048079507</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5</v>
      </c>
      <c r="I21" s="132">
        <f>_xlfn.STDEV.P($P20:$XX21)/AVERAGE($P20:$XX21)</f>
        <v>0.4877721307250838</v>
      </c>
      <c r="J21" s="7">
        <f>ROW()</f>
        <v>21</v>
      </c>
      <c r="K21" s="67"/>
      <c r="L21" s="29" t="s">
        <v>10</v>
      </c>
      <c r="M21" s="30">
        <f>IFERROR(
IF(COUNTA(P15:AI15)=COUNTIF(P17:XX17,"Orçamento"),MIN(M26,M23),
IF(M24&lt;&gt;"",M24,
IF(M25&lt;&gt;"",M25,
M23
))),"")</f>
        <v>30444.642927983368</v>
      </c>
      <c r="N21" s="71"/>
      <c r="O21" s="27" t="s">
        <v>376</v>
      </c>
      <c r="P21" s="106">
        <f>IFERROR(IF(P19="",
            "",
            IF(COUNT($P19:$XX19)&lt;=4,
               P19,
               IF(OR(P19&gt;(QUARTILE($P19:$XX19,3)+(QUARTILE($P19:$XX19,3)-QUARTILE($P19:$XX19,1))),
                     P19&lt;(QUARTILE($P19:$XX19,1)-(QUARTILE($P19:$XX19,3)-QUARTILE($P19:$XX19,1)))
                  ),
               "DESCARTADO",P19)
             )
  ),P19)</f>
        <v>79000</v>
      </c>
      <c r="Q21" s="106">
        <f t="shared" ref="Q21:AI21" si="3">IFERROR(IF(Q19="",
            "",
            IF(COUNT($P19:$XX19)&lt;=4,
               Q19,
               IF(OR(Q19&gt;(QUARTILE($P19:$XX19,3)+(QUARTILE($P19:$XX19,3)-QUARTILE($P19:$XX19,1))),
                     Q19&lt;(QUARTILE($P19:$XX19,1)-(QUARTILE($P19:$XX19,3)-QUARTILE($P19:$XX19,1)))
                  ),
               "DESCARTADO",Q19)
             )
  ),Q19)</f>
        <v>23590.475735870594</v>
      </c>
      <c r="R21" s="106">
        <f t="shared" si="3"/>
        <v>71000</v>
      </c>
      <c r="S21" s="106">
        <f t="shared" si="3"/>
        <v>39800</v>
      </c>
      <c r="T21" s="106" t="str">
        <f t="shared" si="3"/>
        <v>DESCARTADO</v>
      </c>
      <c r="U21" s="106">
        <f t="shared" si="3"/>
        <v>27943.453048079507</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48266.785756790021</v>
      </c>
      <c r="N22" s="71"/>
      <c r="O22" s="27" t="str">
        <f>"1 POND"</f>
        <v>1 POND</v>
      </c>
      <c r="P22" s="107" t="str">
        <f>IF(IFERROR(VLOOKUP(P17,'Tabela de Apoio'!$D:$E,2,FALSE),1)=1,"",P23)</f>
        <v/>
      </c>
      <c r="Q22" s="107">
        <f>IF(IFERROR(VLOOKUP(Q17,'Tabela de Apoio'!$D:$E,2,FALSE),1)=1,"",Q23)</f>
        <v>23590.475735870594</v>
      </c>
      <c r="R22" s="107" t="str">
        <f>IF(IFERROR(VLOOKUP(R17,'Tabela de Apoio'!$D:$E,2,FALSE),1)=1,"",R23)</f>
        <v/>
      </c>
      <c r="S22" s="107">
        <f>IF(IFERROR(VLOOKUP(S17,'Tabela de Apoio'!$D:$E,2,FALSE),1)=1,"",S23)</f>
        <v>39800</v>
      </c>
      <c r="T22" s="107" t="str">
        <f>IF(IFERROR(VLOOKUP(T17,'Tabela de Apoio'!$D:$E,2,FALSE),1)=1,"",T23)</f>
        <v/>
      </c>
      <c r="U22" s="107">
        <f>IF(IFERROR(VLOOKUP(U17,'Tabela de Apoio'!$D:$E,2,FALSE),1)=1,"",U23)</f>
        <v>27943.453048079507</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3</v>
      </c>
      <c r="I23" s="132">
        <f>_xlfn.STDEV.P($P22:$XX23)/AVERAGE($P22:$XX23)</f>
        <v>0.22499115224721897</v>
      </c>
      <c r="J23" s="7">
        <f>IF(AND(H23&gt;2,
OR(L15="MÉDIA SANEADA",L15="MEDIANA SANEADA",
AND(L15="PREÇO ESTIMADO",NOT(AND(P17="Orçamento",COUNTA(P15:XX15)=COUNTIF(P17:XX17,"Orçamento")))))),
ROW(),0)</f>
        <v>23</v>
      </c>
      <c r="K23" s="66"/>
      <c r="L23" s="29" t="s">
        <v>361</v>
      </c>
      <c r="M23" s="30">
        <f>MEDIAN($P21:$XX21)</f>
        <v>39800</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23590.475735870594</v>
      </c>
      <c r="R23" s="107" t="str">
        <f t="shared" si="6"/>
        <v>DESCARTADO</v>
      </c>
      <c r="S23" s="107">
        <f t="shared" si="6"/>
        <v>39800</v>
      </c>
      <c r="T23" s="107" t="str">
        <f t="shared" si="6"/>
        <v>DESCARTADO</v>
      </c>
      <c r="U23" s="107">
        <f t="shared" si="6"/>
        <v>27943.453048079507</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30444.642927983368</v>
      </c>
      <c r="N24" s="71"/>
      <c r="O24" s="27" t="str">
        <f>"2 POND"</f>
        <v>2 POND</v>
      </c>
      <c r="P24" s="107" t="str">
        <f>IF(IFERROR(VLOOKUP(P17,'Tabela de Apoio'!$D:$E,2,FALSE),1)=1,"",P25)</f>
        <v/>
      </c>
      <c r="Q24" s="107">
        <f>IF(IFERROR(VLOOKUP(Q17,'Tabela de Apoio'!$D:$E,2,FALSE),1)=1,"",Q25)</f>
        <v>23590.475735870594</v>
      </c>
      <c r="R24" s="107" t="str">
        <f>IF(IFERROR(VLOOKUP(R17,'Tabela de Apoio'!$D:$E,2,FALSE),1)=1,"",R25)</f>
        <v/>
      </c>
      <c r="S24" s="107">
        <f>IF(IFERROR(VLOOKUP(S17,'Tabela de Apoio'!$D:$E,2,FALSE),1)=1,"",S25)</f>
        <v>39800</v>
      </c>
      <c r="T24" s="107" t="str">
        <f>IF(IFERROR(VLOOKUP(T17,'Tabela de Apoio'!$D:$E,2,FALSE),1)=1,"",T25)</f>
        <v/>
      </c>
      <c r="U24" s="107">
        <f>IF(IFERROR(VLOOKUP(U17,'Tabela de Apoio'!$D:$E,2,FALSE),1)=1,"",U25)</f>
        <v>27943.453048079507</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3</v>
      </c>
      <c r="I25" s="132">
        <f>_xlfn.STDEV.P($P24:$XX25)/AVERAGE($P24:$XX25)</f>
        <v>0.22499115224721897</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27943.453048079507</v>
      </c>
      <c r="N25" s="71"/>
      <c r="O25" s="27" t="str">
        <f>"2 RODADA"</f>
        <v>2 RODADA</v>
      </c>
      <c r="P25" s="107" t="str">
        <f>IF(P23="","",IF((_xlfn.STDEV.P($P22:$XX23)/AVERAGE($P22:$XX23))&lt;=25%,P23,IF(OR(P23&gt;(AVERAGE($P22:$XX23)+_xlfn.STDEV.P($P22:$XX23)),P23&lt;(AVERAGE($P22:$XX23)-_xlfn.STDEV.P($P22:$XX23))),"DESCARTADO",P23)))</f>
        <v>DESCARTADO</v>
      </c>
      <c r="Q25" s="107">
        <f t="shared" ref="Q25:AI25" si="7">IF(Q23="","",IF((_xlfn.STDEV.P($P22:$XX23)/AVERAGE($P22:$XX23))&lt;=25%,Q23,IF(OR(Q23&gt;(AVERAGE($P22:$XX23)+_xlfn.STDEV.P($P22:$XX23)),Q23&lt;(AVERAGE($P22:$XX23)-_xlfn.STDEV.P($P22:$XX23))),"DESCARTADO",Q23)))</f>
        <v>23590.475735870594</v>
      </c>
      <c r="R25" s="107" t="str">
        <f t="shared" si="7"/>
        <v>DESCARTADO</v>
      </c>
      <c r="S25" s="107">
        <f t="shared" si="7"/>
        <v>39800</v>
      </c>
      <c r="T25" s="107" t="str">
        <f t="shared" si="7"/>
        <v>DESCARTADO</v>
      </c>
      <c r="U25" s="107">
        <f t="shared" si="7"/>
        <v>27943.453048079507</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34283.693846964285</v>
      </c>
      <c r="N26" s="71"/>
      <c r="O26" s="27" t="str">
        <f>"3 POND"</f>
        <v>3 POND</v>
      </c>
      <c r="P26" s="107" t="str">
        <f>IF(IFERROR(VLOOKUP(P17,'Tabela de Apoio'!$D:$E,2,FALSE),1)=1,"",P27)</f>
        <v/>
      </c>
      <c r="Q26" s="107">
        <f>IF(IFERROR(VLOOKUP(Q17,'Tabela de Apoio'!$D:$E,2,FALSE),1)=1,"",Q27)</f>
        <v>23590.475735870594</v>
      </c>
      <c r="R26" s="107" t="str">
        <f>IF(IFERROR(VLOOKUP(R17,'Tabela de Apoio'!$D:$E,2,FALSE),1)=1,"",R27)</f>
        <v/>
      </c>
      <c r="S26" s="107">
        <f>IF(IFERROR(VLOOKUP(S17,'Tabela de Apoio'!$D:$E,2,FALSE),1)=1,"",S27)</f>
        <v>39800</v>
      </c>
      <c r="T26" s="107" t="str">
        <f>IF(IFERROR(VLOOKUP(T17,'Tabela de Apoio'!$D:$E,2,FALSE),1)=1,"",T27)</f>
        <v/>
      </c>
      <c r="U26" s="107">
        <f>IF(IFERROR(VLOOKUP(U17,'Tabela de Apoio'!$D:$E,2,FALSE),1)=1,"",U27)</f>
        <v>27943.453048079507</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3</v>
      </c>
      <c r="I27" s="132">
        <f>_xlfn.STDEV.P($P26:$XX27)/AVERAGE($P26:$XX27)</f>
        <v>0.22499115224721897</v>
      </c>
      <c r="J27" s="7">
        <f>IF(AND(H27&gt;2,
OR(L15="MÉDIA SANEADA",L15="MEDIANA SANEADA",
AND(L15="PREÇO ESTIMADO",NOT(AND(P17="Orçamento",COUNTA(P15:XX15)=COUNTIF(P17:XX17,"Orçamento")))))),
ROW(),0)</f>
        <v>27</v>
      </c>
      <c r="K27" s="66"/>
      <c r="L27" s="29" t="s">
        <v>41</v>
      </c>
      <c r="M27" s="30">
        <f>IFERROR(_xlfn.QUARTILE.EXC($P21:$XX21,1),"")</f>
        <v>25766.964391975052</v>
      </c>
      <c r="N27" s="71"/>
      <c r="O27" s="27" t="str">
        <f>"3 RODADA"</f>
        <v>3 RODADA</v>
      </c>
      <c r="P27" s="107" t="str">
        <f>IF(P25="","",IF((_xlfn.STDEV.P($P24:$XX25)/AVERAGE($P24:$XX25))&lt;=25%,P25,IF(OR(P25&gt;(AVERAGE($P24:$XX25)+_xlfn.STDEV.P($P24:$XX25)),P25&lt;(AVERAGE($P24:$XX25)-_xlfn.STDEV.P($P24:$XX25))),"DESCARTADO",P25)))</f>
        <v>DESCARTADO</v>
      </c>
      <c r="Q27" s="107">
        <f t="shared" ref="Q27:AI27" si="8">IF(Q25="","",IF((_xlfn.STDEV.P($P24:$XX25)/AVERAGE($P24:$XX25))&lt;=25%,Q25,IF(OR(Q25&gt;(AVERAGE($P24:$XX25)+_xlfn.STDEV.P($P24:$XX25)),Q25&lt;(AVERAGE($P24:$XX25)-_xlfn.STDEV.P($P24:$XX25))),"DESCARTADO",Q25)))</f>
        <v>23590.475735870594</v>
      </c>
      <c r="R27" s="107" t="str">
        <f t="shared" si="8"/>
        <v>DESCARTADO</v>
      </c>
      <c r="S27" s="107">
        <f t="shared" si="8"/>
        <v>39800</v>
      </c>
      <c r="T27" s="107" t="str">
        <f t="shared" si="8"/>
        <v>DESCARTADO</v>
      </c>
      <c r="U27" s="107">
        <f t="shared" si="8"/>
        <v>27943.453048079507</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75000</v>
      </c>
      <c r="N28" s="71"/>
      <c r="O28" s="27" t="str">
        <f>"4 POND"</f>
        <v>4 POND</v>
      </c>
      <c r="P28" s="107" t="str">
        <f>IF(IFERROR(VLOOKUP(P17,'Tabela de Apoio'!$D:$E,2,FALSE),1)=1,"",P29)</f>
        <v/>
      </c>
      <c r="Q28" s="107">
        <f>IF(IFERROR(VLOOKUP(Q17,'Tabela de Apoio'!$D:$E,2,FALSE),1)=1,"",Q29)</f>
        <v>23590.475735870594</v>
      </c>
      <c r="R28" s="107" t="str">
        <f>IF(IFERROR(VLOOKUP(R17,'Tabela de Apoio'!$D:$E,2,FALSE),1)=1,"",R29)</f>
        <v/>
      </c>
      <c r="S28" s="107">
        <f>IF(IFERROR(VLOOKUP(S17,'Tabela de Apoio'!$D:$E,2,FALSE),1)=1,"",S29)</f>
        <v>39800</v>
      </c>
      <c r="T28" s="107" t="str">
        <f>IF(IFERROR(VLOOKUP(T17,'Tabela de Apoio'!$D:$E,2,FALSE),1)=1,"",T29)</f>
        <v/>
      </c>
      <c r="U28" s="107">
        <f>IF(IFERROR(VLOOKUP(U17,'Tabela de Apoio'!$D:$E,2,FALSE),1)=1,"",U29)</f>
        <v>27943.453048079507</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3</v>
      </c>
      <c r="I29" s="132">
        <f>_xlfn.STDEV.P($P28:$XX29)/AVERAGE($P28:$XX29)</f>
        <v>0.22499115224721897</v>
      </c>
      <c r="J29" s="7">
        <f>IF(AND(H29&gt;2,
OR(L15="MÉDIA SANEADA",L15="MEDIANA SANEADA",
AND(L15="PREÇO ESTIMADO",NOT(AND(P17="Orçamento",COUNTA(P15:XX15)=COUNTIF(P17:XX17,"Orçamento")))))),
ROW(),0)</f>
        <v>29</v>
      </c>
      <c r="K29" s="66"/>
      <c r="L29" s="29" t="s">
        <v>42</v>
      </c>
      <c r="M29" s="30">
        <f>MIN($P21:$XX21)</f>
        <v>23590.475735870594</v>
      </c>
      <c r="N29" s="71"/>
      <c r="O29" s="27" t="str">
        <f>"4 RODADA"</f>
        <v>4 RODADA</v>
      </c>
      <c r="P29" s="107" t="str">
        <f>IF(P27="","",IF((_xlfn.STDEV.P($P26:$XX27)/AVERAGE($P26:$XX27))&lt;=25%,P27,IF(OR(P27&gt;(AVERAGE($P26:$XX27)+_xlfn.STDEV.P($P26:$XX27)),P27&lt;(AVERAGE($P26:$XX27)-_xlfn.STDEV.P($P26:$XX27))),"DESCARTADO",P27)))</f>
        <v>DESCARTADO</v>
      </c>
      <c r="Q29" s="107">
        <f t="shared" ref="Q29:AI29" si="9">IF(Q27="","",IF((_xlfn.STDEV.P($P26:$XX27)/AVERAGE($P26:$XX27))&lt;=25%,Q27,IF(OR(Q27&gt;(AVERAGE($P26:$XX27)+_xlfn.STDEV.P($P26:$XX27)),Q27&lt;(AVERAGE($P26:$XX27)-_xlfn.STDEV.P($P26:$XX27))),"DESCARTADO",Q27)))</f>
        <v>23590.475735870594</v>
      </c>
      <c r="R29" s="107" t="str">
        <f t="shared" si="9"/>
        <v>DESCARTADO</v>
      </c>
      <c r="S29" s="107">
        <f t="shared" si="9"/>
        <v>39800</v>
      </c>
      <c r="T29" s="107" t="str">
        <f t="shared" si="9"/>
        <v>DESCARTADO</v>
      </c>
      <c r="U29" s="107">
        <f t="shared" si="9"/>
        <v>27943.453048079507</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79000</v>
      </c>
      <c r="N30" s="71"/>
      <c r="O30" s="27" t="str">
        <f>"5 POND"</f>
        <v>5 POND</v>
      </c>
      <c r="P30" s="107" t="str">
        <f>IF(IFERROR(VLOOKUP(P17,'Tabela de Apoio'!$D:$E,2,FALSE),1)=1,"",P31)</f>
        <v/>
      </c>
      <c r="Q30" s="107">
        <f>IF(IFERROR(VLOOKUP(Q17,'Tabela de Apoio'!$D:$E,2,FALSE),1)=1,"",Q31)</f>
        <v>23590.475735870594</v>
      </c>
      <c r="R30" s="107" t="str">
        <f>IF(IFERROR(VLOOKUP(R17,'Tabela de Apoio'!$D:$E,2,FALSE),1)=1,"",R31)</f>
        <v/>
      </c>
      <c r="S30" s="107">
        <f>IF(IFERROR(VLOOKUP(S17,'Tabela de Apoio'!$D:$E,2,FALSE),1)=1,"",S31)</f>
        <v>39800</v>
      </c>
      <c r="T30" s="107" t="str">
        <f>IF(IFERROR(VLOOKUP(T17,'Tabela de Apoio'!$D:$E,2,FALSE),1)=1,"",T31)</f>
        <v/>
      </c>
      <c r="U30" s="107">
        <f>IF(IFERROR(VLOOKUP(U17,'Tabela de Apoio'!$D:$E,2,FALSE),1)=1,"",U31)</f>
        <v>27943.453048079507</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3</v>
      </c>
      <c r="I31" s="132">
        <f>_xlfn.STDEV.P($P30:$XX31)/AVERAGE($P30:$XX31)</f>
        <v>0.22499115224721897</v>
      </c>
      <c r="J31" s="7">
        <f>IF(AND(H31&gt;2,
OR(L15="MÉDIA SANEADA",L15="MEDIANA SANEADA",
AND(L15="PREÇO ESTIMADO",NOT(AND(P17="Orçamento",COUNTA(P15:XX15)=COUNTIF(P17:XX17,"Orçamento")))))),
ROW(),0)</f>
        <v>31</v>
      </c>
      <c r="K31" s="66"/>
      <c r="N31" s="71"/>
      <c r="O31" s="27" t="str">
        <f>"5 RODADA"</f>
        <v>5 RODADA</v>
      </c>
      <c r="P31" s="107" t="str">
        <f>IF(P29="","",IF((_xlfn.STDEV.P($P28:$XX29)/AVERAGE($P28:$XX29))&lt;=25%,P29,IF(OR(P29&gt;(AVERAGE($P28:$XX29)+_xlfn.STDEV.P($P28:$XX29)),P29&lt;(AVERAGE($P28:$XX29)-_xlfn.STDEV.P($P28:$XX29))),"DESCARTADO",P29)))</f>
        <v>DESCARTADO</v>
      </c>
      <c r="Q31" s="107">
        <f t="shared" ref="Q31:AI31" si="10">IF(Q29="","",IF((_xlfn.STDEV.P($P28:$XX29)/AVERAGE($P28:$XX29))&lt;=25%,Q29,IF(OR(Q29&gt;(AVERAGE($P28:$XX29)+_xlfn.STDEV.P($P28:$XX29)),Q29&lt;(AVERAGE($P28:$XX29)-_xlfn.STDEV.P($P28:$XX29))),"DESCARTADO",Q29)))</f>
        <v>23590.475735870594</v>
      </c>
      <c r="R31" s="107" t="str">
        <f t="shared" si="10"/>
        <v>DESCARTADO</v>
      </c>
      <c r="S31" s="107">
        <f t="shared" si="10"/>
        <v>39800</v>
      </c>
      <c r="T31" s="107" t="str">
        <f t="shared" si="10"/>
        <v>DESCARTADO</v>
      </c>
      <c r="U31" s="107">
        <f t="shared" si="10"/>
        <v>27943.453048079507</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t="str">
        <f>IF(IFERROR(VLOOKUP(P17,'Tabela de Apoio'!$D:$E,2,FALSE),1)=1,"",P33)</f>
        <v/>
      </c>
      <c r="Q32" s="107">
        <f>IF(IFERROR(VLOOKUP(Q17,'Tabela de Apoio'!$D:$E,2,FALSE),1)=1,"",Q33)</f>
        <v>23590.475735870594</v>
      </c>
      <c r="R32" s="107" t="str">
        <f>IF(IFERROR(VLOOKUP(R17,'Tabela de Apoio'!$D:$E,2,FALSE),1)=1,"",R33)</f>
        <v/>
      </c>
      <c r="S32" s="107">
        <f>IF(IFERROR(VLOOKUP(S17,'Tabela de Apoio'!$D:$E,2,FALSE),1)=1,"",S33)</f>
        <v>39800</v>
      </c>
      <c r="T32" s="107" t="str">
        <f>IF(IFERROR(VLOOKUP(T17,'Tabela de Apoio'!$D:$E,2,FALSE),1)=1,"",T33)</f>
        <v/>
      </c>
      <c r="U32" s="107">
        <f>IF(IFERROR(VLOOKUP(U17,'Tabela de Apoio'!$D:$E,2,FALSE),1)=1,"",U33)</f>
        <v>27943.453048079507</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3</v>
      </c>
      <c r="I33" s="132">
        <f>_xlfn.STDEV.P($P32:$XX33)/AVERAGE($P32:$XX33)</f>
        <v>0.22499115224721897</v>
      </c>
      <c r="J33" s="7">
        <f>IF(AND(H33&gt;2,
OR(L15="MÉDIA SANEADA",L15="MEDIANA SANEADA",
AND(L15="PREÇO ESTIMADO",NOT(AND(P17="Orçamento",COUNTA(P15:XX15)=COUNTIF(P17:XX17,"Orçamento")))))),
ROW(),0)</f>
        <v>33</v>
      </c>
      <c r="N33" s="71"/>
      <c r="O33" s="27" t="str">
        <f>"6 RODADA"</f>
        <v>6 RODADA</v>
      </c>
      <c r="P33" s="107" t="str">
        <f>IFERROR(IF(P31="","",IF((_xlfn.STDEV.P($P30:$XX31)/AVERAGE($P30:$XX31))&lt;=25%,P31,IF(OR(P31&gt;(AVERAGE($P30:$XX31)+_xlfn.STDEV.P($P30:$XX31)),P31&lt;(AVERAGE($P30:$XX31)-_xlfn.STDEV.P($P30:$XX31))),"DESCARTADO",P31))),)</f>
        <v>DESCARTADO</v>
      </c>
      <c r="Q33" s="107">
        <f t="shared" ref="Q33:AI33" si="11">IFERROR(IF(Q31="","",IF((_xlfn.STDEV.P($P30:$XX31)/AVERAGE($P30:$XX31))&lt;=25%,Q31,IF(OR(Q31&gt;(AVERAGE($P30:$XX31)+_xlfn.STDEV.P($P30:$XX31)),Q31&lt;(AVERAGE($P30:$XX31)-_xlfn.STDEV.P($P30:$XX31))),"DESCARTADO",Q31))),)</f>
        <v>23590.475735870594</v>
      </c>
      <c r="R33" s="107" t="str">
        <f t="shared" si="11"/>
        <v>DESCARTADO</v>
      </c>
      <c r="S33" s="107">
        <f t="shared" si="11"/>
        <v>39800</v>
      </c>
      <c r="T33" s="107" t="str">
        <f t="shared" si="11"/>
        <v>DESCARTADO</v>
      </c>
      <c r="U33" s="107">
        <f t="shared" si="11"/>
        <v>27943.453048079507</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30444.639999999999</v>
      </c>
      <c r="O34" s="27" t="s">
        <v>363</v>
      </c>
      <c r="P34" s="107" t="str">
        <f>INDEX(P21:P33,MATCH(MAX($J21:$J33),$J21:$J33,0))</f>
        <v>DESCARTADO</v>
      </c>
      <c r="Q34" s="107">
        <f t="shared" ref="Q34:R34" si="12">INDEX(Q21:Q33,MATCH(MAX($J21:$J33),$J21:$J33,0))</f>
        <v>23590.475735870594</v>
      </c>
      <c r="R34" s="107" t="str">
        <f t="shared" si="12"/>
        <v>DESCARTADO</v>
      </c>
      <c r="S34" s="107">
        <f t="shared" ref="S34" si="13">INDEX(S21:S33,MATCH(MAX($J21:$J33),$J21:$J33,0))</f>
        <v>39800</v>
      </c>
      <c r="T34" s="107" t="str">
        <f t="shared" ref="T34" si="14">INDEX(T21:T33,MATCH(MAX($J21:$J33),$J21:$J33,0))</f>
        <v>DESCARTADO</v>
      </c>
      <c r="U34" s="107">
        <f t="shared" ref="U34" si="15">INDEX(U21:U33,MATCH(MAX($J21:$J33),$J21:$J33,0))</f>
        <v>27943.453048079507</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H16" sqref="H16"/>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de Educação de Porto Alegre - SMED</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45"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 xml:space="preserve">Contratação de empresa para locação, montagem e desmontagem de estande com infraestrutura </v>
      </c>
      <c r="H8" s="84" t="str">
        <f>IF($B7="","",IF($C8=$C5,INDEX('MAPA DE PREÇOS'!$M:$M,MATCH($B8,'MAPA DE PREÇOS'!$B:$B)-16),IF($C8=$C6,"Unidade","")))</f>
        <v>Serviço</v>
      </c>
      <c r="I8" s="84">
        <f>IF($B7="","",IF($C8=$C5,INDEX('MAPA DE PREÇOS'!$M:$M,MATCH($B8,'MAPA DE PREÇOS'!$B:$B)-17),IF($C8=$C6,"Quant.","")))</f>
        <v>1</v>
      </c>
      <c r="J8" s="60">
        <f>IF(AND(COUNTBLANK($B5:$B7)=2,$B7="",$B6="",MAX(C:C)&gt;1),"Total Estimado",IF($B7="","",IF($C8=$C5,INDEX('MAPA DE PREÇOS'!$M:$M,MATCH($B8,'MAPA DE PREÇOS'!$B:$B)-19),IF($C8=$C6,"Valor Unit. (R$)",IF(AND($C8&lt;&gt;$C7,$J7&lt;&gt;""),IF(MAX(C:C)=1,"Total Estimado","Subtotal"),"")))))</f>
        <v>30444.639999999999</v>
      </c>
      <c r="K8" s="75">
        <f>IFERROR(IF(AND(COUNTBLANK($B5:$B7)=2,$B7="",$B6="",MAX($C:$C)&gt;1),SUM($K$3:K7)/2,IF($B7="","",IF($C8=$C5,ROUND(J8*I8,2),IF($C8=$C6,"Total Item (R$)",IF(AND($C8&lt;&gt;$C7,$J7&lt;&gt;""),SUMIFS(K:K,$C:$C,C7,J:J,"&lt;&gt;Subtotal"),""))))),"")</f>
        <v>30444.639999999999</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30444.639999999999</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Secretaria Municipal de Educação de Porto Alegre - SMED</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2" t="s">
        <v>358</v>
      </c>
      <c r="F5" s="243"/>
      <c r="G5" s="243"/>
      <c r="H5" s="243"/>
      <c r="I5" s="243"/>
      <c r="J5" s="243"/>
      <c r="K5" s="243"/>
      <c r="L5" s="24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 xml:space="preserve">Contratação de empresa para locação, montagem e desmontagem de estande com infraestrutura </v>
      </c>
      <c r="H8" s="84" t="str">
        <f>IF($B7="","",IF($C8=$C5,INDEX('MAPA DE PREÇOS'!$M:$M,MATCH($B8,'MAPA DE PREÇOS'!$B:$B)-16),IF($C8=$C6,"Unidade","")))</f>
        <v>Serviço</v>
      </c>
      <c r="I8" s="84">
        <f>IF($B7="","",IF($C8=$C5,INDEX('MAPA DE PREÇOS'!$M:$M,MATCH($B8,'MAPA DE PREÇOS'!$B:$B)-17),IF($C8=$C6,"Quant.","")))</f>
        <v>1</v>
      </c>
      <c r="J8" s="60">
        <f>IF(J7="Total Mensal","Total Acumulado",IF($B7="","",IF($C8=$C5,INDEX('MAPA DE PREÇOS'!$M:$M,MATCH($B8,'MAPA DE PREÇOS'!$B:$B)-19),IF($C8=$C6,"Valor Unit. (R$)",IF(AND($C8&lt;&gt;$C7,$J7&lt;&gt;""),"Total Mensal","")))))</f>
        <v>30444.639999999999</v>
      </c>
      <c r="K8" s="75">
        <f>IF(J8="","",IF(J8="Total Mensal","-",IF(J8="Total Acumulado",SUM(K$7:K7),I8*J8)))</f>
        <v>30444.639999999999</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30444.639999999999</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K22" sqref="K22"/>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 xml:space="preserve">Contratação de empresa para locação, montagem e desmontagem de estande com infraestrutura </v>
      </c>
      <c r="J6" s="41" t="str">
        <f>IFERROR(IF(E6="","",INDEX('MAPA DE PREÇOS'!M:M,3+MATCH(ABC!E6,'MAPA DE PREÇOS'!B:B,0))),"")</f>
        <v>Serviço</v>
      </c>
      <c r="K6" s="52">
        <f t="array" ref="K6">IFERROR(IF(E6="","",INDEX('MAPA DE PREÇOS'!M:M,2+MATCH(ABC!E6,'MAPA DE PREÇOS'!B:B,0))),"")</f>
        <v>1</v>
      </c>
      <c r="L6" s="53">
        <f t="array" ref="L6">IFERROR(IF(AND(E5&lt;&gt;"",E6=""),"TOTAL ESTIMADO",INDEX('MAPA DE PREÇOS'!M:M,0+MATCH(ABC!E6,'MAPA DE PREÇOS'!B:B,0))),"")</f>
        <v>30444.639999999999</v>
      </c>
      <c r="M6" s="54">
        <f>IFERROR(IF(AND(E5&lt;&gt;"",E6=""),SUM($M$5:M5),INDEX('MAPA DE PREÇOS'!M:M,19+MATCH(ABC!E6,'MAPA DE PREÇOS'!B:B,0))),"")</f>
        <v>30444.639999999999</v>
      </c>
      <c r="N6" s="90">
        <f t="shared" ref="N6:N37" si="1">IFERROR(VLOOKUP(E6,$B:$C,2),"")</f>
        <v>1</v>
      </c>
      <c r="O6" s="90">
        <f>N6</f>
        <v>1</v>
      </c>
      <c r="P6" s="54" t="str">
        <f>IF(O6="","",IF(OR(N6&gt;=$S$6,O6&lt;=$S$6),"A",IF(O6&lt;=SUM($S$6:$S$7),"B","C")))</f>
        <v>A</v>
      </c>
      <c r="R6" s="156" t="s">
        <v>310</v>
      </c>
      <c r="S6" s="157">
        <v>0.8</v>
      </c>
      <c r="T6" s="156">
        <f>COUNTIF($P$6:$P$107,$R6)</f>
        <v>1</v>
      </c>
      <c r="U6" s="158">
        <f>SUMIFS($M$6:$M$107,$P$6:$P$107,$R6)</f>
        <v>30444.639999999999</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30444.639999999999</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4" customFormat="1" ht="64.900000000000006" customHeight="1" x14ac:dyDescent="0.25">
      <c r="B40" s="265" t="s">
        <v>391</v>
      </c>
      <c r="C40" s="265"/>
      <c r="D40" s="265"/>
    </row>
    <row r="41" spans="2:4" s="164" customFormat="1" ht="64.900000000000006" customHeight="1" x14ac:dyDescent="0.25">
      <c r="B41" s="265"/>
      <c r="C41" s="265"/>
      <c r="D41" s="265"/>
    </row>
    <row r="42" spans="2:4" s="164" customFormat="1" ht="64.900000000000006" customHeight="1" x14ac:dyDescent="0.25">
      <c r="B42" s="265"/>
      <c r="C42" s="265"/>
      <c r="D42" s="265"/>
    </row>
    <row r="43" spans="2:4" s="164" customFormat="1" ht="64.900000000000006" customHeight="1" x14ac:dyDescent="0.25">
      <c r="B43" s="265"/>
      <c r="C43" s="265"/>
      <c r="D43" s="265"/>
    </row>
    <row r="44" spans="2:4" s="164" customFormat="1" ht="64.900000000000006" customHeight="1" x14ac:dyDescent="0.25">
      <c r="B44" s="265"/>
      <c r="C44" s="265"/>
      <c r="D44" s="265"/>
    </row>
    <row r="45" spans="2:4" s="164"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A392" sqref="A392"/>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2026-08-31T12:13:28Z</dcterms:modified>
</cp:coreProperties>
</file>