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13_ncr:1_{02881AE9-8D3C-4175-B331-739BBB9B3E15}" xr6:coauthVersionLast="47" xr6:coauthVersionMax="47" xr10:uidLastSave="{00000000-0000-0000-0000-000000000000}"/>
  <bookViews>
    <workbookView xWindow="-12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83" i="2" l="1"/>
  <c r="P162" i="2"/>
  <c r="P141" i="2"/>
  <c r="P120" i="2"/>
  <c r="P99" i="2"/>
  <c r="P78" i="2"/>
  <c r="P57" i="2"/>
  <c r="P36" i="2"/>
  <c r="P15" i="2"/>
  <c r="P40" i="2"/>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P189" i="2" l="1"/>
  <c r="P84" i="2"/>
  <c r="P42" i="2"/>
  <c r="P126" i="2"/>
  <c r="P168" i="2"/>
  <c r="M174" i="2" s="1"/>
  <c r="P105" i="2"/>
  <c r="P63" i="2"/>
  <c r="P147" i="2"/>
  <c r="P128" i="2"/>
  <c r="P44" i="2"/>
  <c r="M1643" i="2"/>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I126" i="2"/>
  <c r="H336" i="2"/>
  <c r="R233" i="2"/>
  <c r="R235" i="2" s="1"/>
  <c r="R237" i="2" s="1"/>
  <c r="R239" i="2" s="1"/>
  <c r="R241" i="2" s="1"/>
  <c r="R243" i="2" s="1"/>
  <c r="M211" i="2"/>
  <c r="M446" i="2"/>
  <c r="M441" i="2" s="1"/>
  <c r="M443" i="2"/>
  <c r="M85" i="2"/>
  <c r="M68" i="2"/>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47" i="2"/>
  <c r="I189" i="2"/>
  <c r="M173" i="2"/>
  <c r="P149" i="2"/>
  <c r="M148" i="2"/>
  <c r="V128" i="2"/>
  <c r="V130" i="2" s="1"/>
  <c r="V132" i="2" s="1"/>
  <c r="V134" i="2" s="1"/>
  <c r="V136" i="2" s="1"/>
  <c r="V138" i="2" s="1"/>
  <c r="M134" i="2"/>
  <c r="M216" i="2"/>
  <c r="M217" i="2"/>
  <c r="M212" i="2"/>
  <c r="M175" i="2"/>
  <c r="M177" i="2"/>
  <c r="M156" i="2"/>
  <c r="M155" i="2"/>
  <c r="M149" i="2"/>
  <c r="M153" i="2"/>
  <c r="M152" i="2"/>
  <c r="M110" i="2"/>
  <c r="P212" i="2"/>
  <c r="R132" i="2"/>
  <c r="R134" i="2" s="1"/>
  <c r="R136" i="2" s="1"/>
  <c r="R138" i="2" s="1"/>
  <c r="I84" i="2"/>
  <c r="M89" i="2"/>
  <c r="M219" i="2"/>
  <c r="I105" i="2"/>
  <c r="M169" i="2"/>
  <c r="M176" i="2"/>
  <c r="H105" i="2"/>
  <c r="H168" i="2"/>
  <c r="M111" i="2"/>
  <c r="M90" i="2"/>
  <c r="M86" i="2"/>
  <c r="M92" i="2"/>
  <c r="H84" i="2"/>
  <c r="M91" i="2"/>
  <c r="M93" i="2"/>
  <c r="P86" i="2"/>
  <c r="I147" i="2"/>
  <c r="M131" i="2"/>
  <c r="M107" i="2"/>
  <c r="M113" i="2"/>
  <c r="M64" i="2"/>
  <c r="M70" i="2"/>
  <c r="P65" i="2"/>
  <c r="I65" i="2" s="1"/>
  <c r="M72" i="2"/>
  <c r="H63" i="2"/>
  <c r="M69" i="2"/>
  <c r="I63" i="2"/>
  <c r="M71" i="2"/>
  <c r="H126" i="2"/>
  <c r="M112" i="2"/>
  <c r="P107" i="2"/>
  <c r="M106" i="2"/>
  <c r="M114" i="2"/>
  <c r="M135" i="2"/>
  <c r="M128" i="2"/>
  <c r="M133" i="2"/>
  <c r="Q50" i="2"/>
  <c r="Q52" i="2" s="1"/>
  <c r="Q54" i="2" s="1"/>
  <c r="M127" i="2"/>
  <c r="M132" i="2"/>
  <c r="M47" i="2"/>
  <c r="I42" i="2"/>
  <c r="M51" i="2"/>
  <c r="M50" i="2"/>
  <c r="AA44" i="2"/>
  <c r="AA46" i="2" s="1"/>
  <c r="AA48" i="2" s="1"/>
  <c r="AA50" i="2" s="1"/>
  <c r="AA52" i="2" s="1"/>
  <c r="AA54" i="2" s="1"/>
  <c r="M44" i="2"/>
  <c r="M49" i="2"/>
  <c r="T46" i="2"/>
  <c r="T48" i="2" s="1"/>
  <c r="T50" i="2" s="1"/>
  <c r="T52" i="2" s="1"/>
  <c r="T54" i="2" s="1"/>
  <c r="M23" i="13"/>
  <c r="P170" i="2" l="1"/>
  <c r="P130" i="2"/>
  <c r="P132" i="2" s="1"/>
  <c r="H170" i="2"/>
  <c r="J170" i="2" s="1"/>
  <c r="P46" i="2"/>
  <c r="P48" i="2" s="1"/>
  <c r="P50" i="2" s="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P172" i="2" l="1"/>
  <c r="I170" i="2"/>
  <c r="M822" i="2"/>
  <c r="M1137" i="2"/>
  <c r="M990" i="2"/>
  <c r="M927" i="2"/>
  <c r="M1032" i="2"/>
  <c r="M1851" i="2"/>
  <c r="M1935" i="2"/>
  <c r="M717" i="2"/>
  <c r="M864" i="2"/>
  <c r="M1830" i="2"/>
  <c r="M570" i="2"/>
  <c r="M1221" i="2"/>
  <c r="J863"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P1917" i="2"/>
  <c r="H1915" i="2"/>
  <c r="J1915" i="2" s="1"/>
  <c r="I1915" i="2"/>
  <c r="J1892" i="2"/>
  <c r="M1893" i="2"/>
  <c r="J905" i="2"/>
  <c r="M906" i="2"/>
  <c r="J107"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J86" i="2"/>
  <c r="P848" i="2"/>
  <c r="H846" i="2"/>
  <c r="J846" i="2" s="1"/>
  <c r="I846" i="2"/>
  <c r="P699" i="2"/>
  <c r="H697" i="2"/>
  <c r="J697" i="2" s="1"/>
  <c r="I697"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P174" i="2" l="1"/>
  <c r="I172" i="2"/>
  <c r="H172" i="2"/>
  <c r="J172" i="2" s="1"/>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204"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I195"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90" i="2"/>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P138" i="2"/>
  <c r="I136" i="2"/>
  <c r="H1455" i="2"/>
  <c r="J1455" i="2" s="1"/>
  <c r="P1457" i="2"/>
  <c r="I1455" i="2"/>
  <c r="P871" i="2"/>
  <c r="H869" i="2"/>
  <c r="J869" i="2" s="1"/>
  <c r="I869"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365" i="2"/>
  <c r="H363" i="2"/>
  <c r="I363"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P176" i="2" l="1"/>
  <c r="I174" i="2"/>
  <c r="H174" i="2"/>
  <c r="J195" i="2"/>
  <c r="J136" i="2"/>
  <c r="J90" i="2"/>
  <c r="J69" i="2"/>
  <c r="M45" i="2"/>
  <c r="M42" i="2" s="1"/>
  <c r="M36"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R21" i="2" s="1"/>
  <c r="S19" i="2"/>
  <c r="S21" i="2" s="1"/>
  <c r="T19" i="2"/>
  <c r="U19" i="2"/>
  <c r="J174" i="2" l="1"/>
  <c r="P178" i="2"/>
  <c r="H176" i="2"/>
  <c r="J176" i="2" s="1"/>
  <c r="I176" i="2"/>
  <c r="M129" i="2"/>
  <c r="M126" i="2" s="1"/>
  <c r="M120" i="2" s="1"/>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I178" i="2" l="1"/>
  <c r="H178" i="2"/>
  <c r="J178" i="2" s="1"/>
  <c r="P180"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108" i="2" l="1"/>
  <c r="M105" i="2" s="1"/>
  <c r="M99" i="2" s="1"/>
  <c r="M66" i="2"/>
  <c r="M63" i="2" s="1"/>
  <c r="M57" i="2" s="1"/>
  <c r="H180" i="2"/>
  <c r="I180" i="2"/>
  <c r="M192" i="2"/>
  <c r="M189" i="2" s="1"/>
  <c r="M183" i="2" s="1"/>
  <c r="M150" i="2"/>
  <c r="M147" i="2" s="1"/>
  <c r="M141" i="2" s="1"/>
  <c r="M87"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J180" i="2" l="1"/>
  <c r="M171" i="2"/>
  <c r="M168" i="2" s="1"/>
  <c r="M162" i="2" s="1"/>
  <c r="M172" i="2"/>
  <c r="M84" i="2"/>
  <c r="M78" i="2" s="1"/>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AE181" i="2" l="1"/>
  <c r="AI181" i="2"/>
  <c r="Y181" i="2"/>
  <c r="R181" i="2"/>
  <c r="AG181" i="2"/>
  <c r="AC181" i="2"/>
  <c r="AD181" i="2"/>
  <c r="M166" i="2"/>
  <c r="AF181" i="2"/>
  <c r="AH181" i="2"/>
  <c r="V181" i="2"/>
  <c r="W181" i="2"/>
  <c r="T181" i="2"/>
  <c r="Z181" i="2"/>
  <c r="Q181" i="2"/>
  <c r="S181" i="2"/>
  <c r="AB181" i="2"/>
  <c r="U181" i="2"/>
  <c r="P181" i="2"/>
  <c r="X181" i="2"/>
  <c r="AA181" i="2"/>
  <c r="U20" i="2"/>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C99" i="2" l="1"/>
  <c r="H99" i="2"/>
  <c r="H100" i="2"/>
  <c r="B100" i="2"/>
  <c r="B101" i="2" s="1"/>
  <c r="M19" i="2"/>
  <c r="M15" i="2"/>
  <c r="T34" i="2"/>
  <c r="AE34" i="2"/>
  <c r="AH34" i="2"/>
  <c r="W34" i="2"/>
  <c r="AB34" i="2"/>
  <c r="AD34" i="2"/>
  <c r="U34" i="2"/>
  <c r="S34" i="2"/>
  <c r="AF34" i="2"/>
  <c r="Z34" i="2"/>
  <c r="AA34" i="2"/>
  <c r="AG34" i="2"/>
  <c r="AC34" i="2"/>
  <c r="V34" i="2"/>
  <c r="Y34" i="2"/>
  <c r="X34" i="2"/>
  <c r="AI34" i="2"/>
  <c r="R34" i="2"/>
  <c r="Q34" i="2"/>
  <c r="M17"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K8" i="12" s="1"/>
  <c r="AD8" i="12"/>
  <c r="Z8" i="12"/>
  <c r="AA8" i="12" s="1"/>
  <c r="N8" i="12"/>
  <c r="O8" i="12" s="1"/>
  <c r="AB8" i="12"/>
  <c r="AF8" i="12"/>
  <c r="F9" i="11"/>
  <c r="H9" i="11"/>
  <c r="L9" i="11"/>
  <c r="I9" i="11"/>
  <c r="B10" i="11"/>
  <c r="G9" i="11"/>
  <c r="I9" i="12"/>
  <c r="G9" i="12"/>
  <c r="H9" i="12"/>
  <c r="B10" i="12"/>
  <c r="F9" i="12"/>
  <c r="AI8" i="12" l="1"/>
  <c r="U8" i="12"/>
  <c r="AG8" i="12"/>
  <c r="AC8" i="12"/>
  <c r="AE8" i="12"/>
  <c r="S8" i="12"/>
  <c r="Q8" i="12"/>
  <c r="W8" i="12"/>
  <c r="Y8" i="12"/>
  <c r="D10" i="12"/>
  <c r="C10" i="12"/>
  <c r="D10" i="11"/>
  <c r="C10" i="11"/>
  <c r="AH9" i="12"/>
  <c r="P9" i="12"/>
  <c r="AB9" i="12"/>
  <c r="AD9" i="12"/>
  <c r="T9" i="12"/>
  <c r="K9" i="12"/>
  <c r="Z9" i="12"/>
  <c r="N9" i="12"/>
  <c r="X9" i="12"/>
  <c r="AF9" i="12"/>
  <c r="R9" i="12"/>
  <c r="AJ9" i="12"/>
  <c r="S9" i="12" l="1"/>
  <c r="AG9" i="12"/>
  <c r="AK9" i="12"/>
  <c r="Y9" i="12"/>
  <c r="O9" i="12"/>
  <c r="AI9" i="12"/>
  <c r="AE9" i="12"/>
  <c r="AA9" i="12"/>
  <c r="U9" i="12"/>
  <c r="AC9" i="12"/>
  <c r="Q9" i="12"/>
  <c r="B11" i="12"/>
  <c r="C11" i="12" s="1"/>
  <c r="G10" i="12"/>
  <c r="F10" i="12"/>
  <c r="I10" i="12"/>
  <c r="H10" i="12"/>
  <c r="J10" i="12"/>
  <c r="L10" i="11"/>
  <c r="I10" i="11"/>
  <c r="H10" i="11"/>
  <c r="G10" i="11"/>
  <c r="F10" i="11"/>
  <c r="B11" i="11"/>
  <c r="C11" i="11" s="1"/>
  <c r="D11" i="12" l="1"/>
  <c r="F11" i="11"/>
  <c r="I11" i="11"/>
  <c r="L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W10" i="12" s="1"/>
  <c r="B12" i="11"/>
  <c r="AC10" i="12" l="1"/>
  <c r="AI10" i="12"/>
  <c r="AK10" i="12"/>
  <c r="Y10" i="12"/>
  <c r="Q10" i="12"/>
  <c r="AE10" i="12"/>
  <c r="AA10" i="12"/>
  <c r="AG10" i="12"/>
  <c r="U10" i="12"/>
  <c r="S10" i="12"/>
  <c r="D12" i="12"/>
  <c r="AJ11" i="12"/>
  <c r="AH11" i="12"/>
  <c r="AD11" i="12"/>
  <c r="N11" i="12"/>
  <c r="B13" i="12"/>
  <c r="F12" i="12"/>
  <c r="I12" i="12"/>
  <c r="G12" i="12"/>
  <c r="H12" i="12"/>
  <c r="R11" i="12"/>
  <c r="V11" i="12"/>
  <c r="P11" i="12"/>
  <c r="T11" i="12"/>
  <c r="AF11" i="12"/>
  <c r="X11" i="12"/>
  <c r="K11" i="12"/>
  <c r="AC11" i="12" s="1"/>
  <c r="J12" i="12"/>
  <c r="Z11" i="12"/>
  <c r="C12" i="11"/>
  <c r="D12" i="11"/>
  <c r="AI11" i="12" l="1"/>
  <c r="AG11" i="12"/>
  <c r="AK11" i="12"/>
  <c r="AA11" i="12"/>
  <c r="O11" i="12"/>
  <c r="AE11" i="12"/>
  <c r="U11" i="12"/>
  <c r="W11" i="12"/>
  <c r="Y11" i="12"/>
  <c r="Q11" i="12"/>
  <c r="S11" i="12"/>
  <c r="D13" i="12"/>
  <c r="C13" i="12"/>
  <c r="J13" i="12" s="1"/>
  <c r="K12" i="12"/>
  <c r="L12" i="11"/>
  <c r="I12" i="11"/>
  <c r="G12" i="11"/>
  <c r="H12" i="11"/>
  <c r="F12" i="11"/>
  <c r="B13" i="11"/>
  <c r="B14" i="12" l="1"/>
  <c r="D14" i="12" s="1"/>
  <c r="F13" i="12"/>
  <c r="H13" i="12"/>
  <c r="I13" i="12"/>
  <c r="K13" i="12" s="1"/>
  <c r="AH12" i="12" s="1"/>
  <c r="AI12" i="12" s="1"/>
  <c r="G13" i="12"/>
  <c r="D13" i="11"/>
  <c r="C13" i="11"/>
  <c r="AB12" i="12" l="1"/>
  <c r="AC12" i="12" s="1"/>
  <c r="X12" i="12"/>
  <c r="Y12" i="12" s="1"/>
  <c r="AJ12" i="12"/>
  <c r="AK12" i="12" s="1"/>
  <c r="AF12" i="12"/>
  <c r="AG12" i="12" s="1"/>
  <c r="T12" i="12"/>
  <c r="U12" i="12" s="1"/>
  <c r="P12" i="12"/>
  <c r="Q12" i="12" s="1"/>
  <c r="C14" i="12"/>
  <c r="J14" i="12" s="1"/>
  <c r="AD12" i="12"/>
  <c r="AE12" i="12" s="1"/>
  <c r="R12" i="12"/>
  <c r="S12" i="12" s="1"/>
  <c r="Z12" i="12"/>
  <c r="AA12" i="12" s="1"/>
  <c r="V12" i="12"/>
  <c r="W12" i="12" s="1"/>
  <c r="G13" i="11"/>
  <c r="F13" i="11"/>
  <c r="H13" i="11"/>
  <c r="L13" i="11"/>
  <c r="I13" i="11"/>
  <c r="B14" i="11"/>
  <c r="B15" i="12" l="1"/>
  <c r="D15" i="12" s="1"/>
  <c r="H14" i="12"/>
  <c r="G14" i="12"/>
  <c r="F14" i="12"/>
  <c r="I14" i="12"/>
  <c r="K14" i="12" s="1"/>
  <c r="C15" i="12"/>
  <c r="C14" i="11"/>
  <c r="D14" i="11"/>
  <c r="B16" i="12" l="1"/>
  <c r="D16" i="12" s="1"/>
  <c r="J15" i="12"/>
  <c r="I15" i="12"/>
  <c r="H15" i="12"/>
  <c r="F15" i="12"/>
  <c r="G14" i="11"/>
  <c r="H14" i="11"/>
  <c r="I14" i="11"/>
  <c r="F14" i="11"/>
  <c r="L14" i="11"/>
  <c r="B15" i="11"/>
  <c r="C16" i="12" l="1"/>
  <c r="J16" i="12" s="1"/>
  <c r="K15" i="12"/>
  <c r="G15" i="12"/>
  <c r="D15" i="11"/>
  <c r="C15" i="11"/>
  <c r="I16" i="12" l="1"/>
  <c r="K16" i="12" s="1"/>
  <c r="B17" i="12"/>
  <c r="D17" i="12" s="1"/>
  <c r="F16" i="12"/>
  <c r="H16" i="12"/>
  <c r="C17" i="12"/>
  <c r="B16" i="11"/>
  <c r="C16" i="11" s="1"/>
  <c r="H15" i="11"/>
  <c r="I15" i="11"/>
  <c r="L15" i="11"/>
  <c r="G15" i="11"/>
  <c r="F15" i="11"/>
  <c r="F17" i="12" l="1"/>
  <c r="J17" i="12"/>
  <c r="I17" i="12"/>
  <c r="H17" i="12"/>
  <c r="B18" i="12"/>
  <c r="C18" i="12" s="1"/>
  <c r="D16" i="11"/>
  <c r="B17" i="11"/>
  <c r="G16" i="11"/>
  <c r="H16" i="11"/>
  <c r="F16" i="11"/>
  <c r="I16" i="11"/>
  <c r="L16" i="11"/>
  <c r="G16" i="12"/>
  <c r="K17" i="12" l="1"/>
  <c r="J18" i="12"/>
  <c r="D18" i="12"/>
  <c r="G17" i="12"/>
  <c r="B19" i="12"/>
  <c r="H18" i="12"/>
  <c r="I18" i="12"/>
  <c r="F18" i="12"/>
  <c r="C17" i="11"/>
  <c r="D17" i="11"/>
  <c r="K18" i="12" l="1"/>
  <c r="D19" i="12"/>
  <c r="C19" i="12"/>
  <c r="B18" i="11"/>
  <c r="F17" i="11"/>
  <c r="L17" i="11"/>
  <c r="G17" i="11"/>
  <c r="H17" i="11"/>
  <c r="I17" i="11"/>
  <c r="E19" i="12" l="1"/>
  <c r="C18" i="11"/>
  <c r="G18" i="12"/>
  <c r="D18" i="11"/>
  <c r="B20" i="12"/>
  <c r="H19" i="12"/>
  <c r="F19" i="12"/>
  <c r="I19" i="12"/>
  <c r="J19" i="12"/>
  <c r="AB19" i="12" l="1"/>
  <c r="X19" i="12"/>
  <c r="AH19" i="12"/>
  <c r="AD19" i="12"/>
  <c r="Z19" i="12"/>
  <c r="R19" i="12"/>
  <c r="N19" i="12"/>
  <c r="V19" i="12"/>
  <c r="AF19" i="12"/>
  <c r="K19" i="12"/>
  <c r="AC19" i="12" s="1"/>
  <c r="T19" i="12"/>
  <c r="AJ19" i="12"/>
  <c r="P19" i="12"/>
  <c r="D20" i="12"/>
  <c r="C20" i="12"/>
  <c r="B19" i="11"/>
  <c r="G18" i="11"/>
  <c r="F18" i="11"/>
  <c r="I18" i="11"/>
  <c r="H18" i="11"/>
  <c r="L18" i="11"/>
  <c r="U19" i="12" l="1"/>
  <c r="W19" i="12" s="1"/>
  <c r="AG19" i="12"/>
  <c r="S19" i="12"/>
  <c r="AI19" i="12"/>
  <c r="AK19" i="12" s="1"/>
  <c r="AA19" i="12"/>
  <c r="AE19" i="12"/>
  <c r="Q19" i="12"/>
  <c r="O19" i="12"/>
  <c r="Y19" i="12"/>
  <c r="C19" i="11"/>
  <c r="D19" i="11"/>
  <c r="G19" i="12"/>
  <c r="B21" i="12"/>
  <c r="I20" i="12"/>
  <c r="H20" i="12"/>
  <c r="F20" i="12"/>
  <c r="J20" i="12"/>
  <c r="K20" i="12" l="1"/>
  <c r="L20" i="12"/>
  <c r="C21" i="12"/>
  <c r="D21" i="12"/>
  <c r="B20" i="11"/>
  <c r="L19" i="11"/>
  <c r="E19" i="11"/>
  <c r="G19" i="11"/>
  <c r="I19" i="11"/>
  <c r="F19" i="11"/>
  <c r="H19" i="11"/>
  <c r="C20" i="11" l="1"/>
  <c r="D20" i="11"/>
  <c r="G20" i="12"/>
  <c r="B22" i="12"/>
  <c r="F21" i="12"/>
  <c r="I21" i="12"/>
  <c r="H21" i="12"/>
  <c r="J21" i="12"/>
  <c r="D22" i="12" l="1"/>
  <c r="C22" i="12"/>
  <c r="K21" i="12"/>
  <c r="B21" i="11"/>
  <c r="G20" i="11"/>
  <c r="L20" i="11"/>
  <c r="F20" i="11"/>
  <c r="H20" i="11"/>
  <c r="I20" i="11"/>
  <c r="B23" i="12" l="1"/>
  <c r="F22" i="12"/>
  <c r="H22" i="12"/>
  <c r="I22" i="12"/>
  <c r="C21" i="11"/>
  <c r="D21" i="11"/>
  <c r="G21" i="12"/>
  <c r="J22" i="12"/>
  <c r="B22" i="11" l="1"/>
  <c r="G21" i="11"/>
  <c r="H21" i="11"/>
  <c r="F21" i="11"/>
  <c r="I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I23" i="12"/>
  <c r="F23" i="12"/>
  <c r="J23" i="12"/>
  <c r="D22" i="11"/>
  <c r="C22" i="11"/>
  <c r="G22" i="12"/>
  <c r="T23" i="12" l="1"/>
  <c r="Z23" i="12"/>
  <c r="R23" i="12"/>
  <c r="N23" i="12"/>
  <c r="K23" i="12"/>
  <c r="AH23" i="12"/>
  <c r="AD23" i="12"/>
  <c r="AJ23" i="12"/>
  <c r="AB23" i="12"/>
  <c r="P23" i="12"/>
  <c r="X23" i="12"/>
  <c r="AF23" i="12"/>
  <c r="V23" i="12"/>
  <c r="B23" i="11"/>
  <c r="G22" i="11"/>
  <c r="I22" i="11"/>
  <c r="F22" i="11"/>
  <c r="L22" i="11"/>
  <c r="H22" i="11"/>
  <c r="C24" i="12"/>
  <c r="D24" i="12"/>
  <c r="AK23" i="12" l="1"/>
  <c r="AG23" i="12"/>
  <c r="AC23" i="12"/>
  <c r="AI23" i="12"/>
  <c r="U23" i="12"/>
  <c r="AA23" i="12"/>
  <c r="AE23" i="12"/>
  <c r="S23" i="12"/>
  <c r="Q23" i="12"/>
  <c r="O23" i="12"/>
  <c r="W23" i="12"/>
  <c r="Y23" i="12"/>
  <c r="J24" i="12"/>
  <c r="C23" i="11"/>
  <c r="D23" i="11"/>
  <c r="G23" i="12"/>
  <c r="B25" i="12"/>
  <c r="H24" i="12"/>
  <c r="F24" i="12"/>
  <c r="I24" i="12"/>
  <c r="E24" i="12"/>
  <c r="AI24" i="12" l="1"/>
  <c r="Z24" i="12"/>
  <c r="O24" i="12"/>
  <c r="L24" i="12"/>
  <c r="T24" i="12"/>
  <c r="U24" i="12" s="1"/>
  <c r="AD24" i="12"/>
  <c r="AE24" i="12" s="1"/>
  <c r="K24" i="12"/>
  <c r="V24" i="12"/>
  <c r="W24" i="12" s="1"/>
  <c r="P24" i="12"/>
  <c r="Q24" i="12" s="1"/>
  <c r="AF24" i="12"/>
  <c r="AG24" i="12" s="1"/>
  <c r="AA24" i="12"/>
  <c r="R24" i="12"/>
  <c r="S24" i="12" s="1"/>
  <c r="AC24" i="12"/>
  <c r="X24" i="12"/>
  <c r="AH24" i="12"/>
  <c r="AJ24" i="12"/>
  <c r="AK24" i="12" s="1"/>
  <c r="N24" i="12"/>
  <c r="Y24" i="12"/>
  <c r="AB24" i="12"/>
  <c r="C25" i="12"/>
  <c r="D25" i="12"/>
  <c r="B24" i="11"/>
  <c r="I23" i="11"/>
  <c r="G23" i="11"/>
  <c r="F23" i="11"/>
  <c r="H23" i="11"/>
  <c r="L23" i="11"/>
  <c r="D24" i="11" l="1"/>
  <c r="C24" i="11"/>
  <c r="G24" i="12"/>
  <c r="B26" i="12"/>
  <c r="F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D26" i="12"/>
  <c r="J26" i="12" l="1"/>
  <c r="AG26" i="12" s="1"/>
  <c r="B27" i="12"/>
  <c r="I26" i="12"/>
  <c r="F26" i="12"/>
  <c r="H26" i="12"/>
  <c r="C25" i="11"/>
  <c r="D25" i="11"/>
  <c r="G25" i="12"/>
  <c r="Z26" i="12" l="1"/>
  <c r="T26" i="12"/>
  <c r="AI26" i="12"/>
  <c r="AK26" i="12"/>
  <c r="AF26" i="12"/>
  <c r="R26" i="12"/>
  <c r="S26" i="12" s="1"/>
  <c r="AA26" i="12"/>
  <c r="AH26" i="12"/>
  <c r="X26" i="12"/>
  <c r="O26" i="12"/>
  <c r="Q26" i="12"/>
  <c r="AB26" i="12"/>
  <c r="AC26" i="12" s="1"/>
  <c r="U26" i="12"/>
  <c r="Y26" i="12"/>
  <c r="AD26" i="12"/>
  <c r="L26" i="12"/>
  <c r="P26" i="12"/>
  <c r="N26" i="12"/>
  <c r="AE26" i="12"/>
  <c r="AJ26" i="12"/>
  <c r="K26" i="12"/>
  <c r="V26" i="12"/>
  <c r="W26" i="12"/>
  <c r="B26" i="11"/>
  <c r="L25" i="11"/>
  <c r="G25" i="11"/>
  <c r="F25" i="11"/>
  <c r="H25" i="11"/>
  <c r="I25" i="11"/>
  <c r="C27" i="12"/>
  <c r="D27" i="12"/>
  <c r="B28" i="12" l="1"/>
  <c r="H27" i="12"/>
  <c r="I27" i="12"/>
  <c r="F27" i="12"/>
  <c r="J27" i="12"/>
  <c r="E27" i="12"/>
  <c r="D26" i="11"/>
  <c r="C26" i="11"/>
  <c r="G26" i="12"/>
  <c r="B27" i="11" l="1"/>
  <c r="F26" i="11"/>
  <c r="I26" i="11"/>
  <c r="G26" i="11"/>
  <c r="H26" i="11"/>
  <c r="L26" i="11"/>
  <c r="X27" i="12"/>
  <c r="AB27" i="12"/>
  <c r="K27" i="12"/>
  <c r="AG27" i="12" s="1"/>
  <c r="R27" i="12"/>
  <c r="AD27" i="12"/>
  <c r="P27" i="12"/>
  <c r="AH27" i="12"/>
  <c r="N27" i="12"/>
  <c r="AJ27" i="12"/>
  <c r="T27" i="12"/>
  <c r="AF27" i="12"/>
  <c r="Z27" i="12"/>
  <c r="V27" i="12"/>
  <c r="D28" i="12"/>
  <c r="C28" i="12"/>
  <c r="AE27" i="12" l="1"/>
  <c r="S27" i="12"/>
  <c r="U27" i="12"/>
  <c r="AA27" i="12"/>
  <c r="AK27" i="12"/>
  <c r="Q27" i="12"/>
  <c r="W27" i="12"/>
  <c r="AC27" i="12"/>
  <c r="O27" i="12"/>
  <c r="Y27" i="12"/>
  <c r="AI27" i="12"/>
  <c r="E28" i="12"/>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D31" i="12"/>
  <c r="C31" i="12"/>
  <c r="J31" i="12" l="1"/>
  <c r="AD31" i="12" s="1"/>
  <c r="E31" i="12"/>
  <c r="B32" i="12"/>
  <c r="I31" i="12"/>
  <c r="F31" i="12"/>
  <c r="H31" i="12"/>
  <c r="D30" i="11"/>
  <c r="C30" i="11"/>
  <c r="G30" i="12"/>
  <c r="Z31" i="12" l="1"/>
  <c r="V31" i="12"/>
  <c r="X31" i="12"/>
  <c r="AH31" i="12"/>
  <c r="AF31" i="12"/>
  <c r="N31" i="12"/>
  <c r="P31" i="12"/>
  <c r="AB31" i="12"/>
  <c r="AJ31" i="12"/>
  <c r="T31" i="12"/>
  <c r="K31" i="12"/>
  <c r="O31" i="12" s="1"/>
  <c r="R31" i="12"/>
  <c r="B31" i="11"/>
  <c r="L30" i="11"/>
  <c r="I30" i="11"/>
  <c r="G30" i="11"/>
  <c r="H30" i="11"/>
  <c r="F30" i="11"/>
  <c r="C32" i="12"/>
  <c r="D32" i="12"/>
  <c r="U31" i="12" l="1"/>
  <c r="Q31" i="12"/>
  <c r="AG31" i="12"/>
  <c r="AK31" i="12"/>
  <c r="AC31" i="12"/>
  <c r="W31" i="12"/>
  <c r="S31" i="12"/>
  <c r="AI31" i="12"/>
  <c r="Y31" i="12"/>
  <c r="AA31" i="12"/>
  <c r="AE31" i="12"/>
  <c r="E32" i="12"/>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l="1"/>
  <c r="AH33" i="12" s="1"/>
  <c r="AI33" i="12" s="1"/>
  <c r="AG33" i="12"/>
  <c r="U33" i="12"/>
  <c r="AD33" i="12"/>
  <c r="L33" i="12"/>
  <c r="B34" i="12"/>
  <c r="H33" i="12"/>
  <c r="F33" i="12"/>
  <c r="I33" i="12"/>
  <c r="D32" i="11"/>
  <c r="C32" i="11"/>
  <c r="G32" i="12"/>
  <c r="K33" i="12" l="1"/>
  <c r="AB33" i="12"/>
  <c r="V33" i="12"/>
  <c r="T33" i="12"/>
  <c r="O33" i="12"/>
  <c r="AK33" i="12"/>
  <c r="W33" i="12"/>
  <c r="Z33" i="12"/>
  <c r="Q33" i="12"/>
  <c r="AC33" i="12"/>
  <c r="AE33" i="12"/>
  <c r="AF33" i="12"/>
  <c r="R33" i="12"/>
  <c r="S33" i="12" s="1"/>
  <c r="X33" i="12"/>
  <c r="Y33" i="12" s="1"/>
  <c r="N33" i="12"/>
  <c r="P33" i="12"/>
  <c r="AJ33" i="12"/>
  <c r="AA33" i="12"/>
  <c r="E32" i="11"/>
  <c r="B33" i="11"/>
  <c r="L32" i="11"/>
  <c r="I32" i="11"/>
  <c r="F32" i="11"/>
  <c r="H32" i="11"/>
  <c r="G32" i="11"/>
  <c r="D34" i="12"/>
  <c r="C34" i="12"/>
  <c r="B35" i="12" l="1"/>
  <c r="I34" i="12"/>
  <c r="H34" i="12"/>
  <c r="F34" i="12"/>
  <c r="J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C35" i="12"/>
  <c r="D35" i="12"/>
  <c r="B36" i="12" l="1"/>
  <c r="I35" i="12"/>
  <c r="H35" i="12"/>
  <c r="F35" i="12"/>
  <c r="J35" i="12"/>
  <c r="E35" i="12"/>
  <c r="C34" i="11"/>
  <c r="D34" i="11"/>
  <c r="G34" i="12"/>
  <c r="AJ35" i="12" l="1"/>
  <c r="Z35" i="12"/>
  <c r="T35" i="12"/>
  <c r="AF35" i="12"/>
  <c r="AB35" i="12"/>
  <c r="P35" i="12"/>
  <c r="AD35" i="12"/>
  <c r="X35" i="12"/>
  <c r="R35" i="12"/>
  <c r="N35" i="12"/>
  <c r="V35" i="12"/>
  <c r="K35" i="12"/>
  <c r="U35" i="12" s="1"/>
  <c r="AH35" i="12"/>
  <c r="B35" i="11"/>
  <c r="L34" i="11"/>
  <c r="H34" i="11"/>
  <c r="G34" i="11"/>
  <c r="I34" i="11"/>
  <c r="F34" i="11"/>
  <c r="C36" i="12"/>
  <c r="D36" i="12"/>
  <c r="AC35" i="12" l="1"/>
  <c r="O35" i="12"/>
  <c r="S35" i="12"/>
  <c r="AI35" i="12"/>
  <c r="AE35" i="12"/>
  <c r="AG35" i="12"/>
  <c r="AK35" i="12"/>
  <c r="Q35" i="12"/>
  <c r="W35" i="12"/>
  <c r="Y35" i="12"/>
  <c r="AA35" i="12"/>
  <c r="J36" i="12"/>
  <c r="AE36" i="12" s="1"/>
  <c r="E36" i="12"/>
  <c r="D35" i="11"/>
  <c r="C35" i="11"/>
  <c r="G35" i="12"/>
  <c r="B37" i="12"/>
  <c r="I36" i="12"/>
  <c r="H36" i="12"/>
  <c r="F36" i="12"/>
  <c r="R36" i="12" l="1"/>
  <c r="S36" i="12" s="1"/>
  <c r="Z36" i="12"/>
  <c r="N36" i="12"/>
  <c r="K36" i="12"/>
  <c r="L36" i="12"/>
  <c r="AI36" i="12"/>
  <c r="AK36" i="12"/>
  <c r="W36" i="12"/>
  <c r="O36" i="12"/>
  <c r="AB36" i="12"/>
  <c r="AC36" i="12" s="1"/>
  <c r="Y36" i="12"/>
  <c r="V36" i="12"/>
  <c r="AA36" i="12"/>
  <c r="AH36" i="12"/>
  <c r="P36" i="12"/>
  <c r="AG36" i="12"/>
  <c r="X36" i="12"/>
  <c r="AD36" i="12"/>
  <c r="AF36" i="12"/>
  <c r="Q36" i="12"/>
  <c r="T36" i="12"/>
  <c r="U36" i="12" s="1"/>
  <c r="AJ36" i="12"/>
  <c r="E35" i="11"/>
  <c r="D37" i="12"/>
  <c r="C37" i="12"/>
  <c r="B36" i="11"/>
  <c r="H35" i="11"/>
  <c r="L35" i="11"/>
  <c r="I35" i="11"/>
  <c r="G35" i="11"/>
  <c r="F35" i="11"/>
  <c r="D36" i="11" l="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B39" i="12" l="1"/>
  <c r="I38" i="12"/>
  <c r="H38" i="12"/>
  <c r="F38" i="12"/>
  <c r="J38" i="12"/>
  <c r="C37" i="11"/>
  <c r="D37" i="11"/>
  <c r="G37" i="12"/>
  <c r="B38" i="11" l="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B39" i="11" l="1"/>
  <c r="H38" i="11"/>
  <c r="I38" i="11"/>
  <c r="F38" i="11"/>
  <c r="L38" i="11"/>
  <c r="G38" i="11"/>
  <c r="V39" i="12"/>
  <c r="AF39" i="12"/>
  <c r="AD39" i="12"/>
  <c r="AJ39" i="12"/>
  <c r="X39" i="12"/>
  <c r="R39" i="12"/>
  <c r="AH39" i="12"/>
  <c r="T39" i="12"/>
  <c r="AB39" i="12"/>
  <c r="K39" i="12"/>
  <c r="N39" i="12"/>
  <c r="Z39" i="12"/>
  <c r="P39" i="12"/>
  <c r="C40" i="12"/>
  <c r="D40" i="12"/>
  <c r="E40" i="12" s="1"/>
  <c r="AK39" i="12" l="1"/>
  <c r="AC39" i="12"/>
  <c r="AE39" i="12"/>
  <c r="AG39" i="12"/>
  <c r="W39" i="12"/>
  <c r="U39" i="12"/>
  <c r="S39" i="12"/>
  <c r="AA39" i="12"/>
  <c r="Q39" i="12"/>
  <c r="AI39" i="12"/>
  <c r="Y39" i="12"/>
  <c r="O39" i="12"/>
  <c r="B41" i="12"/>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l="1"/>
  <c r="AJ41" i="12" s="1"/>
  <c r="B42" i="12"/>
  <c r="F41" i="12"/>
  <c r="I41" i="12"/>
  <c r="H41" i="12"/>
  <c r="D40" i="11"/>
  <c r="C40" i="11"/>
  <c r="G40" i="12"/>
  <c r="P41" i="12" l="1"/>
  <c r="AB41" i="12"/>
  <c r="L41" i="12"/>
  <c r="X41" i="12"/>
  <c r="W41" i="12"/>
  <c r="V41" i="12"/>
  <c r="AH41" i="12"/>
  <c r="N41" i="12"/>
  <c r="O41" i="12" s="1"/>
  <c r="AK41" i="12"/>
  <c r="K41" i="12"/>
  <c r="AI41" i="12" s="1"/>
  <c r="AD41" i="12"/>
  <c r="Q41" i="12"/>
  <c r="Y41" i="12"/>
  <c r="R41" i="12"/>
  <c r="S41" i="12" s="1"/>
  <c r="AC41" i="12"/>
  <c r="Z41" i="12"/>
  <c r="AA41" i="12" s="1"/>
  <c r="AF41" i="12"/>
  <c r="AG41" i="12" s="1"/>
  <c r="T41" i="12"/>
  <c r="U41" i="12" s="1"/>
  <c r="AE41" i="12"/>
  <c r="C42" i="12"/>
  <c r="D42" i="12"/>
  <c r="B41" i="11"/>
  <c r="G40" i="11"/>
  <c r="L40" i="11"/>
  <c r="F40" i="11"/>
  <c r="H40" i="11"/>
  <c r="I40" i="11"/>
  <c r="E40" i="11"/>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E20" i="12" l="1"/>
  <c r="E15" i="12"/>
  <c r="E16" i="12"/>
  <c r="E23" i="12"/>
  <c r="E30" i="12"/>
  <c r="E33" i="12"/>
  <c r="E34" i="12"/>
  <c r="E37" i="12"/>
  <c r="E38" i="12"/>
  <c r="E41" i="12"/>
  <c r="E14" i="12"/>
  <c r="E13" i="12"/>
  <c r="E17" i="12"/>
  <c r="E18" i="12"/>
  <c r="E21" i="12"/>
  <c r="E22" i="12"/>
  <c r="E25" i="12"/>
  <c r="E26" i="12"/>
  <c r="E29" i="12"/>
  <c r="E10" i="12"/>
  <c r="J68" i="12"/>
  <c r="E9" i="12"/>
  <c r="G68" i="12" a="1"/>
  <c r="G68" i="12" s="1"/>
  <c r="E68" i="12"/>
  <c r="H68" i="12"/>
  <c r="I68" i="12"/>
  <c r="F68" i="12"/>
  <c r="B67" i="11"/>
  <c r="H66" i="11"/>
  <c r="I66" i="11"/>
  <c r="F66" i="11"/>
  <c r="G66" i="11"/>
  <c r="L66" i="11"/>
  <c r="E66" i="11"/>
  <c r="L10" i="12" l="1"/>
  <c r="N10" i="12" s="1"/>
  <c r="O10" i="12" s="1"/>
  <c r="L8" i="12"/>
  <c r="L21" i="12" s="1"/>
  <c r="L9" i="12"/>
  <c r="L31" i="12"/>
  <c r="L35" i="12"/>
  <c r="L39" i="12"/>
  <c r="R68" i="12"/>
  <c r="S68" i="12" s="1"/>
  <c r="L11" i="12"/>
  <c r="L15" i="12"/>
  <c r="L19" i="12"/>
  <c r="L23" i="12"/>
  <c r="L27"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L17" i="12" l="1"/>
  <c r="L16" i="12"/>
  <c r="L14" i="12"/>
  <c r="L13" i="12"/>
  <c r="L18" i="12" s="1"/>
  <c r="N12" i="12"/>
  <c r="O12" i="12" s="1"/>
  <c r="B68" i="11"/>
  <c r="H67" i="11"/>
  <c r="G67" i="11"/>
  <c r="F67" i="11"/>
  <c r="L67" i="11"/>
  <c r="I67" i="11"/>
  <c r="N13" i="12" l="1"/>
  <c r="O13" i="12"/>
  <c r="P13" i="12"/>
  <c r="D68" i="11"/>
  <c r="C68" i="11"/>
  <c r="N14" i="12" l="1"/>
  <c r="O14" i="12"/>
  <c r="Q13" i="12"/>
  <c r="R13" i="12"/>
  <c r="E68" i="11"/>
  <c r="B69" i="11"/>
  <c r="G68" i="11"/>
  <c r="L68" i="11"/>
  <c r="I68" i="11"/>
  <c r="F68" i="11"/>
  <c r="H68" i="11"/>
  <c r="N15" i="12" l="1"/>
  <c r="P14" i="12"/>
  <c r="Q14" i="12" s="1"/>
  <c r="S13" i="12"/>
  <c r="T13" i="12"/>
  <c r="D69" i="11"/>
  <c r="C69" i="11"/>
  <c r="O15" i="12" l="1"/>
  <c r="P15" i="12"/>
  <c r="Q15" i="12" s="1"/>
  <c r="R14" i="12"/>
  <c r="U13" i="12"/>
  <c r="V13" i="12"/>
  <c r="B70" i="11"/>
  <c r="F69" i="11"/>
  <c r="G69" i="11"/>
  <c r="L69" i="11"/>
  <c r="I69" i="11"/>
  <c r="H69" i="11"/>
  <c r="E69" i="11"/>
  <c r="P16" i="12" l="1"/>
  <c r="Q16" i="12" s="1"/>
  <c r="N16" i="12"/>
  <c r="S14" i="12"/>
  <c r="T14" i="12"/>
  <c r="U14" i="12" s="1"/>
  <c r="W13" i="12"/>
  <c r="X13" i="12"/>
  <c r="D70" i="11"/>
  <c r="E70" i="11" s="1"/>
  <c r="C70" i="11"/>
  <c r="O16" i="12" l="1"/>
  <c r="O18" i="12" s="1"/>
  <c r="Q18" i="12" s="1"/>
  <c r="P17" i="12"/>
  <c r="O21" i="12"/>
  <c r="N20" i="12"/>
  <c r="N21" i="12" s="1"/>
  <c r="P20" i="12"/>
  <c r="P21" i="12" s="1"/>
  <c r="T15" i="12"/>
  <c r="U15" i="12" s="1"/>
  <c r="R15" i="12"/>
  <c r="S15" i="12" s="1"/>
  <c r="V14" i="12"/>
  <c r="W14" i="12"/>
  <c r="Y13" i="12"/>
  <c r="Z13" i="12"/>
  <c r="B71" i="11"/>
  <c r="I70" i="11"/>
  <c r="F70" i="11"/>
  <c r="G70" i="11"/>
  <c r="L70" i="11"/>
  <c r="H70" i="11"/>
  <c r="Q17" i="12" l="1"/>
  <c r="Q20" i="12" s="1"/>
  <c r="N17" i="12"/>
  <c r="Q21" i="12"/>
  <c r="R16" i="12"/>
  <c r="T16" i="12"/>
  <c r="U16" i="12" s="1"/>
  <c r="S21" i="12"/>
  <c r="V15" i="12"/>
  <c r="X14" i="12"/>
  <c r="AA13" i="12"/>
  <c r="AB13" i="12"/>
  <c r="D71" i="11"/>
  <c r="C71" i="11"/>
  <c r="O17" i="12" l="1"/>
  <c r="O20" i="12" s="1"/>
  <c r="N18" i="12"/>
  <c r="P18" i="12" s="1"/>
  <c r="S16" i="12"/>
  <c r="W15" i="12"/>
  <c r="R20" i="12"/>
  <c r="R21" i="12" s="1"/>
  <c r="U17" i="12"/>
  <c r="T17" i="12"/>
  <c r="T20" i="12"/>
  <c r="T21" i="12" s="1"/>
  <c r="U21" i="12"/>
  <c r="U20" i="12"/>
  <c r="Y14" i="12"/>
  <c r="Z14" i="12"/>
  <c r="AC13" i="12"/>
  <c r="AD13" i="12"/>
  <c r="B72" i="11"/>
  <c r="I71" i="11"/>
  <c r="F71" i="11"/>
  <c r="H71" i="11"/>
  <c r="L71" i="11"/>
  <c r="G71" i="11"/>
  <c r="E71" i="11"/>
  <c r="S18" i="12" l="1"/>
  <c r="U18" i="12" s="1"/>
  <c r="S17" i="12"/>
  <c r="S20" i="12" s="1"/>
  <c r="R17" i="12"/>
  <c r="R18" i="12" s="1"/>
  <c r="T18" i="12" s="1"/>
  <c r="V16" i="12"/>
  <c r="W20" i="12"/>
  <c r="W21" i="12"/>
  <c r="V20" i="12"/>
  <c r="V21" i="12" s="1"/>
  <c r="AA14" i="12"/>
  <c r="X15" i="12"/>
  <c r="AB14" i="12"/>
  <c r="AE13" i="12"/>
  <c r="AF13" i="12"/>
  <c r="C72" i="11"/>
  <c r="D72" i="11"/>
  <c r="E72" i="11" s="1"/>
  <c r="W16" i="12" l="1"/>
  <c r="Y15" i="12"/>
  <c r="Z15" i="12"/>
  <c r="AA15" i="12"/>
  <c r="AC14" i="12"/>
  <c r="AD14" i="12"/>
  <c r="AE14" i="12" s="1"/>
  <c r="AG13" i="12"/>
  <c r="AH13" i="12"/>
  <c r="B73" i="11"/>
  <c r="L72" i="11"/>
  <c r="G72" i="11"/>
  <c r="H72" i="11"/>
  <c r="F72" i="11"/>
  <c r="I72" i="11"/>
  <c r="AB15" i="12" l="1"/>
  <c r="AC15" i="12" s="1"/>
  <c r="W18" i="12"/>
  <c r="W17" i="12"/>
  <c r="V17" i="12"/>
  <c r="V18" i="12" s="1"/>
  <c r="Z16" i="12"/>
  <c r="AA16" i="12" s="1"/>
  <c r="X16" i="12"/>
  <c r="Y16" i="12" s="1"/>
  <c r="Y18" i="12" s="1"/>
  <c r="AD15" i="12"/>
  <c r="AF14" i="12"/>
  <c r="AI13" i="12"/>
  <c r="AJ13" i="12"/>
  <c r="D73" i="11"/>
  <c r="C73" i="11"/>
  <c r="AA18" i="12" l="1"/>
  <c r="AB16" i="12"/>
  <c r="X17" i="12"/>
  <c r="Y21" i="12"/>
  <c r="Z17" i="12"/>
  <c r="AA17" i="12"/>
  <c r="X20" i="12"/>
  <c r="X21" i="12" s="1"/>
  <c r="AE15" i="12"/>
  <c r="AC16" i="12"/>
  <c r="AC18" i="12" s="1"/>
  <c r="AG14" i="12"/>
  <c r="AH14" i="12"/>
  <c r="AI14" i="12" s="1"/>
  <c r="AK13" i="12"/>
  <c r="AJ14" i="12"/>
  <c r="B74" i="11"/>
  <c r="L73" i="11"/>
  <c r="I73" i="11"/>
  <c r="H73" i="11"/>
  <c r="G73" i="11"/>
  <c r="F73" i="11"/>
  <c r="E73" i="11"/>
  <c r="AB17" i="12" l="1"/>
  <c r="AF15" i="12"/>
  <c r="Y17" i="12"/>
  <c r="Y20" i="12" s="1"/>
  <c r="X18" i="12"/>
  <c r="Z18" i="12" s="1"/>
  <c r="AC17" i="12"/>
  <c r="AB20" i="12"/>
  <c r="AC20" i="12"/>
  <c r="AA20" i="12"/>
  <c r="AA21" i="12"/>
  <c r="AC21" i="12" s="1"/>
  <c r="Z20" i="12"/>
  <c r="Z21" i="12" s="1"/>
  <c r="AD16" i="12"/>
  <c r="AG15" i="12"/>
  <c r="AF16" i="12" s="1"/>
  <c r="AG16" i="12" s="1"/>
  <c r="AH15" i="12"/>
  <c r="AK14" i="12"/>
  <c r="D74" i="11"/>
  <c r="C74" i="11"/>
  <c r="AE16" i="12" l="1"/>
  <c r="AB18" i="12"/>
  <c r="AE20" i="12"/>
  <c r="AE21" i="12"/>
  <c r="AD20" i="12"/>
  <c r="AF17" i="12"/>
  <c r="AB21" i="12"/>
  <c r="AD21" i="12" s="1"/>
  <c r="AI15" i="12"/>
  <c r="AF20" i="12"/>
  <c r="AF21" i="12" s="1"/>
  <c r="AJ15" i="12"/>
  <c r="E74" i="11"/>
  <c r="B75" i="11"/>
  <c r="L74" i="11"/>
  <c r="H74" i="11"/>
  <c r="G74" i="11"/>
  <c r="F74" i="11"/>
  <c r="I74" i="11"/>
  <c r="AG17" i="12" l="1"/>
  <c r="AG20" i="12" s="1"/>
  <c r="AE18" i="12"/>
  <c r="AG18" i="12" s="1"/>
  <c r="AE17" i="12"/>
  <c r="AD17" i="12"/>
  <c r="AD18" i="12" s="1"/>
  <c r="AF18" i="12" s="1"/>
  <c r="AG21" i="12"/>
  <c r="AH16" i="12"/>
  <c r="AK15" i="12"/>
  <c r="C75" i="11"/>
  <c r="D75" i="11"/>
  <c r="AI16" i="12" l="1"/>
  <c r="AI18" i="12" s="1"/>
  <c r="AI21" i="12"/>
  <c r="AJ16" i="12"/>
  <c r="AI20" i="12"/>
  <c r="E75" i="11"/>
  <c r="B76" i="11"/>
  <c r="L75" i="11"/>
  <c r="I75" i="11"/>
  <c r="H75" i="11"/>
  <c r="G75" i="11"/>
  <c r="F75" i="11"/>
  <c r="AK16" i="12" l="1"/>
  <c r="AK18" i="12" s="1"/>
  <c r="AH17" i="12"/>
  <c r="AK21" i="12"/>
  <c r="AK20" i="12"/>
  <c r="AJ20" i="12"/>
  <c r="AJ21" i="12" s="1"/>
  <c r="C76" i="11"/>
  <c r="D76" i="11"/>
  <c r="E76" i="11" s="1"/>
  <c r="AI17" i="12" l="1"/>
  <c r="AH20" i="12" s="1"/>
  <c r="AH21" i="12" s="1"/>
  <c r="AH18" i="12"/>
  <c r="AJ17" i="12"/>
  <c r="B77" i="11"/>
  <c r="G76" i="11"/>
  <c r="F76" i="11"/>
  <c r="H76" i="11"/>
  <c r="L76" i="11"/>
  <c r="I76" i="11"/>
  <c r="AK17" i="12" l="1"/>
  <c r="AJ18" i="12"/>
  <c r="C77" i="1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20" i="11" l="1"/>
  <c r="E15" i="11"/>
  <c r="E16" i="11"/>
  <c r="E23" i="11"/>
  <c r="E12" i="11"/>
  <c r="E30" i="11"/>
  <c r="E33" i="11"/>
  <c r="E34" i="11"/>
  <c r="E37" i="11"/>
  <c r="E38" i="11"/>
  <c r="E41" i="11"/>
  <c r="E13" i="11"/>
  <c r="E17" i="11"/>
  <c r="E18" i="11"/>
  <c r="E21" i="11"/>
  <c r="E22" i="11"/>
  <c r="E25" i="11"/>
  <c r="E26" i="11"/>
  <c r="E29" i="11"/>
  <c r="E10" i="11"/>
  <c r="E9" i="11"/>
  <c r="E14" i="11"/>
  <c r="J105" i="11"/>
  <c r="K105" i="11" s="1"/>
  <c r="J65" i="11"/>
  <c r="K65" i="11" s="1"/>
  <c r="J67" i="11"/>
  <c r="K67" i="11" s="1"/>
  <c r="J11" i="11"/>
  <c r="J12" i="11" s="1"/>
  <c r="J53" i="11"/>
  <c r="K53" i="11" s="1"/>
  <c r="J62" i="11"/>
  <c r="K62" i="11" s="1"/>
  <c r="J63" i="11"/>
  <c r="J64" i="11" s="1"/>
  <c r="K64" i="11" s="1"/>
  <c r="J6" i="11"/>
  <c r="J31" i="11"/>
  <c r="J8" i="11"/>
  <c r="K8" i="11" s="1"/>
  <c r="J7" i="11"/>
  <c r="J57" i="11"/>
  <c r="K57" i="11" s="1"/>
  <c r="J59" i="11"/>
  <c r="K59" i="11" s="1"/>
  <c r="J40" i="11"/>
  <c r="K40" i="11" s="1"/>
  <c r="J52" i="11"/>
  <c r="K52" i="11" s="1"/>
  <c r="J50" i="11"/>
  <c r="K50" i="11" s="1"/>
  <c r="J44" i="11"/>
  <c r="K44" i="11" s="1"/>
  <c r="J49" i="11"/>
  <c r="K49" i="11" s="1"/>
  <c r="J66" i="11"/>
  <c r="K66" i="11" s="1"/>
  <c r="K7" i="11"/>
  <c r="J60" i="11"/>
  <c r="K60" i="11" s="1"/>
  <c r="K6" i="11"/>
  <c r="J42" i="11"/>
  <c r="K42" i="11" s="1"/>
  <c r="J56" i="11"/>
  <c r="K56" i="11" s="1"/>
  <c r="J24" i="11"/>
  <c r="K24" i="11" s="1"/>
  <c r="J27" i="11"/>
  <c r="K27" i="11" s="1"/>
  <c r="K63" i="11"/>
  <c r="J54" i="11"/>
  <c r="K54" i="11" s="1"/>
  <c r="J47" i="11"/>
  <c r="K47" i="11" s="1"/>
  <c r="J35" i="11"/>
  <c r="K35" i="11" s="1"/>
  <c r="J32" i="11"/>
  <c r="K32" i="11" s="1"/>
  <c r="J19" i="11"/>
  <c r="K19" i="11" s="1"/>
  <c r="J61" i="11"/>
  <c r="K61" i="11" s="1"/>
  <c r="J58" i="11"/>
  <c r="K58" i="11" s="1"/>
  <c r="J55" i="11"/>
  <c r="K55" i="11" s="1"/>
  <c r="J36" i="11"/>
  <c r="K36" i="11" s="1"/>
  <c r="J43" i="11"/>
  <c r="J46" i="11"/>
  <c r="K46" i="11" s="1"/>
  <c r="J48" i="11"/>
  <c r="K48" i="11" s="1"/>
  <c r="J45" i="11"/>
  <c r="K45"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20" i="11" l="1"/>
  <c r="J21" i="11" s="1"/>
  <c r="K21" i="11" s="1"/>
  <c r="J33" i="11"/>
  <c r="J41" i="11"/>
  <c r="K41" i="11" s="1"/>
  <c r="J37" i="11"/>
  <c r="J13" i="11"/>
  <c r="J14" i="11" s="1"/>
  <c r="J15" i="11" s="1"/>
  <c r="J22" i="11"/>
  <c r="J29" i="11"/>
  <c r="J25" i="11"/>
  <c r="K11" i="11"/>
  <c r="J9" i="11"/>
  <c r="J10" i="11" s="1"/>
  <c r="K10" i="11" s="1"/>
  <c r="K107" i="11"/>
  <c r="J16" i="11" l="1"/>
  <c r="K13" i="11"/>
  <c r="J23" i="11"/>
  <c r="K23" i="11" s="1"/>
  <c r="K37" i="11"/>
  <c r="J38" i="11"/>
  <c r="K38" i="11" s="1"/>
  <c r="K29" i="11"/>
  <c r="J30" i="11"/>
  <c r="K30" i="11" s="1"/>
  <c r="K14" i="11"/>
  <c r="K33" i="11"/>
  <c r="J34" i="11"/>
  <c r="K34" i="11" s="1"/>
  <c r="J26" i="11"/>
  <c r="K26" i="11" s="1"/>
  <c r="J18" i="11"/>
  <c r="K18" i="11" s="1"/>
  <c r="K9" i="11"/>
  <c r="K12" i="11" s="1"/>
  <c r="K25" i="11" s="1"/>
  <c r="K16" i="11" l="1"/>
  <c r="J17" i="11"/>
  <c r="K15" i="11"/>
  <c r="K17" i="11" s="1"/>
  <c r="K20" i="11"/>
  <c r="K22" i="11" s="1"/>
  <c r="K31" i="11"/>
  <c r="K43" i="11"/>
  <c r="C18" i="10"/>
  <c r="C39" i="10"/>
  <c r="C43" i="10"/>
  <c r="C99" i="10"/>
  <c r="C80" i="10"/>
  <c r="C48" i="10"/>
  <c r="C7" i="10"/>
  <c r="C13" i="10"/>
  <c r="C21" i="10"/>
  <c r="C45" i="10"/>
  <c r="C26" i="10"/>
  <c r="C101" i="10"/>
  <c r="C76" i="10"/>
  <c r="C44" i="10"/>
  <c r="C53" i="10"/>
  <c r="C46" i="10"/>
  <c r="C33" i="10"/>
  <c r="C89" i="10"/>
  <c r="C74" i="10"/>
  <c r="C37" i="10"/>
  <c r="C83" i="10"/>
  <c r="C97" i="10"/>
  <c r="C105" i="10"/>
  <c r="C95" i="10"/>
  <c r="C54" i="10"/>
  <c r="C62" i="10"/>
  <c r="C77" i="10"/>
  <c r="C42" i="10"/>
  <c r="C102" i="10"/>
  <c r="C61" i="10"/>
  <c r="C78" i="10"/>
  <c r="C103" i="10"/>
  <c r="C92" i="10"/>
  <c r="C8" i="10"/>
  <c r="C25" i="10"/>
  <c r="C38" i="10"/>
  <c r="C71" i="10"/>
  <c r="C66" i="10"/>
  <c r="C58" i="10"/>
  <c r="C20" i="10"/>
  <c r="C36" i="10"/>
  <c r="C50" i="10"/>
  <c r="C86" i="10"/>
  <c r="C19" i="10"/>
  <c r="C73" i="10"/>
  <c r="C91" i="10"/>
  <c r="C94" i="10"/>
  <c r="C16" i="10"/>
  <c r="C68" i="10"/>
  <c r="C14" i="10"/>
  <c r="C35" i="10"/>
  <c r="C41" i="10"/>
  <c r="C55" i="10"/>
  <c r="C11" i="10"/>
  <c r="C52" i="10"/>
  <c r="C22" i="10"/>
  <c r="C98" i="10"/>
  <c r="C34" i="10"/>
  <c r="C30" i="10"/>
  <c r="C24" i="10"/>
  <c r="C51" i="10"/>
  <c r="C17" i="10"/>
  <c r="C27" i="10"/>
  <c r="C67" i="10"/>
  <c r="C59" i="10"/>
  <c r="C90" i="10"/>
  <c r="C70" i="10"/>
  <c r="C84" i="10"/>
  <c r="C69" i="10"/>
  <c r="C104" i="10"/>
  <c r="C12" i="10"/>
  <c r="C10" i="10"/>
  <c r="C79" i="10"/>
  <c r="C49" i="10"/>
  <c r="C96" i="10"/>
  <c r="C57" i="10"/>
  <c r="C40" i="10"/>
  <c r="C28" i="10"/>
  <c r="C60" i="10"/>
  <c r="C56" i="10"/>
  <c r="C29" i="10"/>
  <c r="C81" i="10"/>
  <c r="C72" i="10"/>
  <c r="C93" i="10"/>
  <c r="C32" i="10"/>
  <c r="C15" i="10"/>
  <c r="C9" i="10"/>
  <c r="C47" i="10"/>
  <c r="C85" i="10"/>
  <c r="C63" i="10"/>
  <c r="C6" i="10"/>
  <c r="D6" i="10" s="1"/>
  <c r="C87" i="10"/>
  <c r="C64" i="10"/>
  <c r="C75" i="10"/>
  <c r="C65" i="10"/>
  <c r="C100" i="10"/>
  <c r="C23" i="10"/>
  <c r="C82" i="10"/>
  <c r="C88" i="10"/>
  <c r="C31"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I59" i="10" s="1"/>
  <c r="E19" i="10" l="1"/>
  <c r="I19" i="10" s="1"/>
  <c r="E56" i="10"/>
  <c r="F56" i="10" s="1"/>
  <c r="E60" i="10"/>
  <c r="M60" i="10" s="1"/>
  <c r="E37" i="10"/>
  <c r="H37" i="10" s="1" a="1"/>
  <c r="H37" i="10" s="1"/>
  <c r="E99" i="10"/>
  <c r="J99" i="10" s="1"/>
  <c r="E21" i="10"/>
  <c r="F21" i="10" s="1"/>
  <c r="E66" i="10"/>
  <c r="N66" i="10" s="1"/>
  <c r="E100" i="10"/>
  <c r="N100" i="10" s="1"/>
  <c r="E87" i="10"/>
  <c r="I87" i="10" s="1"/>
  <c r="E90" i="10"/>
  <c r="F90" i="10" s="1"/>
  <c r="E50" i="10"/>
  <c r="K50" i="10" s="1" a="1"/>
  <c r="K50" i="10" s="1"/>
  <c r="E63" i="10"/>
  <c r="K63" i="10" s="1" a="1"/>
  <c r="K63" i="10" s="1"/>
  <c r="E8" i="10"/>
  <c r="F8" i="10" s="1"/>
  <c r="E41" i="10"/>
  <c r="F41" i="10" s="1"/>
  <c r="E92" i="10"/>
  <c r="J92" i="10" s="1"/>
  <c r="E104" i="10"/>
  <c r="J104" i="10" s="1"/>
  <c r="E91" i="10"/>
  <c r="H91" i="10" s="1" a="1"/>
  <c r="H91" i="10" s="1"/>
  <c r="E96" i="10"/>
  <c r="N96" i="10" s="1"/>
  <c r="E52" i="10"/>
  <c r="J52" i="10" s="1"/>
  <c r="H59" i="10" a="1"/>
  <c r="H59" i="10" s="1"/>
  <c r="E13" i="10"/>
  <c r="H13" i="10" s="1" a="1"/>
  <c r="H13" i="10" s="1"/>
  <c r="E44" i="10"/>
  <c r="N44" i="10" s="1"/>
  <c r="E26" i="10"/>
  <c r="G26" i="10" s="1"/>
  <c r="E38" i="10"/>
  <c r="F38" i="10" s="1"/>
  <c r="E29" i="10"/>
  <c r="I29" i="10" s="1"/>
  <c r="E93" i="10"/>
  <c r="H93" i="10" s="1" a="1"/>
  <c r="H93" i="10" s="1"/>
  <c r="E65" i="10"/>
  <c r="E46" i="10"/>
  <c r="H46" i="10" s="1" a="1"/>
  <c r="H46" i="10" s="1"/>
  <c r="E95" i="10"/>
  <c r="G95" i="10" s="1"/>
  <c r="E27" i="10"/>
  <c r="G27" i="10" s="1"/>
  <c r="E71" i="10"/>
  <c r="K71" i="10" s="1" a="1"/>
  <c r="K71" i="10" s="1"/>
  <c r="E97" i="10"/>
  <c r="E10" i="10"/>
  <c r="F10" i="10" s="1"/>
  <c r="E6" i="10"/>
  <c r="I6" i="10" s="1"/>
  <c r="F59" i="10"/>
  <c r="E58" i="10"/>
  <c r="G58" i="10" s="1"/>
  <c r="E34" i="10"/>
  <c r="I34" i="10" s="1"/>
  <c r="E15" i="10"/>
  <c r="J15" i="10" s="1"/>
  <c r="E36" i="10"/>
  <c r="E17" i="10"/>
  <c r="G17" i="10" s="1"/>
  <c r="N59" i="10"/>
  <c r="E49" i="10"/>
  <c r="E12" i="10"/>
  <c r="E86" i="10"/>
  <c r="K86" i="10" s="1" a="1"/>
  <c r="K86" i="10" s="1"/>
  <c r="E57" i="10"/>
  <c r="G57" i="10" s="1"/>
  <c r="E54" i="10"/>
  <c r="E40" i="10"/>
  <c r="L41" i="10" s="1" a="1"/>
  <c r="L41" i="10" s="1"/>
  <c r="E68" i="10"/>
  <c r="E14" i="10"/>
  <c r="G14" i="10" s="1"/>
  <c r="E101" i="10"/>
  <c r="I101" i="10" s="1"/>
  <c r="K59" i="10" a="1"/>
  <c r="K59" i="10" s="1"/>
  <c r="E64" i="10"/>
  <c r="E31" i="10"/>
  <c r="G31" i="10" s="1"/>
  <c r="E43" i="10"/>
  <c r="K43" i="10" s="1" a="1"/>
  <c r="K43" i="10" s="1"/>
  <c r="E78" i="10"/>
  <c r="H78" i="10" s="1" a="1"/>
  <c r="H78" i="10" s="1"/>
  <c r="E32" i="10"/>
  <c r="E82" i="10"/>
  <c r="N82" i="10" s="1"/>
  <c r="E83" i="10"/>
  <c r="H83" i="10" s="1" a="1"/>
  <c r="H83" i="10" s="1"/>
  <c r="E72" i="10"/>
  <c r="I72" i="10" s="1"/>
  <c r="G59" i="10"/>
  <c r="E35" i="10"/>
  <c r="K35" i="10" s="1" a="1"/>
  <c r="K35" i="10" s="1"/>
  <c r="E20" i="10"/>
  <c r="K20" i="10" s="1" a="1"/>
  <c r="K20" i="10" s="1"/>
  <c r="E80" i="10"/>
  <c r="H80" i="10" s="1" a="1"/>
  <c r="H80" i="10" s="1"/>
  <c r="E62" i="10"/>
  <c r="G62" i="10" s="1"/>
  <c r="E94" i="10"/>
  <c r="I94" i="10" s="1"/>
  <c r="E24" i="10"/>
  <c r="I24" i="10" s="1"/>
  <c r="E11" i="10"/>
  <c r="K11" i="10" s="1" a="1"/>
  <c r="K11" i="10" s="1"/>
  <c r="E25" i="10"/>
  <c r="E88" i="10"/>
  <c r="F88" i="10" s="1"/>
  <c r="E77" i="10"/>
  <c r="J77" i="10" s="1"/>
  <c r="E39" i="10"/>
  <c r="K39" i="10" s="1" a="1"/>
  <c r="K39" i="10" s="1"/>
  <c r="E22" i="10"/>
  <c r="M22" i="10" s="1"/>
  <c r="E105" i="10"/>
  <c r="K105" i="10" s="1" a="1"/>
  <c r="K105" i="10" s="1"/>
  <c r="E103" i="10"/>
  <c r="K103" i="10" s="1" a="1"/>
  <c r="K103" i="10" s="1"/>
  <c r="E89" i="10"/>
  <c r="G89" i="10" s="1"/>
  <c r="E81" i="10"/>
  <c r="K81" i="10" s="1" a="1"/>
  <c r="K81" i="10" s="1"/>
  <c r="E74" i="10"/>
  <c r="E53" i="10"/>
  <c r="J53" i="10" s="1"/>
  <c r="E69" i="10"/>
  <c r="K69" i="10" s="1" a="1"/>
  <c r="K69" i="10" s="1"/>
  <c r="E28" i="10"/>
  <c r="E30" i="10"/>
  <c r="E55" i="10"/>
  <c r="L56" i="10" s="1" a="1"/>
  <c r="L56" i="10" s="1"/>
  <c r="E47" i="10"/>
  <c r="M47" i="10" s="1"/>
  <c r="E42" i="10"/>
  <c r="L42" i="10" s="1" a="1"/>
  <c r="L42" i="10" s="1"/>
  <c r="E85" i="10"/>
  <c r="E9" i="10"/>
  <c r="E61" i="10"/>
  <c r="E23" i="10"/>
  <c r="G23" i="10" s="1"/>
  <c r="E18" i="10"/>
  <c r="L19" i="10" s="1" a="1"/>
  <c r="L19" i="10" s="1"/>
  <c r="E76" i="10"/>
  <c r="E16" i="10"/>
  <c r="E33" i="10"/>
  <c r="E75" i="10"/>
  <c r="K75" i="10" s="1" a="1"/>
  <c r="K75" i="10" s="1"/>
  <c r="I52" i="10"/>
  <c r="G52" i="10"/>
  <c r="N71" i="10"/>
  <c r="K78" i="10" a="1"/>
  <c r="K78" i="10" s="1"/>
  <c r="E51" i="10"/>
  <c r="F51" i="10" s="1"/>
  <c r="E84" i="10"/>
  <c r="H84" i="10" s="1" a="1"/>
  <c r="H84" i="10" s="1"/>
  <c r="E79" i="10"/>
  <c r="I79" i="10" s="1"/>
  <c r="E102" i="10"/>
  <c r="H102" i="10" s="1" a="1"/>
  <c r="H102" i="10" s="1"/>
  <c r="E67" i="10"/>
  <c r="M67" i="10" s="1"/>
  <c r="E98" i="10"/>
  <c r="J59" i="10"/>
  <c r="E70" i="10"/>
  <c r="E73" i="10"/>
  <c r="E45" i="10"/>
  <c r="M46" i="10" s="1"/>
  <c r="E48" i="10"/>
  <c r="E7" i="10"/>
  <c r="K56" i="10" a="1"/>
  <c r="K56" i="10" s="1"/>
  <c r="H27" i="10" a="1"/>
  <c r="H27" i="10" s="1"/>
  <c r="G96" i="10"/>
  <c r="J96" i="10"/>
  <c r="K96" i="10" a="1"/>
  <c r="K96" i="10" s="1"/>
  <c r="N52" i="10"/>
  <c r="I96" i="10"/>
  <c r="H96" i="10" a="1"/>
  <c r="H96" i="10" s="1"/>
  <c r="H19" i="10" a="1"/>
  <c r="H19" i="10" s="1"/>
  <c r="H60" i="10" a="1"/>
  <c r="H60" i="10" s="1"/>
  <c r="N19" i="10"/>
  <c r="F19" i="10"/>
  <c r="J21" i="10"/>
  <c r="F66" i="10"/>
  <c r="N99" i="10"/>
  <c r="K19" i="10" a="1"/>
  <c r="K19" i="10" s="1"/>
  <c r="H87" i="10" a="1"/>
  <c r="H87" i="10" s="1"/>
  <c r="J66" i="10"/>
  <c r="G19" i="10"/>
  <c r="G60" i="10"/>
  <c r="G66" i="10"/>
  <c r="G99" i="10"/>
  <c r="H99" i="10" a="1"/>
  <c r="H99" i="10" s="1"/>
  <c r="N60" i="10"/>
  <c r="H66" i="10" a="1"/>
  <c r="H66" i="10" s="1"/>
  <c r="K99" i="10" a="1"/>
  <c r="K99" i="10" s="1"/>
  <c r="H21" i="10" a="1"/>
  <c r="H21" i="10" s="1"/>
  <c r="K21" i="10" a="1"/>
  <c r="K21" i="10" s="1"/>
  <c r="F99" i="10"/>
  <c r="H97" i="10" a="1"/>
  <c r="H97" i="10" s="1"/>
  <c r="K27" i="10" l="1" a="1"/>
  <c r="K27" i="10" s="1"/>
  <c r="F96" i="10"/>
  <c r="K100" i="10" a="1"/>
  <c r="K100" i="10" s="1"/>
  <c r="I100" i="10"/>
  <c r="I27" i="10"/>
  <c r="H24" i="10" a="1"/>
  <c r="H24" i="10" s="1"/>
  <c r="G21" i="10"/>
  <c r="N104" i="10"/>
  <c r="G105" i="10"/>
  <c r="H43" i="10" a="1"/>
  <c r="H43" i="10" s="1"/>
  <c r="L9" i="10" a="1"/>
  <c r="L9" i="10" s="1"/>
  <c r="I66" i="10"/>
  <c r="G37" i="10"/>
  <c r="J46" i="10"/>
  <c r="K46" i="10" a="1"/>
  <c r="K46" i="10" s="1"/>
  <c r="K17" i="10" a="1"/>
  <c r="K17" i="10" s="1"/>
  <c r="J105" i="10"/>
  <c r="N53" i="10"/>
  <c r="K8" i="10" a="1"/>
  <c r="K8" i="10" s="1"/>
  <c r="G8" i="10"/>
  <c r="J8" i="10"/>
  <c r="L57" i="10" a="1"/>
  <c r="L57" i="10" s="1"/>
  <c r="J29" i="10"/>
  <c r="J43" i="10"/>
  <c r="K29" i="10" a="1"/>
  <c r="K29" i="10" s="1"/>
  <c r="J11" i="10"/>
  <c r="G35" i="10"/>
  <c r="H105" i="10" a="1"/>
  <c r="H105" i="10" s="1"/>
  <c r="N92" i="10"/>
  <c r="G11" i="10"/>
  <c r="K13" i="10" a="1"/>
  <c r="K13" i="10" s="1"/>
  <c r="F78" i="10"/>
  <c r="K104" i="10" a="1"/>
  <c r="K104" i="10" s="1"/>
  <c r="L8" i="10" a="1"/>
  <c r="L8" i="10" s="1"/>
  <c r="I105" i="10"/>
  <c r="H41" i="10" a="1"/>
  <c r="H41" i="10" s="1"/>
  <c r="J20" i="10"/>
  <c r="L21" i="10" a="1"/>
  <c r="L21" i="10" s="1"/>
  <c r="K15" i="10" a="1"/>
  <c r="K15" i="10" s="1"/>
  <c r="F15" i="10"/>
  <c r="J101" i="10"/>
  <c r="N56" i="10"/>
  <c r="J60" i="10"/>
  <c r="N8" i="10"/>
  <c r="F105" i="10"/>
  <c r="G29" i="10"/>
  <c r="F29" i="10"/>
  <c r="N29" i="10"/>
  <c r="H34" i="10" a="1"/>
  <c r="H34" i="10" s="1"/>
  <c r="N105" i="10"/>
  <c r="N15" i="10"/>
  <c r="M34" i="10"/>
  <c r="M29" i="10"/>
  <c r="L97" i="10" a="1"/>
  <c r="L97" i="10" s="1"/>
  <c r="I93" i="10"/>
  <c r="H15" i="10" a="1"/>
  <c r="H15" i="10" s="1"/>
  <c r="G41" i="10"/>
  <c r="K41" i="10" a="1"/>
  <c r="K41" i="10" s="1"/>
  <c r="I41" i="10"/>
  <c r="G15" i="10"/>
  <c r="G34" i="10"/>
  <c r="L60" i="10" a="1"/>
  <c r="L60" i="10" s="1"/>
  <c r="H56" i="10" a="1"/>
  <c r="H56" i="10" s="1"/>
  <c r="H35" i="10" a="1"/>
  <c r="H35" i="10" s="1"/>
  <c r="I99" i="10"/>
  <c r="J19" i="10"/>
  <c r="N93" i="10"/>
  <c r="K34" i="10" a="1"/>
  <c r="K34" i="10" s="1"/>
  <c r="M70" i="10"/>
  <c r="L36" i="10" a="1"/>
  <c r="L36" i="10" s="1"/>
  <c r="K101" i="10" a="1"/>
  <c r="K101" i="10" s="1"/>
  <c r="I15" i="10"/>
  <c r="N103" i="10"/>
  <c r="L96" i="10" a="1"/>
  <c r="L96" i="10" s="1"/>
  <c r="I95" i="10"/>
  <c r="I91" i="10"/>
  <c r="F92" i="10"/>
  <c r="K95" i="10" a="1"/>
  <c r="K95" i="10" s="1"/>
  <c r="M16" i="10"/>
  <c r="F91" i="10"/>
  <c r="M31" i="10"/>
  <c r="G101" i="10"/>
  <c r="N11" i="10"/>
  <c r="G71" i="10"/>
  <c r="M96" i="10"/>
  <c r="F95" i="10"/>
  <c r="K91" i="10" a="1"/>
  <c r="K91" i="10" s="1"/>
  <c r="N101" i="10"/>
  <c r="J41" i="10"/>
  <c r="G104" i="10"/>
  <c r="K93" i="10" a="1"/>
  <c r="K93" i="10" s="1"/>
  <c r="K28" i="10" a="1"/>
  <c r="K28" i="10" s="1"/>
  <c r="J103" i="10"/>
  <c r="N20" i="10"/>
  <c r="N84" i="10"/>
  <c r="M93" i="10"/>
  <c r="K92" i="10" a="1"/>
  <c r="K92" i="10" s="1"/>
  <c r="M98" i="10"/>
  <c r="J37" i="10"/>
  <c r="N50" i="10"/>
  <c r="M50" i="10"/>
  <c r="L94" i="10" a="1"/>
  <c r="L94" i="10" s="1"/>
  <c r="L104" i="10" a="1"/>
  <c r="L104" i="10" s="1"/>
  <c r="M104" i="10"/>
  <c r="J87" i="10"/>
  <c r="L91" i="10" a="1"/>
  <c r="L91" i="10" s="1"/>
  <c r="H103" i="10" a="1"/>
  <c r="H103" i="10" s="1"/>
  <c r="G46" i="10"/>
  <c r="N35" i="10"/>
  <c r="N10" i="10"/>
  <c r="L20" i="10" a="1"/>
  <c r="L20" i="10" s="1"/>
  <c r="L53" i="10" a="1"/>
  <c r="L53" i="10" s="1"/>
  <c r="J94" i="10"/>
  <c r="I50" i="10"/>
  <c r="F37" i="10"/>
  <c r="L51" i="10" a="1"/>
  <c r="L51" i="10" s="1"/>
  <c r="L37" i="10" a="1"/>
  <c r="L37" i="10" s="1"/>
  <c r="K37" i="10" a="1"/>
  <c r="K37" i="10" s="1"/>
  <c r="M35" i="10"/>
  <c r="M24" i="10"/>
  <c r="L35" i="10" a="1"/>
  <c r="L35" i="10" s="1"/>
  <c r="L15" i="10" a="1"/>
  <c r="L15" i="10" s="1"/>
  <c r="F81" i="10"/>
  <c r="I46" i="10"/>
  <c r="H104" i="10" a="1"/>
  <c r="H104" i="10" s="1"/>
  <c r="L46" i="10" a="1"/>
  <c r="L46" i="10" s="1"/>
  <c r="M62" i="10"/>
  <c r="M36" i="10"/>
  <c r="L65" i="10" a="1"/>
  <c r="L65" i="10" s="1"/>
  <c r="N37" i="10"/>
  <c r="M105" i="10"/>
  <c r="N75" i="10"/>
  <c r="I37" i="10"/>
  <c r="L105" i="10" a="1"/>
  <c r="L105" i="10" s="1"/>
  <c r="M94" i="10"/>
  <c r="L33" i="10" a="1"/>
  <c r="L33" i="10" s="1"/>
  <c r="I11" i="10"/>
  <c r="F46" i="10"/>
  <c r="M92" i="10"/>
  <c r="N46" i="10"/>
  <c r="F34" i="10"/>
  <c r="G94" i="10"/>
  <c r="L64" i="10" a="1"/>
  <c r="L64" i="10" s="1"/>
  <c r="L76" i="10" a="1"/>
  <c r="L76" i="10" s="1"/>
  <c r="K97" i="10" a="1"/>
  <c r="K97" i="10" s="1"/>
  <c r="F100" i="10"/>
  <c r="M97" i="10"/>
  <c r="K66" i="10" a="1"/>
  <c r="K66" i="10" s="1"/>
  <c r="H11" i="10" a="1"/>
  <c r="H11" i="10" s="1"/>
  <c r="M61" i="10"/>
  <c r="F35" i="10"/>
  <c r="H29" i="10" a="1"/>
  <c r="H29" i="10" s="1"/>
  <c r="L28" i="10" a="1"/>
  <c r="L28" i="10" s="1"/>
  <c r="L12" i="10" a="1"/>
  <c r="L12" i="10" s="1"/>
  <c r="J35" i="10"/>
  <c r="F71" i="10"/>
  <c r="M87" i="10"/>
  <c r="M33" i="10"/>
  <c r="L16" i="10" a="1"/>
  <c r="L16" i="10" s="1"/>
  <c r="L100" i="10" a="1"/>
  <c r="L100" i="10" s="1"/>
  <c r="I97" i="10"/>
  <c r="L101" i="10" a="1"/>
  <c r="L101" i="10" s="1"/>
  <c r="N86" i="10"/>
  <c r="L71" i="10" a="1"/>
  <c r="L71" i="10" s="1"/>
  <c r="F103" i="10"/>
  <c r="I20" i="10"/>
  <c r="M76" i="10"/>
  <c r="J38" i="10"/>
  <c r="K87" i="10" a="1"/>
  <c r="K87" i="10" s="1"/>
  <c r="H100" i="10" a="1"/>
  <c r="H100" i="10" s="1"/>
  <c r="I90" i="10"/>
  <c r="M101" i="10"/>
  <c r="N87" i="10"/>
  <c r="J100" i="10"/>
  <c r="M30" i="10"/>
  <c r="L27" i="10" a="1"/>
  <c r="L27" i="10" s="1"/>
  <c r="N94" i="10"/>
  <c r="N26" i="10"/>
  <c r="H50" i="10" a="1"/>
  <c r="H50" i="10" s="1"/>
  <c r="M27" i="10"/>
  <c r="M42" i="10"/>
  <c r="K26" i="10" a="1"/>
  <c r="K26" i="10" s="1"/>
  <c r="L50" i="10" a="1"/>
  <c r="L50" i="10" s="1"/>
  <c r="L29" i="10" a="1"/>
  <c r="L29" i="10" s="1"/>
  <c r="N51" i="10"/>
  <c r="K90" i="10" a="1"/>
  <c r="K90" i="10" s="1"/>
  <c r="M64" i="10"/>
  <c r="J50" i="10"/>
  <c r="G50" i="10"/>
  <c r="H90" i="10" a="1"/>
  <c r="H90" i="10" s="1"/>
  <c r="L39" i="10" a="1"/>
  <c r="L39" i="10" s="1"/>
  <c r="M91" i="10"/>
  <c r="F63" i="10"/>
  <c r="M57" i="10"/>
  <c r="F86" i="10"/>
  <c r="I63" i="10"/>
  <c r="L87" i="10" a="1"/>
  <c r="L87" i="10" s="1"/>
  <c r="K58" i="10" a="1"/>
  <c r="K58" i="10" s="1"/>
  <c r="J26" i="10"/>
  <c r="K10" i="10" a="1"/>
  <c r="K10" i="10" s="1"/>
  <c r="H26" i="10" a="1"/>
  <c r="H26" i="10" s="1"/>
  <c r="H30" i="10" a="1"/>
  <c r="H30" i="10" s="1"/>
  <c r="J63" i="10"/>
  <c r="G38" i="10"/>
  <c r="F26" i="10"/>
  <c r="G63" i="10"/>
  <c r="H38" i="10" a="1"/>
  <c r="H38" i="10" s="1"/>
  <c r="L38" i="10" a="1"/>
  <c r="L38" i="10" s="1"/>
  <c r="G100" i="10"/>
  <c r="L30" i="10" a="1"/>
  <c r="L30" i="10" s="1"/>
  <c r="N38" i="10"/>
  <c r="J28" i="10"/>
  <c r="L10" i="10" a="1"/>
  <c r="L10" i="10" s="1"/>
  <c r="I38" i="10"/>
  <c r="K38" i="10" a="1"/>
  <c r="K38" i="10" s="1"/>
  <c r="F50" i="10"/>
  <c r="N63" i="10"/>
  <c r="H63" i="10" a="1"/>
  <c r="H63" i="10" s="1"/>
  <c r="I26" i="10"/>
  <c r="M100" i="10"/>
  <c r="N57" i="10"/>
  <c r="K84" i="10" a="1"/>
  <c r="K84" i="10" s="1"/>
  <c r="I75" i="10"/>
  <c r="L75" i="10" a="1"/>
  <c r="L75" i="10" s="1"/>
  <c r="I84" i="10"/>
  <c r="M52" i="10"/>
  <c r="N79" i="10"/>
  <c r="L22" i="10" a="1"/>
  <c r="L22" i="10" s="1"/>
  <c r="G20" i="10"/>
  <c r="N41" i="10"/>
  <c r="L13" i="10" a="1"/>
  <c r="L13" i="10" s="1"/>
  <c r="H65" i="10" a="1"/>
  <c r="H65" i="10" s="1"/>
  <c r="K36" i="10" a="1"/>
  <c r="K36" i="10" s="1"/>
  <c r="L40" i="10" a="1"/>
  <c r="L40" i="10" s="1"/>
  <c r="L47" i="10" a="1"/>
  <c r="L47" i="10" s="1"/>
  <c r="F75" i="10"/>
  <c r="M56" i="10"/>
  <c r="M39" i="10"/>
  <c r="J75" i="10"/>
  <c r="M84" i="10"/>
  <c r="M75" i="10"/>
  <c r="L93" i="10" a="1"/>
  <c r="L93" i="10" s="1"/>
  <c r="J6" i="10"/>
  <c r="J79" i="10"/>
  <c r="L84" i="10" a="1"/>
  <c r="L84" i="10" s="1"/>
  <c r="G75" i="10"/>
  <c r="N88" i="10"/>
  <c r="M79" i="10"/>
  <c r="F79" i="10"/>
  <c r="L103" i="10" a="1"/>
  <c r="L103" i="10" s="1"/>
  <c r="G84" i="10"/>
  <c r="I51" i="10"/>
  <c r="L88" i="10" a="1"/>
  <c r="L88" i="10" s="1"/>
  <c r="H75" i="10" a="1"/>
  <c r="H75" i="10" s="1"/>
  <c r="H79" i="10" a="1"/>
  <c r="H79" i="10" s="1"/>
  <c r="L79" i="10" a="1"/>
  <c r="L79" i="10" s="1"/>
  <c r="M88" i="10"/>
  <c r="K82" i="10" a="1"/>
  <c r="K82" i="10" s="1"/>
  <c r="F20" i="10"/>
  <c r="J44" i="10"/>
  <c r="M99" i="10"/>
  <c r="N90" i="10"/>
  <c r="F6" i="10"/>
  <c r="K44" i="10" a="1"/>
  <c r="K44" i="10" s="1"/>
  <c r="J102" i="10"/>
  <c r="M102" i="10"/>
  <c r="M6" i="10"/>
  <c r="H44" i="10" a="1"/>
  <c r="H44" i="10" s="1"/>
  <c r="M78" i="10"/>
  <c r="H31" i="10" a="1"/>
  <c r="H31" i="10" s="1"/>
  <c r="L6" i="10" a="1"/>
  <c r="L6" i="10" s="1"/>
  <c r="L45" i="10" a="1"/>
  <c r="L45" i="10" s="1"/>
  <c r="I103" i="10"/>
  <c r="K55" i="10" a="1"/>
  <c r="K55" i="10" s="1"/>
  <c r="L77" i="10" a="1"/>
  <c r="L77" i="10" s="1"/>
  <c r="F14" i="10"/>
  <c r="I104" i="10"/>
  <c r="M90" i="10"/>
  <c r="M80" i="10"/>
  <c r="M37" i="10"/>
  <c r="F44" i="10"/>
  <c r="H20" i="10" a="1"/>
  <c r="H20" i="10" s="1"/>
  <c r="L7" i="10" a="1"/>
  <c r="L7" i="10" s="1"/>
  <c r="L17" i="10" a="1"/>
  <c r="L17" i="10" s="1"/>
  <c r="I55" i="10"/>
  <c r="F104" i="10"/>
  <c r="L44" i="10" a="1"/>
  <c r="L44" i="10" s="1"/>
  <c r="G44" i="10"/>
  <c r="I44" i="10"/>
  <c r="M44" i="10"/>
  <c r="F102" i="10"/>
  <c r="J36" i="10"/>
  <c r="J42" i="10"/>
  <c r="H42" i="10" a="1"/>
  <c r="H42" i="10" s="1"/>
  <c r="F42" i="10"/>
  <c r="I42" i="10"/>
  <c r="K42" i="10" a="1"/>
  <c r="K42" i="10" s="1"/>
  <c r="L43" i="10" a="1"/>
  <c r="L43" i="10" s="1"/>
  <c r="M43" i="10"/>
  <c r="G42" i="10"/>
  <c r="N42" i="10"/>
  <c r="M23" i="10"/>
  <c r="F22" i="10"/>
  <c r="N22" i="10"/>
  <c r="G22" i="10"/>
  <c r="I22" i="10"/>
  <c r="K22" i="10" a="1"/>
  <c r="K22" i="10" s="1"/>
  <c r="L23" i="10" a="1"/>
  <c r="L23" i="10" s="1"/>
  <c r="H68" i="10" a="1"/>
  <c r="H68" i="10" s="1"/>
  <c r="K68" i="10" a="1"/>
  <c r="K68" i="10" s="1"/>
  <c r="L69" i="10" a="1"/>
  <c r="L69" i="10" s="1"/>
  <c r="G68" i="10"/>
  <c r="M69" i="10"/>
  <c r="J68" i="10"/>
  <c r="F68" i="10"/>
  <c r="N68" i="10"/>
  <c r="I68" i="10"/>
  <c r="M59" i="10"/>
  <c r="N58" i="10"/>
  <c r="J58" i="10"/>
  <c r="L59" i="10" a="1"/>
  <c r="L59" i="10" s="1"/>
  <c r="H58" i="10" a="1"/>
  <c r="H58" i="10" s="1"/>
  <c r="F58" i="10"/>
  <c r="I58" i="10"/>
  <c r="N47" i="10"/>
  <c r="H47" i="10" a="1"/>
  <c r="H47" i="10" s="1"/>
  <c r="K47" i="10" a="1"/>
  <c r="K47" i="10" s="1"/>
  <c r="F47" i="10"/>
  <c r="I47" i="10"/>
  <c r="F39" i="10"/>
  <c r="G39" i="10"/>
  <c r="M40" i="10"/>
  <c r="N39" i="10"/>
  <c r="I39" i="10"/>
  <c r="H39" i="10" a="1"/>
  <c r="H39" i="10" s="1"/>
  <c r="J39" i="10"/>
  <c r="N72" i="10"/>
  <c r="G72" i="10"/>
  <c r="K72" i="10" a="1"/>
  <c r="K72" i="10" s="1"/>
  <c r="H72" i="10" a="1"/>
  <c r="H72" i="10" s="1"/>
  <c r="F72" i="10"/>
  <c r="M41" i="10"/>
  <c r="H40" i="10" a="1"/>
  <c r="H40" i="10" s="1"/>
  <c r="I40" i="10"/>
  <c r="F40" i="10"/>
  <c r="J40" i="10"/>
  <c r="G40" i="10"/>
  <c r="M85" i="10"/>
  <c r="I92" i="10"/>
  <c r="I102" i="10"/>
  <c r="I65" i="10"/>
  <c r="G55" i="10"/>
  <c r="J55" i="10"/>
  <c r="N55" i="10"/>
  <c r="H55" i="10" a="1"/>
  <c r="H55" i="10" s="1"/>
  <c r="F55" i="10"/>
  <c r="G77" i="10"/>
  <c r="N77" i="10"/>
  <c r="I77" i="10"/>
  <c r="K77" i="10" a="1"/>
  <c r="K77" i="10" s="1"/>
  <c r="L78" i="10" a="1"/>
  <c r="L78" i="10" s="1"/>
  <c r="F77" i="10"/>
  <c r="H77" i="10" a="1"/>
  <c r="H77" i="10" s="1"/>
  <c r="G83" i="10"/>
  <c r="I83" i="10"/>
  <c r="N83" i="10"/>
  <c r="F83" i="10"/>
  <c r="J83" i="10"/>
  <c r="K83" i="10" a="1"/>
  <c r="K83" i="10" s="1"/>
  <c r="J54" i="10"/>
  <c r="M55" i="10"/>
  <c r="N54" i="10"/>
  <c r="I54" i="10"/>
  <c r="F54" i="10"/>
  <c r="L55" i="10" a="1"/>
  <c r="L55" i="10" s="1"/>
  <c r="K54" i="10" a="1"/>
  <c r="K54" i="10" s="1"/>
  <c r="H54" i="10" a="1"/>
  <c r="H54" i="10" s="1"/>
  <c r="G54" i="10"/>
  <c r="G6" i="10"/>
  <c r="H6" i="10" a="1"/>
  <c r="H6" i="10" s="1"/>
  <c r="K6" i="10" a="1"/>
  <c r="K6" i="10" s="1"/>
  <c r="N6" i="10"/>
  <c r="O6" i="10" s="1"/>
  <c r="P6" i="10" s="1"/>
  <c r="G90" i="10"/>
  <c r="J90" i="10"/>
  <c r="I17" i="10"/>
  <c r="M72" i="10"/>
  <c r="G103" i="10"/>
  <c r="L31" i="10" a="1"/>
  <c r="L31" i="10" s="1"/>
  <c r="I30" i="10"/>
  <c r="N30" i="10"/>
  <c r="F30" i="10"/>
  <c r="K30" i="10" a="1"/>
  <c r="K30" i="10" s="1"/>
  <c r="J30" i="10"/>
  <c r="G30" i="10"/>
  <c r="K88" i="10" a="1"/>
  <c r="K88" i="10" s="1"/>
  <c r="I88" i="10"/>
  <c r="G88" i="10"/>
  <c r="H88" i="10" a="1"/>
  <c r="H88" i="10" s="1"/>
  <c r="J88" i="10"/>
  <c r="M89" i="10"/>
  <c r="L89" i="10" a="1"/>
  <c r="L89" i="10" s="1"/>
  <c r="M83" i="10"/>
  <c r="G82" i="10"/>
  <c r="H82" i="10" a="1"/>
  <c r="H82" i="10" s="1"/>
  <c r="J82" i="10"/>
  <c r="L83" i="10" a="1"/>
  <c r="L83" i="10" s="1"/>
  <c r="I82" i="10"/>
  <c r="F82" i="10"/>
  <c r="H57" i="10" a="1"/>
  <c r="H57" i="10" s="1"/>
  <c r="F57" i="10"/>
  <c r="L58" i="10" a="1"/>
  <c r="L58" i="10" s="1"/>
  <c r="I57" i="10"/>
  <c r="J57" i="10"/>
  <c r="M58" i="10"/>
  <c r="K57" i="10" a="1"/>
  <c r="K57" i="10" s="1"/>
  <c r="H10" i="10" a="1"/>
  <c r="H10" i="10" s="1"/>
  <c r="L11" i="10" a="1"/>
  <c r="L11" i="10" s="1"/>
  <c r="G10" i="10"/>
  <c r="J10" i="10"/>
  <c r="I10" i="10"/>
  <c r="I13" i="10"/>
  <c r="J13" i="10"/>
  <c r="L14" i="10" a="1"/>
  <c r="L14" i="10" s="1"/>
  <c r="G13" i="10"/>
  <c r="F13" i="10"/>
  <c r="N13" i="10"/>
  <c r="G87" i="10"/>
  <c r="F87" i="10"/>
  <c r="F60" i="10"/>
  <c r="L85" i="10" a="1"/>
  <c r="L85" i="10" s="1"/>
  <c r="F84" i="10"/>
  <c r="G36" i="10"/>
  <c r="J33" i="10"/>
  <c r="H33" i="10" a="1"/>
  <c r="H33" i="10" s="1"/>
  <c r="N33" i="10"/>
  <c r="K33" i="10" a="1"/>
  <c r="K33" i="10" s="1"/>
  <c r="F33" i="10"/>
  <c r="L34" i="10" a="1"/>
  <c r="L34" i="10" s="1"/>
  <c r="G33" i="10"/>
  <c r="I33" i="10"/>
  <c r="G28" i="10"/>
  <c r="N28" i="10"/>
  <c r="F28" i="10"/>
  <c r="H28" i="10" a="1"/>
  <c r="H28" i="10" s="1"/>
  <c r="I28" i="10"/>
  <c r="N25" i="10"/>
  <c r="L26" i="10" a="1"/>
  <c r="L26" i="10" s="1"/>
  <c r="H25" i="10" a="1"/>
  <c r="H25" i="10" s="1"/>
  <c r="J25" i="10"/>
  <c r="M26" i="10"/>
  <c r="K25" i="10" a="1"/>
  <c r="K25" i="10" s="1"/>
  <c r="I25" i="10"/>
  <c r="F25" i="10"/>
  <c r="G25" i="10"/>
  <c r="I32" i="10"/>
  <c r="K32" i="10" a="1"/>
  <c r="K32" i="10" s="1"/>
  <c r="J32" i="10"/>
  <c r="F32" i="10"/>
  <c r="N32" i="10"/>
  <c r="G32" i="10"/>
  <c r="J86" i="10"/>
  <c r="G86" i="10"/>
  <c r="I86" i="10"/>
  <c r="H86" i="10" a="1"/>
  <c r="H86" i="10" s="1"/>
  <c r="G97" i="10"/>
  <c r="F97" i="10"/>
  <c r="N97" i="10"/>
  <c r="J97" i="10"/>
  <c r="J84" i="10"/>
  <c r="L61" i="10" a="1"/>
  <c r="L61" i="10" s="1"/>
  <c r="K102" i="10" a="1"/>
  <c r="K102" i="10" s="1"/>
  <c r="G79" i="10"/>
  <c r="K79" i="10" a="1"/>
  <c r="K79" i="10" s="1"/>
  <c r="N36" i="10"/>
  <c r="M20" i="10"/>
  <c r="H32" i="10" a="1"/>
  <c r="H32" i="10" s="1"/>
  <c r="J17" i="10"/>
  <c r="J95" i="10"/>
  <c r="F16" i="10"/>
  <c r="K16" i="10" a="1"/>
  <c r="K16" i="10" s="1"/>
  <c r="I16" i="10"/>
  <c r="G16" i="10"/>
  <c r="M17" i="10"/>
  <c r="H16" i="10" a="1"/>
  <c r="H16" i="10" s="1"/>
  <c r="J16" i="10"/>
  <c r="N16" i="10"/>
  <c r="G69" i="10"/>
  <c r="H69" i="10" a="1"/>
  <c r="H69" i="10" s="1"/>
  <c r="I69" i="10"/>
  <c r="F69" i="10"/>
  <c r="N69" i="10"/>
  <c r="J69" i="10"/>
  <c r="F11" i="10"/>
  <c r="J78" i="10"/>
  <c r="N78" i="10"/>
  <c r="I78" i="10"/>
  <c r="G78" i="10"/>
  <c r="F12" i="10"/>
  <c r="K12" i="10" a="1"/>
  <c r="K12" i="10" s="1"/>
  <c r="H12" i="10" a="1"/>
  <c r="H12" i="10" s="1"/>
  <c r="G12" i="10"/>
  <c r="N12" i="10"/>
  <c r="I12" i="10"/>
  <c r="J12" i="10"/>
  <c r="J71" i="10"/>
  <c r="I71" i="10"/>
  <c r="L72" i="10" a="1"/>
  <c r="L72" i="10" s="1"/>
  <c r="H71" i="10" a="1"/>
  <c r="H71" i="10" s="1"/>
  <c r="K52" i="10" a="1"/>
  <c r="K52" i="10" s="1"/>
  <c r="M53" i="10"/>
  <c r="F52" i="10"/>
  <c r="H52" i="10" a="1"/>
  <c r="H52" i="10" s="1"/>
  <c r="I60" i="10"/>
  <c r="K60" i="10" a="1"/>
  <c r="K60" i="10" s="1"/>
  <c r="I35" i="10"/>
  <c r="M38" i="10"/>
  <c r="M54" i="10"/>
  <c r="J47" i="10"/>
  <c r="H36" i="10" a="1"/>
  <c r="H36" i="10" s="1"/>
  <c r="J72" i="10"/>
  <c r="K40" i="10" a="1"/>
  <c r="K40" i="10" s="1"/>
  <c r="N89" i="10"/>
  <c r="G76" i="10"/>
  <c r="K76" i="10" a="1"/>
  <c r="K76" i="10" s="1"/>
  <c r="M77" i="10"/>
  <c r="I76" i="10"/>
  <c r="N76" i="10"/>
  <c r="J76" i="10"/>
  <c r="H76" i="10" a="1"/>
  <c r="H76" i="10" s="1"/>
  <c r="F76" i="10"/>
  <c r="I53" i="10"/>
  <c r="G53" i="10"/>
  <c r="L54" i="10" a="1"/>
  <c r="L54" i="10" s="1"/>
  <c r="K53" i="10" a="1"/>
  <c r="K53" i="10" s="1"/>
  <c r="F53" i="10"/>
  <c r="H53" i="10" a="1"/>
  <c r="H53" i="10" s="1"/>
  <c r="L24" i="10" a="1"/>
  <c r="L24" i="10" s="1"/>
  <c r="F24" i="10"/>
  <c r="L25" i="10" a="1"/>
  <c r="L25" i="10" s="1"/>
  <c r="N24" i="10"/>
  <c r="M25" i="10"/>
  <c r="G24" i="10"/>
  <c r="J24" i="10"/>
  <c r="K24" i="10" a="1"/>
  <c r="K24" i="10" s="1"/>
  <c r="F43" i="10"/>
  <c r="I43" i="10"/>
  <c r="N43" i="10"/>
  <c r="G43" i="10"/>
  <c r="I49" i="10"/>
  <c r="J49" i="10"/>
  <c r="G49" i="10"/>
  <c r="K49" i="10" a="1"/>
  <c r="K49" i="10" s="1"/>
  <c r="H49" i="10" a="1"/>
  <c r="H49" i="10" s="1"/>
  <c r="N49" i="10"/>
  <c r="F49" i="10"/>
  <c r="N27" i="10"/>
  <c r="J27" i="10"/>
  <c r="M28" i="10"/>
  <c r="F27" i="10"/>
  <c r="I21" i="10"/>
  <c r="N21" i="10"/>
  <c r="G47" i="10"/>
  <c r="J22" i="10"/>
  <c r="M73" i="10"/>
  <c r="N40" i="10"/>
  <c r="F18" i="10"/>
  <c r="H18" i="10" a="1"/>
  <c r="H18" i="10" s="1"/>
  <c r="I18" i="10"/>
  <c r="K18" i="10" a="1"/>
  <c r="K18" i="10" s="1"/>
  <c r="J18" i="10"/>
  <c r="G18" i="10"/>
  <c r="N18" i="10"/>
  <c r="M19" i="10"/>
  <c r="K74" i="10" a="1"/>
  <c r="K74" i="10" s="1"/>
  <c r="N74" i="10"/>
  <c r="I74" i="10"/>
  <c r="F74" i="10"/>
  <c r="J74" i="10"/>
  <c r="G74" i="10"/>
  <c r="H74" i="10" a="1"/>
  <c r="H74" i="10" s="1"/>
  <c r="M95" i="10"/>
  <c r="H94" i="10" a="1"/>
  <c r="H94" i="10" s="1"/>
  <c r="K94" i="10" a="1"/>
  <c r="K94" i="10" s="1"/>
  <c r="L95" i="10" a="1"/>
  <c r="L95" i="10" s="1"/>
  <c r="F94" i="10"/>
  <c r="L32" i="10" a="1"/>
  <c r="L32" i="10" s="1"/>
  <c r="I31" i="10"/>
  <c r="M32" i="10"/>
  <c r="F31" i="10"/>
  <c r="J31" i="10"/>
  <c r="K31" i="10" a="1"/>
  <c r="K31" i="10" s="1"/>
  <c r="N31" i="10"/>
  <c r="N95" i="10"/>
  <c r="H95" i="10" a="1"/>
  <c r="H95" i="10" s="1"/>
  <c r="G91" i="10"/>
  <c r="N91" i="10"/>
  <c r="L92" i="10" a="1"/>
  <c r="L92" i="10" s="1"/>
  <c r="J91" i="10"/>
  <c r="H22" i="10" a="1"/>
  <c r="H22" i="10" s="1"/>
  <c r="H23" i="10" a="1"/>
  <c r="H23" i="10" s="1"/>
  <c r="N23" i="10"/>
  <c r="J23" i="10"/>
  <c r="K23" i="10" a="1"/>
  <c r="K23" i="10" s="1"/>
  <c r="I23" i="10"/>
  <c r="F23" i="10"/>
  <c r="M82" i="10"/>
  <c r="G81" i="10"/>
  <c r="I81" i="10"/>
  <c r="J81" i="10"/>
  <c r="N81" i="10"/>
  <c r="H81" i="10" a="1"/>
  <c r="H81" i="10" s="1"/>
  <c r="L82" i="10" a="1"/>
  <c r="L82" i="10" s="1"/>
  <c r="H62" i="10" a="1"/>
  <c r="H62" i="10" s="1"/>
  <c r="K62" i="10" a="1"/>
  <c r="K62" i="10" s="1"/>
  <c r="I62" i="10"/>
  <c r="N62" i="10"/>
  <c r="J62" i="10"/>
  <c r="F62" i="10"/>
  <c r="L63" i="10" a="1"/>
  <c r="L63" i="10" s="1"/>
  <c r="M63" i="10"/>
  <c r="K64" i="10" a="1"/>
  <c r="K64" i="10" s="1"/>
  <c r="J64" i="10"/>
  <c r="F64" i="10"/>
  <c r="G64" i="10"/>
  <c r="H64" i="10" a="1"/>
  <c r="H64" i="10" s="1"/>
  <c r="N64" i="10"/>
  <c r="I64" i="10"/>
  <c r="M18" i="10"/>
  <c r="L18" i="10" a="1"/>
  <c r="L18" i="10" s="1"/>
  <c r="N17" i="10"/>
  <c r="F17" i="10"/>
  <c r="H17" i="10" a="1"/>
  <c r="H17" i="10" s="1"/>
  <c r="F61" i="10"/>
  <c r="I61" i="10"/>
  <c r="G61" i="10"/>
  <c r="N61" i="10"/>
  <c r="K61" i="10" a="1"/>
  <c r="K61" i="10" s="1"/>
  <c r="L62" i="10" a="1"/>
  <c r="L62" i="10" s="1"/>
  <c r="J61" i="10"/>
  <c r="H61" i="10" a="1"/>
  <c r="H61" i="10" s="1"/>
  <c r="H89" i="10" a="1"/>
  <c r="H89" i="10" s="1"/>
  <c r="J89" i="10"/>
  <c r="I89" i="10"/>
  <c r="F89" i="10"/>
  <c r="K89" i="10" a="1"/>
  <c r="K89" i="10" s="1"/>
  <c r="K80" i="10" a="1"/>
  <c r="K80" i="10" s="1"/>
  <c r="F80" i="10"/>
  <c r="N80" i="10"/>
  <c r="J80" i="10"/>
  <c r="I80" i="10"/>
  <c r="L81" i="10" a="1"/>
  <c r="L81" i="10" s="1"/>
  <c r="M81" i="10"/>
  <c r="G80" i="10"/>
  <c r="F36" i="10"/>
  <c r="I36" i="10"/>
  <c r="M65" i="10"/>
  <c r="J65" i="10"/>
  <c r="L66" i="10" a="1"/>
  <c r="L66" i="10" s="1"/>
  <c r="M66" i="10"/>
  <c r="K65" i="10" a="1"/>
  <c r="K65" i="10" s="1"/>
  <c r="G65" i="10"/>
  <c r="K9" i="10" a="1"/>
  <c r="K9" i="10" s="1"/>
  <c r="F9" i="10"/>
  <c r="N9" i="10"/>
  <c r="H9" i="10" a="1"/>
  <c r="H9" i="10" s="1"/>
  <c r="G9" i="10"/>
  <c r="I9" i="10"/>
  <c r="J9" i="10"/>
  <c r="H101" i="10" a="1"/>
  <c r="H101" i="10" s="1"/>
  <c r="F101" i="10"/>
  <c r="F93" i="10"/>
  <c r="G93" i="10"/>
  <c r="J93" i="10"/>
  <c r="G56" i="10"/>
  <c r="J56" i="10"/>
  <c r="I56" i="10"/>
  <c r="H92" i="10" a="1"/>
  <c r="H92" i="10" s="1"/>
  <c r="G92" i="10"/>
  <c r="F65" i="10"/>
  <c r="N65" i="10"/>
  <c r="L90" i="10" a="1"/>
  <c r="L90" i="10" s="1"/>
  <c r="M21" i="10"/>
  <c r="L86" i="10" a="1"/>
  <c r="L86" i="10" s="1"/>
  <c r="F85" i="10"/>
  <c r="G85" i="10"/>
  <c r="M86" i="10"/>
  <c r="N85" i="10"/>
  <c r="I85" i="10"/>
  <c r="J85" i="10"/>
  <c r="H85" i="10" a="1"/>
  <c r="H85" i="10" s="1"/>
  <c r="K85" i="10" a="1"/>
  <c r="K85" i="10" s="1"/>
  <c r="I14" i="10"/>
  <c r="N14" i="10"/>
  <c r="H14" i="10" a="1"/>
  <c r="H14" i="10" s="1"/>
  <c r="J14" i="10"/>
  <c r="K14" i="10" a="1"/>
  <c r="K14" i="10" s="1"/>
  <c r="J34" i="10"/>
  <c r="N34" i="10"/>
  <c r="H8" i="10" a="1"/>
  <c r="H8" i="10" s="1"/>
  <c r="I8" i="10"/>
  <c r="M103" i="10"/>
  <c r="L102" i="10" a="1"/>
  <c r="L102" i="10" s="1"/>
  <c r="G102" i="10"/>
  <c r="N102" i="10"/>
  <c r="L52" i="10" a="1"/>
  <c r="L52" i="10" s="1"/>
  <c r="M51" i="10"/>
  <c r="G51" i="10"/>
  <c r="H51" i="10" a="1"/>
  <c r="H51" i="10" s="1"/>
  <c r="L99" i="10" a="1"/>
  <c r="L99" i="10" s="1"/>
  <c r="H67" i="10" a="1"/>
  <c r="H67" i="10" s="1"/>
  <c r="L68" i="10" a="1"/>
  <c r="L68" i="10" s="1"/>
  <c r="I67" i="10"/>
  <c r="K67" i="10" a="1"/>
  <c r="K67" i="10" s="1"/>
  <c r="G67" i="10"/>
  <c r="J67" i="10"/>
  <c r="J7" i="10"/>
  <c r="I7" i="10"/>
  <c r="H7" i="10" a="1"/>
  <c r="H7" i="10" s="1"/>
  <c r="M7" i="10"/>
  <c r="K7" i="10" a="1"/>
  <c r="K7" i="10" s="1"/>
  <c r="N7" i="10"/>
  <c r="G7" i="10"/>
  <c r="F7" i="10"/>
  <c r="M68" i="10"/>
  <c r="L49" i="10" a="1"/>
  <c r="L49" i="10" s="1"/>
  <c r="G48" i="10"/>
  <c r="F48" i="10"/>
  <c r="M48" i="10"/>
  <c r="K48" i="10" a="1"/>
  <c r="K48" i="10" s="1"/>
  <c r="L48" i="10" a="1"/>
  <c r="L48" i="10" s="1"/>
  <c r="I48" i="10"/>
  <c r="N48" i="10"/>
  <c r="H48" i="10" a="1"/>
  <c r="H48" i="10" s="1"/>
  <c r="M49" i="10"/>
  <c r="J48" i="10"/>
  <c r="J51" i="10"/>
  <c r="G45" i="10"/>
  <c r="J45" i="10"/>
  <c r="H45" i="10" a="1"/>
  <c r="H45" i="10" s="1"/>
  <c r="I45" i="10"/>
  <c r="N45" i="10"/>
  <c r="M45" i="10"/>
  <c r="F45" i="10"/>
  <c r="K45" i="10" a="1"/>
  <c r="K45" i="10" s="1"/>
  <c r="F67" i="10"/>
  <c r="N67" i="10"/>
  <c r="G73" i="10"/>
  <c r="L73" i="10" a="1"/>
  <c r="L73" i="10" s="1"/>
  <c r="F73" i="10"/>
  <c r="K73" i="10" a="1"/>
  <c r="K73" i="10" s="1"/>
  <c r="M74" i="10"/>
  <c r="I73" i="10"/>
  <c r="N73" i="10"/>
  <c r="J73" i="10"/>
  <c r="L74" i="10" a="1"/>
  <c r="L74" i="10" s="1"/>
  <c r="H73" i="10" a="1"/>
  <c r="H73" i="10" s="1"/>
  <c r="K51" i="10" a="1"/>
  <c r="K51" i="10" s="1"/>
  <c r="L80" i="10" a="1"/>
  <c r="L80" i="10" s="1"/>
  <c r="J70" i="10"/>
  <c r="M71" i="10"/>
  <c r="I70" i="10"/>
  <c r="H70" i="10" a="1"/>
  <c r="H70" i="10" s="1"/>
  <c r="G70" i="10"/>
  <c r="L70" i="10" a="1"/>
  <c r="L70" i="10" s="1"/>
  <c r="F70" i="10"/>
  <c r="K70" i="10" a="1"/>
  <c r="K70" i="10" s="1"/>
  <c r="N70" i="10"/>
  <c r="L67" i="10" a="1"/>
  <c r="L67" i="10" s="1"/>
  <c r="H98" i="10" a="1"/>
  <c r="H98" i="10" s="1"/>
  <c r="L98" i="10" a="1"/>
  <c r="L98" i="10" s="1"/>
  <c r="I98" i="10"/>
  <c r="N98" i="10"/>
  <c r="F98" i="10"/>
  <c r="G98" i="10"/>
  <c r="J98" i="10"/>
  <c r="K98" i="10" a="1"/>
  <c r="K98" i="10" s="1"/>
  <c r="M8" i="10" l="1"/>
  <c r="O7" i="10"/>
  <c r="P7" i="10" s="1"/>
  <c r="M9" i="10" l="1"/>
  <c r="M11" i="10" s="1"/>
  <c r="M10" i="10"/>
  <c r="O8" i="10"/>
  <c r="O9" i="10" s="1"/>
  <c r="P9" i="10" s="1"/>
  <c r="M12" i="10" l="1"/>
  <c r="M13" i="10" s="1"/>
  <c r="O10" i="10"/>
  <c r="P10" i="10" s="1"/>
  <c r="P8" i="10"/>
  <c r="M14" i="10" l="1"/>
  <c r="M15" i="10" s="1"/>
  <c r="O11" i="10"/>
  <c r="P11" i="10" s="1"/>
  <c r="O12" i="10" l="1"/>
  <c r="O13" i="10" s="1"/>
  <c r="P12" i="10" l="1"/>
  <c r="P13" i="10"/>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<sst xmlns="http://schemas.openxmlformats.org/spreadsheetml/2006/main" count="3520" uniqueCount="469">
  <si>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</si>
  <si>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</si>
  <si>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</si>
  <si>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</si>
  <si>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</si>
  <si>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</si>
  <si>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</si>
  <si>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</si>
  <si>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</si>
  <si>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</si>
  <si>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</si>
  <si>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</si>
  <si>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</si>
  <si>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</si>
  <si>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</si>
  <si>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</si>
  <si>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</si>
  <si>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</si>
  <si>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</si>
  <si>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</si>
  <si>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</si>
  <si>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</si>
  <si>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</si>
  <si>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</si>
  <si>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</si>
  <si>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</si>
  <si>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</si>
  <si>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</si>
  <si>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</si>
  <si>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</si>
  <si>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</si>
  <si>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</si>
  <si>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</si>
  <si>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</si>
  <si>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</si>
  <si>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</si>
  <si>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</si>
  <si>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</si>
  <si>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</si>
  <si>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</si>
  <si>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</si>
  <si>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</si>
  <si>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</si>
  <si>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</si>
  <si>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</si>
  <si>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</si>
  <si>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</si>
  <si>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</si>
  <si>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</si>
  <si>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</si>
  <si>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</si>
  <si>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</si>
  <si>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</si>
  <si>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</si>
  <si>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</si>
  <si>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</si>
  <si>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</si>
  <si>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</si>
  <si>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</si>
  <si>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</si>
  <si>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</si>
  <si>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</si>
  <si>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</si>
  <si>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</si>
  <si>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</si>
  <si>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</si>
  <si>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</si>
  <si>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</si>
  <si>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</si>
  <si>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</si>
  <si>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</si>
  <si>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</si>
  <si>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</si>
  <si>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</si>
  <si>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</si>
  <si>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</si>
  <si>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</si>
  <si>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</si>
  <si>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</si>
  <si>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</si>
  <si>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</si>
  <si>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</si>
  <si>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</si>
  <si>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</si>
  <si>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</si>
  <si>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</si>
  <si>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</si>
  <si>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</si>
  <si>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</si>
  <si>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</si>
  <si>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</si>
  <si>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</si>
  <si>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</si>
  <si>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</si>
  <si>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</si>
  <si>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</si>
  <si>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</si>
  <si>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</si>
  <si>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</si>
  <si>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</si>
  <si>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</si>
  <si>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</si>
  <si>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</si>
  <si>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</si>
  <si>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</si>
  <si>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</si>
  <si>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</si>
  <si>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</si>
  <si>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</si>
  <si>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</si>
  <si>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</si>
  <si>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</si>
  <si>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</si>
  <si>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</si>
  <si>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</si>
  <si>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</si>
  <si>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</si>
  <si>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</si>
  <si>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</si>
  <si>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</si>
  <si>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</si>
  <si>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</si>
  <si>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</si>
  <si>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</si>
  <si>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</si>
  <si>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</si>
  <si>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</si>
  <si>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</si>
  <si>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</si>
  <si>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</si>
  <si>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</si>
  <si>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</si>
  <si>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</si>
  <si>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</si>
  <si>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</si>
  <si>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</si>
  <si>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</si>
  <si>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</si>
  <si>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</si>
  <si>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</si>
  <si>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</si>
  <si>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</si>
  <si>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</si>
  <si>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</si>
  <si>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</si>
  <si>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</si>
  <si>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</si>
  <si>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</si>
  <si>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</si>
  <si>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</si>
  <si>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</si>
  <si>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</si>
  <si>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</si>
  <si>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</si>
  <si>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</si>
  <si>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</si>
  <si>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</si>
  <si>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</si>
  <si>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</si>
  <si>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</si>
  <si>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</si>
  <si>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</si>
  <si>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</si>
  <si>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</si>
  <si>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</si>
  <si>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</si>
  <si>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</si>
  <si>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</si>
  <si>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</si>
  <si>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</si>
  <si>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</si>
  <si>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</si>
  <si>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</si>
  <si>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</si>
  <si>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</si>
  <si>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</si>
  <si>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</si>
  <si>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</si>
  <si>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</si>
  <si>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</si>
  <si>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</si>
  <si>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</si>
  <si>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</si>
  <si>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</si>
  <si>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</si>
  <si>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</si>
  <si>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</si>
  <si>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</si>
  <si>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</si>
  <si>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</si>
  <si>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</si>
  <si>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</si>
  <si>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</si>
  <si>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</si>
  <si>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</si>
  <si>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</si>
  <si>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</si>
  <si>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</si>
  <si>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</si>
  <si>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</si>
  <si>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</si>
  <si>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</si>
  <si>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</si>
  <si>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</si>
  <si>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</si>
  <si>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</si>
  <si>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</si>
  <si>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</si>
  <si>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</si>
  <si>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</si>
  <si>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</si>
  <si>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</si>
  <si>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</si>
  <si>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</si>
  <si>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</si>
  <si>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</si>
  <si>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</si>
  <si>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</si>
  <si>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</si>
  <si>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</si>
  <si>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</si>
  <si>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</si>
  <si>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</si>
  <si>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</si>
  <si>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</si>
  <si>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</si>
  <si>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</si>
  <si>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</si>
  <si>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</si>
  <si>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</si>
  <si>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</si>
  <si>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</si>
  <si>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</si>
  <si>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</si>
  <si>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</si>
  <si>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</si>
  <si>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</si>
  <si>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</si>
  <si>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</si>
  <si>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</si>
  <si>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</si>
  <si>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</si>
  <si>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</si>
  <si>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</si>
  <si>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</si>
  <si>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</si>
  <si>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</si>
  <si>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</si>
  <si>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</si>
  <si>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</si>
  <si>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</si>
  <si>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</si>
  <si>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</si>
  <si>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</si>
  <si>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</si>
  <si>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</si>
  <si>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</si>
  <si>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</si>
  <si>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</si>
  <si>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</si>
  <si>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</si>
  <si>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</si>
  <si>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</si>
  <si>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</si>
  <si>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</si>
  <si>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</si>
  <si>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</si>
  <si>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</si>
  <si>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</si>
  <si>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</si>
  <si>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</si>
  <si>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</si>
  <si>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</si>
  <si>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</si>
  <si>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</si>
  <si>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</si>
  <si>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</si>
  <si>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</si>
  <si>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</si>
  <si>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</si>
  <si>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</si>
  <si>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</si>
  <si>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</si>
  <si>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</si>
  <si>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</si>
  <si>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</si>
  <si>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</si>
  <si>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</si>
  <si>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</si>
  <si>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</si>
  <si>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</si>
  <si>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</si>
  <si>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</si>
  <si>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</si>
  <si>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</si>
  <si>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</si>
  <si>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</si>
  <si>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</si>
  <si>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</si>
  <si>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</si>
  <si>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</si>
  <si>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</si>
  <si>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</si>
  <si>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</si>
  <si>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</si>
  <si>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</si>
  <si>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</si>
  <si>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</si>
  <si>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</si>
  <si>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</si>
  <si>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</si>
  <si>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</si>
  <si>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</si>
  <si>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</si>
  <si>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</si>
  <si>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</si>
  <si>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</si>
  <si>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</si>
  <si>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</si>
  <si>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</si>
  <si>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</si>
  <si>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</si>
  <si>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</si>
  <si>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</si>
  <si>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</si>
  <si>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</si>
  <si>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</si>
  <si>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</si>
  <si>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</si>
  <si>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</si>
  <si>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</si>
  <si>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</si>
  <si>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</si>
  <si>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</si>
  <si>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</si>
  <si>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</si>
  <si>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</si>
  <si>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</si>
  <si>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</si>
  <si>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</si>
  <si>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</si>
  <si>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</si>
  <si>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</si>
  <si>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</si>
  <si>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</si>
  <si>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</si>
  <si>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</si>
  <si>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</si>
  <si>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</si>
  <si>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</si>
  <si>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</si>
  <si>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</si>
  <si>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</si>
  <si>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</si>
  <si>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</si>
  <si>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</si>
  <si>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</si>
  <si>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</si>
  <si>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</si>
  <si>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</si>
  <si>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</si>
  <si>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</si>
  <si>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</si>
  <si>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</si>
  <si>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</si>
  <si>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</si>
  <si>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</si>
  <si>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</si>
  <si>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</si>
  <si>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</si>
  <si>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</si>
  <si>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</si>
  <si>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</si>
  <si>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</si>
  <si>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</si>
  <si>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</si>
  <si>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</si>
  <si>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</si>
  <si>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</si>
  <si>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</si>
  <si>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</si>
  <si>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</si>
  <si>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</si>
  <si>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</si>
  <si>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</si>
  <si>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</si>
  <si>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</si>
  <si>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</si>
  <si>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</si>
  <si>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</si>
  <si>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</si>
  <si>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</si>
  <si>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</si>
  <si>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</si>
  <si>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</si>
  <si>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</si>
  <si>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</si>
  <si>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</si>
  <si>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</si>
  <si>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</si>
  <si>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</si>
  <si>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</si>
  <si>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</si>
  <si>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</si>
  <si>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</si>
  <si>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</si>
  <si>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</si>
  <si>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</si>
  <si>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</si>
  <si>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</si>
  <si>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</si>
  <si>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</si>
  <si>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</si>
  <si>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</si>
  <si>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</si>
  <si>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</si>
  <si>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</si>
  <si>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</si>
  <si>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</si>
  <si>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</si>
  <si>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</si>
  <si>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</si>
  <si>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</si>
  <si>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</si>
  <si>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</si>
  <si>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</si>
  <si>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</si>
  <si>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</si>
  <si>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</si>
  <si>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</si>
  <si>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</si>
  <si>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</si>
  <si>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MS.6.0-A0101</t>
  </si>
  <si>
    <t>Office Professional Plus ALng LSA</t>
  </si>
  <si>
    <t>MS.6.0-A0004</t>
  </si>
  <si>
    <t>Project Standard ALng LSA</t>
  </si>
  <si>
    <t>MS.6.0-A1343</t>
  </si>
  <si>
    <t>Project Professional ALng LSA 1 Server CAL</t>
  </si>
  <si>
    <t>MS.6.0-A1506</t>
  </si>
  <si>
    <t>Power BI Pro Sub Per User</t>
  </si>
  <si>
    <t>MS.6.0-A0871</t>
  </si>
  <si>
    <t>O365 E3 Sub Per User</t>
  </si>
  <si>
    <t>MS.6.0-A1692</t>
  </si>
  <si>
    <t>O365 E5 Sub Per User</t>
  </si>
  <si>
    <t>MS.6.0-A0463</t>
  </si>
  <si>
    <t>Planner &amp; Project P3 Sub Per User</t>
  </si>
  <si>
    <t>MS.6.0-A0491</t>
  </si>
  <si>
    <t>Planner &amp; Project P5 Sub Per User</t>
  </si>
  <si>
    <t>MS.6.0-A1769</t>
  </si>
  <si>
    <t>Planner P1 Sub Per User</t>
  </si>
  <si>
    <t>Identificador SGD</t>
  </si>
  <si>
    <t>Identificador Microsoft</t>
  </si>
  <si>
    <t>269-05623</t>
  </si>
  <si>
    <t>076-01776</t>
  </si>
  <si>
    <t>H30-00237</t>
  </si>
  <si>
    <t>NK4-00002</t>
  </si>
  <si>
    <t>AAA-10842</t>
  </si>
  <si>
    <t>SY9-00004</t>
  </si>
  <si>
    <t>7LS-00002</t>
  </si>
  <si>
    <t>7SY-00002</t>
  </si>
  <si>
    <t>TRS-00002</t>
  </si>
  <si>
    <t>UGFP-DLC</t>
  </si>
  <si>
    <t>Catálogo SGD</t>
  </si>
  <si>
    <t>Grupo de itens</t>
  </si>
  <si>
    <t>Preços proporcionalizados de acordo com a vigência contratual</t>
  </si>
  <si>
    <t>26.0.000101231-1</t>
  </si>
  <si>
    <t>Raul Cortês Scherer</t>
  </si>
  <si>
    <t>Unidade/Ano</t>
  </si>
  <si>
    <t>Unidade/Mensal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</si>
</sst>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style="thin">
        <color rgb="FF000000"/>
      </top>
      <bottom style="thin">
        <color rgb="FF000000"/>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0" fillId="0" borderId="54" xfId="0" applyBorder="1" applyAlignment="1">
      <alignment vertical="center" wrapText="1"/>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12</xdr:col>
      <xdr:colOff>342900</xdr:colOff>
      <xdr:row>0</xdr:row>
      <xdr:rowOff>85725</xdr:rowOff>
    </xdr:from>
    <xdr:to>
      <xdr:col>19</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22</xdr:col>
          <xdr:colOff>552450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B1:H60"/>
  <sheetViews>
    <sheetView workbookViewId="0">
      <selection activeCell="A2" sqref="A2"/>
    </sheetView>
  </sheetViews>
  <sheetFormatPr defaultColWidth="9.140625" defaultRowHeight="15" x14ac:dyDescent="0.25"/>
  <cols>
    <col min="1" max="1" width="9.140625" style="19"/>
    <col min="2" max="2" width="5.140625" style="19" bestFit="1" customWidth="1"/>
    <col min="3" max="3" width="9.42578125" style="19" bestFit="1" customWidth="1"/>
    <col min="4" max="4" width="23.7109375" style="19" bestFit="1" customWidth="1"/>
    <col min="5" max="5" width="8.42578125" style="19" bestFit="1" customWidth="1"/>
    <col min="6" max="6" width="7" style="19" bestFit="1" customWidth="1"/>
    <col min="7" max="7" width="14.5703125" style="19" bestFit="1" customWidth="1"/>
    <col min="8" max="8" width="14.7109375" style="19" bestFit="1" customWidth="1"/>
    <col min="9" max="16384" width="9.140625" style="19"/>
  </cols>
  <sheetData>
    <row r="1" spans="2:8" x14ac:dyDescent="0.25">
      <c r="B1" s="19" t="s">
        <v>25</v>
      </c>
      <c r="C1" s="19" t="s">
        <v>26</v>
      </c>
      <c r="D1" s="19" t="s">
        <v>27</v>
      </c>
      <c r="E1" s="19" t="s">
        <v>28</v>
      </c>
      <c r="F1" s="19" t="s">
        <v>29</v>
      </c>
      <c r="G1" s="19" t="s">
        <v>30</v>
      </c>
      <c r="H1" s="19" t="s">
        <v>31</v>
      </c>
    </row>
    <row r="2" spans="2:8" ht="30" x14ac:dyDescent="0.25">
      <c r="B2" s="182">
        <v>1</v>
      </c>
      <c r="C2" s="182" t="s">
        <v>432</v>
      </c>
      <c r="D2" s="182" t="s">
        <v>433</v>
      </c>
      <c r="F2" s="40"/>
    </row>
    <row r="3" spans="2:8" ht="30" x14ac:dyDescent="0.25">
      <c r="B3" s="182">
        <v>2</v>
      </c>
      <c r="C3" s="182" t="s">
        <v>434</v>
      </c>
      <c r="D3" s="182" t="s">
        <v>435</v>
      </c>
      <c r="F3" s="40"/>
    </row>
    <row r="4" spans="2:8" ht="30" x14ac:dyDescent="0.25">
      <c r="B4" s="182">
        <v>3</v>
      </c>
      <c r="C4" s="182" t="s">
        <v>436</v>
      </c>
      <c r="D4" s="182" t="s">
        <v>437</v>
      </c>
    </row>
    <row r="5" spans="2:8" ht="30" x14ac:dyDescent="0.25">
      <c r="B5" s="182">
        <v>4</v>
      </c>
      <c r="C5" s="182" t="s">
        <v>438</v>
      </c>
      <c r="D5" s="182" t="s">
        <v>439</v>
      </c>
      <c r="F5" s="40"/>
    </row>
    <row r="6" spans="2:8" ht="30" x14ac:dyDescent="0.25">
      <c r="B6" s="182">
        <v>5</v>
      </c>
      <c r="C6" s="182" t="s">
        <v>440</v>
      </c>
      <c r="D6" s="182" t="s">
        <v>441</v>
      </c>
      <c r="F6" s="40"/>
    </row>
    <row r="7" spans="2:8" ht="30" x14ac:dyDescent="0.25">
      <c r="B7" s="182">
        <v>6</v>
      </c>
      <c r="C7" s="182" t="s">
        <v>442</v>
      </c>
      <c r="D7" s="182" t="s">
        <v>443</v>
      </c>
      <c r="F7" s="40"/>
    </row>
    <row r="8" spans="2:8" ht="30" x14ac:dyDescent="0.25">
      <c r="B8" s="182">
        <v>7</v>
      </c>
      <c r="C8" s="182" t="s">
        <v>444</v>
      </c>
      <c r="D8" s="182" t="s">
        <v>445</v>
      </c>
      <c r="F8" s="40"/>
    </row>
    <row r="9" spans="2:8" ht="30" x14ac:dyDescent="0.25">
      <c r="B9" s="182">
        <v>8</v>
      </c>
      <c r="C9" s="182" t="s">
        <v>446</v>
      </c>
      <c r="D9" s="182" t="s">
        <v>447</v>
      </c>
      <c r="F9" s="40"/>
    </row>
    <row r="10" spans="2:8" ht="30" x14ac:dyDescent="0.25">
      <c r="B10" s="182">
        <v>9</v>
      </c>
      <c r="C10" s="182" t="s">
        <v>448</v>
      </c>
      <c r="D10" s="182" t="s">
        <v>449</v>
      </c>
      <c r="F10" s="40"/>
    </row>
    <row r="11" spans="2:8" x14ac:dyDescent="0.25">
      <c r="B11" s="182"/>
      <c r="F11" s="40"/>
    </row>
    <row r="12" spans="2:8" x14ac:dyDescent="0.25">
      <c r="F12" s="40"/>
    </row>
    <row r="14" spans="2:8" x14ac:dyDescent="0.25">
      <c r="F14" s="40"/>
    </row>
    <row r="15" spans="2:8" x14ac:dyDescent="0.25">
      <c r="F15" s="40"/>
    </row>
    <row r="16" spans="2:8" x14ac:dyDescent="0.25">
      <c r="F16" s="40"/>
    </row>
    <row r="17" spans="6:6" x14ac:dyDescent="0.25">
      <c r="F17" s="40"/>
    </row>
    <row r="18" spans="6:6" x14ac:dyDescent="0.25">
      <c r="F18" s="40"/>
    </row>
    <row r="19" spans="6:6" x14ac:dyDescent="0.25">
      <c r="F19" s="40"/>
    </row>
    <row r="21" spans="6:6" ht="15" customHeight="1" x14ac:dyDescent="0.25">
      <c r="F21" s="40"/>
    </row>
    <row r="23" spans="6:6" x14ac:dyDescent="0.25">
      <c r="F23" s="40"/>
    </row>
    <row r="24" spans="6:6" x14ac:dyDescent="0.25">
      <c r="F24" s="40"/>
    </row>
    <row r="25" spans="6:6" x14ac:dyDescent="0.25">
      <c r="F25" s="40"/>
    </row>
    <row r="26" spans="6:6" x14ac:dyDescent="0.25">
      <c r="F26" s="40"/>
    </row>
    <row r="27" spans="6:6" x14ac:dyDescent="0.25">
      <c r="F27" s="40"/>
    </row>
    <row r="29" spans="6:6" x14ac:dyDescent="0.25">
      <c r="F29" s="40"/>
    </row>
    <row r="31" spans="6:6" x14ac:dyDescent="0.25">
      <c r="F31" s="40"/>
    </row>
    <row r="32" spans="6:6" x14ac:dyDescent="0.25">
      <c r="F32" s="40"/>
    </row>
    <row r="33" spans="6:6" x14ac:dyDescent="0.25">
      <c r="F33" s="40"/>
    </row>
    <row r="34" spans="6:6" x14ac:dyDescent="0.25">
      <c r="F34" s="40"/>
    </row>
    <row r="35" spans="6:6" x14ac:dyDescent="0.25">
      <c r="F35" s="40"/>
    </row>
    <row r="36" spans="6:6" x14ac:dyDescent="0.25">
      <c r="F36" s="40"/>
    </row>
    <row r="37" spans="6:6" x14ac:dyDescent="0.25">
      <c r="F37" s="40"/>
    </row>
    <row r="38" spans="6:6" x14ac:dyDescent="0.25">
      <c r="F38" s="40"/>
    </row>
    <row r="39" spans="6:6" x14ac:dyDescent="0.25">
      <c r="F39" s="40"/>
    </row>
    <row r="40" spans="6:6" x14ac:dyDescent="0.25">
      <c r="F40" s="40"/>
    </row>
    <row r="41" spans="6:6" x14ac:dyDescent="0.25">
      <c r="F41" s="40"/>
    </row>
    <row r="42" spans="6:6" x14ac:dyDescent="0.25">
      <c r="F42" s="40"/>
    </row>
    <row r="43" spans="6:6" x14ac:dyDescent="0.25">
      <c r="F43" s="40"/>
    </row>
    <row r="44" spans="6:6" x14ac:dyDescent="0.25">
      <c r="F44" s="40"/>
    </row>
    <row r="45" spans="6:6" x14ac:dyDescent="0.25">
      <c r="F45" s="40"/>
    </row>
    <row r="46" spans="6:6" x14ac:dyDescent="0.25">
      <c r="F46" s="40"/>
    </row>
    <row r="48" spans="6:6" x14ac:dyDescent="0.25">
      <c r="F48" s="40"/>
    </row>
    <row r="49" spans="6:6" x14ac:dyDescent="0.25">
      <c r="F49" s="40"/>
    </row>
    <row r="50" spans="6:6" x14ac:dyDescent="0.25">
      <c r="F50" s="40"/>
    </row>
    <row r="51" spans="6:6" x14ac:dyDescent="0.25">
      <c r="F51" s="40"/>
    </row>
    <row r="52" spans="6:6" x14ac:dyDescent="0.25">
      <c r="F52" s="40"/>
    </row>
    <row r="53" spans="6:6" x14ac:dyDescent="0.25">
      <c r="F53" s="40"/>
    </row>
    <row r="54" spans="6:6" x14ac:dyDescent="0.25">
      <c r="F54" s="40"/>
    </row>
    <row r="55" spans="6:6" x14ac:dyDescent="0.25">
      <c r="F55" s="40"/>
    </row>
    <row r="56" spans="6:6" x14ac:dyDescent="0.25">
      <c r="F56" s="40"/>
    </row>
    <row r="57" spans="6:6" x14ac:dyDescent="0.25">
      <c r="F57" s="40"/>
    </row>
    <row r="58" spans="6:6" x14ac:dyDescent="0.25">
      <c r="F58" s="40"/>
    </row>
    <row r="59" spans="6:6" x14ac:dyDescent="0.25">
      <c r="F59" s="40"/>
    </row>
    <row r="60" spans="6:6" x14ac:dyDescent="0.25">
      <c r="F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A9" sqref="A9"/>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463</v>
      </c>
      <c r="B1" t="s">
        <v>0</v>
      </c>
      <c r="C1" t="s">
        <v>1</v>
      </c>
      <c r="D1" t="s">
        <v>2</v>
      </c>
      <c r="E1" s="162" t="s">
        <v>3</v>
      </c>
      <c r="F1" t="s">
        <v>4</v>
      </c>
      <c r="G1" t="s">
        <v>5</v>
      </c>
      <c r="H1" t="s">
        <v>6</v>
      </c>
      <c r="I1" t="s">
        <v>7</v>
      </c>
      <c r="J1" t="s">
        <v>8</v>
      </c>
      <c r="K1" t="s">
        <v>16</v>
      </c>
    </row>
    <row r="2" spans="1:11" ht="60" x14ac:dyDescent="0.25">
      <c r="A2" s="182">
        <v>1</v>
      </c>
      <c r="B2" s="182" t="s">
        <v>432</v>
      </c>
      <c r="C2" s="182" t="s">
        <v>433</v>
      </c>
      <c r="D2" s="19" t="s">
        <v>467</v>
      </c>
      <c r="H2" s="182">
        <v>368</v>
      </c>
    </row>
    <row r="3" spans="1:11" ht="45" x14ac:dyDescent="0.25">
      <c r="A3" s="182">
        <v>1</v>
      </c>
      <c r="B3" s="182" t="s">
        <v>434</v>
      </c>
      <c r="C3" s="182" t="s">
        <v>435</v>
      </c>
      <c r="D3" s="19" t="s">
        <v>467</v>
      </c>
      <c r="H3" s="182">
        <v>3</v>
      </c>
      <c r="I3" s="129"/>
    </row>
    <row r="4" spans="1:11" ht="75" x14ac:dyDescent="0.25">
      <c r="A4" s="182">
        <v>1</v>
      </c>
      <c r="B4" s="182" t="s">
        <v>436</v>
      </c>
      <c r="C4" s="182" t="s">
        <v>437</v>
      </c>
      <c r="D4" s="19" t="s">
        <v>467</v>
      </c>
      <c r="H4" s="182">
        <v>16</v>
      </c>
    </row>
    <row r="5" spans="1:11" ht="45" x14ac:dyDescent="0.25">
      <c r="A5" s="182">
        <v>1</v>
      </c>
      <c r="B5" s="182" t="s">
        <v>438</v>
      </c>
      <c r="C5" s="182" t="s">
        <v>439</v>
      </c>
      <c r="D5" s="19" t="s">
        <v>468</v>
      </c>
      <c r="H5" s="182">
        <v>81</v>
      </c>
      <c r="I5" s="129"/>
    </row>
    <row r="6" spans="1:11" ht="45" x14ac:dyDescent="0.25">
      <c r="A6" s="182">
        <v>1</v>
      </c>
      <c r="B6" s="182" t="s">
        <v>440</v>
      </c>
      <c r="C6" s="182" t="s">
        <v>441</v>
      </c>
      <c r="D6" s="19" t="s">
        <v>468</v>
      </c>
      <c r="H6" s="182">
        <v>83</v>
      </c>
      <c r="J6" s="129"/>
    </row>
    <row r="7" spans="1:11" ht="45" x14ac:dyDescent="0.25">
      <c r="A7" s="182">
        <v>1</v>
      </c>
      <c r="B7" s="182" t="s">
        <v>442</v>
      </c>
      <c r="C7" s="182" t="s">
        <v>443</v>
      </c>
      <c r="D7" s="19" t="s">
        <v>468</v>
      </c>
      <c r="H7" s="182">
        <v>3</v>
      </c>
      <c r="I7" s="129"/>
    </row>
    <row r="8" spans="1:11" ht="60" x14ac:dyDescent="0.25">
      <c r="A8" s="182">
        <v>1</v>
      </c>
      <c r="B8" s="182" t="s">
        <v>444</v>
      </c>
      <c r="C8" s="182" t="s">
        <v>445</v>
      </c>
      <c r="D8" s="19" t="s">
        <v>468</v>
      </c>
      <c r="H8" s="182">
        <v>41</v>
      </c>
      <c r="I8" s="129"/>
    </row>
    <row r="9" spans="1:11" ht="60" x14ac:dyDescent="0.25">
      <c r="A9" s="182">
        <v>1</v>
      </c>
      <c r="B9" s="182" t="s">
        <v>446</v>
      </c>
      <c r="C9" s="182" t="s">
        <v>447</v>
      </c>
      <c r="D9" s="19" t="s">
        <v>468</v>
      </c>
      <c r="H9" s="182">
        <v>3</v>
      </c>
      <c r="I9" s="139"/>
    </row>
    <row r="10" spans="1:11" ht="45" x14ac:dyDescent="0.25">
      <c r="A10" s="182">
        <v>1</v>
      </c>
      <c r="B10" s="182" t="s">
        <v>448</v>
      </c>
      <c r="C10" s="182" t="s">
        <v>449</v>
      </c>
      <c r="D10" s="19" t="s">
        <v>468</v>
      </c>
      <c r="H10" s="182">
        <v>13</v>
      </c>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B3:C3 E3:G10 I3:K10 B5:C5 B7:C7 B9:C9 B11:C11 A11:A264 D11:K264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opLeftCell="A97" zoomScale="85" zoomScaleNormal="85" workbookViewId="0">
      <selection activeCell="E2" sqref="E2:T2"/>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23.7109375" style="3" customWidth="1"/>
    <col min="8" max="8" width="19.5703125" style="3" customWidth="1"/>
    <col min="9" max="9" width="25.5703125" style="5" customWidth="1"/>
    <col min="10" max="10" width="19.5703125" style="3" customWidth="1"/>
    <col min="11" max="11" width="0.85546875" style="64" customWidth="1"/>
    <col min="12" max="13" width="18.140625" style="3" customWidth="1"/>
    <col min="14" max="14" width="0.85546875" style="72" customWidth="1"/>
    <col min="15" max="15" width="14.5703125" style="4" customWidth="1"/>
    <col min="16" max="16" width="23.5703125" style="121" customWidth="1"/>
    <col min="17" max="22" width="19.85546875" style="121" hidden="1" customWidth="1"/>
    <col min="23"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9" t="str">
        <f>CONCATENATE("PREFEITURA MUNICIPAL DE PORTO ALEGRE
",H5,"
MAPA DE PREÇOS - ", UPPER(TEXT(MAX('Tabela de Apoio'!A:A),"MMM/AA")))</f>
        <v>PREFEITURA MUNICIPAL DE PORTO ALEGRE
SECRETARIA MUNICIPAL DE PLANEJAMENTO E GESTÃO (SMPG)
MAPA DE PREÇOS - FEV/26</v>
      </c>
      <c r="F2" s="219"/>
      <c r="G2" s="219"/>
      <c r="H2" s="219"/>
      <c r="I2" s="219"/>
      <c r="J2" s="219"/>
      <c r="K2" s="219"/>
      <c r="L2" s="219"/>
      <c r="M2" s="219"/>
      <c r="N2" s="219"/>
      <c r="O2" s="219"/>
      <c r="P2" s="219"/>
      <c r="Q2" s="219"/>
      <c r="R2" s="219"/>
      <c r="S2" s="219"/>
      <c r="T2" s="21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20" t="s">
        <v>406</v>
      </c>
      <c r="I5" s="220"/>
      <c r="J5" s="220"/>
      <c r="K5" s="141"/>
      <c r="L5" s="206" t="s">
        <v>321</v>
      </c>
      <c r="M5" s="207"/>
      <c r="N5" s="207"/>
      <c r="O5" s="221" t="s">
        <v>461</v>
      </c>
      <c r="P5" s="222"/>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24"/>
      <c r="I6" s="224"/>
      <c r="J6" s="224"/>
      <c r="K6" s="142"/>
      <c r="L6" s="206" t="s">
        <v>352</v>
      </c>
      <c r="M6" s="207"/>
      <c r="N6" s="207"/>
      <c r="O6" s="221" t="s">
        <v>466</v>
      </c>
      <c r="P6" s="222"/>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20" t="s">
        <v>465</v>
      </c>
      <c r="I7" s="220"/>
      <c r="J7" s="220"/>
      <c r="K7" s="141"/>
      <c r="L7" s="206" t="s">
        <v>351</v>
      </c>
      <c r="M7" s="207"/>
      <c r="N7" s="207"/>
      <c r="O7" s="221">
        <v>166548001</v>
      </c>
      <c r="P7" s="222"/>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10">
        <v>9</v>
      </c>
      <c r="I8" s="211"/>
      <c r="J8" s="212"/>
      <c r="K8" s="141"/>
      <c r="L8" s="213" t="s">
        <v>301</v>
      </c>
      <c r="M8" s="214"/>
      <c r="N8" s="215"/>
      <c r="O8" s="227">
        <v>46218</v>
      </c>
      <c r="P8" s="228"/>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09">
        <f>SUMIF(L:L,"TOTAL ITEM",M:M)</f>
        <v>3321754.02</v>
      </c>
      <c r="I9" s="209"/>
      <c r="J9" s="209"/>
      <c r="K9" s="141"/>
      <c r="L9" s="216"/>
      <c r="M9" s="217"/>
      <c r="N9" s="218"/>
      <c r="O9" s="229"/>
      <c r="P9" s="230"/>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8" t="s">
        <v>314</v>
      </c>
      <c r="F11" s="65"/>
      <c r="G11" s="208" t="s">
        <v>324</v>
      </c>
      <c r="H11" s="208"/>
      <c r="I11" s="208"/>
      <c r="J11" s="208"/>
      <c r="K11" s="65"/>
      <c r="L11" s="208" t="s">
        <v>10</v>
      </c>
      <c r="M11" s="208"/>
      <c r="N11" s="68"/>
      <c r="O11" s="22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8"/>
      <c r="F12" s="65"/>
      <c r="G12" s="208"/>
      <c r="H12" s="208"/>
      <c r="I12" s="208"/>
      <c r="J12" s="208"/>
      <c r="K12" s="65"/>
      <c r="L12" s="208"/>
      <c r="M12" s="208"/>
      <c r="N12" s="69"/>
      <c r="O12" s="22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450</v>
      </c>
      <c r="H15" s="135" t="str">
        <f>INDEX('BASE FORMAÇÃO'!B:B,B15+1)</f>
        <v>MS.6.0-A0101</v>
      </c>
      <c r="I15" s="38" t="s">
        <v>451</v>
      </c>
      <c r="J15" s="6" t="s">
        <v>452</v>
      </c>
      <c r="K15" s="65"/>
      <c r="L15" s="183" t="s">
        <v>10</v>
      </c>
      <c r="M15" s="185">
        <f>IF(OR(ISBLANK($O$8),ISBLANK($O$7),ISBLANK($H$8),ISBLANK($O$6),ISBLANK($O$5),ISBLANK($H$5)),"",IFERROR(IF(VLOOKUP(L15,L21:M30,2,FALSE)&lt;1,ROUND(VLOOKUP(L15,L21:M30,2,FALSE),4),ROUND(VLOOKUP(L15,L21:M30,2,FALSE),2)),""))</f>
        <v>5716.26</v>
      </c>
      <c r="N15" s="69"/>
      <c r="O15" s="27" t="s">
        <v>17</v>
      </c>
      <c r="P15" s="113">
        <f>1905.42*3</f>
        <v>5716.26</v>
      </c>
      <c r="Q15" s="113"/>
      <c r="R15" s="113"/>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tr">
        <f>INDEX('BASE FORMAÇÃO'!C:C,B15+1)</f>
        <v>Office Professional Plus ALng LSA</v>
      </c>
      <c r="I16" s="192"/>
      <c r="J16" s="193"/>
      <c r="K16" s="66"/>
      <c r="L16" s="184"/>
      <c r="M16" s="186"/>
      <c r="N16" s="70"/>
      <c r="O16" s="27" t="s">
        <v>13</v>
      </c>
      <c r="P16" s="122">
        <v>46118</v>
      </c>
      <c r="Q16" s="122"/>
      <c r="R16" s="122"/>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f>INDEX('BASE FORMAÇÃO'!H:H,B19+1)</f>
        <v>368</v>
      </c>
      <c r="N17" s="71"/>
      <c r="O17" s="27" t="s">
        <v>380</v>
      </c>
      <c r="P17" s="114" t="s">
        <v>349</v>
      </c>
      <c r="Q17" s="114"/>
      <c r="R17" s="114"/>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t="str">
        <f>INDEX('BASE FORMAÇÃO'!D:D,B19+1)</f>
        <v>Unidade/Ano</v>
      </c>
      <c r="N18" s="71"/>
      <c r="O18" s="27" t="s">
        <v>381</v>
      </c>
      <c r="P18" s="115" t="s">
        <v>462</v>
      </c>
      <c r="Q18" s="115"/>
      <c r="R18" s="115"/>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t="s">
        <v>464</v>
      </c>
      <c r="I19" s="203"/>
      <c r="J19" s="203"/>
      <c r="K19" s="67"/>
      <c r="L19" s="28" t="s">
        <v>303</v>
      </c>
      <c r="M19" s="133">
        <f>IFERROR(INDEX(I21:I33,MATCH(MAX(J21:J33),J21:J33,0)),"")</f>
        <v>0</v>
      </c>
      <c r="N19" s="71"/>
      <c r="O19" s="27" t="s">
        <v>18</v>
      </c>
      <c r="P19" s="106">
        <f>IF(P15="","",
IF(OR(P17="Orçamento",P16="",MAX('Tabela de Apoio'!$A:$A)&lt;=P16),
P15,
(INDEX('Tabela de Apoio'!$B:$B,MATCH('MAPA DE PREÇOS'!$O$8,'Tabela de Apoio'!$A:$A,1))/INDEX('Tabela de Apoio'!$B:$B,MATCH('MAPA DE PREÇOS'!P16,'Tabela de Apoio'!$A:$A,1)-1))*P15))</f>
        <v>5716.26</v>
      </c>
      <c r="Q19" s="106" t="str">
        <f>IF(Q15="","",
IF(OR(Q17="Orçamento",Q16="",MAX('Tabela de Apoio'!$A:$A)&lt;=Q16),
Q15,
(INDEX('Tabela de Apoio'!$B:$B,MATCH('MAPA DE PREÇOS'!$O$8,'Tabela de Apoio'!$A:$A,1))/INDEX('Tabela de Apoio'!$B:$B,MATCH('MAPA DE PREÇOS'!Q16,'Tabela de Apoio'!$A:$A,1)-1))*Q15))</f>
        <v/>
      </c>
      <c r="R19" s="106" t="str">
        <f>IF(R15="","",
IF(OR(R17="Orçamento",R16="",MAX('Tabela de Apoio'!$A:$A)&lt;=R16),
R15,
(INDEX('Tabela de Apoio'!$B:$B,MATCH('MAPA DE PREÇOS'!$O$8,'Tabela de Apoio'!$A:$A,1))/INDEX('Tabela de Apoio'!$B:$B,MATCH('MAPA DE PREÇOS'!R16,'Tabela de Apoio'!$A:$A,1)-1))*R15))</f>
        <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1</v>
      </c>
      <c r="I21" s="132">
        <f>_xlfn.STDEV.P($P20:$XX21)/AVERAGE($P20:$XX21)</f>
        <v>0</v>
      </c>
      <c r="J21" s="7">
        <f>ROW()</f>
        <v>21</v>
      </c>
      <c r="K21" s="67"/>
      <c r="L21" s="29" t="s">
        <v>10</v>
      </c>
      <c r="M21" s="30">
        <f>IFERROR(
IF(COUNTA(P15:AI15)=COUNTIF(P17:XX17,"Orçamento"),MIN(M26,M23),
IF(M24&lt;&gt;"",M24,
IF(M25&lt;&gt;"",M25,
M23
))),"")</f>
        <v>5716.26</v>
      </c>
      <c r="N21" s="71"/>
      <c r="O21" s="27" t="s">
        <v>376</v>
      </c>
      <c r="P21" s="106">
        <f>IFERROR(IF(P19="",
            "",
            IF(COUNT($P19:$XX19)&lt;=4,
               P19,
               IF(OR(P19&gt;(QUARTILE($P19:$XX19,3)+(QUARTILE($P19:$XX19,3)-QUARTILE($P19:$XX19,1))),
                     P19&lt;(QUARTILE($P19:$XX19,1)-(QUARTILE($P19:$XX19,3)-QUARTILE($P19:$XX19,1)))
                  ),
               "DESCARTADO",P19)
             )
  ),P19)</f>
        <v>5716.26</v>
      </c>
      <c r="Q21" s="106" t="str">
        <f t="shared" ref="Q21:AI21" si="3">IFERROR(IF(Q19="",
            "",
            IF(COUNT($P19:$XX19)&lt;=4,
               Q19,
               IF(OR(Q19&gt;(QUARTILE($P19:$XX19,3)+(QUARTILE($P19:$XX19,3)-QUARTILE($P19:$XX19,1))),
                     Q19&lt;(QUARTILE($P19:$XX19,1)-(QUARTILE($P19:$XX19,3)-QUARTILE($P19:$XX19,1)))
                  ),
               "DESCARTADO",Q19)
             )
  ),Q19)</f>
        <v/>
      </c>
      <c r="R21" s="106" t="str">
        <f t="shared" si="3"/>
        <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5716.26</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1</v>
      </c>
      <c r="I23" s="132">
        <f>_xlfn.STDEV.P($P22:$XX23)/AVERAGE($P22:$XX23)</f>
        <v>0</v>
      </c>
      <c r="J23" s="7">
        <f>IF(AND(H23&gt;2,
OR(L15="MÉDIA SANEADA",L15="MEDIANA SANEADA",
AND(L15="PREÇO ESTIMADO",NOT(AND(P17="Orçamento",COUNTA(P15:XX15)=COUNTIF(P17:XX17,"Orçamento")))))),
ROW(),0)</f>
        <v>0</v>
      </c>
      <c r="K23" s="66"/>
      <c r="L23" s="29" t="s">
        <v>361</v>
      </c>
      <c r="M23" s="30">
        <f>MEDIAN($P21:$XX21)</f>
        <v>5716.26</v>
      </c>
      <c r="N23" s="71"/>
      <c r="O23" s="27" t="str">
        <f>"1 RODADA"</f>
        <v>1 RODADA</v>
      </c>
      <c r="P23" s="107">
        <f>IF(P21="","",IF((_xlfn.STDEV.P($P20:$XX21)/AVERAGE($P20:$XX21))&lt;=25%,P21,IF(OR(P21&gt;(AVERAGE($P20:$XX21)+_xlfn.STDEV.P($P20:$XX21)),P21&lt;(AVERAGE($P20:$XX21)-_xlfn.STDEV.P($P20:$XX21))),"DESCARTADO",P21)))</f>
        <v>5716.26</v>
      </c>
      <c r="Q23" s="107" t="str">
        <f t="shared" ref="Q23:AI23" si="6">IF(Q21="","",IF((_xlfn.STDEV.P($P20:$XX21)/AVERAGE($P20:$XX21))&lt;=25%,Q21,IF(OR(Q21&gt;(AVERAGE($P20:$XX21)+_xlfn.STDEV.P($P20:$XX21)),Q21&lt;(AVERAGE($P20:$XX21)-_xlfn.STDEV.P($P20:$XX21))),"DESCARTADO",Q21)))</f>
        <v/>
      </c>
      <c r="R23" s="107" t="str">
        <f t="shared" si="6"/>
        <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5716.26</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1</v>
      </c>
      <c r="I25" s="132">
        <f>_xlfn.STDEV.P($P24:$XX25)/AVERAGE($P24:$XX25)</f>
        <v>0</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5716.26</v>
      </c>
      <c r="N25" s="71"/>
      <c r="O25" s="27" t="str">
        <f>"2 RODADA"</f>
        <v>2 RODADA</v>
      </c>
      <c r="P25" s="107">
        <f>IF(P23="","",IF((_xlfn.STDEV.P($P22:$XX23)/AVERAGE($P22:$XX23))&lt;=25%,P23,IF(OR(P23&gt;(AVERAGE($P22:$XX23)+_xlfn.STDEV.P($P22:$XX23)),P23&lt;(AVERAGE($P22:$XX23)-_xlfn.STDEV.P($P22:$XX23))),"DESCARTADO",P23)))</f>
        <v>5716.26</v>
      </c>
      <c r="Q25" s="107" t="str">
        <f t="shared" ref="Q25:AI25" si="7">IF(Q23="","",IF((_xlfn.STDEV.P($P22:$XX23)/AVERAGE($P22:$XX23))&lt;=25%,Q23,IF(OR(Q23&gt;(AVERAGE($P22:$XX23)+_xlfn.STDEV.P($P22:$XX23)),Q23&lt;(AVERAGE($P22:$XX23)-_xlfn.STDEV.P($P22:$XX23))),"DESCARTADO",Q23)))</f>
        <v/>
      </c>
      <c r="R25" s="107" t="str">
        <f t="shared" si="7"/>
        <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5716.26</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1</v>
      </c>
      <c r="I27" s="132">
        <f>_xlfn.STDEV.P($P26:$XX27)/AVERAGE($P26:$XX27)</f>
        <v>0</v>
      </c>
      <c r="J27" s="7">
        <f>IF(AND(H27&gt;2,
OR(L15="MÉDIA SANEADA",L15="MEDIANA SANEADA",
AND(L15="PREÇO ESTIMADO",NOT(AND(P17="Orçamento",COUNTA(P15:XX15)=COUNTIF(P17:XX17,"Orçamento")))))),
ROW(),0)</f>
        <v>0</v>
      </c>
      <c r="K27" s="66"/>
      <c r="L27" s="29" t="s">
        <v>41</v>
      </c>
      <c r="M27" s="30" t="str">
        <f>IFERROR(_xlfn.QUARTILE.EXC($P21:$XX21,1),"")</f>
        <v/>
      </c>
      <c r="N27" s="71"/>
      <c r="O27" s="27" t="str">
        <f>"3 RODADA"</f>
        <v>3 RODADA</v>
      </c>
      <c r="P27" s="107">
        <f>IF(P25="","",IF((_xlfn.STDEV.P($P24:$XX25)/AVERAGE($P24:$XX25))&lt;=25%,P25,IF(OR(P25&gt;(AVERAGE($P24:$XX25)+_xlfn.STDEV.P($P24:$XX25)),P25&lt;(AVERAGE($P24:$XX25)-_xlfn.STDEV.P($P24:$XX25))),"DESCARTADO",P25)))</f>
        <v>5716.26</v>
      </c>
      <c r="Q27" s="107" t="str">
        <f t="shared" ref="Q27:AI27" si="8">IF(Q25="","",IF((_xlfn.STDEV.P($P24:$XX25)/AVERAGE($P24:$XX25))&lt;=25%,Q25,IF(OR(Q25&gt;(AVERAGE($P24:$XX25)+_xlfn.STDEV.P($P24:$XX25)),Q25&lt;(AVERAGE($P24:$XX25)-_xlfn.STDEV.P($P24:$XX25))),"DESCARTADO",Q25)))</f>
        <v/>
      </c>
      <c r="R27" s="107" t="str">
        <f t="shared" si="8"/>
        <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t="str">
        <f>IFERROR(_xlfn.QUARTILE.EXC($P21:$XX21,3),"")</f>
        <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1</v>
      </c>
      <c r="I29" s="132">
        <f>_xlfn.STDEV.P($P28:$XX29)/AVERAGE($P28:$XX29)</f>
        <v>0</v>
      </c>
      <c r="J29" s="7">
        <f>IF(AND(H29&gt;2,
OR(L15="MÉDIA SANEADA",L15="MEDIANA SANEADA",
AND(L15="PREÇO ESTIMADO",NOT(AND(P17="Orçamento",COUNTA(P15:XX15)=COUNTIF(P17:XX17,"Orçamento")))))),
ROW(),0)</f>
        <v>0</v>
      </c>
      <c r="K29" s="66"/>
      <c r="L29" s="29" t="s">
        <v>42</v>
      </c>
      <c r="M29" s="30">
        <f>MIN($P21:$XX21)</f>
        <v>5716.26</v>
      </c>
      <c r="N29" s="71"/>
      <c r="O29" s="27" t="str">
        <f>"4 RODADA"</f>
        <v>4 RODADA</v>
      </c>
      <c r="P29" s="107">
        <f>IF(P27="","",IF((_xlfn.STDEV.P($P26:$XX27)/AVERAGE($P26:$XX27))&lt;=25%,P27,IF(OR(P27&gt;(AVERAGE($P26:$XX27)+_xlfn.STDEV.P($P26:$XX27)),P27&lt;(AVERAGE($P26:$XX27)-_xlfn.STDEV.P($P26:$XX27))),"DESCARTADO",P27)))</f>
        <v>5716.26</v>
      </c>
      <c r="Q29" s="107" t="str">
        <f t="shared" ref="Q29:AI29" si="9">IF(Q27="","",IF((_xlfn.STDEV.P($P26:$XX27)/AVERAGE($P26:$XX27))&lt;=25%,Q27,IF(OR(Q27&gt;(AVERAGE($P26:$XX27)+_xlfn.STDEV.P($P26:$XX27)),Q27&lt;(AVERAGE($P26:$XX27)-_xlfn.STDEV.P($P26:$XX27))),"DESCARTADO",Q27)))</f>
        <v/>
      </c>
      <c r="R29" s="107" t="str">
        <f t="shared" si="9"/>
        <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5716.26</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1</v>
      </c>
      <c r="I31" s="132">
        <f>_xlfn.STDEV.P($P30:$XX31)/AVERAGE($P30:$XX31)</f>
        <v>0</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5716.26</v>
      </c>
      <c r="Q31" s="107" t="str">
        <f t="shared" ref="Q31:AI31" si="10">IF(Q29="","",IF((_xlfn.STDEV.P($P28:$XX29)/AVERAGE($P28:$XX29))&lt;=25%,Q29,IF(OR(Q29&gt;(AVERAGE($P28:$XX29)+_xlfn.STDEV.P($P28:$XX29)),Q29&lt;(AVERAGE($P28:$XX29)-_xlfn.STDEV.P($P28:$XX29))),"DESCARTADO",Q29)))</f>
        <v/>
      </c>
      <c r="R31" s="107" t="str">
        <f t="shared" si="10"/>
        <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1</v>
      </c>
      <c r="I33" s="132">
        <f>_xlfn.STDEV.P($P32:$XX33)/AVERAGE($P32:$XX33)</f>
        <v>0</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5716.26</v>
      </c>
      <c r="Q33" s="107" t="str">
        <f t="shared" ref="Q33:AI33" si="11">IFERROR(IF(Q31="","",IF((_xlfn.STDEV.P($P30:$XX31)/AVERAGE($P30:$XX31))&lt;=25%,Q31,IF(OR(Q31&gt;(AVERAGE($P30:$XX31)+_xlfn.STDEV.P($P30:$XX31)),Q31&lt;(AVERAGE($P30:$XX31)-_xlfn.STDEV.P($P30:$XX31))),"DESCARTADO",Q31))),)</f>
        <v/>
      </c>
      <c r="R33" s="107" t="str">
        <f t="shared" si="11"/>
        <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2103583.6800000002</v>
      </c>
      <c r="O34" s="27" t="s">
        <v>363</v>
      </c>
      <c r="P34" s="107">
        <f>INDEX(P21:P33,MATCH(MAX($J21:$J33),$J21:$J33,0))</f>
        <v>5716.26</v>
      </c>
      <c r="Q34" s="107" t="str">
        <f t="shared" ref="Q34:R34" si="12">INDEX(Q21:Q33,MATCH(MAX($J21:$J33),$J21:$J33,0))</f>
        <v/>
      </c>
      <c r="R34" s="107" t="str">
        <f t="shared" si="12"/>
        <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450</v>
      </c>
      <c r="H36" s="135" t="str">
        <f>INDEX('BASE FORMAÇÃO'!B:B,B36+1)</f>
        <v>MS.6.0-A0004</v>
      </c>
      <c r="I36" s="181" t="s">
        <v>451</v>
      </c>
      <c r="J36" s="6" t="s">
        <v>453</v>
      </c>
      <c r="K36" s="65"/>
      <c r="L36" s="183" t="s">
        <v>10</v>
      </c>
      <c r="M36" s="185">
        <f t="shared" ref="M36" si="32">IF(OR(ISBLANK($O$8),ISBLANK($O$7),ISBLANK($H$8),ISBLANK($O$6),ISBLANK($O$5),ISBLANK($H$5)),"",IFERROR(IF(VLOOKUP(L36,L42:M51,2,FALSE)&lt;1,ROUND(VLOOKUP(L36,L42:M51,2,FALSE),4),ROUND(VLOOKUP(L36,L42:M51,2,FALSE),2)),""))</f>
        <v>6776.46</v>
      </c>
      <c r="N36" s="69"/>
      <c r="O36" s="27" t="s">
        <v>17</v>
      </c>
      <c r="P36" s="113">
        <f>2258.82*3</f>
        <v>6776.4600000000009</v>
      </c>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tr">
        <f>INDEX('BASE FORMAÇÃO'!C:C,B36+1)</f>
        <v>Project Standard ALng LSA</v>
      </c>
      <c r="I37" s="192"/>
      <c r="J37" s="193"/>
      <c r="K37" s="66"/>
      <c r="L37" s="184"/>
      <c r="M37" s="186"/>
      <c r="N37" s="70"/>
      <c r="O37" s="27" t="s">
        <v>13</v>
      </c>
      <c r="P37" s="122">
        <v>46118</v>
      </c>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f>INDEX('BASE FORMAÇÃO'!H:H,B40+1)</f>
        <v>3</v>
      </c>
      <c r="N38" s="71"/>
      <c r="O38" s="27" t="s">
        <v>380</v>
      </c>
      <c r="P38" s="114" t="s">
        <v>349</v>
      </c>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6" t="str">
        <f>INDEX('BASE FORMAÇÃO'!D:D,B40+1)</f>
        <v>Unidade/Ano</v>
      </c>
      <c r="N39" s="71"/>
      <c r="O39" s="27" t="s">
        <v>381</v>
      </c>
      <c r="P39" s="115" t="s">
        <v>462</v>
      </c>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t="s">
        <v>464</v>
      </c>
      <c r="I40" s="203"/>
      <c r="J40" s="203"/>
      <c r="K40" s="67"/>
      <c r="L40" s="28" t="s">
        <v>303</v>
      </c>
      <c r="M40" s="133">
        <f t="shared" ref="M40" si="39">IFERROR(INDEX(I42:I54,MATCH(MAX(J42:J54),J42:J54,0)),"")</f>
        <v>0</v>
      </c>
      <c r="N40" s="71"/>
      <c r="O40" s="27" t="s">
        <v>18</v>
      </c>
      <c r="P40" s="106">
        <f>IF(P36="","",
IF(OR(P38="Orçamento",P37="",MAX('Tabela de Apoio'!$A:$A)&lt;=P37),
P36,
(INDEX('Tabela de Apoio'!$B:$B,MATCH('MAPA DE PREÇOS'!$O$8,'Tabela de Apoio'!$A:$A,1))/INDEX('Tabela de Apoio'!$B:$B,MATCH('MAPA DE PREÇOS'!P37,'Tabela de Apoio'!$A:$A,1)-1))*P36))</f>
        <v>6776.4600000000009</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1</v>
      </c>
      <c r="I42" s="132">
        <f t="shared" ref="I42" si="45">_xlfn.STDEV.P($P41:$XX42)/AVERAGE($P41:$XX42)</f>
        <v>0</v>
      </c>
      <c r="J42" s="7">
        <f>ROW()</f>
        <v>42</v>
      </c>
      <c r="K42" s="67"/>
      <c r="L42" s="29" t="s">
        <v>10</v>
      </c>
      <c r="M42" s="30">
        <f t="shared" ref="M42" si="46">IFERROR(
IF(COUNTA(P36:AI36)=COUNTIF(P38:XX38,"Orçamento"),MIN(M47,M44),
IF(M45&lt;&gt;"",M45,
IF(M46&lt;&gt;"",M46,
M44
))),"")</f>
        <v>6776.4600000000009</v>
      </c>
      <c r="N42" s="71"/>
      <c r="O42" s="27" t="s">
        <v>376</v>
      </c>
      <c r="P42" s="106">
        <f t="shared" ref="P42:AI42" si="47">IFERROR(IF(P40="",
            "",
            IF(COUNT($P40:$XX40)&lt;=4,
               P40,
               IF(OR(P40&gt;(QUARTILE($P40:$XX40,3)+(QUARTILE($P40:$XX40,3)-QUARTILE($P40:$XX40,1))),
                     P40&lt;(QUARTILE($P40:$XX40,1)-(QUARTILE($P40:$XX40,3)-QUARTILE($P40:$XX40,1)))
                  ),
               "DESCARTADO",P40)
             )
  ),P40)</f>
        <v>6776.4600000000009</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9"/>
      <c r="F43" s="93"/>
      <c r="G43" s="201"/>
      <c r="H43"/>
      <c r="I43"/>
      <c r="J43"/>
      <c r="K43" s="66"/>
      <c r="L43" s="29" t="s">
        <v>360</v>
      </c>
      <c r="M43" s="30">
        <f t="shared" ref="M43" si="51">AVERAGE($P42:$XX42)</f>
        <v>6776.4600000000009</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9"/>
      <c r="F44" s="93"/>
      <c r="G44" s="201"/>
      <c r="H44" s="134">
        <f t="shared" ref="H44" si="53">COUNT($P44:$XX44)</f>
        <v>1</v>
      </c>
      <c r="I44" s="132">
        <f t="shared" ref="I44" si="54">_xlfn.STDEV.P($P43:$XX44)/AVERAGE($P43:$XX44)</f>
        <v>0</v>
      </c>
      <c r="J44" s="7">
        <f t="shared" ref="J44" si="55">IF(AND(H44&gt;2,
OR(L36="MÉDIA SANEADA",L36="MEDIANA SANEADA",
AND(L36="PREÇO ESTIMADO",NOT(AND(P38="Orçamento",COUNTA(P36:XX36)=COUNTIF(P38:XX38,"Orçamento")))))),
ROW(),0)</f>
        <v>0</v>
      </c>
      <c r="K44" s="66"/>
      <c r="L44" s="29" t="s">
        <v>361</v>
      </c>
      <c r="M44" s="30">
        <f t="shared" ref="M44" si="56">MEDIAN($P42:$XX42)</f>
        <v>6776.4600000000009</v>
      </c>
      <c r="N44" s="71"/>
      <c r="O44" s="27" t="str">
        <f t="shared" ref="O44" si="57">"1 RODADA"</f>
        <v>1 RODADA</v>
      </c>
      <c r="P44" s="107">
        <f t="shared" ref="P44:AI44" si="58">IF(P42="","",IF((_xlfn.STDEV.P($P41:$XX42)/AVERAGE($P41:$XX42))&lt;=25%,P42,IF(OR(P42&gt;(AVERAGE($P41:$XX42)+_xlfn.STDEV.P($P41:$XX42)),P42&lt;(AVERAGE($P41:$XX42)-_xlfn.STDEV.P($P41:$XX42))),"DESCARTADO",P42)))</f>
        <v>6776.4600000000009</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9"/>
      <c r="F45" s="93"/>
      <c r="G45" s="201"/>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6776.4600000000009</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9"/>
      <c r="F46" s="93"/>
      <c r="G46" s="201"/>
      <c r="H46" s="134">
        <f t="shared" ref="H46" si="61">COUNT($P46:$XX46)</f>
        <v>1</v>
      </c>
      <c r="I46" s="132">
        <f t="shared" ref="I46" si="62">_xlfn.STDEV.P($P45:$XX46)/AVERAGE($P45:$XX46)</f>
        <v>0</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6776.4600000000009</v>
      </c>
      <c r="N46" s="71"/>
      <c r="O46" s="27" t="str">
        <f t="shared" ref="O46" si="65">"2 RODADA"</f>
        <v>2 RODADA</v>
      </c>
      <c r="P46" s="107">
        <f t="shared" ref="P46:AI46" si="66">IF(P44="","",IF((_xlfn.STDEV.P($P43:$XX44)/AVERAGE($P43:$XX44))&lt;=25%,P44,IF(OR(P44&gt;(AVERAGE($P43:$XX44)+_xlfn.STDEV.P($P43:$XX44)),P44&lt;(AVERAGE($P43:$XX44)-_xlfn.STDEV.P($P43:$XX44))),"DESCARTADO",P44)))</f>
        <v>6776.4600000000009</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9"/>
      <c r="F47" s="93"/>
      <c r="G47" s="201"/>
      <c r="H47"/>
      <c r="I47"/>
      <c r="J47"/>
      <c r="K47" s="66"/>
      <c r="L47" s="29" t="s">
        <v>359</v>
      </c>
      <c r="M47" s="30">
        <f t="shared" ref="M47" si="67">HARMEAN($P41:$XX42)</f>
        <v>6776.4600000000009</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9"/>
      <c r="F48" s="93"/>
      <c r="G48" s="201"/>
      <c r="H48" s="134">
        <f t="shared" ref="H48" si="69">COUNT($P48:$XX48)</f>
        <v>1</v>
      </c>
      <c r="I48" s="132">
        <f t="shared" ref="I48" si="70">_xlfn.STDEV.P($P47:$XX48)/AVERAGE($P47:$XX48)</f>
        <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f t="shared" ref="P48:AI48" si="74">IF(P46="","",IF((_xlfn.STDEV.P($P45:$XX46)/AVERAGE($P45:$XX46))&lt;=25%,P46,IF(OR(P46&gt;(AVERAGE($P45:$XX46)+_xlfn.STDEV.P($P45:$XX46)),P46&lt;(AVERAGE($P45:$XX46)-_xlfn.STDEV.P($P45:$XX46))),"DESCARTADO",P46)))</f>
        <v>6776.4600000000009</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9"/>
      <c r="F49" s="93"/>
      <c r="G49" s="201"/>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9"/>
      <c r="F50" s="93"/>
      <c r="G50" s="201"/>
      <c r="H50" s="134">
        <f t="shared" ref="H50" si="77">COUNT($P50:$XX50)</f>
        <v>1</v>
      </c>
      <c r="I50" s="132">
        <f t="shared" ref="I50" si="78">_xlfn.STDEV.P($P49:$XX50)/AVERAGE($P49:$XX50)</f>
        <v>0</v>
      </c>
      <c r="J50" s="7">
        <f t="shared" ref="J50" si="79">IF(AND(H50&gt;2,
OR(L36="MÉDIA SANEADA",L36="MEDIANA SANEADA",
AND(L36="PREÇO ESTIMADO",NOT(AND(P38="Orçamento",COUNTA(P36:XX36)=COUNTIF(P38:XX38,"Orçamento")))))),
ROW(),0)</f>
        <v>0</v>
      </c>
      <c r="K50" s="66"/>
      <c r="L50" s="29" t="s">
        <v>42</v>
      </c>
      <c r="M50" s="30">
        <f t="shared" ref="M50" si="80">MIN($P42:$XX42)</f>
        <v>6776.4600000000009</v>
      </c>
      <c r="N50" s="71"/>
      <c r="O50" s="27" t="str">
        <f t="shared" ref="O50" si="81">"4 RODADA"</f>
        <v>4 RODADA</v>
      </c>
      <c r="P50" s="107">
        <f t="shared" ref="P50:AI50" si="82">IF(P48="","",IF((_xlfn.STDEV.P($P47:$XX48)/AVERAGE($P47:$XX48))&lt;=25%,P48,IF(OR(P48&gt;(AVERAGE($P47:$XX48)+_xlfn.STDEV.P($P47:$XX48)),P48&lt;(AVERAGE($P47:$XX48)-_xlfn.STDEV.P($P47:$XX48))),"DESCARTADO",P48)))</f>
        <v>6776.4600000000009</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9"/>
      <c r="F51" s="93"/>
      <c r="G51" s="201"/>
      <c r="H51"/>
      <c r="I51"/>
      <c r="J51"/>
      <c r="K51" s="66"/>
      <c r="L51" s="29" t="s">
        <v>40</v>
      </c>
      <c r="M51" s="30">
        <f t="shared" ref="M51" si="83">MAX($P42:$XX42)</f>
        <v>6776.4600000000009</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9"/>
      <c r="F52" s="93"/>
      <c r="G52" s="201"/>
      <c r="H52" s="134">
        <f t="shared" ref="H52" si="85">COUNT($P52:$XX52)</f>
        <v>1</v>
      </c>
      <c r="I52" s="132">
        <f t="shared" ref="I52" si="86">_xlfn.STDEV.P($P51:$XX52)/AVERAGE($P51:$XX52)</f>
        <v>0</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6776.4600000000009</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9"/>
      <c r="F53" s="93"/>
      <c r="G53" s="201"/>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9"/>
      <c r="F54" s="93"/>
      <c r="G54" s="201"/>
      <c r="H54" s="134">
        <f t="shared" ref="H54" si="91">COUNT($P54:$XX54)</f>
        <v>1</v>
      </c>
      <c r="I54" s="132">
        <f t="shared" ref="I54" si="92">_xlfn.STDEV.P($P53:$XX54)/AVERAGE($P53:$XX54)</f>
        <v>0</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6776.4600000000009</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9"/>
      <c r="F55" s="136"/>
      <c r="G55" s="201"/>
      <c r="H55" s="204"/>
      <c r="I55" s="204"/>
      <c r="J55" s="205"/>
      <c r="K55" s="67"/>
      <c r="L55" s="1" t="s">
        <v>43</v>
      </c>
      <c r="M55" s="143">
        <f t="shared" ref="M55" si="96">IFERROR(ROUND(M36*M38,2),"")</f>
        <v>20329.38</v>
      </c>
      <c r="O55" s="27" t="s">
        <v>363</v>
      </c>
      <c r="P55" s="107">
        <f t="shared" ref="P55:AI76" si="97">INDEX(P42:P54,MATCH(MAX($J42:$J54),$J42:$J54,0))</f>
        <v>6776.4600000000009</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450</v>
      </c>
      <c r="H57" s="135" t="str">
        <f>INDEX('BASE FORMAÇÃO'!B:B,B57+1)</f>
        <v>MS.6.0-A1343</v>
      </c>
      <c r="I57" s="181" t="s">
        <v>451</v>
      </c>
      <c r="J57" s="6" t="s">
        <v>454</v>
      </c>
      <c r="K57" s="65"/>
      <c r="L57" s="183" t="s">
        <v>10</v>
      </c>
      <c r="M57" s="185">
        <f t="shared" ref="M57" si="100">IF(OR(ISBLANK($O$8),ISBLANK($O$7),ISBLANK($H$8),ISBLANK($O$6),ISBLANK($O$5),ISBLANK($H$5)),"",IFERROR(IF(VLOOKUP(L57,L63:M72,2,FALSE)&lt;1,ROUND(VLOOKUP(L57,L63:M72,2,FALSE),4),ROUND(VLOOKUP(L57,L63:M72,2,FALSE),2)),""))</f>
        <v>11257.83</v>
      </c>
      <c r="N57" s="69"/>
      <c r="O57" s="27" t="s">
        <v>17</v>
      </c>
      <c r="P57" s="113">
        <f>3752.61*3</f>
        <v>11257.83</v>
      </c>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tr">
        <f>INDEX('BASE FORMAÇÃO'!C:C,B57+1)</f>
        <v>Project Professional ALng LSA 1 Server CAL</v>
      </c>
      <c r="I58" s="192"/>
      <c r="J58" s="193"/>
      <c r="K58" s="66"/>
      <c r="L58" s="184"/>
      <c r="M58" s="186"/>
      <c r="N58" s="70"/>
      <c r="O58" s="27" t="s">
        <v>13</v>
      </c>
      <c r="P58" s="122">
        <v>46118</v>
      </c>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4"/>
      <c r="I59" s="194"/>
      <c r="J59" s="195"/>
      <c r="K59" s="64"/>
      <c r="L59" s="130" t="s">
        <v>44</v>
      </c>
      <c r="M59" s="131">
        <f>INDEX('BASE FORMAÇÃO'!H:H,B61+1)</f>
        <v>16</v>
      </c>
      <c r="N59" s="71"/>
      <c r="O59" s="27" t="s">
        <v>380</v>
      </c>
      <c r="P59" s="114" t="s">
        <v>349</v>
      </c>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6"/>
      <c r="I60" s="196"/>
      <c r="J60" s="197"/>
      <c r="K60" s="64"/>
      <c r="L60" s="1" t="s">
        <v>2</v>
      </c>
      <c r="M60" s="6" t="str">
        <f>INDEX('BASE FORMAÇÃO'!D:D,B61+1)</f>
        <v>Unidade/Ano</v>
      </c>
      <c r="N60" s="71"/>
      <c r="O60" s="27" t="s">
        <v>381</v>
      </c>
      <c r="P60" s="115" t="s">
        <v>462</v>
      </c>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8">
        <f t="shared" ref="E61" si="106">C57</f>
        <v>1</v>
      </c>
      <c r="F61" s="93"/>
      <c r="G61" s="200" t="s">
        <v>304</v>
      </c>
      <c r="H61" s="202" t="s">
        <v>464</v>
      </c>
      <c r="I61" s="203"/>
      <c r="J61" s="203"/>
      <c r="K61" s="67"/>
      <c r="L61" s="28" t="s">
        <v>303</v>
      </c>
      <c r="M61" s="133">
        <f t="shared" ref="M61" si="107">IFERROR(INDEX(I63:I75,MATCH(MAX(J63:J75),J63:J75,0)),"")</f>
        <v>0</v>
      </c>
      <c r="N61" s="71"/>
      <c r="O61" s="27" t="s">
        <v>18</v>
      </c>
      <c r="P61" s="106">
        <f>IF(P57="","",
IF(OR(P59="Orçamento",P58="",MAX('Tabela de Apoio'!$A:$A)&lt;=P58),
P57,
(INDEX('Tabela de Apoio'!$B:$B,MATCH('MAPA DE PREÇOS'!$O$8,'Tabela de Apoio'!$A:$A,1))/INDEX('Tabela de Apoio'!$B:$B,MATCH('MAPA DE PREÇOS'!P58,'Tabela de Apoio'!$A:$A,1)-1))*P57))</f>
        <v>11257.83</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9"/>
      <c r="F62" s="93"/>
      <c r="G62" s="201"/>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9"/>
      <c r="F63" s="93"/>
      <c r="G63" s="201"/>
      <c r="H63" s="134">
        <f t="shared" ref="H63" si="111">COUNT($P63:$XX63)</f>
        <v>1</v>
      </c>
      <c r="I63" s="132">
        <f t="shared" ref="I63" si="112">_xlfn.STDEV.P($P62:$XX63)/AVERAGE($P62:$XX63)</f>
        <v>0</v>
      </c>
      <c r="J63" s="7">
        <f>ROW()</f>
        <v>63</v>
      </c>
      <c r="K63" s="67"/>
      <c r="L63" s="29" t="s">
        <v>10</v>
      </c>
      <c r="M63" s="30">
        <f t="shared" ref="M63" si="113">IFERROR(
IF(COUNTA(P57:AI57)=COUNTIF(P59:XX59,"Orçamento"),MIN(M68,M65),
IF(M66&lt;&gt;"",M66,
IF(M67&lt;&gt;"",M67,
M65
))),"")</f>
        <v>11257.83</v>
      </c>
      <c r="N63" s="71"/>
      <c r="O63" s="27" t="s">
        <v>376</v>
      </c>
      <c r="P63" s="106">
        <f t="shared" ref="P63:AI63" si="114">IFERROR(IF(P61="",
            "",
            IF(COUNT($P61:$XX61)&lt;=4,
               P61,
               IF(OR(P61&gt;(QUARTILE($P61:$XX61,3)+(QUARTILE($P61:$XX61,3)-QUARTILE($P61:$XX61,1))),
                     P61&lt;(QUARTILE($P61:$XX61,1)-(QUARTILE($P61:$XX61,3)-QUARTILE($P61:$XX61,1)))
                  ),
               "DESCARTADO",P61)
             )
  ),P61)</f>
        <v>11257.83</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9"/>
      <c r="F64" s="93"/>
      <c r="G64" s="201"/>
      <c r="H64"/>
      <c r="I64"/>
      <c r="J64"/>
      <c r="K64" s="66"/>
      <c r="L64" s="29" t="s">
        <v>360</v>
      </c>
      <c r="M64" s="30">
        <f t="shared" ref="M64" si="117">AVERAGE($P63:$XX63)</f>
        <v>11257.83</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9"/>
      <c r="F65" s="93"/>
      <c r="G65" s="201"/>
      <c r="H65" s="134">
        <f t="shared" ref="H65" si="119">COUNT($P65:$XX65)</f>
        <v>1</v>
      </c>
      <c r="I65" s="132">
        <f t="shared" ref="I65" si="120">_xlfn.STDEV.P($P64:$XX65)/AVERAGE($P64:$XX65)</f>
        <v>0</v>
      </c>
      <c r="J65" s="7">
        <f t="shared" ref="J65" si="121">IF(AND(H65&gt;2,
OR(L57="MÉDIA SANEADA",L57="MEDIANA SANEADA",
AND(L57="PREÇO ESTIMADO",NOT(AND(P59="Orçamento",COUNTA(P57:XX57)=COUNTIF(P59:XX59,"Orçamento")))))),
ROW(),0)</f>
        <v>0</v>
      </c>
      <c r="K65" s="66"/>
      <c r="L65" s="29" t="s">
        <v>361</v>
      </c>
      <c r="M65" s="30">
        <f t="shared" ref="M65" si="122">MEDIAN($P63:$XX63)</f>
        <v>11257.83</v>
      </c>
      <c r="N65" s="71"/>
      <c r="O65" s="27" t="str">
        <f t="shared" ref="O65" si="123">"1 RODADA"</f>
        <v>1 RODADA</v>
      </c>
      <c r="P65" s="107">
        <f t="shared" ref="P65:AI65" si="124">IF(P63="","",IF((_xlfn.STDEV.P($P62:$XX63)/AVERAGE($P62:$XX63))&lt;=25%,P63,IF(OR(P63&gt;(AVERAGE($P62:$XX63)+_xlfn.STDEV.P($P62:$XX63)),P63&lt;(AVERAGE($P62:$XX63)-_xlfn.STDEV.P($P62:$XX63))),"DESCARTADO",P63)))</f>
        <v>11257.83</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9"/>
      <c r="F66" s="93"/>
      <c r="G66" s="201"/>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11257.83</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9"/>
      <c r="F67" s="93"/>
      <c r="G67" s="201"/>
      <c r="H67" s="134">
        <f t="shared" ref="H67" si="127">COUNT($P67:$XX67)</f>
        <v>1</v>
      </c>
      <c r="I67" s="132">
        <f t="shared" ref="I67" si="128">_xlfn.STDEV.P($P66:$XX67)/AVERAGE($P66:$XX67)</f>
        <v>0</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11257.83</v>
      </c>
      <c r="N67" s="71"/>
      <c r="O67" s="27" t="str">
        <f t="shared" ref="O67" si="131">"2 RODADA"</f>
        <v>2 RODADA</v>
      </c>
      <c r="P67" s="107">
        <f t="shared" ref="P67:AI67" si="132">IF(P65="","",IF((_xlfn.STDEV.P($P64:$XX65)/AVERAGE($P64:$XX65))&lt;=25%,P65,IF(OR(P65&gt;(AVERAGE($P64:$XX65)+_xlfn.STDEV.P($P64:$XX65)),P65&lt;(AVERAGE($P64:$XX65)-_xlfn.STDEV.P($P64:$XX65))),"DESCARTADO",P65)))</f>
        <v>11257.83</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9"/>
      <c r="F68" s="93"/>
      <c r="G68" s="201"/>
      <c r="H68"/>
      <c r="I68"/>
      <c r="J68"/>
      <c r="K68" s="66"/>
      <c r="L68" s="29" t="s">
        <v>359</v>
      </c>
      <c r="M68" s="30">
        <f t="shared" ref="M68" si="133">HARMEAN($P62:$XX63)</f>
        <v>11257.83</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9"/>
      <c r="F69" s="93"/>
      <c r="G69" s="201"/>
      <c r="H69" s="134">
        <f t="shared" ref="H69" si="135">COUNT($P69:$XX69)</f>
        <v>1</v>
      </c>
      <c r="I69" s="132">
        <f t="shared" ref="I69" si="136">_xlfn.STDEV.P($P68:$XX69)/AVERAGE($P68:$XX69)</f>
        <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f t="shared" ref="P69:AI69" si="140">IF(P67="","",IF((_xlfn.STDEV.P($P66:$XX67)/AVERAGE($P66:$XX67))&lt;=25%,P67,IF(OR(P67&gt;(AVERAGE($P66:$XX67)+_xlfn.STDEV.P($P66:$XX67)),P67&lt;(AVERAGE($P66:$XX67)-_xlfn.STDEV.P($P66:$XX67))),"DESCARTADO",P67)))</f>
        <v>11257.83</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9"/>
      <c r="F70" s="93"/>
      <c r="G70" s="201"/>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9"/>
      <c r="F71" s="93"/>
      <c r="G71" s="201"/>
      <c r="H71" s="134">
        <f t="shared" ref="H71" si="143">COUNT($P71:$XX71)</f>
        <v>1</v>
      </c>
      <c r="I71" s="132">
        <f t="shared" ref="I71" si="144">_xlfn.STDEV.P($P70:$XX71)/AVERAGE($P70:$XX71)</f>
        <v>0</v>
      </c>
      <c r="J71" s="7">
        <f t="shared" ref="J71" si="145">IF(AND(H71&gt;2,
OR(L57="MÉDIA SANEADA",L57="MEDIANA SANEADA",
AND(L57="PREÇO ESTIMADO",NOT(AND(P59="Orçamento",COUNTA(P57:XX57)=COUNTIF(P59:XX59,"Orçamento")))))),
ROW(),0)</f>
        <v>0</v>
      </c>
      <c r="K71" s="66"/>
      <c r="L71" s="29" t="s">
        <v>42</v>
      </c>
      <c r="M71" s="30">
        <f t="shared" ref="M71" si="146">MIN($P63:$XX63)</f>
        <v>11257.83</v>
      </c>
      <c r="N71" s="71"/>
      <c r="O71" s="27" t="str">
        <f t="shared" ref="O71" si="147">"4 RODADA"</f>
        <v>4 RODADA</v>
      </c>
      <c r="P71" s="107">
        <f t="shared" ref="P71:AI71" si="148">IF(P69="","",IF((_xlfn.STDEV.P($P68:$XX69)/AVERAGE($P68:$XX69))&lt;=25%,P69,IF(OR(P69&gt;(AVERAGE($P68:$XX69)+_xlfn.STDEV.P($P68:$XX69)),P69&lt;(AVERAGE($P68:$XX69)-_xlfn.STDEV.P($P68:$XX69))),"DESCARTADO",P69)))</f>
        <v>11257.83</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9"/>
      <c r="F72" s="93"/>
      <c r="G72" s="201"/>
      <c r="H72"/>
      <c r="I72"/>
      <c r="J72"/>
      <c r="K72" s="66"/>
      <c r="L72" s="29" t="s">
        <v>40</v>
      </c>
      <c r="M72" s="30">
        <f t="shared" ref="M72" si="149">MAX($P63:$XX63)</f>
        <v>11257.83</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9"/>
      <c r="F73" s="93"/>
      <c r="G73" s="201"/>
      <c r="H73" s="134">
        <f t="shared" ref="H73" si="151">COUNT($P73:$XX73)</f>
        <v>1</v>
      </c>
      <c r="I73" s="132">
        <f t="shared" ref="I73" si="152">_xlfn.STDEV.P($P72:$XX73)/AVERAGE($P72:$XX73)</f>
        <v>0</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11257.83</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9"/>
      <c r="F74" s="93"/>
      <c r="G74" s="201"/>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9"/>
      <c r="F75" s="93"/>
      <c r="G75" s="201"/>
      <c r="H75" s="134">
        <f t="shared" ref="H75" si="157">COUNT($P75:$XX75)</f>
        <v>1</v>
      </c>
      <c r="I75" s="132">
        <f t="shared" ref="I75" si="158">_xlfn.STDEV.P($P74:$XX75)/AVERAGE($P74:$XX75)</f>
        <v>0</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11257.83</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9"/>
      <c r="F76" s="136"/>
      <c r="G76" s="201"/>
      <c r="H76" s="204"/>
      <c r="I76" s="204"/>
      <c r="J76" s="205"/>
      <c r="K76" s="67"/>
      <c r="L76" s="1" t="s">
        <v>43</v>
      </c>
      <c r="M76" s="143">
        <f t="shared" ref="M76" si="162">IFERROR(ROUND(M57*M59,2),"")</f>
        <v>180125.28</v>
      </c>
      <c r="O76" s="27" t="s">
        <v>363</v>
      </c>
      <c r="P76" s="107">
        <f t="shared" ref="P76:R76" si="163">INDEX(P63:P75,MATCH(MAX($J63:$J75),$J63:$J75,0))</f>
        <v>11257.83</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450</v>
      </c>
      <c r="H78" s="135" t="str">
        <f>INDEX('BASE FORMAÇÃO'!B:B,B78+1)</f>
        <v>MS.6.0-A1506</v>
      </c>
      <c r="I78" s="181" t="s">
        <v>451</v>
      </c>
      <c r="J78" s="6" t="s">
        <v>455</v>
      </c>
      <c r="K78" s="65"/>
      <c r="L78" s="183" t="s">
        <v>10</v>
      </c>
      <c r="M78" s="185">
        <f t="shared" ref="M78" si="166">IF(OR(ISBLANK($O$8),ISBLANK($O$7),ISBLANK($H$8),ISBLANK($O$6),ISBLANK($O$5),ISBLANK($H$5)),"",IFERROR(IF(VLOOKUP(L78,L84:M93,2,FALSE)&lt;1,ROUND(VLOOKUP(L78,L84:M93,2,FALSE),4),ROUND(VLOOKUP(L78,L84:M93,2,FALSE),2)),""))</f>
        <v>3043.08</v>
      </c>
      <c r="N78" s="69"/>
      <c r="O78" s="27" t="s">
        <v>17</v>
      </c>
      <c r="P78" s="113">
        <f>84.53*36</f>
        <v>3043.08</v>
      </c>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7">
        <f t="shared" ref="E79" si="168">D78</f>
        <v>4</v>
      </c>
      <c r="F79" s="92"/>
      <c r="G79" s="189" t="s">
        <v>1</v>
      </c>
      <c r="H79" s="192" t="str">
        <f>INDEX('BASE FORMAÇÃO'!C:C,B78+1)</f>
        <v>Power BI Pro Sub Per User</v>
      </c>
      <c r="I79" s="192"/>
      <c r="J79" s="193"/>
      <c r="K79" s="66"/>
      <c r="L79" s="184"/>
      <c r="M79" s="186"/>
      <c r="N79" s="70"/>
      <c r="O79" s="27" t="s">
        <v>13</v>
      </c>
      <c r="P79" s="122">
        <v>46118</v>
      </c>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8"/>
      <c r="F80" s="93"/>
      <c r="G80" s="190"/>
      <c r="H80" s="194"/>
      <c r="I80" s="194"/>
      <c r="J80" s="195"/>
      <c r="K80" s="64"/>
      <c r="L80" s="130" t="s">
        <v>44</v>
      </c>
      <c r="M80" s="131">
        <f>INDEX('BASE FORMAÇÃO'!H:H,B82+1)</f>
        <v>81</v>
      </c>
      <c r="N80" s="71"/>
      <c r="O80" s="27" t="s">
        <v>380</v>
      </c>
      <c r="P80" s="114" t="s">
        <v>349</v>
      </c>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1"/>
      <c r="H81" s="196"/>
      <c r="I81" s="196"/>
      <c r="J81" s="197"/>
      <c r="K81" s="64"/>
      <c r="L81" s="1" t="s">
        <v>2</v>
      </c>
      <c r="M81" s="6" t="str">
        <f>INDEX('BASE FORMAÇÃO'!D:D,B82+1)</f>
        <v>Unidade/Mensal</v>
      </c>
      <c r="N81" s="71"/>
      <c r="O81" s="27" t="s">
        <v>381</v>
      </c>
      <c r="P81" s="115" t="s">
        <v>462</v>
      </c>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8">
        <f t="shared" ref="E82" si="172">C78</f>
        <v>1</v>
      </c>
      <c r="F82" s="93"/>
      <c r="G82" s="200" t="s">
        <v>304</v>
      </c>
      <c r="H82" s="202" t="s">
        <v>464</v>
      </c>
      <c r="I82" s="203"/>
      <c r="J82" s="203"/>
      <c r="K82" s="67"/>
      <c r="L82" s="28" t="s">
        <v>303</v>
      </c>
      <c r="M82" s="133">
        <f t="shared" ref="M82" si="173">IFERROR(INDEX(I84:I96,MATCH(MAX(J84:J96),J84:J96,0)),"")</f>
        <v>0</v>
      </c>
      <c r="N82" s="71"/>
      <c r="O82" s="27" t="s">
        <v>18</v>
      </c>
      <c r="P82" s="106">
        <f>IF(P78="","",
IF(OR(P80="Orçamento",P79="",MAX('Tabela de Apoio'!$A:$A)&lt;=P79),
P78,
(INDEX('Tabela de Apoio'!$B:$B,MATCH('MAPA DE PREÇOS'!$O$8,'Tabela de Apoio'!$A:$A,1))/INDEX('Tabela de Apoio'!$B:$B,MATCH('MAPA DE PREÇOS'!P79,'Tabela de Apoio'!$A:$A,1)-1))*P78))</f>
        <v>3043.08</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9"/>
      <c r="F83" s="93"/>
      <c r="G83" s="201"/>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9"/>
      <c r="F84" s="93"/>
      <c r="G84" s="201"/>
      <c r="H84" s="134">
        <f t="shared" ref="H84" si="177">COUNT($P84:$XX84)</f>
        <v>1</v>
      </c>
      <c r="I84" s="132">
        <f t="shared" ref="I84" si="178">_xlfn.STDEV.P($P83:$XX84)/AVERAGE($P83:$XX84)</f>
        <v>0</v>
      </c>
      <c r="J84" s="7">
        <f>ROW()</f>
        <v>84</v>
      </c>
      <c r="K84" s="67"/>
      <c r="L84" s="29" t="s">
        <v>10</v>
      </c>
      <c r="M84" s="30">
        <f t="shared" ref="M84" si="179">IFERROR(
IF(COUNTA(P78:AI78)=COUNTIF(P80:XX80,"Orçamento"),MIN(M89,M86),
IF(M87&lt;&gt;"",M87,
IF(M88&lt;&gt;"",M88,
M86
))),"")</f>
        <v>3043.08</v>
      </c>
      <c r="N84" s="71"/>
      <c r="O84" s="27" t="s">
        <v>376</v>
      </c>
      <c r="P84" s="106">
        <f t="shared" ref="P84:AI84" si="180">IFERROR(IF(P82="",
            "",
            IF(COUNT($P82:$XX82)&lt;=4,
               P82,
               IF(OR(P82&gt;(QUARTILE($P82:$XX82,3)+(QUARTILE($P82:$XX82,3)-QUARTILE($P82:$XX82,1))),
                     P82&lt;(QUARTILE($P82:$XX82,1)-(QUARTILE($P82:$XX82,3)-QUARTILE($P82:$XX82,1)))
                  ),
               "DESCARTADO",P82)
             )
  ),P82)</f>
        <v>3043.08</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9"/>
      <c r="F85" s="93"/>
      <c r="G85" s="201"/>
      <c r="H85"/>
      <c r="I85"/>
      <c r="J85"/>
      <c r="K85" s="66"/>
      <c r="L85" s="29" t="s">
        <v>360</v>
      </c>
      <c r="M85" s="30">
        <f t="shared" ref="M85" si="183">AVERAGE($P84:$XX84)</f>
        <v>3043.08</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9"/>
      <c r="F86" s="93"/>
      <c r="G86" s="201"/>
      <c r="H86" s="134">
        <f t="shared" ref="H86" si="185">COUNT($P86:$XX86)</f>
        <v>1</v>
      </c>
      <c r="I86" s="132">
        <f t="shared" ref="I86" si="186">_xlfn.STDEV.P($P85:$XX86)/AVERAGE($P85:$XX86)</f>
        <v>0</v>
      </c>
      <c r="J86" s="7">
        <f t="shared" ref="J86" si="187">IF(AND(H86&gt;2,
OR(L78="MÉDIA SANEADA",L78="MEDIANA SANEADA",
AND(L78="PREÇO ESTIMADO",NOT(AND(P80="Orçamento",COUNTA(P78:XX78)=COUNTIF(P80:XX80,"Orçamento")))))),
ROW(),0)</f>
        <v>0</v>
      </c>
      <c r="K86" s="66"/>
      <c r="L86" s="29" t="s">
        <v>361</v>
      </c>
      <c r="M86" s="30">
        <f t="shared" ref="M86" si="188">MEDIAN($P84:$XX84)</f>
        <v>3043.08</v>
      </c>
      <c r="N86" s="71"/>
      <c r="O86" s="27" t="str">
        <f t="shared" ref="O86" si="189">"1 RODADA"</f>
        <v>1 RODADA</v>
      </c>
      <c r="P86" s="107">
        <f t="shared" ref="P86:AI86" si="190">IF(P84="","",IF((_xlfn.STDEV.P($P83:$XX84)/AVERAGE($P83:$XX84))&lt;=25%,P84,IF(OR(P84&gt;(AVERAGE($P83:$XX84)+_xlfn.STDEV.P($P83:$XX84)),P84&lt;(AVERAGE($P83:$XX84)-_xlfn.STDEV.P($P83:$XX84))),"DESCARTADO",P84)))</f>
        <v>3043.08</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9"/>
      <c r="F87" s="93"/>
      <c r="G87" s="201"/>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3043.08</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9"/>
      <c r="F88" s="93"/>
      <c r="G88" s="201"/>
      <c r="H88" s="134">
        <f t="shared" ref="H88" si="193">COUNT($P88:$XX88)</f>
        <v>1</v>
      </c>
      <c r="I88" s="132">
        <f t="shared" ref="I88" si="194">_xlfn.STDEV.P($P87:$XX88)/AVERAGE($P87:$XX88)</f>
        <v>0</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3043.08</v>
      </c>
      <c r="N88" s="71"/>
      <c r="O88" s="27" t="str">
        <f t="shared" ref="O88" si="197">"2 RODADA"</f>
        <v>2 RODADA</v>
      </c>
      <c r="P88" s="107">
        <f t="shared" ref="P88:AI88" si="198">IF(P86="","",IF((_xlfn.STDEV.P($P85:$XX86)/AVERAGE($P85:$XX86))&lt;=25%,P86,IF(OR(P86&gt;(AVERAGE($P85:$XX86)+_xlfn.STDEV.P($P85:$XX86)),P86&lt;(AVERAGE($P85:$XX86)-_xlfn.STDEV.P($P85:$XX86))),"DESCARTADO",P86)))</f>
        <v>3043.08</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9"/>
      <c r="F89" s="93"/>
      <c r="G89" s="201"/>
      <c r="H89"/>
      <c r="I89"/>
      <c r="J89"/>
      <c r="K89" s="66"/>
      <c r="L89" s="29" t="s">
        <v>359</v>
      </c>
      <c r="M89" s="30">
        <f t="shared" ref="M89" si="199">HARMEAN($P83:$XX84)</f>
        <v>3043.08</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9"/>
      <c r="F90" s="93"/>
      <c r="G90" s="201"/>
      <c r="H90" s="134">
        <f t="shared" ref="H90" si="201">COUNT($P90:$XX90)</f>
        <v>1</v>
      </c>
      <c r="I90" s="132">
        <f t="shared" ref="I90" si="202">_xlfn.STDEV.P($P89:$XX90)/AVERAGE($P89:$XX90)</f>
        <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f t="shared" ref="P90:AI90" si="206">IF(P88="","",IF((_xlfn.STDEV.P($P87:$XX88)/AVERAGE($P87:$XX88))&lt;=25%,P88,IF(OR(P88&gt;(AVERAGE($P87:$XX88)+_xlfn.STDEV.P($P87:$XX88)),P88&lt;(AVERAGE($P87:$XX88)-_xlfn.STDEV.P($P87:$XX88))),"DESCARTADO",P88)))</f>
        <v>3043.08</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9"/>
      <c r="F91" s="93"/>
      <c r="G91" s="201"/>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9"/>
      <c r="F92" s="93"/>
      <c r="G92" s="201"/>
      <c r="H92" s="134">
        <f t="shared" ref="H92" si="209">COUNT($P92:$XX92)</f>
        <v>1</v>
      </c>
      <c r="I92" s="132">
        <f t="shared" ref="I92" si="210">_xlfn.STDEV.P($P91:$XX92)/AVERAGE($P91:$XX92)</f>
        <v>0</v>
      </c>
      <c r="J92" s="7">
        <f t="shared" ref="J92" si="211">IF(AND(H92&gt;2,
OR(L78="MÉDIA SANEADA",L78="MEDIANA SANEADA",
AND(L78="PREÇO ESTIMADO",NOT(AND(P80="Orçamento",COUNTA(P78:XX78)=COUNTIF(P80:XX80,"Orçamento")))))),
ROW(),0)</f>
        <v>0</v>
      </c>
      <c r="K92" s="66"/>
      <c r="L92" s="29" t="s">
        <v>42</v>
      </c>
      <c r="M92" s="30">
        <f t="shared" ref="M92" si="212">MIN($P84:$XX84)</f>
        <v>3043.08</v>
      </c>
      <c r="N92" s="71"/>
      <c r="O92" s="27" t="str">
        <f t="shared" ref="O92" si="213">"4 RODADA"</f>
        <v>4 RODADA</v>
      </c>
      <c r="P92" s="107">
        <f t="shared" ref="P92:AI92" si="214">IF(P90="","",IF((_xlfn.STDEV.P($P89:$XX90)/AVERAGE($P89:$XX90))&lt;=25%,P90,IF(OR(P90&gt;(AVERAGE($P89:$XX90)+_xlfn.STDEV.P($P89:$XX90)),P90&lt;(AVERAGE($P89:$XX90)-_xlfn.STDEV.P($P89:$XX90))),"DESCARTADO",P90)))</f>
        <v>3043.08</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9"/>
      <c r="F93" s="93"/>
      <c r="G93" s="201"/>
      <c r="H93"/>
      <c r="I93"/>
      <c r="J93"/>
      <c r="K93" s="66"/>
      <c r="L93" s="29" t="s">
        <v>40</v>
      </c>
      <c r="M93" s="30">
        <f t="shared" ref="M93" si="215">MAX($P84:$XX84)</f>
        <v>3043.08</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9"/>
      <c r="F94" s="93"/>
      <c r="G94" s="201"/>
      <c r="H94" s="134">
        <f t="shared" ref="H94" si="217">COUNT($P94:$XX94)</f>
        <v>1</v>
      </c>
      <c r="I94" s="132">
        <f t="shared" ref="I94" si="218">_xlfn.STDEV.P($P93:$XX94)/AVERAGE($P93:$XX94)</f>
        <v>0</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3043.08</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9"/>
      <c r="F95" s="93"/>
      <c r="G95" s="201"/>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9"/>
      <c r="F96" s="93"/>
      <c r="G96" s="201"/>
      <c r="H96" s="134">
        <f t="shared" ref="H96" si="223">COUNT($P96:$XX96)</f>
        <v>1</v>
      </c>
      <c r="I96" s="132">
        <f t="shared" ref="I96" si="224">_xlfn.STDEV.P($P95:$XX96)/AVERAGE($P95:$XX96)</f>
        <v>0</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3043.08</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9"/>
      <c r="F97" s="136"/>
      <c r="G97" s="201"/>
      <c r="H97" s="204"/>
      <c r="I97" s="204"/>
      <c r="J97" s="205"/>
      <c r="K97" s="67"/>
      <c r="L97" s="1" t="s">
        <v>43</v>
      </c>
      <c r="M97" s="143">
        <f t="shared" ref="M97" si="228">IFERROR(ROUND(M78*M80,2),"")</f>
        <v>246489.48</v>
      </c>
      <c r="O97" s="27" t="s">
        <v>363</v>
      </c>
      <c r="P97" s="107">
        <f t="shared" ref="P97:AI118" si="229">INDEX(P84:P96,MATCH(MAX($J84:$J96),$J84:$J96,0))</f>
        <v>3043.08</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450</v>
      </c>
      <c r="H99" s="135" t="str">
        <f>INDEX('BASE FORMAÇÃO'!B:B,B99+1)</f>
        <v>MS.6.0-A0871</v>
      </c>
      <c r="I99" s="181" t="s">
        <v>451</v>
      </c>
      <c r="J99" s="6" t="s">
        <v>456</v>
      </c>
      <c r="K99" s="65"/>
      <c r="L99" s="183" t="s">
        <v>10</v>
      </c>
      <c r="M99" s="185">
        <f t="shared" ref="M99" si="232">IF(OR(ISBLANK($O$8),ISBLANK($O$7),ISBLANK($H$8),ISBLANK($O$6),ISBLANK($O$5),ISBLANK($H$5)),"",IFERROR(IF(VLOOKUP(L99,L105:M114,2,FALSE)&lt;1,ROUND(VLOOKUP(L99,L105:M114,2,FALSE),4),ROUND(VLOOKUP(L99,L105:M114,2,FALSE),2)),""))</f>
        <v>4999.32</v>
      </c>
      <c r="N99" s="69"/>
      <c r="O99" s="27" t="s">
        <v>17</v>
      </c>
      <c r="P99" s="113">
        <f>138.87*36</f>
        <v>4999.32</v>
      </c>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7">
        <f t="shared" ref="E100" si="234">D99</f>
        <v>5</v>
      </c>
      <c r="F100" s="92"/>
      <c r="G100" s="189" t="s">
        <v>1</v>
      </c>
      <c r="H100" s="192" t="str">
        <f>INDEX('BASE FORMAÇÃO'!C:C,B99+1)</f>
        <v>O365 E3 Sub Per User</v>
      </c>
      <c r="I100" s="192"/>
      <c r="J100" s="193"/>
      <c r="K100" s="66"/>
      <c r="L100" s="184"/>
      <c r="M100" s="186"/>
      <c r="N100" s="70"/>
      <c r="O100" s="27" t="s">
        <v>13</v>
      </c>
      <c r="P100" s="122">
        <v>46118</v>
      </c>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8"/>
      <c r="F101" s="93"/>
      <c r="G101" s="190"/>
      <c r="H101" s="194"/>
      <c r="I101" s="194"/>
      <c r="J101" s="195"/>
      <c r="K101" s="64"/>
      <c r="L101" s="130" t="s">
        <v>44</v>
      </c>
      <c r="M101" s="131">
        <f>INDEX('BASE FORMAÇÃO'!H:H,B103+1)</f>
        <v>83</v>
      </c>
      <c r="N101" s="71"/>
      <c r="O101" s="27" t="s">
        <v>380</v>
      </c>
      <c r="P101" s="114" t="s">
        <v>349</v>
      </c>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1"/>
      <c r="H102" s="196"/>
      <c r="I102" s="196"/>
      <c r="J102" s="197"/>
      <c r="K102" s="64"/>
      <c r="L102" s="1" t="s">
        <v>2</v>
      </c>
      <c r="M102" s="6" t="str">
        <f>INDEX('BASE FORMAÇÃO'!D:D,B103+1)</f>
        <v>Unidade/Mensal</v>
      </c>
      <c r="N102" s="71"/>
      <c r="O102" s="27" t="s">
        <v>381</v>
      </c>
      <c r="P102" s="115" t="s">
        <v>462</v>
      </c>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98">
        <f t="shared" ref="E103" si="238">C99</f>
        <v>1</v>
      </c>
      <c r="F103" s="93"/>
      <c r="G103" s="200" t="s">
        <v>304</v>
      </c>
      <c r="H103" s="202" t="s">
        <v>464</v>
      </c>
      <c r="I103" s="203"/>
      <c r="J103" s="203"/>
      <c r="K103" s="67"/>
      <c r="L103" s="28" t="s">
        <v>303</v>
      </c>
      <c r="M103" s="133">
        <f t="shared" ref="M103" si="239">IFERROR(INDEX(I105:I117,MATCH(MAX(J105:J117),J105:J117,0)),"")</f>
        <v>0</v>
      </c>
      <c r="N103" s="71"/>
      <c r="O103" s="27" t="s">
        <v>18</v>
      </c>
      <c r="P103" s="106">
        <f>IF(P99="","",
IF(OR(P101="Orçamento",P100="",MAX('Tabela de Apoio'!$A:$A)&lt;=P100),
P99,
(INDEX('Tabela de Apoio'!$B:$B,MATCH('MAPA DE PREÇOS'!$O$8,'Tabela de Apoio'!$A:$A,1))/INDEX('Tabela de Apoio'!$B:$B,MATCH('MAPA DE PREÇOS'!P100,'Tabela de Apoio'!$A:$A,1)-1))*P99))</f>
        <v>4999.32</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99"/>
      <c r="F104" s="93"/>
      <c r="G104" s="201"/>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99"/>
      <c r="F105" s="93"/>
      <c r="G105" s="201"/>
      <c r="H105" s="134">
        <f t="shared" ref="H105" si="243">COUNT($P105:$XX105)</f>
        <v>1</v>
      </c>
      <c r="I105" s="132">
        <f t="shared" ref="I105" si="244">_xlfn.STDEV.P($P104:$XX105)/AVERAGE($P104:$XX105)</f>
        <v>0</v>
      </c>
      <c r="J105" s="7">
        <f>ROW()</f>
        <v>105</v>
      </c>
      <c r="K105" s="67"/>
      <c r="L105" s="29" t="s">
        <v>10</v>
      </c>
      <c r="M105" s="30">
        <f t="shared" ref="M105" si="245">IFERROR(
IF(COUNTA(P99:AI99)=COUNTIF(P101:XX101,"Orçamento"),MIN(M110,M107),
IF(M108&lt;&gt;"",M108,
IF(M109&lt;&gt;"",M109,
M107
))),"")</f>
        <v>4999.32</v>
      </c>
      <c r="N105" s="71"/>
      <c r="O105" s="27" t="s">
        <v>376</v>
      </c>
      <c r="P105" s="106">
        <f t="shared" ref="P105:AI105" si="246">IFERROR(IF(P103="",
            "",
            IF(COUNT($P103:$XX103)&lt;=4,
               P103,
               IF(OR(P103&gt;(QUARTILE($P103:$XX103,3)+(QUARTILE($P103:$XX103,3)-QUARTILE($P103:$XX103,1))),
                     P103&lt;(QUARTILE($P103:$XX103,1)-(QUARTILE($P103:$XX103,3)-QUARTILE($P103:$XX103,1)))
                  ),
               "DESCARTADO",P103)
             )
  ),P103)</f>
        <v>4999.32</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99"/>
      <c r="F106" s="93"/>
      <c r="G106" s="201"/>
      <c r="H106"/>
      <c r="I106"/>
      <c r="J106"/>
      <c r="K106" s="66"/>
      <c r="L106" s="29" t="s">
        <v>360</v>
      </c>
      <c r="M106" s="30">
        <f t="shared" ref="M106" si="249">AVERAGE($P105:$XX105)</f>
        <v>4999.32</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99"/>
      <c r="F107" s="93"/>
      <c r="G107" s="201"/>
      <c r="H107" s="134">
        <f t="shared" ref="H107" si="251">COUNT($P107:$XX107)</f>
        <v>1</v>
      </c>
      <c r="I107" s="132">
        <f t="shared" ref="I107" si="252">_xlfn.STDEV.P($P106:$XX107)/AVERAGE($P106:$XX107)</f>
        <v>0</v>
      </c>
      <c r="J107" s="7">
        <f t="shared" ref="J107" si="253">IF(AND(H107&gt;2,
OR(L99="MÉDIA SANEADA",L99="MEDIANA SANEADA",
AND(L99="PREÇO ESTIMADO",NOT(AND(P101="Orçamento",COUNTA(P99:XX99)=COUNTIF(P101:XX101,"Orçamento")))))),
ROW(),0)</f>
        <v>0</v>
      </c>
      <c r="K107" s="66"/>
      <c r="L107" s="29" t="s">
        <v>361</v>
      </c>
      <c r="M107" s="30">
        <f t="shared" ref="M107" si="254">MEDIAN($P105:$XX105)</f>
        <v>4999.32</v>
      </c>
      <c r="N107" s="71"/>
      <c r="O107" s="27" t="str">
        <f t="shared" ref="O107" si="255">"1 RODADA"</f>
        <v>1 RODADA</v>
      </c>
      <c r="P107" s="107">
        <f t="shared" ref="P107:AI107" si="256">IF(P105="","",IF((_xlfn.STDEV.P($P104:$XX105)/AVERAGE($P104:$XX105))&lt;=25%,P105,IF(OR(P105&gt;(AVERAGE($P104:$XX105)+_xlfn.STDEV.P($P104:$XX105)),P105&lt;(AVERAGE($P104:$XX105)-_xlfn.STDEV.P($P104:$XX105))),"DESCARTADO",P105)))</f>
        <v>4999.32</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99"/>
      <c r="F108" s="93"/>
      <c r="G108" s="201"/>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4999.32</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99"/>
      <c r="F109" s="93"/>
      <c r="G109" s="201"/>
      <c r="H109" s="134">
        <f t="shared" ref="H109" si="259">COUNT($P109:$XX109)</f>
        <v>1</v>
      </c>
      <c r="I109" s="132">
        <f t="shared" ref="I109" si="260">_xlfn.STDEV.P($P108:$XX109)/AVERAGE($P108:$XX109)</f>
        <v>0</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4999.32</v>
      </c>
      <c r="N109" s="71"/>
      <c r="O109" s="27" t="str">
        <f t="shared" ref="O109" si="263">"2 RODADA"</f>
        <v>2 RODADA</v>
      </c>
      <c r="P109" s="107">
        <f t="shared" ref="P109:AI109" si="264">IF(P107="","",IF((_xlfn.STDEV.P($P106:$XX107)/AVERAGE($P106:$XX107))&lt;=25%,P107,IF(OR(P107&gt;(AVERAGE($P106:$XX107)+_xlfn.STDEV.P($P106:$XX107)),P107&lt;(AVERAGE($P106:$XX107)-_xlfn.STDEV.P($P106:$XX107))),"DESCARTADO",P107)))</f>
        <v>4999.32</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99"/>
      <c r="F110" s="93"/>
      <c r="G110" s="201"/>
      <c r="H110"/>
      <c r="I110"/>
      <c r="J110"/>
      <c r="K110" s="66"/>
      <c r="L110" s="29" t="s">
        <v>359</v>
      </c>
      <c r="M110" s="30">
        <f t="shared" ref="M110" si="265">HARMEAN($P104:$XX105)</f>
        <v>4999.32</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99"/>
      <c r="F111" s="93"/>
      <c r="G111" s="201"/>
      <c r="H111" s="134">
        <f t="shared" ref="H111" si="267">COUNT($P111:$XX111)</f>
        <v>1</v>
      </c>
      <c r="I111" s="132">
        <f t="shared" ref="I111" si="268">_xlfn.STDEV.P($P110:$XX111)/AVERAGE($P110:$XX111)</f>
        <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f t="shared" ref="P111:AI111" si="272">IF(P109="","",IF((_xlfn.STDEV.P($P108:$XX109)/AVERAGE($P108:$XX109))&lt;=25%,P109,IF(OR(P109&gt;(AVERAGE($P108:$XX109)+_xlfn.STDEV.P($P108:$XX109)),P109&lt;(AVERAGE($P108:$XX109)-_xlfn.STDEV.P($P108:$XX109))),"DESCARTADO",P109)))</f>
        <v>4999.32</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99"/>
      <c r="F112" s="93"/>
      <c r="G112" s="201"/>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99"/>
      <c r="F113" s="93"/>
      <c r="G113" s="201"/>
      <c r="H113" s="134">
        <f t="shared" ref="H113" si="275">COUNT($P113:$XX113)</f>
        <v>1</v>
      </c>
      <c r="I113" s="132">
        <f t="shared" ref="I113" si="276">_xlfn.STDEV.P($P112:$XX113)/AVERAGE($P112:$XX113)</f>
        <v>0</v>
      </c>
      <c r="J113" s="7">
        <f t="shared" ref="J113" si="277">IF(AND(H113&gt;2,
OR(L99="MÉDIA SANEADA",L99="MEDIANA SANEADA",
AND(L99="PREÇO ESTIMADO",NOT(AND(P101="Orçamento",COUNTA(P99:XX99)=COUNTIF(P101:XX101,"Orçamento")))))),
ROW(),0)</f>
        <v>0</v>
      </c>
      <c r="K113" s="66"/>
      <c r="L113" s="29" t="s">
        <v>42</v>
      </c>
      <c r="M113" s="30">
        <f t="shared" ref="M113" si="278">MIN($P105:$XX105)</f>
        <v>4999.32</v>
      </c>
      <c r="N113" s="71"/>
      <c r="O113" s="27" t="str">
        <f t="shared" ref="O113" si="279">"4 RODADA"</f>
        <v>4 RODADA</v>
      </c>
      <c r="P113" s="107">
        <f t="shared" ref="P113:AI113" si="280">IF(P111="","",IF((_xlfn.STDEV.P($P110:$XX111)/AVERAGE($P110:$XX111))&lt;=25%,P111,IF(OR(P111&gt;(AVERAGE($P110:$XX111)+_xlfn.STDEV.P($P110:$XX111)),P111&lt;(AVERAGE($P110:$XX111)-_xlfn.STDEV.P($P110:$XX111))),"DESCARTADO",P111)))</f>
        <v>4999.32</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99"/>
      <c r="F114" s="93"/>
      <c r="G114" s="201"/>
      <c r="H114"/>
      <c r="I114"/>
      <c r="J114"/>
      <c r="K114" s="66"/>
      <c r="L114" s="29" t="s">
        <v>40</v>
      </c>
      <c r="M114" s="30">
        <f t="shared" ref="M114" si="281">MAX($P105:$XX105)</f>
        <v>4999.32</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99"/>
      <c r="F115" s="93"/>
      <c r="G115" s="201"/>
      <c r="H115" s="134">
        <f t="shared" ref="H115" si="283">COUNT($P115:$XX115)</f>
        <v>1</v>
      </c>
      <c r="I115" s="132">
        <f t="shared" ref="I115" si="284">_xlfn.STDEV.P($P114:$XX115)/AVERAGE($P114:$XX115)</f>
        <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4999.32</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99"/>
      <c r="F116" s="93"/>
      <c r="G116" s="201"/>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99"/>
      <c r="F117" s="93"/>
      <c r="G117" s="201"/>
      <c r="H117" s="134">
        <f t="shared" ref="H117" si="289">COUNT($P117:$XX117)</f>
        <v>1</v>
      </c>
      <c r="I117" s="132">
        <f t="shared" ref="I117" si="290">_xlfn.STDEV.P($P116:$XX117)/AVERAGE($P116:$XX117)</f>
        <v>0</v>
      </c>
      <c r="J117" s="7">
        <f t="shared" ref="J117" si="291">IF(AND(H117&gt;2,
OR(L99="MÉDIA SANEADA",L99="MEDIANA SANEADA",
AND(L99="PREÇO ESTIMADO",NOT(AND(P101="Orçamento",COUNTA(P99:XX99)=COUNTIF(P101:XX101,"Orçamento")))))),
ROW(),0)</f>
        <v>0</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4999.32</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99"/>
      <c r="F118" s="136"/>
      <c r="G118" s="201"/>
      <c r="H118" s="204"/>
      <c r="I118" s="204"/>
      <c r="J118" s="205"/>
      <c r="K118" s="67"/>
      <c r="L118" s="1" t="s">
        <v>43</v>
      </c>
      <c r="M118" s="143">
        <f t="shared" ref="M118" si="294">IFERROR(ROUND(M99*M101,2),"")</f>
        <v>414943.56</v>
      </c>
      <c r="O118" s="27" t="s">
        <v>363</v>
      </c>
      <c r="P118" s="107">
        <f t="shared" ref="P118:R118" si="295">INDEX(P105:P117,MATCH(MAX($J105:$J117),$J105:$J117,0))</f>
        <v>4999.32</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450</v>
      </c>
      <c r="H120" s="135" t="str">
        <f>INDEX('BASE FORMAÇÃO'!B:B,B120+1)</f>
        <v>MS.6.0-A1692</v>
      </c>
      <c r="I120" s="181" t="s">
        <v>451</v>
      </c>
      <c r="J120" s="6" t="s">
        <v>457</v>
      </c>
      <c r="K120" s="65"/>
      <c r="L120" s="183" t="s">
        <v>10</v>
      </c>
      <c r="M120" s="185">
        <f t="shared" ref="M120" si="298">IF(OR(ISBLANK($O$8),ISBLANK($O$7),ISBLANK($H$8),ISBLANK($O$6),ISBLANK($O$5),ISBLANK($H$5)),"",IFERROR(IF(VLOOKUP(L120,L126:M135,2,FALSE)&lt;1,ROUND(VLOOKUP(L120,L126:M135,2,FALSE),4),ROUND(VLOOKUP(L120,L126:M135,2,FALSE),2)),""))</f>
        <v>8260.56</v>
      </c>
      <c r="N120" s="69"/>
      <c r="O120" s="27" t="s">
        <v>17</v>
      </c>
      <c r="P120" s="113">
        <f>229.46*36</f>
        <v>8260.56</v>
      </c>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7">
        <f t="shared" ref="E121" si="300">D120</f>
        <v>6</v>
      </c>
      <c r="F121" s="92"/>
      <c r="G121" s="189" t="s">
        <v>1</v>
      </c>
      <c r="H121" s="192" t="str">
        <f>INDEX('BASE FORMAÇÃO'!C:C,B120+1)</f>
        <v>O365 E5 Sub Per User</v>
      </c>
      <c r="I121" s="192"/>
      <c r="J121" s="193"/>
      <c r="K121" s="66"/>
      <c r="L121" s="184"/>
      <c r="M121" s="186"/>
      <c r="N121" s="70"/>
      <c r="O121" s="27" t="s">
        <v>13</v>
      </c>
      <c r="P121" s="122">
        <v>46118</v>
      </c>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8"/>
      <c r="F122" s="93"/>
      <c r="G122" s="190"/>
      <c r="H122" s="194"/>
      <c r="I122" s="194"/>
      <c r="J122" s="195"/>
      <c r="K122" s="64"/>
      <c r="L122" s="130" t="s">
        <v>44</v>
      </c>
      <c r="M122" s="131">
        <f>INDEX('BASE FORMAÇÃO'!H:H,B124+1)</f>
        <v>3</v>
      </c>
      <c r="N122" s="71"/>
      <c r="O122" s="27" t="s">
        <v>380</v>
      </c>
      <c r="P122" s="114" t="s">
        <v>349</v>
      </c>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1"/>
      <c r="H123" s="196"/>
      <c r="I123" s="196"/>
      <c r="J123" s="197"/>
      <c r="K123" s="64"/>
      <c r="L123" s="1" t="s">
        <v>2</v>
      </c>
      <c r="M123" s="6" t="str">
        <f>INDEX('BASE FORMAÇÃO'!D:D,B124+1)</f>
        <v>Unidade/Mensal</v>
      </c>
      <c r="N123" s="71"/>
      <c r="O123" s="27" t="s">
        <v>381</v>
      </c>
      <c r="P123" s="115" t="s">
        <v>462</v>
      </c>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98">
        <f t="shared" ref="E124" si="304">C120</f>
        <v>1</v>
      </c>
      <c r="F124" s="93"/>
      <c r="G124" s="200" t="s">
        <v>304</v>
      </c>
      <c r="H124" s="202" t="s">
        <v>464</v>
      </c>
      <c r="I124" s="203"/>
      <c r="J124" s="203"/>
      <c r="K124" s="67"/>
      <c r="L124" s="28" t="s">
        <v>303</v>
      </c>
      <c r="M124" s="133">
        <f t="shared" ref="M124" si="305">IFERROR(INDEX(I126:I138,MATCH(MAX(J126:J138),J126:J138,0)),"")</f>
        <v>0</v>
      </c>
      <c r="N124" s="71"/>
      <c r="O124" s="27" t="s">
        <v>18</v>
      </c>
      <c r="P124" s="106">
        <f>IF(P120="","",
IF(OR(P122="Orçamento",P121="",MAX('Tabela de Apoio'!$A:$A)&lt;=P121),
P120,
(INDEX('Tabela de Apoio'!$B:$B,MATCH('MAPA DE PREÇOS'!$O$8,'Tabela de Apoio'!$A:$A,1))/INDEX('Tabela de Apoio'!$B:$B,MATCH('MAPA DE PREÇOS'!P121,'Tabela de Apoio'!$A:$A,1)-1))*P120))</f>
        <v>8260.56</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99"/>
      <c r="F125" s="93"/>
      <c r="G125" s="201"/>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99"/>
      <c r="F126" s="93"/>
      <c r="G126" s="201"/>
      <c r="H126" s="134">
        <f t="shared" ref="H126" si="309">COUNT($P126:$XX126)</f>
        <v>1</v>
      </c>
      <c r="I126" s="132">
        <f t="shared" ref="I126" si="310">_xlfn.STDEV.P($P125:$XX126)/AVERAGE($P125:$XX126)</f>
        <v>0</v>
      </c>
      <c r="J126" s="7">
        <f>ROW()</f>
        <v>126</v>
      </c>
      <c r="K126" s="67"/>
      <c r="L126" s="29" t="s">
        <v>10</v>
      </c>
      <c r="M126" s="30">
        <f t="shared" ref="M126" si="311">IFERROR(
IF(COUNTA(P120:AI120)=COUNTIF(P122:XX122,"Orçamento"),MIN(M131,M128),
IF(M129&lt;&gt;"",M129,
IF(M130&lt;&gt;"",M130,
M128
))),"")</f>
        <v>8260.56</v>
      </c>
      <c r="N126" s="71"/>
      <c r="O126" s="27" t="s">
        <v>376</v>
      </c>
      <c r="P126" s="106">
        <f t="shared" ref="P126:AI126" si="312">IFERROR(IF(P124="",
            "",
            IF(COUNT($P124:$XX124)&lt;=4,
               P124,
               IF(OR(P124&gt;(QUARTILE($P124:$XX124,3)+(QUARTILE($P124:$XX124,3)-QUARTILE($P124:$XX124,1))),
                     P124&lt;(QUARTILE($P124:$XX124,1)-(QUARTILE($P124:$XX124,3)-QUARTILE($P124:$XX124,1)))
                  ),
               "DESCARTADO",P124)
             )
  ),P124)</f>
        <v>8260.56</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99"/>
      <c r="F127" s="93"/>
      <c r="G127" s="201"/>
      <c r="H127"/>
      <c r="I127"/>
      <c r="J127"/>
      <c r="K127" s="66"/>
      <c r="L127" s="29" t="s">
        <v>360</v>
      </c>
      <c r="M127" s="30">
        <f t="shared" ref="M127" si="315">AVERAGE($P126:$XX126)</f>
        <v>8260.56</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99"/>
      <c r="F128" s="93"/>
      <c r="G128" s="201"/>
      <c r="H128" s="134">
        <f t="shared" ref="H128" si="317">COUNT($P128:$XX128)</f>
        <v>1</v>
      </c>
      <c r="I128" s="132">
        <f t="shared" ref="I128" si="318">_xlfn.STDEV.P($P127:$XX128)/AVERAGE($P127:$XX128)</f>
        <v>0</v>
      </c>
      <c r="J128" s="7">
        <f t="shared" ref="J128" si="319">IF(AND(H128&gt;2,
OR(L120="MÉDIA SANEADA",L120="MEDIANA SANEADA",
AND(L120="PREÇO ESTIMADO",NOT(AND(P122="Orçamento",COUNTA(P120:XX120)=COUNTIF(P122:XX122,"Orçamento")))))),
ROW(),0)</f>
        <v>0</v>
      </c>
      <c r="K128" s="66"/>
      <c r="L128" s="29" t="s">
        <v>361</v>
      </c>
      <c r="M128" s="30">
        <f t="shared" ref="M128" si="320">MEDIAN($P126:$XX126)</f>
        <v>8260.56</v>
      </c>
      <c r="N128" s="71"/>
      <c r="O128" s="27" t="str">
        <f t="shared" ref="O128" si="321">"1 RODADA"</f>
        <v>1 RODADA</v>
      </c>
      <c r="P128" s="107">
        <f t="shared" ref="P128:AI128" si="322">IF(P126="","",IF((_xlfn.STDEV.P($P125:$XX126)/AVERAGE($P125:$XX126))&lt;=25%,P126,IF(OR(P126&gt;(AVERAGE($P125:$XX126)+_xlfn.STDEV.P($P125:$XX126)),P126&lt;(AVERAGE($P125:$XX126)-_xlfn.STDEV.P($P125:$XX126))),"DESCARTADO",P126)))</f>
        <v>8260.56</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99"/>
      <c r="F129" s="93"/>
      <c r="G129" s="201"/>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8260.56</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99"/>
      <c r="F130" s="93"/>
      <c r="G130" s="201"/>
      <c r="H130" s="134">
        <f t="shared" ref="H130" si="325">COUNT($P130:$XX130)</f>
        <v>1</v>
      </c>
      <c r="I130" s="132">
        <f t="shared" ref="I130" si="326">_xlfn.STDEV.P($P129:$XX130)/AVERAGE($P129:$XX130)</f>
        <v>0</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8260.56</v>
      </c>
      <c r="N130" s="71"/>
      <c r="O130" s="27" t="str">
        <f t="shared" ref="O130" si="329">"2 RODADA"</f>
        <v>2 RODADA</v>
      </c>
      <c r="P130" s="107">
        <f t="shared" ref="P130:AI130" si="330">IF(P128="","",IF((_xlfn.STDEV.P($P127:$XX128)/AVERAGE($P127:$XX128))&lt;=25%,P128,IF(OR(P128&gt;(AVERAGE($P127:$XX128)+_xlfn.STDEV.P($P127:$XX128)),P128&lt;(AVERAGE($P127:$XX128)-_xlfn.STDEV.P($P127:$XX128))),"DESCARTADO",P128)))</f>
        <v>8260.56</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99"/>
      <c r="F131" s="93"/>
      <c r="G131" s="201"/>
      <c r="H131"/>
      <c r="I131"/>
      <c r="J131"/>
      <c r="K131" s="66"/>
      <c r="L131" s="29" t="s">
        <v>359</v>
      </c>
      <c r="M131" s="30">
        <f t="shared" ref="M131" si="331">HARMEAN($P125:$XX126)</f>
        <v>8260.56</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99"/>
      <c r="F132" s="93"/>
      <c r="G132" s="201"/>
      <c r="H132" s="134">
        <f t="shared" ref="H132" si="333">COUNT($P132:$XX132)</f>
        <v>1</v>
      </c>
      <c r="I132" s="132">
        <f t="shared" ref="I132" si="334">_xlfn.STDEV.P($P131:$XX132)/AVERAGE($P131:$XX132)</f>
        <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f t="shared" ref="P132:AI132" si="338">IF(P130="","",IF((_xlfn.STDEV.P($P129:$XX130)/AVERAGE($P129:$XX130))&lt;=25%,P130,IF(OR(P130&gt;(AVERAGE($P129:$XX130)+_xlfn.STDEV.P($P129:$XX130)),P130&lt;(AVERAGE($P129:$XX130)-_xlfn.STDEV.P($P129:$XX130))),"DESCARTADO",P130)))</f>
        <v>8260.56</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99"/>
      <c r="F133" s="93"/>
      <c r="G133" s="201"/>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99"/>
      <c r="F134" s="93"/>
      <c r="G134" s="201"/>
      <c r="H134" s="134">
        <f t="shared" ref="H134" si="341">COUNT($P134:$XX134)</f>
        <v>1</v>
      </c>
      <c r="I134" s="132">
        <f t="shared" ref="I134" si="342">_xlfn.STDEV.P($P133:$XX134)/AVERAGE($P133:$XX134)</f>
        <v>0</v>
      </c>
      <c r="J134" s="7">
        <f t="shared" ref="J134" si="343">IF(AND(H134&gt;2,
OR(L120="MÉDIA SANEADA",L120="MEDIANA SANEADA",
AND(L120="PREÇO ESTIMADO",NOT(AND(P122="Orçamento",COUNTA(P120:XX120)=COUNTIF(P122:XX122,"Orçamento")))))),
ROW(),0)</f>
        <v>0</v>
      </c>
      <c r="K134" s="66"/>
      <c r="L134" s="29" t="s">
        <v>42</v>
      </c>
      <c r="M134" s="30">
        <f t="shared" ref="M134" si="344">MIN($P126:$XX126)</f>
        <v>8260.56</v>
      </c>
      <c r="N134" s="71"/>
      <c r="O134" s="27" t="str">
        <f t="shared" ref="O134" si="345">"4 RODADA"</f>
        <v>4 RODADA</v>
      </c>
      <c r="P134" s="107">
        <f t="shared" ref="P134:AI134" si="346">IF(P132="","",IF((_xlfn.STDEV.P($P131:$XX132)/AVERAGE($P131:$XX132))&lt;=25%,P132,IF(OR(P132&gt;(AVERAGE($P131:$XX132)+_xlfn.STDEV.P($P131:$XX132)),P132&lt;(AVERAGE($P131:$XX132)-_xlfn.STDEV.P($P131:$XX132))),"DESCARTADO",P132)))</f>
        <v>8260.56</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99"/>
      <c r="F135" s="93"/>
      <c r="G135" s="201"/>
      <c r="H135"/>
      <c r="I135"/>
      <c r="J135"/>
      <c r="K135" s="66"/>
      <c r="L135" s="29" t="s">
        <v>40</v>
      </c>
      <c r="M135" s="30">
        <f t="shared" ref="M135" si="347">MAX($P126:$XX126)</f>
        <v>8260.56</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99"/>
      <c r="F136" s="93"/>
      <c r="G136" s="201"/>
      <c r="H136" s="134">
        <f t="shared" ref="H136" si="349">COUNT($P136:$XX136)</f>
        <v>1</v>
      </c>
      <c r="I136" s="132">
        <f t="shared" ref="I136" si="350">_xlfn.STDEV.P($P135:$XX136)/AVERAGE($P135:$XX136)</f>
        <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8260.56</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99"/>
      <c r="F137" s="93"/>
      <c r="G137" s="201"/>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99"/>
      <c r="F138" s="93"/>
      <c r="G138" s="201"/>
      <c r="H138" s="134">
        <f t="shared" ref="H138" si="355">COUNT($P138:$XX138)</f>
        <v>1</v>
      </c>
      <c r="I138" s="132">
        <f t="shared" ref="I138" si="356">_xlfn.STDEV.P($P137:$XX138)/AVERAGE($P137:$XX138)</f>
        <v>0</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8260.56</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99"/>
      <c r="F139" s="136"/>
      <c r="G139" s="201"/>
      <c r="H139" s="204"/>
      <c r="I139" s="204"/>
      <c r="J139" s="205"/>
      <c r="K139" s="67"/>
      <c r="L139" s="1" t="s">
        <v>43</v>
      </c>
      <c r="M139" s="143">
        <f t="shared" ref="M139" si="360">IFERROR(ROUND(M120*M122,2),"")</f>
        <v>24781.68</v>
      </c>
      <c r="O139" s="27" t="s">
        <v>363</v>
      </c>
      <c r="P139" s="107">
        <f t="shared" ref="P139:AI160" si="361">INDEX(P126:P138,MATCH(MAX($J126:$J138),$J126:$J138,0))</f>
        <v>8260.56</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450</v>
      </c>
      <c r="H141" s="135" t="str">
        <f>INDEX('BASE FORMAÇÃO'!B:B,B141+1)</f>
        <v>MS.6.0-A0463</v>
      </c>
      <c r="I141" s="181" t="s">
        <v>451</v>
      </c>
      <c r="J141" s="6" t="s">
        <v>458</v>
      </c>
      <c r="K141" s="65"/>
      <c r="L141" s="183" t="s">
        <v>10</v>
      </c>
      <c r="M141" s="185">
        <f t="shared" ref="M141" si="364">IF(OR(ISBLANK($O$8),ISBLANK($O$7),ISBLANK($H$8),ISBLANK($O$6),ISBLANK($O$5),ISBLANK($H$5)),"",IFERROR(IF(VLOOKUP(L141,L147:M156,2,FALSE)&lt;1,ROUND(VLOOKUP(L141,L147:M156,2,FALSE),4),ROUND(VLOOKUP(L141,L147:M156,2,FALSE),2)),""))</f>
        <v>6521.4</v>
      </c>
      <c r="N141" s="69"/>
      <c r="O141" s="27" t="s">
        <v>17</v>
      </c>
      <c r="P141" s="113">
        <f>181.15*36</f>
        <v>6521.4000000000005</v>
      </c>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7">
        <f t="shared" ref="E142" si="366">D141</f>
        <v>7</v>
      </c>
      <c r="F142" s="92"/>
      <c r="G142" s="189" t="s">
        <v>1</v>
      </c>
      <c r="H142" s="192" t="str">
        <f>INDEX('BASE FORMAÇÃO'!C:C,B141+1)</f>
        <v>Planner &amp; Project P3 Sub Per User</v>
      </c>
      <c r="I142" s="192"/>
      <c r="J142" s="193"/>
      <c r="K142" s="66"/>
      <c r="L142" s="184"/>
      <c r="M142" s="186"/>
      <c r="N142" s="70"/>
      <c r="O142" s="27" t="s">
        <v>13</v>
      </c>
      <c r="P142" s="122">
        <v>46118</v>
      </c>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8"/>
      <c r="F143" s="93"/>
      <c r="G143" s="190"/>
      <c r="H143" s="194"/>
      <c r="I143" s="194"/>
      <c r="J143" s="195"/>
      <c r="K143" s="64"/>
      <c r="L143" s="130" t="s">
        <v>44</v>
      </c>
      <c r="M143" s="131">
        <f>INDEX('BASE FORMAÇÃO'!H:H,B145+1)</f>
        <v>41</v>
      </c>
      <c r="N143" s="71"/>
      <c r="O143" s="27" t="s">
        <v>380</v>
      </c>
      <c r="P143" s="114" t="s">
        <v>349</v>
      </c>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1"/>
      <c r="H144" s="196"/>
      <c r="I144" s="196"/>
      <c r="J144" s="197"/>
      <c r="K144" s="64"/>
      <c r="L144" s="1" t="s">
        <v>2</v>
      </c>
      <c r="M144" s="6" t="str">
        <f>INDEX('BASE FORMAÇÃO'!D:D,B145+1)</f>
        <v>Unidade/Mensal</v>
      </c>
      <c r="N144" s="71"/>
      <c r="O144" s="27" t="s">
        <v>381</v>
      </c>
      <c r="P144" s="115" t="s">
        <v>462</v>
      </c>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198">
        <f t="shared" ref="E145" si="370">C141</f>
        <v>1</v>
      </c>
      <c r="F145" s="93"/>
      <c r="G145" s="200" t="s">
        <v>304</v>
      </c>
      <c r="H145" s="202" t="s">
        <v>464</v>
      </c>
      <c r="I145" s="203"/>
      <c r="J145" s="203"/>
      <c r="K145" s="67"/>
      <c r="L145" s="28" t="s">
        <v>303</v>
      </c>
      <c r="M145" s="133">
        <f t="shared" ref="M145" si="371">IFERROR(INDEX(I147:I159,MATCH(MAX(J147:J159),J147:J159,0)),"")</f>
        <v>0</v>
      </c>
      <c r="N145" s="71"/>
      <c r="O145" s="27" t="s">
        <v>18</v>
      </c>
      <c r="P145" s="106">
        <f>IF(P141="","",
IF(OR(P143="Orçamento",P142="",MAX('Tabela de Apoio'!$A:$A)&lt;=P142),
P141,
(INDEX('Tabela de Apoio'!$B:$B,MATCH('MAPA DE PREÇOS'!$O$8,'Tabela de Apoio'!$A:$A,1))/INDEX('Tabela de Apoio'!$B:$B,MATCH('MAPA DE PREÇOS'!P142,'Tabela de Apoio'!$A:$A,1)-1))*P141))</f>
        <v>6521.4000000000005</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199"/>
      <c r="F146" s="93"/>
      <c r="G146" s="201"/>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199"/>
      <c r="F147" s="93"/>
      <c r="G147" s="201"/>
      <c r="H147" s="134">
        <f t="shared" ref="H147" si="375">COUNT($P147:$XX147)</f>
        <v>1</v>
      </c>
      <c r="I147" s="132">
        <f t="shared" ref="I147" si="376">_xlfn.STDEV.P($P146:$XX147)/AVERAGE($P146:$XX147)</f>
        <v>0</v>
      </c>
      <c r="J147" s="7">
        <f>ROW()</f>
        <v>147</v>
      </c>
      <c r="K147" s="67"/>
      <c r="L147" s="29" t="s">
        <v>10</v>
      </c>
      <c r="M147" s="30">
        <f t="shared" ref="M147" si="377">IFERROR(
IF(COUNTA(P141:AI141)=COUNTIF(P143:XX143,"Orçamento"),MIN(M152,M149),
IF(M150&lt;&gt;"",M150,
IF(M151&lt;&gt;"",M151,
M149
))),"")</f>
        <v>6521.4000000000005</v>
      </c>
      <c r="N147" s="71"/>
      <c r="O147" s="27" t="s">
        <v>376</v>
      </c>
      <c r="P147" s="106">
        <f t="shared" ref="P147:AI147" si="378">IFERROR(IF(P145="",
            "",
            IF(COUNT($P145:$XX145)&lt;=4,
               P145,
               IF(OR(P145&gt;(QUARTILE($P145:$XX145,3)+(QUARTILE($P145:$XX145,3)-QUARTILE($P145:$XX145,1))),
                     P145&lt;(QUARTILE($P145:$XX145,1)-(QUARTILE($P145:$XX145,3)-QUARTILE($P145:$XX145,1)))
                  ),
               "DESCARTADO",P145)
             )
  ),P145)</f>
        <v>6521.4000000000005</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199"/>
      <c r="F148" s="93"/>
      <c r="G148" s="201"/>
      <c r="H148"/>
      <c r="I148"/>
      <c r="J148"/>
      <c r="K148" s="66"/>
      <c r="L148" s="29" t="s">
        <v>360</v>
      </c>
      <c r="M148" s="30">
        <f t="shared" ref="M148" si="381">AVERAGE($P147:$XX147)</f>
        <v>6521.4000000000005</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199"/>
      <c r="F149" s="93"/>
      <c r="G149" s="201"/>
      <c r="H149" s="134">
        <f t="shared" ref="H149" si="383">COUNT($P149:$XX149)</f>
        <v>1</v>
      </c>
      <c r="I149" s="132">
        <f t="shared" ref="I149" si="384">_xlfn.STDEV.P($P148:$XX149)/AVERAGE($P148:$XX149)</f>
        <v>0</v>
      </c>
      <c r="J149" s="7">
        <f t="shared" ref="J149" si="385">IF(AND(H149&gt;2,
OR(L141="MÉDIA SANEADA",L141="MEDIANA SANEADA",
AND(L141="PREÇO ESTIMADO",NOT(AND(P143="Orçamento",COUNTA(P141:XX141)=COUNTIF(P143:XX143,"Orçamento")))))),
ROW(),0)</f>
        <v>0</v>
      </c>
      <c r="K149" s="66"/>
      <c r="L149" s="29" t="s">
        <v>361</v>
      </c>
      <c r="M149" s="30">
        <f t="shared" ref="M149" si="386">MEDIAN($P147:$XX147)</f>
        <v>6521.4000000000005</v>
      </c>
      <c r="N149" s="71"/>
      <c r="O149" s="27" t="str">
        <f t="shared" ref="O149" si="387">"1 RODADA"</f>
        <v>1 RODADA</v>
      </c>
      <c r="P149" s="107">
        <f t="shared" ref="P149:AI149" si="388">IF(P147="","",IF((_xlfn.STDEV.P($P146:$XX147)/AVERAGE($P146:$XX147))&lt;=25%,P147,IF(OR(P147&gt;(AVERAGE($P146:$XX147)+_xlfn.STDEV.P($P146:$XX147)),P147&lt;(AVERAGE($P146:$XX147)-_xlfn.STDEV.P($P146:$XX147))),"DESCARTADO",P147)))</f>
        <v>6521.4000000000005</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199"/>
      <c r="F150" s="93"/>
      <c r="G150" s="201"/>
      <c r="H150"/>
      <c r="I150"/>
      <c r="J150"/>
      <c r="L150" s="29" t="s">
        <v>38</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6521.4000000000005</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199"/>
      <c r="F151" s="93"/>
      <c r="G151" s="201"/>
      <c r="H151" s="134">
        <f t="shared" ref="H151" si="391">COUNT($P151:$XX151)</f>
        <v>1</v>
      </c>
      <c r="I151" s="132">
        <f t="shared" ref="I151" si="392">_xlfn.STDEV.P($P150:$XX151)/AVERAGE($P150:$XX151)</f>
        <v>0</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6521.4000000000005</v>
      </c>
      <c r="N151" s="71"/>
      <c r="O151" s="27" t="str">
        <f t="shared" ref="O151" si="395">"2 RODADA"</f>
        <v>2 RODADA</v>
      </c>
      <c r="P151" s="107">
        <f t="shared" ref="P151:AI151" si="396">IF(P149="","",IF((_xlfn.STDEV.P($P148:$XX149)/AVERAGE($P148:$XX149))&lt;=25%,P149,IF(OR(P149&gt;(AVERAGE($P148:$XX149)+_xlfn.STDEV.P($P148:$XX149)),P149&lt;(AVERAGE($P148:$XX149)-_xlfn.STDEV.P($P148:$XX149))),"DESCARTADO",P149)))</f>
        <v>6521.4000000000005</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199"/>
      <c r="F152" s="93"/>
      <c r="G152" s="201"/>
      <c r="H152"/>
      <c r="I152"/>
      <c r="J152"/>
      <c r="K152" s="66"/>
      <c r="L152" s="29" t="s">
        <v>359</v>
      </c>
      <c r="M152" s="30">
        <f t="shared" ref="M152" si="397">HARMEAN($P146:$XX147)</f>
        <v>6521.4000000000005</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199"/>
      <c r="F153" s="93"/>
      <c r="G153" s="201"/>
      <c r="H153" s="134">
        <f t="shared" ref="H153" si="399">COUNT($P153:$XX153)</f>
        <v>1</v>
      </c>
      <c r="I153" s="132">
        <f t="shared" ref="I153" si="400">_xlfn.STDEV.P($P152:$XX153)/AVERAGE($P152:$XX153)</f>
        <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f t="shared" ref="P153:AI153" si="404">IF(P151="","",IF((_xlfn.STDEV.P($P150:$XX151)/AVERAGE($P150:$XX151))&lt;=25%,P151,IF(OR(P151&gt;(AVERAGE($P150:$XX151)+_xlfn.STDEV.P($P150:$XX151)),P151&lt;(AVERAGE($P150:$XX151)-_xlfn.STDEV.P($P150:$XX151))),"DESCARTADO",P151)))</f>
        <v>6521.4000000000005</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199"/>
      <c r="F154" s="93"/>
      <c r="G154" s="201"/>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199"/>
      <c r="F155" s="93"/>
      <c r="G155" s="201"/>
      <c r="H155" s="134">
        <f t="shared" ref="H155" si="407">COUNT($P155:$XX155)</f>
        <v>1</v>
      </c>
      <c r="I155" s="132">
        <f t="shared" ref="I155" si="408">_xlfn.STDEV.P($P154:$XX155)/AVERAGE($P154:$XX155)</f>
        <v>0</v>
      </c>
      <c r="J155" s="7">
        <f t="shared" ref="J155" si="409">IF(AND(H155&gt;2,
OR(L141="MÉDIA SANEADA",L141="MEDIANA SANEADA",
AND(L141="PREÇO ESTIMADO",NOT(AND(P143="Orçamento",COUNTA(P141:XX141)=COUNTIF(P143:XX143,"Orçamento")))))),
ROW(),0)</f>
        <v>0</v>
      </c>
      <c r="K155" s="66"/>
      <c r="L155" s="29" t="s">
        <v>42</v>
      </c>
      <c r="M155" s="30">
        <f t="shared" ref="M155" si="410">MIN($P147:$XX147)</f>
        <v>6521.4000000000005</v>
      </c>
      <c r="N155" s="71"/>
      <c r="O155" s="27" t="str">
        <f t="shared" ref="O155" si="411">"4 RODADA"</f>
        <v>4 RODADA</v>
      </c>
      <c r="P155" s="107">
        <f t="shared" ref="P155:AI155" si="412">IF(P153="","",IF((_xlfn.STDEV.P($P152:$XX153)/AVERAGE($P152:$XX153))&lt;=25%,P153,IF(OR(P153&gt;(AVERAGE($P152:$XX153)+_xlfn.STDEV.P($P152:$XX153)),P153&lt;(AVERAGE($P152:$XX153)-_xlfn.STDEV.P($P152:$XX153))),"DESCARTADO",P153)))</f>
        <v>6521.4000000000005</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199"/>
      <c r="F156" s="93"/>
      <c r="G156" s="201"/>
      <c r="H156"/>
      <c r="I156"/>
      <c r="J156"/>
      <c r="K156" s="66"/>
      <c r="L156" s="29" t="s">
        <v>40</v>
      </c>
      <c r="M156" s="30">
        <f t="shared" ref="M156" si="413">MAX($P147:$XX147)</f>
        <v>6521.4000000000005</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199"/>
      <c r="F157" s="93"/>
      <c r="G157" s="201"/>
      <c r="H157" s="134">
        <f t="shared" ref="H157" si="415">COUNT($P157:$XX157)</f>
        <v>1</v>
      </c>
      <c r="I157" s="132">
        <f t="shared" ref="I157" si="416">_xlfn.STDEV.P($P156:$XX157)/AVERAGE($P156:$XX157)</f>
        <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f t="shared" ref="P157:AI157" si="419">IF(P155="","",IF((_xlfn.STDEV.P($P154:$XX155)/AVERAGE($P154:$XX155))&lt;=25%,P155,IF(OR(P155&gt;(AVERAGE($P154:$XX155)+_xlfn.STDEV.P($P154:$XX155)),P155&lt;(AVERAGE($P154:$XX155)-_xlfn.STDEV.P($P154:$XX155))),"DESCARTADO",P155)))</f>
        <v>6521.4000000000005</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199"/>
      <c r="F158" s="93"/>
      <c r="G158" s="201"/>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199"/>
      <c r="F159" s="93"/>
      <c r="G159" s="201"/>
      <c r="H159" s="134">
        <f t="shared" ref="H159" si="421">COUNT($P159:$XX159)</f>
        <v>1</v>
      </c>
      <c r="I159" s="132">
        <f t="shared" ref="I159" si="422">_xlfn.STDEV.P($P158:$XX159)/AVERAGE($P158:$XX159)</f>
        <v>0</v>
      </c>
      <c r="J159" s="7">
        <f t="shared" ref="J159" si="423">IF(AND(H159&gt;2,
OR(L141="MÉDIA SANEADA",L141="MEDIANA SANEADA",
AND(L141="PREÇO ESTIMADO",NOT(AND(P143="Orçamento",COUNTA(P141:XX141)=COUNTIF(P143:XX143,"Orçamento")))))),
ROW(),0)</f>
        <v>0</v>
      </c>
      <c r="N159" s="71"/>
      <c r="O159" s="27" t="str">
        <f t="shared" ref="O159" si="424">"6 RODADA"</f>
        <v>6 RODADA</v>
      </c>
      <c r="P159" s="107">
        <f t="shared" ref="P159:AI159" si="425">IFERROR(IF(P157="","",IF((_xlfn.STDEV.P($P156:$XX157)/AVERAGE($P156:$XX157))&lt;=25%,P157,IF(OR(P157&gt;(AVERAGE($P156:$XX157)+_xlfn.STDEV.P($P156:$XX157)),P157&lt;(AVERAGE($P156:$XX157)-_xlfn.STDEV.P($P156:$XX157))),"DESCARTADO",P157))),)</f>
        <v>6521.4000000000005</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199"/>
      <c r="F160" s="136"/>
      <c r="G160" s="201"/>
      <c r="H160" s="204"/>
      <c r="I160" s="204"/>
      <c r="J160" s="205"/>
      <c r="K160" s="67"/>
      <c r="L160" s="1" t="s">
        <v>43</v>
      </c>
      <c r="M160" s="143">
        <f t="shared" ref="M160" si="426">IFERROR(ROUND(M141*M143,2),"")</f>
        <v>267377.40000000002</v>
      </c>
      <c r="O160" s="27" t="s">
        <v>363</v>
      </c>
      <c r="P160" s="107">
        <f t="shared" ref="P160:R160" si="427">INDEX(P147:P159,MATCH(MAX($J147:$J159),$J147:$J159,0))</f>
        <v>6521.4000000000005</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450</v>
      </c>
      <c r="H162" s="135" t="str">
        <f>INDEX('BASE FORMAÇÃO'!B:B,B162+1)</f>
        <v>MS.6.0-A0491</v>
      </c>
      <c r="I162" s="181" t="s">
        <v>451</v>
      </c>
      <c r="J162" s="6" t="s">
        <v>459</v>
      </c>
      <c r="K162" s="65"/>
      <c r="L162" s="183" t="s">
        <v>10</v>
      </c>
      <c r="M162" s="185">
        <f t="shared" ref="M162" si="430">IF(OR(ISBLANK($O$8),ISBLANK($O$7),ISBLANK($H$8),ISBLANK($O$6),ISBLANK($O$5),ISBLANK($H$5)),"",IFERROR(IF(VLOOKUP(L162,L168:M177,2,FALSE)&lt;1,ROUND(VLOOKUP(L162,L168:M177,2,FALSE),4),ROUND(VLOOKUP(L162,L168:M177,2,FALSE),2)),""))</f>
        <v>11955.24</v>
      </c>
      <c r="N162" s="69"/>
      <c r="O162" s="27" t="s">
        <v>17</v>
      </c>
      <c r="P162" s="113">
        <f>332.09*36</f>
        <v>11955.24</v>
      </c>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187">
        <f t="shared" ref="E163" si="432">D162</f>
        <v>8</v>
      </c>
      <c r="F163" s="92"/>
      <c r="G163" s="189" t="s">
        <v>1</v>
      </c>
      <c r="H163" s="192" t="str">
        <f>INDEX('BASE FORMAÇÃO'!C:C,B162+1)</f>
        <v>Planner &amp; Project P5 Sub Per User</v>
      </c>
      <c r="I163" s="192"/>
      <c r="J163" s="193"/>
      <c r="K163" s="66"/>
      <c r="L163" s="184"/>
      <c r="M163" s="186"/>
      <c r="N163" s="70"/>
      <c r="O163" s="27" t="s">
        <v>13</v>
      </c>
      <c r="P163" s="122">
        <v>46118</v>
      </c>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188"/>
      <c r="F164" s="93"/>
      <c r="G164" s="190"/>
      <c r="H164" s="194"/>
      <c r="I164" s="194"/>
      <c r="J164" s="195"/>
      <c r="K164" s="64"/>
      <c r="L164" s="130" t="s">
        <v>44</v>
      </c>
      <c r="M164" s="131">
        <f>INDEX('BASE FORMAÇÃO'!H:H,B166+1)</f>
        <v>3</v>
      </c>
      <c r="N164" s="71"/>
      <c r="O164" s="27" t="s">
        <v>380</v>
      </c>
      <c r="P164" s="114" t="s">
        <v>349</v>
      </c>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191"/>
      <c r="H165" s="196"/>
      <c r="I165" s="196"/>
      <c r="J165" s="197"/>
      <c r="K165" s="64"/>
      <c r="L165" s="1" t="s">
        <v>2</v>
      </c>
      <c r="M165" s="6" t="str">
        <f>INDEX('BASE FORMAÇÃO'!D:D,B166+1)</f>
        <v>Unidade/Mensal</v>
      </c>
      <c r="N165" s="71"/>
      <c r="O165" s="27" t="s">
        <v>381</v>
      </c>
      <c r="P165" s="115" t="s">
        <v>462</v>
      </c>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198">
        <f t="shared" ref="E166" si="436">C162</f>
        <v>1</v>
      </c>
      <c r="F166" s="93"/>
      <c r="G166" s="200" t="s">
        <v>304</v>
      </c>
      <c r="H166" s="202" t="s">
        <v>464</v>
      </c>
      <c r="I166" s="203"/>
      <c r="J166" s="203"/>
      <c r="K166" s="67"/>
      <c r="L166" s="28" t="s">
        <v>303</v>
      </c>
      <c r="M166" s="133">
        <f t="shared" ref="M166" si="437">IFERROR(INDEX(I168:I180,MATCH(MAX(J168:J180),J168:J180,0)),"")</f>
        <v>0</v>
      </c>
      <c r="N166" s="71"/>
      <c r="O166" s="27" t="s">
        <v>18</v>
      </c>
      <c r="P166" s="106">
        <f>IF(P162="","",
IF(OR(P164="Orçamento",P163="",MAX('Tabela de Apoio'!$A:$A)&lt;=P163),
P162,
(INDEX('Tabela de Apoio'!$B:$B,MATCH('MAPA DE PREÇOS'!$O$8,'Tabela de Apoio'!$A:$A,1))/INDEX('Tabela de Apoio'!$B:$B,MATCH('MAPA DE PREÇOS'!P163,'Tabela de Apoio'!$A:$A,1)-1))*P162))</f>
        <v>11955.24</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199"/>
      <c r="F168" s="93"/>
      <c r="G168" s="201"/>
      <c r="H168" s="134">
        <f t="shared" ref="H168" si="441">COUNT($P168:$XX168)</f>
        <v>1</v>
      </c>
      <c r="I168" s="132">
        <f t="shared" ref="I168" si="442">_xlfn.STDEV.P($P167:$XX168)/AVERAGE($P167:$XX168)</f>
        <v>0</v>
      </c>
      <c r="J168" s="7">
        <f>ROW()</f>
        <v>168</v>
      </c>
      <c r="K168" s="67"/>
      <c r="L168" s="29" t="s">
        <v>10</v>
      </c>
      <c r="M168" s="30">
        <f t="shared" ref="M168" si="443">IFERROR(
IF(COUNTA(P162:AI162)=COUNTIF(P164:XX164,"Orçamento"),MIN(M173,M170),
IF(M171&lt;&gt;"",M171,
IF(M172&lt;&gt;"",M172,
M170
))),"")</f>
        <v>11955.24</v>
      </c>
      <c r="N168" s="71"/>
      <c r="O168" s="27" t="s">
        <v>376</v>
      </c>
      <c r="P168" s="106">
        <f t="shared" ref="P168:AI168" si="444">IFERROR(IF(P166="",
            "",
            IF(COUNT($P166:$XX166)&lt;=4,
               P166,
               IF(OR(P166&gt;(QUARTILE($P166:$XX166,3)+(QUARTILE($P166:$XX166,3)-QUARTILE($P166:$XX166,1))),
                     P166&lt;(QUARTILE($P166:$XX166,1)-(QUARTILE($P166:$XX166,3)-QUARTILE($P166:$XX166,1)))
                  ),
               "DESCARTADO",P166)
             )
  ),P166)</f>
        <v>11955.24</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199"/>
      <c r="F169" s="93"/>
      <c r="G169" s="201"/>
      <c r="H169"/>
      <c r="I169"/>
      <c r="J169"/>
      <c r="K169" s="66"/>
      <c r="L169" s="29" t="s">
        <v>360</v>
      </c>
      <c r="M169" s="30">
        <f t="shared" ref="M169" si="447">AVERAGE($P168:$XX168)</f>
        <v>11955.24</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199"/>
      <c r="F170" s="93"/>
      <c r="G170" s="201"/>
      <c r="H170" s="134">
        <f t="shared" ref="H170" si="449">COUNT($P170:$XX170)</f>
        <v>1</v>
      </c>
      <c r="I170" s="132">
        <f t="shared" ref="I170" si="450">_xlfn.STDEV.P($P169:$XX170)/AVERAGE($P169:$XX170)</f>
        <v>0</v>
      </c>
      <c r="J170" s="7">
        <f t="shared" ref="J170" si="451">IF(AND(H170&gt;2,
OR(L162="MÉDIA SANEADA",L162="MEDIANA SANEADA",
AND(L162="PREÇO ESTIMADO",NOT(AND(P164="Orçamento",COUNTA(P162:XX162)=COUNTIF(P164:XX164,"Orçamento")))))),
ROW(),0)</f>
        <v>0</v>
      </c>
      <c r="K170" s="66"/>
      <c r="L170" s="29" t="s">
        <v>361</v>
      </c>
      <c r="M170" s="30">
        <f t="shared" ref="M170" si="452">MEDIAN($P168:$XX168)</f>
        <v>11955.24</v>
      </c>
      <c r="N170" s="71"/>
      <c r="O170" s="27" t="str">
        <f t="shared" ref="O170" si="453">"1 RODADA"</f>
        <v>1 RODADA</v>
      </c>
      <c r="P170" s="107">
        <f t="shared" ref="P170:AI170" si="454">IF(P168="","",IF((_xlfn.STDEV.P($P167:$XX168)/AVERAGE($P167:$XX168))&lt;=25%,P168,IF(OR(P168&gt;(AVERAGE($P167:$XX168)+_xlfn.STDEV.P($P167:$XX168)),P168&lt;(AVERAGE($P167:$XX168)-_xlfn.STDEV.P($P167:$XX168))),"DESCARTADO",P168)))</f>
        <v>11955.24</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199"/>
      <c r="F171" s="93"/>
      <c r="G171" s="201"/>
      <c r="H171"/>
      <c r="I171"/>
      <c r="J171"/>
      <c r="L171" s="29" t="s">
        <v>38</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11955.24</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199"/>
      <c r="F172" s="93"/>
      <c r="G172" s="201"/>
      <c r="H172" s="134">
        <f t="shared" ref="H172" si="457">COUNT($P172:$XX172)</f>
        <v>1</v>
      </c>
      <c r="I172" s="132">
        <f t="shared" ref="I172" si="458">_xlfn.STDEV.P($P171:$XX172)/AVERAGE($P171:$XX172)</f>
        <v>0</v>
      </c>
      <c r="J172" s="7">
        <f t="shared" ref="J172" si="459">IF(AND(H172&gt;2,
OR(L162="MÉDIA SANEADA",L162="MEDIANA SANEADA",
AND(L162="PREÇO ESTIMADO",NOT(AND(P164="Orçamento",COUNTA(P162:XX162)=COUNTIF(P164:XX164,"Orçamento")))))),
ROW(),0)</f>
        <v>0</v>
      </c>
      <c r="K172" s="66"/>
      <c r="L172" s="29" t="s">
        <v>362</v>
      </c>
      <c r="M172" s="30">
        <f t="shared" ref="M172" si="460" xml:space="preserve">
IF(H170&gt;2,MEDIAN(P169:XX170),
IF(H172&gt;2,MEDIAN(P171:XX172),
IF(H174&gt;2,MEDIAN(P173:XX174),
IF(H176&gt;2,MEDIAN(P175:XX176),
IF(H178&gt;2,MEDIAN(P177:XX178),
IF(H180&gt;2,MEDIAN(P179:XX180),
MEDIAN(P167:XX168)))))))</f>
        <v>11955.24</v>
      </c>
      <c r="N172" s="71"/>
      <c r="O172" s="27" t="str">
        <f t="shared" ref="O172" si="461">"2 RODADA"</f>
        <v>2 RODADA</v>
      </c>
      <c r="P172" s="107">
        <f t="shared" ref="P172:AI172" si="462">IF(P170="","",IF((_xlfn.STDEV.P($P169:$XX170)/AVERAGE($P169:$XX170))&lt;=25%,P170,IF(OR(P170&gt;(AVERAGE($P169:$XX170)+_xlfn.STDEV.P($P169:$XX170)),P170&lt;(AVERAGE($P169:$XX170)-_xlfn.STDEV.P($P169:$XX170))),"DESCARTADO",P170)))</f>
        <v>11955.24</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199"/>
      <c r="F173" s="93"/>
      <c r="G173" s="201"/>
      <c r="H173"/>
      <c r="I173"/>
      <c r="J173"/>
      <c r="K173" s="66"/>
      <c r="L173" s="29" t="s">
        <v>359</v>
      </c>
      <c r="M173" s="30">
        <f t="shared" ref="M173" si="463">HARMEAN($P167:$XX168)</f>
        <v>11955.24</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199"/>
      <c r="F174" s="93"/>
      <c r="G174" s="201"/>
      <c r="H174" s="134">
        <f t="shared" ref="H174" si="465">COUNT($P174:$XX174)</f>
        <v>1</v>
      </c>
      <c r="I174" s="132">
        <f t="shared" ref="I174" si="466">_xlfn.STDEV.P($P173:$XX174)/AVERAGE($P173:$XX174)</f>
        <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f t="shared" ref="P174:AI174" si="470">IF(P172="","",IF((_xlfn.STDEV.P($P171:$XX172)/AVERAGE($P171:$XX172))&lt;=25%,P172,IF(OR(P172&gt;(AVERAGE($P171:$XX172)+_xlfn.STDEV.P($P171:$XX172)),P172&lt;(AVERAGE($P171:$XX172)-_xlfn.STDEV.P($P171:$XX172))),"DESCARTADO",P172)))</f>
        <v>11955.24</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199"/>
      <c r="F175" s="93"/>
      <c r="G175" s="201"/>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199"/>
      <c r="F176" s="93"/>
      <c r="G176" s="201"/>
      <c r="H176" s="134">
        <f t="shared" ref="H176" si="473">COUNT($P176:$XX176)</f>
        <v>1</v>
      </c>
      <c r="I176" s="132">
        <f t="shared" ref="I176" si="474">_xlfn.STDEV.P($P175:$XX176)/AVERAGE($P175:$XX176)</f>
        <v>0</v>
      </c>
      <c r="J176" s="7">
        <f t="shared" ref="J176" si="475">IF(AND(H176&gt;2,
OR(L162="MÉDIA SANEADA",L162="MEDIANA SANEADA",
AND(L162="PREÇO ESTIMADO",NOT(AND(P164="Orçamento",COUNTA(P162:XX162)=COUNTIF(P164:XX164,"Orçamento")))))),
ROW(),0)</f>
        <v>0</v>
      </c>
      <c r="K176" s="66"/>
      <c r="L176" s="29" t="s">
        <v>42</v>
      </c>
      <c r="M176" s="30">
        <f t="shared" ref="M176" si="476">MIN($P168:$XX168)</f>
        <v>11955.24</v>
      </c>
      <c r="N176" s="71"/>
      <c r="O176" s="27" t="str">
        <f t="shared" ref="O176" si="477">"4 RODADA"</f>
        <v>4 RODADA</v>
      </c>
      <c r="P176" s="107">
        <f t="shared" ref="P176:AI176" si="478">IF(P174="","",IF((_xlfn.STDEV.P($P173:$XX174)/AVERAGE($P173:$XX174))&lt;=25%,P174,IF(OR(P174&gt;(AVERAGE($P173:$XX174)+_xlfn.STDEV.P($P173:$XX174)),P174&lt;(AVERAGE($P173:$XX174)-_xlfn.STDEV.P($P173:$XX174))),"DESCARTADO",P174)))</f>
        <v>11955.24</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199"/>
      <c r="F177" s="93"/>
      <c r="G177" s="201"/>
      <c r="H177"/>
      <c r="I177"/>
      <c r="J177"/>
      <c r="K177" s="66"/>
      <c r="L177" s="29" t="s">
        <v>40</v>
      </c>
      <c r="M177" s="30">
        <f t="shared" ref="M177" si="479">MAX($P168:$XX168)</f>
        <v>11955.24</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199"/>
      <c r="F178" s="93"/>
      <c r="G178" s="201"/>
      <c r="H178" s="134">
        <f t="shared" ref="H178" si="481">COUNT($P178:$XX178)</f>
        <v>1</v>
      </c>
      <c r="I178" s="132">
        <f t="shared" ref="I178" si="482">_xlfn.STDEV.P($P177:$XX178)/AVERAGE($P177:$XX178)</f>
        <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11955.24</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199"/>
      <c r="F180" s="93"/>
      <c r="G180" s="201"/>
      <c r="H180" s="134">
        <f t="shared" ref="H180" si="487">COUNT($P180:$XX180)</f>
        <v>1</v>
      </c>
      <c r="I180" s="132">
        <f t="shared" ref="I180" si="488">_xlfn.STDEV.P($P179:$XX180)/AVERAGE($P179:$XX180)</f>
        <v>0</v>
      </c>
      <c r="J180" s="7">
        <f t="shared" ref="J180" si="489">IF(AND(H180&gt;2,
OR(L162="MÉDIA SANEADA",L162="MEDIANA SANEADA",
AND(L162="PREÇO ESTIMADO",NOT(AND(P164="Orçamento",COUNTA(P162:XX162)=COUNTIF(P164:XX164,"Orçamento")))))),
ROW(),0)</f>
        <v>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11955.24</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199"/>
      <c r="F181" s="136"/>
      <c r="G181" s="201"/>
      <c r="H181" s="204"/>
      <c r="I181" s="204"/>
      <c r="J181" s="205"/>
      <c r="K181" s="67"/>
      <c r="L181" s="1" t="s">
        <v>43</v>
      </c>
      <c r="M181" s="143">
        <f t="shared" ref="M181" si="492">IFERROR(ROUND(M162*M164,2),"")</f>
        <v>35865.72</v>
      </c>
      <c r="O181" s="27" t="s">
        <v>363</v>
      </c>
      <c r="P181" s="107">
        <f t="shared" ref="P181:AI202" si="493">INDEX(P168:P180,MATCH(MAX($J168:$J180),$J168:$J180,0))</f>
        <v>11955.24</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450</v>
      </c>
      <c r="H183" s="135" t="str">
        <f>INDEX('BASE FORMAÇÃO'!B:B,B183+1)</f>
        <v>MS.6.0-A1769</v>
      </c>
      <c r="I183" s="181" t="s">
        <v>451</v>
      </c>
      <c r="J183" s="6" t="s">
        <v>460</v>
      </c>
      <c r="K183" s="65"/>
      <c r="L183" s="183" t="s">
        <v>10</v>
      </c>
      <c r="M183" s="185">
        <f t="shared" ref="M183" si="496">IF(OR(ISBLANK($O$8),ISBLANK($O$7),ISBLANK($H$8),ISBLANK($O$6),ISBLANK($O$5),ISBLANK($H$5)),"",IFERROR(IF(VLOOKUP(L183,L189:M198,2,FALSE)&lt;1,ROUND(VLOOKUP(L183,L189:M198,2,FALSE),4),ROUND(VLOOKUP(L183,L189:M198,2,FALSE),2)),""))</f>
        <v>2173.6799999999998</v>
      </c>
      <c r="N183" s="69"/>
      <c r="O183" s="27" t="s">
        <v>17</v>
      </c>
      <c r="P183" s="113">
        <f>60.38*36</f>
        <v>2173.6800000000003</v>
      </c>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187">
        <f t="shared" ref="E184" si="498">D183</f>
        <v>9</v>
      </c>
      <c r="F184" s="92"/>
      <c r="G184" s="189" t="s">
        <v>1</v>
      </c>
      <c r="H184" s="192" t="str">
        <f>INDEX('BASE FORMAÇÃO'!C:C,B183+1)</f>
        <v>Planner P1 Sub Per User</v>
      </c>
      <c r="I184" s="192"/>
      <c r="J184" s="193"/>
      <c r="K184" s="66"/>
      <c r="L184" s="184"/>
      <c r="M184" s="186"/>
      <c r="N184" s="70"/>
      <c r="O184" s="27" t="s">
        <v>13</v>
      </c>
      <c r="P184" s="122">
        <v>46118</v>
      </c>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188"/>
      <c r="F185" s="93"/>
      <c r="G185" s="190"/>
      <c r="H185" s="194"/>
      <c r="I185" s="194"/>
      <c r="J185" s="195"/>
      <c r="K185" s="64"/>
      <c r="L185" s="130" t="s">
        <v>44</v>
      </c>
      <c r="M185" s="131">
        <f>INDEX('BASE FORMAÇÃO'!H:H,B187+1)</f>
        <v>13</v>
      </c>
      <c r="N185" s="71"/>
      <c r="O185" s="27" t="s">
        <v>380</v>
      </c>
      <c r="P185" s="114" t="s">
        <v>349</v>
      </c>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191"/>
      <c r="H186" s="196"/>
      <c r="I186" s="196"/>
      <c r="J186" s="197"/>
      <c r="K186" s="64"/>
      <c r="L186" s="1" t="s">
        <v>2</v>
      </c>
      <c r="M186" s="6" t="str">
        <f>INDEX('BASE FORMAÇÃO'!D:D,B187+1)</f>
        <v>Unidade/Mensal</v>
      </c>
      <c r="N186" s="71"/>
      <c r="O186" s="27" t="s">
        <v>381</v>
      </c>
      <c r="P186" s="115" t="s">
        <v>462</v>
      </c>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198">
        <f t="shared" ref="E187" si="502">C183</f>
        <v>1</v>
      </c>
      <c r="F187" s="93"/>
      <c r="G187" s="200" t="s">
        <v>304</v>
      </c>
      <c r="H187" s="202" t="s">
        <v>464</v>
      </c>
      <c r="I187" s="203"/>
      <c r="J187" s="203"/>
      <c r="K187" s="67"/>
      <c r="L187" s="28" t="s">
        <v>303</v>
      </c>
      <c r="M187" s="133">
        <f t="shared" ref="M187" si="503">IFERROR(INDEX(I189:I201,MATCH(MAX(J189:J201),J189:J201,0)),"")</f>
        <v>0</v>
      </c>
      <c r="N187" s="71"/>
      <c r="O187" s="27" t="s">
        <v>18</v>
      </c>
      <c r="P187" s="106">
        <f>IF(P183="","",
IF(OR(P185="Orçamento",P184="",MAX('Tabela de Apoio'!$A:$A)&lt;=P184),
P183,
(INDEX('Tabela de Apoio'!$B:$B,MATCH('MAPA DE PREÇOS'!$O$8,'Tabela de Apoio'!$A:$A,1))/INDEX('Tabela de Apoio'!$B:$B,MATCH('MAPA DE PREÇOS'!P184,'Tabela de Apoio'!$A:$A,1)-1))*P183))</f>
        <v>2173.6800000000003</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199"/>
      <c r="F189" s="93"/>
      <c r="G189" s="201"/>
      <c r="H189" s="134">
        <f t="shared" ref="H189" si="507">COUNT($P189:$XX189)</f>
        <v>1</v>
      </c>
      <c r="I189" s="132">
        <f t="shared" ref="I189" si="508">_xlfn.STDEV.P($P188:$XX189)/AVERAGE($P188:$XX189)</f>
        <v>0</v>
      </c>
      <c r="J189" s="7">
        <f>ROW()</f>
        <v>189</v>
      </c>
      <c r="K189" s="67"/>
      <c r="L189" s="29" t="s">
        <v>10</v>
      </c>
      <c r="M189" s="30">
        <f t="shared" ref="M189" si="509">IFERROR(
IF(COUNTA(P183:AI183)=COUNTIF(P185:XX185,"Orçamento"),MIN(M194,M191),
IF(M192&lt;&gt;"",M192,
IF(M193&lt;&gt;"",M193,
M191
))),"")</f>
        <v>2173.6800000000003</v>
      </c>
      <c r="N189" s="71"/>
      <c r="O189" s="27" t="s">
        <v>376</v>
      </c>
      <c r="P189" s="106">
        <f t="shared" ref="P189:AI189" si="510">IFERROR(IF(P187="",
            "",
            IF(COUNT($P187:$XX187)&lt;=4,
               P187,
               IF(OR(P187&gt;(QUARTILE($P187:$XX187,3)+(QUARTILE($P187:$XX187,3)-QUARTILE($P187:$XX187,1))),
                     P187&lt;(QUARTILE($P187:$XX187,1)-(QUARTILE($P187:$XX187,3)-QUARTILE($P187:$XX187,1)))
                  ),
               "DESCARTADO",P187)
             )
  ),P187)</f>
        <v>2173.6800000000003</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199"/>
      <c r="F190" s="93"/>
      <c r="G190" s="201"/>
      <c r="H190"/>
      <c r="I190"/>
      <c r="J190"/>
      <c r="K190" s="66"/>
      <c r="L190" s="29" t="s">
        <v>360</v>
      </c>
      <c r="M190" s="30">
        <f t="shared" ref="M190" si="513">AVERAGE($P189:$XX189)</f>
        <v>2173.6800000000003</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199"/>
      <c r="F191" s="93"/>
      <c r="G191" s="201"/>
      <c r="H191" s="134">
        <f t="shared" ref="H191" si="515">COUNT($P191:$XX191)</f>
        <v>1</v>
      </c>
      <c r="I191" s="132">
        <f t="shared" ref="I191" si="516">_xlfn.STDEV.P($P190:$XX191)/AVERAGE($P190:$XX191)</f>
        <v>0</v>
      </c>
      <c r="J191" s="7">
        <f t="shared" ref="J191" si="517">IF(AND(H191&gt;2,
OR(L183="MÉDIA SANEADA",L183="MEDIANA SANEADA",
AND(L183="PREÇO ESTIMADO",NOT(AND(P185="Orçamento",COUNTA(P183:XX183)=COUNTIF(P185:XX185,"Orçamento")))))),
ROW(),0)</f>
        <v>0</v>
      </c>
      <c r="K191" s="66"/>
      <c r="L191" s="29" t="s">
        <v>361</v>
      </c>
      <c r="M191" s="30">
        <f t="shared" ref="M191" si="518">MEDIAN($P189:$XX189)</f>
        <v>2173.6800000000003</v>
      </c>
      <c r="N191" s="71"/>
      <c r="O191" s="27" t="str">
        <f t="shared" ref="O191" si="519">"1 RODADA"</f>
        <v>1 RODADA</v>
      </c>
      <c r="P191" s="107">
        <f t="shared" ref="P191:AI191" si="520">IF(P189="","",IF((_xlfn.STDEV.P($P188:$XX189)/AVERAGE($P188:$XX189))&lt;=25%,P189,IF(OR(P189&gt;(AVERAGE($P188:$XX189)+_xlfn.STDEV.P($P188:$XX189)),P189&lt;(AVERAGE($P188:$XX189)-_xlfn.STDEV.P($P188:$XX189))),"DESCARTADO",P189)))</f>
        <v>2173.6800000000003</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199"/>
      <c r="F192" s="93"/>
      <c r="G192" s="201"/>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2173.6800000000003</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199"/>
      <c r="F193" s="93"/>
      <c r="G193" s="201"/>
      <c r="H193" s="134">
        <f t="shared" ref="H193" si="523">COUNT($P193:$XX193)</f>
        <v>1</v>
      </c>
      <c r="I193" s="132">
        <f t="shared" ref="I193" si="524">_xlfn.STDEV.P($P192:$XX193)/AVERAGE($P192:$XX193)</f>
        <v>0</v>
      </c>
      <c r="J193" s="7">
        <f t="shared" ref="J193" si="525">IF(AND(H193&gt;2,
OR(L183="MÉDIA SANEADA",L183="MEDIANA SANEADA",
AND(L183="PREÇO ESTIMADO",NOT(AND(P185="Orçamento",COUNTA(P183:XX183)=COUNTIF(P185:XX185,"Orçamento")))))),
ROW(),0)</f>
        <v>0</v>
      </c>
      <c r="K193" s="66"/>
      <c r="L193" s="29" t="s">
        <v>362</v>
      </c>
      <c r="M193" s="30">
        <f t="shared" ref="M193" si="526" xml:space="preserve">
IF(H191&gt;2,MEDIAN(P190:XX191),
IF(H193&gt;2,MEDIAN(P192:XX193),
IF(H195&gt;2,MEDIAN(P194:XX195),
IF(H197&gt;2,MEDIAN(P196:XX197),
IF(H199&gt;2,MEDIAN(P198:XX199),
IF(H201&gt;2,MEDIAN(P200:XX201),
MEDIAN(P188:XX189)))))))</f>
        <v>2173.6800000000003</v>
      </c>
      <c r="N193" s="71"/>
      <c r="O193" s="27" t="str">
        <f t="shared" ref="O193" si="527">"2 RODADA"</f>
        <v>2 RODADA</v>
      </c>
      <c r="P193" s="107">
        <f t="shared" ref="P193:AI193" si="528">IF(P191="","",IF((_xlfn.STDEV.P($P190:$XX191)/AVERAGE($P190:$XX191))&lt;=25%,P191,IF(OR(P191&gt;(AVERAGE($P190:$XX191)+_xlfn.STDEV.P($P190:$XX191)),P191&lt;(AVERAGE($P190:$XX191)-_xlfn.STDEV.P($P190:$XX191))),"DESCARTADO",P191)))</f>
        <v>2173.6800000000003</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199"/>
      <c r="F194" s="93"/>
      <c r="G194" s="201"/>
      <c r="H194"/>
      <c r="I194"/>
      <c r="J194"/>
      <c r="K194" s="66"/>
      <c r="L194" s="29" t="s">
        <v>359</v>
      </c>
      <c r="M194" s="30">
        <f t="shared" ref="M194" si="529">HARMEAN($P188:$XX189)</f>
        <v>2173.6800000000003</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199"/>
      <c r="F195" s="93"/>
      <c r="G195" s="201"/>
      <c r="H195" s="134">
        <f t="shared" ref="H195" si="531">COUNT($P195:$XX195)</f>
        <v>1</v>
      </c>
      <c r="I195" s="132">
        <f t="shared" ref="I195" si="532">_xlfn.STDEV.P($P194:$XX195)/AVERAGE($P194:$XX195)</f>
        <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f t="shared" ref="P195:AI195" si="536">IF(P193="","",IF((_xlfn.STDEV.P($P192:$XX193)/AVERAGE($P192:$XX193))&lt;=25%,P193,IF(OR(P193&gt;(AVERAGE($P192:$XX193)+_xlfn.STDEV.P($P192:$XX193)),P193&lt;(AVERAGE($P192:$XX193)-_xlfn.STDEV.P($P192:$XX193))),"DESCARTADO",P193)))</f>
        <v>2173.6800000000003</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199"/>
      <c r="F196" s="93"/>
      <c r="G196" s="201"/>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199"/>
      <c r="F197" s="93"/>
      <c r="G197" s="201"/>
      <c r="H197" s="134">
        <f t="shared" ref="H197" si="539">COUNT($P197:$XX197)</f>
        <v>1</v>
      </c>
      <c r="I197" s="132">
        <f t="shared" ref="I197" si="540">_xlfn.STDEV.P($P196:$XX197)/AVERAGE($P196:$XX197)</f>
        <v>0</v>
      </c>
      <c r="J197" s="7">
        <f t="shared" ref="J197" si="541">IF(AND(H197&gt;2,
OR(L183="MÉDIA SANEADA",L183="MEDIANA SANEADA",
AND(L183="PREÇO ESTIMADO",NOT(AND(P185="Orçamento",COUNTA(P183:XX183)=COUNTIF(P185:XX185,"Orçamento")))))),
ROW(),0)</f>
        <v>0</v>
      </c>
      <c r="K197" s="66"/>
      <c r="L197" s="29" t="s">
        <v>42</v>
      </c>
      <c r="M197" s="30">
        <f t="shared" ref="M197" si="542">MIN($P189:$XX189)</f>
        <v>2173.6800000000003</v>
      </c>
      <c r="N197" s="71"/>
      <c r="O197" s="27" t="str">
        <f t="shared" ref="O197" si="543">"4 RODADA"</f>
        <v>4 RODADA</v>
      </c>
      <c r="P197" s="107">
        <f t="shared" ref="P197:AI197" si="544">IF(P195="","",IF((_xlfn.STDEV.P($P194:$XX195)/AVERAGE($P194:$XX195))&lt;=25%,P195,IF(OR(P195&gt;(AVERAGE($P194:$XX195)+_xlfn.STDEV.P($P194:$XX195)),P195&lt;(AVERAGE($P194:$XX195)-_xlfn.STDEV.P($P194:$XX195))),"DESCARTADO",P195)))</f>
        <v>2173.6800000000003</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199"/>
      <c r="F198" s="93"/>
      <c r="G198" s="201"/>
      <c r="H198"/>
      <c r="I198"/>
      <c r="J198"/>
      <c r="K198" s="66"/>
      <c r="L198" s="29" t="s">
        <v>40</v>
      </c>
      <c r="M198" s="30">
        <f t="shared" ref="M198" si="545">MAX($P189:$XX189)</f>
        <v>2173.6800000000003</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199"/>
      <c r="F199" s="93"/>
      <c r="G199" s="201"/>
      <c r="H199" s="134">
        <f t="shared" ref="H199" si="547">COUNT($P199:$XX199)</f>
        <v>1</v>
      </c>
      <c r="I199" s="132">
        <f t="shared" ref="I199" si="548">_xlfn.STDEV.P($P198:$XX199)/AVERAGE($P198:$XX199)</f>
        <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2173.6800000000003</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199"/>
      <c r="F201" s="93"/>
      <c r="G201" s="201"/>
      <c r="H201" s="134">
        <f t="shared" ref="H201" si="553">COUNT($P201:$XX201)</f>
        <v>1</v>
      </c>
      <c r="I201" s="132">
        <f t="shared" ref="I201" si="554">_xlfn.STDEV.P($P200:$XX201)/AVERAGE($P200:$XX201)</f>
        <v>0</v>
      </c>
      <c r="J201" s="7">
        <f t="shared" ref="J201" si="555">IF(AND(H201&gt;2,
OR(L183="MÉDIA SANEADA",L183="MEDIANA SANEADA",
AND(L183="PREÇO ESTIMADO",NOT(AND(P185="Orçamento",COUNTA(P183:XX183)=COUNTIF(P185:XX185,"Orçamento")))))),
ROW(),0)</f>
        <v>0</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2173.6800000000003</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199"/>
      <c r="F202" s="136"/>
      <c r="G202" s="201"/>
      <c r="H202" s="204"/>
      <c r="I202" s="204"/>
      <c r="J202" s="205"/>
      <c r="K202" s="67"/>
      <c r="L202" s="1" t="s">
        <v>43</v>
      </c>
      <c r="M202" s="143">
        <f t="shared" ref="M202" si="558">IFERROR(ROUND(M183*M185,2),"")</f>
        <v>28257.84</v>
      </c>
      <c r="O202" s="27" t="s">
        <v>363</v>
      </c>
      <c r="P202" s="107">
        <f t="shared" ref="P202:R202" si="559">INDEX(P189:P201,MATCH(MAX($J189:$J201),$J189:$J201,0))</f>
        <v>2173.6800000000003</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3" t="s">
        <v>10</v>
      </c>
      <c r="M204" s="185"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7">
        <f t="shared" ref="E205" si="564">D204</f>
        <v>1</v>
      </c>
      <c r="F205" s="92"/>
      <c r="G205" s="189" t="s">
        <v>1</v>
      </c>
      <c r="H205" s="192" t="e">
        <f>INDEX('BASE FORMAÇÃO'!C:C,B204+1)</f>
        <v>#VALUE!</v>
      </c>
      <c r="I205" s="192"/>
      <c r="J205" s="193"/>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8"/>
      <c r="F206" s="93"/>
      <c r="G206" s="190"/>
      <c r="H206" s="194"/>
      <c r="I206" s="194"/>
      <c r="J206" s="195"/>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1"/>
      <c r="H207" s="196"/>
      <c r="I207" s="196"/>
      <c r="J207" s="197"/>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8" t="e">
        <f t="shared" ref="E208" si="568">C204</f>
        <v>#VALUE!</v>
      </c>
      <c r="F208" s="93"/>
      <c r="G208" s="200" t="s">
        <v>304</v>
      </c>
      <c r="H208" s="202"/>
      <c r="I208" s="203"/>
      <c r="J208" s="203"/>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9"/>
      <c r="F210" s="93"/>
      <c r="G210" s="201"/>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9"/>
      <c r="F211" s="93"/>
      <c r="G211" s="201"/>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9"/>
      <c r="F212" s="93"/>
      <c r="G212" s="201"/>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9"/>
      <c r="F214" s="93"/>
      <c r="G214" s="201"/>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9"/>
      <c r="F215" s="93"/>
      <c r="G215" s="201"/>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9"/>
      <c r="F216" s="93"/>
      <c r="G216" s="201"/>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9"/>
      <c r="F217" s="93"/>
      <c r="G217" s="201"/>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9"/>
      <c r="F218" s="93"/>
      <c r="G218" s="201"/>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9"/>
      <c r="F219" s="93"/>
      <c r="G219" s="201"/>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9"/>
      <c r="F220" s="93"/>
      <c r="G220" s="201"/>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9"/>
      <c r="F222" s="93"/>
      <c r="G222" s="201"/>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9"/>
      <c r="F223" s="136"/>
      <c r="G223" s="201"/>
      <c r="H223" s="204"/>
      <c r="I223" s="204"/>
      <c r="J223" s="205"/>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3" t="s">
        <v>10</v>
      </c>
      <c r="M225" s="185"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7">
        <f t="shared" ref="E226" si="630">D225</f>
        <v>1</v>
      </c>
      <c r="F226" s="92"/>
      <c r="G226" s="189" t="s">
        <v>1</v>
      </c>
      <c r="H226" s="192" t="e">
        <f>INDEX('BASE FORMAÇÃO'!C:C,B225+1)</f>
        <v>#VALUE!</v>
      </c>
      <c r="I226" s="192"/>
      <c r="J226" s="193"/>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8"/>
      <c r="F227" s="93"/>
      <c r="G227" s="190"/>
      <c r="H227" s="194"/>
      <c r="I227" s="194"/>
      <c r="J227" s="195"/>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1"/>
      <c r="H228" s="196"/>
      <c r="I228" s="196"/>
      <c r="J228" s="197"/>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8" t="e">
        <f t="shared" ref="E229" si="634">C225</f>
        <v>#VALUE!</v>
      </c>
      <c r="F229" s="93"/>
      <c r="G229" s="200" t="s">
        <v>304</v>
      </c>
      <c r="H229" s="202"/>
      <c r="I229" s="203"/>
      <c r="J229" s="203"/>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9"/>
      <c r="F231" s="93"/>
      <c r="G231" s="201"/>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9"/>
      <c r="F232" s="93"/>
      <c r="G232" s="201"/>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9"/>
      <c r="F233" s="93"/>
      <c r="G233" s="201"/>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9"/>
      <c r="F235" s="93"/>
      <c r="G235" s="201"/>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9"/>
      <c r="F236" s="93"/>
      <c r="G236" s="201"/>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9"/>
      <c r="F237" s="93"/>
      <c r="G237" s="201"/>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9"/>
      <c r="F238" s="93"/>
      <c r="G238" s="201"/>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9"/>
      <c r="F239" s="93"/>
      <c r="G239" s="201"/>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9"/>
      <c r="F240" s="93"/>
      <c r="G240" s="201"/>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9"/>
      <c r="F241" s="93"/>
      <c r="G241" s="201"/>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9"/>
      <c r="F243" s="93"/>
      <c r="G243" s="201"/>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9"/>
      <c r="F244" s="136"/>
      <c r="G244" s="201"/>
      <c r="H244" s="204"/>
      <c r="I244" s="204"/>
      <c r="J244" s="205"/>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3" t="s">
        <v>10</v>
      </c>
      <c r="M246" s="185"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7">
        <f t="shared" ref="E247" si="696">D246</f>
        <v>1</v>
      </c>
      <c r="F247" s="92"/>
      <c r="G247" s="189" t="s">
        <v>1</v>
      </c>
      <c r="H247" s="192" t="e">
        <f>INDEX('BASE FORMAÇÃO'!C:C,B246+1)</f>
        <v>#VALUE!</v>
      </c>
      <c r="I247" s="192"/>
      <c r="J247" s="193"/>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8"/>
      <c r="F248" s="93"/>
      <c r="G248" s="190"/>
      <c r="H248" s="194"/>
      <c r="I248" s="194"/>
      <c r="J248" s="195"/>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1"/>
      <c r="H249" s="196"/>
      <c r="I249" s="196"/>
      <c r="J249" s="197"/>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8" t="e">
        <f t="shared" ref="E250" si="700">C246</f>
        <v>#VALUE!</v>
      </c>
      <c r="F250" s="93"/>
      <c r="G250" s="200" t="s">
        <v>304</v>
      </c>
      <c r="H250" s="202"/>
      <c r="I250" s="203"/>
      <c r="J250" s="203"/>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9"/>
      <c r="F252" s="93"/>
      <c r="G252" s="201"/>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9"/>
      <c r="F253" s="93"/>
      <c r="G253" s="201"/>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9"/>
      <c r="F254" s="93"/>
      <c r="G254" s="201"/>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9"/>
      <c r="F255" s="93"/>
      <c r="G255" s="201"/>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9"/>
      <c r="F256" s="93"/>
      <c r="G256" s="201"/>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9"/>
      <c r="F257" s="93"/>
      <c r="G257" s="201"/>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9"/>
      <c r="F258" s="93"/>
      <c r="G258" s="201"/>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9"/>
      <c r="F259" s="93"/>
      <c r="G259" s="201"/>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9"/>
      <c r="F260" s="93"/>
      <c r="G260" s="201"/>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9"/>
      <c r="F261" s="93"/>
      <c r="G261" s="201"/>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9"/>
      <c r="F262" s="93"/>
      <c r="G262" s="201"/>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9"/>
      <c r="F264" s="93"/>
      <c r="G264" s="201"/>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9"/>
      <c r="F265" s="136"/>
      <c r="G265" s="201"/>
      <c r="H265" s="204"/>
      <c r="I265" s="204"/>
      <c r="J265" s="205"/>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3" t="s">
        <v>10</v>
      </c>
      <c r="M267" s="185"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7">
        <f t="shared" ref="E268" si="762">D267</f>
        <v>1</v>
      </c>
      <c r="F268" s="92"/>
      <c r="G268" s="189" t="s">
        <v>1</v>
      </c>
      <c r="H268" s="192" t="e">
        <f>INDEX('BASE FORMAÇÃO'!C:C,B267+1)</f>
        <v>#VALUE!</v>
      </c>
      <c r="I268" s="192"/>
      <c r="J268" s="193"/>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8"/>
      <c r="F269" s="93"/>
      <c r="G269" s="190"/>
      <c r="H269" s="194"/>
      <c r="I269" s="194"/>
      <c r="J269" s="195"/>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1"/>
      <c r="H270" s="196"/>
      <c r="I270" s="196"/>
      <c r="J270" s="197"/>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8" t="e">
        <f t="shared" ref="E271" si="766">C267</f>
        <v>#VALUE!</v>
      </c>
      <c r="F271" s="93"/>
      <c r="G271" s="200" t="s">
        <v>304</v>
      </c>
      <c r="H271" s="202"/>
      <c r="I271" s="203"/>
      <c r="J271" s="203"/>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9"/>
      <c r="F272" s="93"/>
      <c r="G272" s="201"/>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9"/>
      <c r="F273" s="93"/>
      <c r="G273" s="201"/>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9"/>
      <c r="F274" s="93"/>
      <c r="G274" s="201"/>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9"/>
      <c r="F275" s="93"/>
      <c r="G275" s="201"/>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9"/>
      <c r="F276" s="93"/>
      <c r="G276" s="201"/>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9"/>
      <c r="F277" s="93"/>
      <c r="G277" s="201"/>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9"/>
      <c r="F278" s="93"/>
      <c r="G278" s="201"/>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9"/>
      <c r="F279" s="93"/>
      <c r="G279" s="201"/>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9"/>
      <c r="F280" s="93"/>
      <c r="G280" s="201"/>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9"/>
      <c r="F281" s="93"/>
      <c r="G281" s="201"/>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9"/>
      <c r="F282" s="93"/>
      <c r="G282" s="201"/>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9"/>
      <c r="F283" s="93"/>
      <c r="G283" s="201"/>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9"/>
      <c r="F285" s="93"/>
      <c r="G285" s="201"/>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9"/>
      <c r="F286" s="136"/>
      <c r="G286" s="201"/>
      <c r="H286" s="204"/>
      <c r="I286" s="204"/>
      <c r="J286" s="205"/>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3" t="s">
        <v>10</v>
      </c>
      <c r="M288" s="185"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7">
        <f t="shared" ref="E289" si="828">D288</f>
        <v>1</v>
      </c>
      <c r="F289" s="92"/>
      <c r="G289" s="189" t="s">
        <v>1</v>
      </c>
      <c r="H289" s="192" t="e">
        <f>INDEX('BASE FORMAÇÃO'!C:C,B288+1)</f>
        <v>#VALUE!</v>
      </c>
      <c r="I289" s="192"/>
      <c r="J289" s="193"/>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8"/>
      <c r="F290" s="93"/>
      <c r="G290" s="190"/>
      <c r="H290" s="194"/>
      <c r="I290" s="194"/>
      <c r="J290" s="195"/>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1"/>
      <c r="H291" s="196"/>
      <c r="I291" s="196"/>
      <c r="J291" s="197"/>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8" t="e">
        <f t="shared" ref="E292" si="832">C288</f>
        <v>#VALUE!</v>
      </c>
      <c r="F292" s="93"/>
      <c r="G292" s="200" t="s">
        <v>304</v>
      </c>
      <c r="H292" s="202"/>
      <c r="I292" s="203"/>
      <c r="J292" s="203"/>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9"/>
      <c r="F293" s="93"/>
      <c r="G293" s="201"/>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9"/>
      <c r="F294" s="93"/>
      <c r="G294" s="201"/>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9"/>
      <c r="F295" s="93"/>
      <c r="G295" s="201"/>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9"/>
      <c r="F296" s="93"/>
      <c r="G296" s="201"/>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9"/>
      <c r="F297" s="93"/>
      <c r="G297" s="201"/>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9"/>
      <c r="F298" s="93"/>
      <c r="G298" s="201"/>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9"/>
      <c r="F299" s="93"/>
      <c r="G299" s="201"/>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9"/>
      <c r="F300" s="93"/>
      <c r="G300" s="201"/>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9"/>
      <c r="F301" s="93"/>
      <c r="G301" s="201"/>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9"/>
      <c r="F302" s="93"/>
      <c r="G302" s="201"/>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9"/>
      <c r="F303" s="93"/>
      <c r="G303" s="201"/>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9"/>
      <c r="F304" s="93"/>
      <c r="G304" s="201"/>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9"/>
      <c r="F306" s="93"/>
      <c r="G306" s="201"/>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9"/>
      <c r="F307" s="136"/>
      <c r="G307" s="201"/>
      <c r="H307" s="204"/>
      <c r="I307" s="204"/>
      <c r="J307" s="205"/>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3" t="s">
        <v>10</v>
      </c>
      <c r="M309" s="185"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7">
        <f t="shared" ref="E310" si="894">D309</f>
        <v>1</v>
      </c>
      <c r="F310" s="92"/>
      <c r="G310" s="189" t="s">
        <v>1</v>
      </c>
      <c r="H310" s="192" t="e">
        <f>INDEX('BASE FORMAÇÃO'!C:C,B309+1)</f>
        <v>#VALUE!</v>
      </c>
      <c r="I310" s="192"/>
      <c r="J310" s="193"/>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8"/>
      <c r="F311" s="93"/>
      <c r="G311" s="190"/>
      <c r="H311" s="194"/>
      <c r="I311" s="194"/>
      <c r="J311" s="195"/>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1"/>
      <c r="H312" s="196"/>
      <c r="I312" s="196"/>
      <c r="J312" s="197"/>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8" t="e">
        <f t="shared" ref="E313" si="898">C309</f>
        <v>#VALUE!</v>
      </c>
      <c r="F313" s="93"/>
      <c r="G313" s="200" t="s">
        <v>304</v>
      </c>
      <c r="H313" s="202"/>
      <c r="I313" s="203"/>
      <c r="J313" s="203"/>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9"/>
      <c r="F314" s="93"/>
      <c r="G314" s="201"/>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9"/>
      <c r="F315" s="93"/>
      <c r="G315" s="201"/>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9"/>
      <c r="F316" s="93"/>
      <c r="G316" s="201"/>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9"/>
      <c r="F317" s="93"/>
      <c r="G317" s="201"/>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9"/>
      <c r="F318" s="93"/>
      <c r="G318" s="201"/>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9"/>
      <c r="F319" s="93"/>
      <c r="G319" s="201"/>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9"/>
      <c r="F320" s="93"/>
      <c r="G320" s="201"/>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9"/>
      <c r="F321" s="93"/>
      <c r="G321" s="201"/>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9"/>
      <c r="F322" s="93"/>
      <c r="G322" s="201"/>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9"/>
      <c r="F323" s="93"/>
      <c r="G323" s="201"/>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9"/>
      <c r="F324" s="93"/>
      <c r="G324" s="201"/>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9"/>
      <c r="F325" s="93"/>
      <c r="G325" s="201"/>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9"/>
      <c r="F327" s="93"/>
      <c r="G327" s="201"/>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9"/>
      <c r="F328" s="136"/>
      <c r="G328" s="201"/>
      <c r="H328" s="204"/>
      <c r="I328" s="204"/>
      <c r="J328" s="205"/>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3" t="s">
        <v>10</v>
      </c>
      <c r="M330" s="185"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7">
        <f t="shared" ref="E331" si="960">D330</f>
        <v>1</v>
      </c>
      <c r="F331" s="92"/>
      <c r="G331" s="189" t="s">
        <v>1</v>
      </c>
      <c r="H331" s="192" t="e">
        <f>INDEX('BASE FORMAÇÃO'!C:C,B330+1)</f>
        <v>#VALUE!</v>
      </c>
      <c r="I331" s="192"/>
      <c r="J331" s="193"/>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8"/>
      <c r="F332" s="93"/>
      <c r="G332" s="190"/>
      <c r="H332" s="194"/>
      <c r="I332" s="194"/>
      <c r="J332" s="195"/>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1"/>
      <c r="H333" s="196"/>
      <c r="I333" s="196"/>
      <c r="J333" s="197"/>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8" t="e">
        <f t="shared" ref="E334" si="964">C330</f>
        <v>#VALUE!</v>
      </c>
      <c r="F334" s="93"/>
      <c r="G334" s="200" t="s">
        <v>304</v>
      </c>
      <c r="H334" s="202"/>
      <c r="I334" s="203"/>
      <c r="J334" s="203"/>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9"/>
      <c r="F336" s="93"/>
      <c r="G336" s="201"/>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9"/>
      <c r="F337" s="93"/>
      <c r="G337" s="201"/>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9"/>
      <c r="F338" s="93"/>
      <c r="G338" s="201"/>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9"/>
      <c r="F339" s="93"/>
      <c r="G339" s="201"/>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9"/>
      <c r="F340" s="93"/>
      <c r="G340" s="201"/>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9"/>
      <c r="F341" s="93"/>
      <c r="G341" s="201"/>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9"/>
      <c r="F342" s="93"/>
      <c r="G342" s="201"/>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9"/>
      <c r="F343" s="93"/>
      <c r="G343" s="201"/>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9"/>
      <c r="F344" s="93"/>
      <c r="G344" s="201"/>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9"/>
      <c r="F345" s="93"/>
      <c r="G345" s="201"/>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9"/>
      <c r="F346" s="93"/>
      <c r="G346" s="201"/>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9"/>
      <c r="F348" s="93"/>
      <c r="G348" s="201"/>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9"/>
      <c r="F349" s="136"/>
      <c r="G349" s="201"/>
      <c r="H349" s="204"/>
      <c r="I349" s="204"/>
      <c r="J349" s="205"/>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3" t="s">
        <v>10</v>
      </c>
      <c r="M351" s="185"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7">
        <f t="shared" ref="E352" si="1026">D351</f>
        <v>1</v>
      </c>
      <c r="F352" s="92"/>
      <c r="G352" s="189" t="s">
        <v>1</v>
      </c>
      <c r="H352" s="192" t="e">
        <f>INDEX('BASE FORMAÇÃO'!C:C,B351+1)</f>
        <v>#VALUE!</v>
      </c>
      <c r="I352" s="192"/>
      <c r="J352" s="193"/>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8"/>
      <c r="F353" s="93"/>
      <c r="G353" s="190"/>
      <c r="H353" s="194"/>
      <c r="I353" s="194"/>
      <c r="J353" s="195"/>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1"/>
      <c r="H354" s="196"/>
      <c r="I354" s="196"/>
      <c r="J354" s="197"/>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8" t="e">
        <f t="shared" ref="E355" si="1030">C351</f>
        <v>#VALUE!</v>
      </c>
      <c r="F355" s="93"/>
      <c r="G355" s="200" t="s">
        <v>304</v>
      </c>
      <c r="H355" s="202"/>
      <c r="I355" s="203"/>
      <c r="J355" s="203"/>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9"/>
      <c r="F356" s="93"/>
      <c r="G356" s="201"/>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9"/>
      <c r="F357" s="93"/>
      <c r="G357" s="201"/>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9"/>
      <c r="F358" s="93"/>
      <c r="G358" s="201"/>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9"/>
      <c r="F359" s="93"/>
      <c r="G359" s="201"/>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9"/>
      <c r="F360" s="93"/>
      <c r="G360" s="201"/>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9"/>
      <c r="F361" s="93"/>
      <c r="G361" s="201"/>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9"/>
      <c r="F362" s="93"/>
      <c r="G362" s="201"/>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9"/>
      <c r="F363" s="93"/>
      <c r="G363" s="201"/>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9"/>
      <c r="F364" s="93"/>
      <c r="G364" s="201"/>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9"/>
      <c r="F365" s="93"/>
      <c r="G365" s="201"/>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9"/>
      <c r="F366" s="93"/>
      <c r="G366" s="201"/>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9"/>
      <c r="F367" s="93"/>
      <c r="G367" s="201"/>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9"/>
      <c r="F369" s="93"/>
      <c r="G369" s="201"/>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9"/>
      <c r="F370" s="136"/>
      <c r="G370" s="201"/>
      <c r="H370" s="204"/>
      <c r="I370" s="204"/>
      <c r="J370" s="205"/>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3" t="s">
        <v>10</v>
      </c>
      <c r="M372" s="185"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7">
        <f t="shared" ref="E373" si="1092">D372</f>
        <v>1</v>
      </c>
      <c r="F373" s="92"/>
      <c r="G373" s="189" t="s">
        <v>1</v>
      </c>
      <c r="H373" s="192" t="e">
        <f>INDEX('BASE FORMAÇÃO'!C:C,B372+1)</f>
        <v>#VALUE!</v>
      </c>
      <c r="I373" s="192"/>
      <c r="J373" s="193"/>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8"/>
      <c r="F374" s="93"/>
      <c r="G374" s="190"/>
      <c r="H374" s="194"/>
      <c r="I374" s="194"/>
      <c r="J374" s="195"/>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1"/>
      <c r="H375" s="196"/>
      <c r="I375" s="196"/>
      <c r="J375" s="197"/>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8" t="e">
        <f t="shared" ref="E376" si="1096">C372</f>
        <v>#VALUE!</v>
      </c>
      <c r="F376" s="93"/>
      <c r="G376" s="200" t="s">
        <v>304</v>
      </c>
      <c r="H376" s="202"/>
      <c r="I376" s="203"/>
      <c r="J376" s="203"/>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9"/>
      <c r="F377" s="93"/>
      <c r="G377" s="201"/>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9"/>
      <c r="F378" s="93"/>
      <c r="G378" s="201"/>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9"/>
      <c r="F379" s="93"/>
      <c r="G379" s="201"/>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9"/>
      <c r="F380" s="93"/>
      <c r="G380" s="201"/>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9"/>
      <c r="F381" s="93"/>
      <c r="G381" s="201"/>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9"/>
      <c r="F382" s="93"/>
      <c r="G382" s="201"/>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9"/>
      <c r="F383" s="93"/>
      <c r="G383" s="201"/>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9"/>
      <c r="F384" s="93"/>
      <c r="G384" s="201"/>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9"/>
      <c r="F385" s="93"/>
      <c r="G385" s="201"/>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9"/>
      <c r="F386" s="93"/>
      <c r="G386" s="201"/>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9"/>
      <c r="F387" s="93"/>
      <c r="G387" s="201"/>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9"/>
      <c r="F388" s="93"/>
      <c r="G388" s="201"/>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9"/>
      <c r="F390" s="93"/>
      <c r="G390" s="201"/>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9"/>
      <c r="F391" s="136"/>
      <c r="G391" s="201"/>
      <c r="H391" s="204"/>
      <c r="I391" s="204"/>
      <c r="J391" s="205"/>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3" t="s">
        <v>10</v>
      </c>
      <c r="M393" s="185"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7">
        <f t="shared" ref="E394" si="1158">D393</f>
        <v>1</v>
      </c>
      <c r="F394" s="92"/>
      <c r="G394" s="189" t="s">
        <v>1</v>
      </c>
      <c r="H394" s="192" t="e">
        <f>INDEX('BASE FORMAÇÃO'!C:C,B393+1)</f>
        <v>#VALUE!</v>
      </c>
      <c r="I394" s="192"/>
      <c r="J394" s="193"/>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8"/>
      <c r="F395" s="93"/>
      <c r="G395" s="190"/>
      <c r="H395" s="194"/>
      <c r="I395" s="194"/>
      <c r="J395" s="195"/>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1"/>
      <c r="H396" s="196"/>
      <c r="I396" s="196"/>
      <c r="J396" s="197"/>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8" t="e">
        <f t="shared" ref="E397" si="1162">C393</f>
        <v>#VALUE!</v>
      </c>
      <c r="F397" s="93"/>
      <c r="G397" s="200" t="s">
        <v>304</v>
      </c>
      <c r="H397" s="202"/>
      <c r="I397" s="203"/>
      <c r="J397" s="203"/>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9"/>
      <c r="F399" s="93"/>
      <c r="G399" s="201"/>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9"/>
      <c r="F400" s="93"/>
      <c r="G400" s="201"/>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9"/>
      <c r="F401" s="93"/>
      <c r="G401" s="201"/>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9"/>
      <c r="F403" s="93"/>
      <c r="G403" s="201"/>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9"/>
      <c r="F404" s="93"/>
      <c r="G404" s="201"/>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9"/>
      <c r="F405" s="93"/>
      <c r="G405" s="201"/>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9"/>
      <c r="F406" s="93"/>
      <c r="G406" s="201"/>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9"/>
      <c r="F407" s="93"/>
      <c r="G407" s="201"/>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9"/>
      <c r="F408" s="93"/>
      <c r="G408" s="201"/>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9"/>
      <c r="F409" s="93"/>
      <c r="G409" s="201"/>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9"/>
      <c r="F411" s="93"/>
      <c r="G411" s="201"/>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9"/>
      <c r="F412" s="136"/>
      <c r="G412" s="201"/>
      <c r="H412" s="204"/>
      <c r="I412" s="204"/>
      <c r="J412" s="205"/>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3" t="s">
        <v>10</v>
      </c>
      <c r="M414" s="185"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7">
        <f t="shared" ref="E415" si="1224">D414</f>
        <v>1</v>
      </c>
      <c r="F415" s="92"/>
      <c r="G415" s="189" t="s">
        <v>1</v>
      </c>
      <c r="H415" s="192" t="e">
        <f>INDEX('BASE FORMAÇÃO'!C:C,B414+1)</f>
        <v>#VALUE!</v>
      </c>
      <c r="I415" s="192"/>
      <c r="J415" s="193"/>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8"/>
      <c r="F416" s="93"/>
      <c r="G416" s="190"/>
      <c r="H416" s="194"/>
      <c r="I416" s="194"/>
      <c r="J416" s="195"/>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1"/>
      <c r="H417" s="196"/>
      <c r="I417" s="196"/>
      <c r="J417" s="197"/>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8" t="e">
        <f t="shared" ref="E418" si="1228">C414</f>
        <v>#VALUE!</v>
      </c>
      <c r="F418" s="93"/>
      <c r="G418" s="200" t="s">
        <v>304</v>
      </c>
      <c r="H418" s="202"/>
      <c r="I418" s="203"/>
      <c r="J418" s="203"/>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9"/>
      <c r="F419" s="93"/>
      <c r="G419" s="201"/>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9"/>
      <c r="F420" s="93"/>
      <c r="G420" s="201"/>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9"/>
      <c r="F421" s="93"/>
      <c r="G421" s="201"/>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9"/>
      <c r="F422" s="93"/>
      <c r="G422" s="201"/>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9"/>
      <c r="F424" s="93"/>
      <c r="G424" s="201"/>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9"/>
      <c r="F425" s="93"/>
      <c r="G425" s="201"/>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9"/>
      <c r="F426" s="93"/>
      <c r="G426" s="201"/>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9"/>
      <c r="F427" s="93"/>
      <c r="G427" s="201"/>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9"/>
      <c r="F428" s="93"/>
      <c r="G428" s="201"/>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9"/>
      <c r="F429" s="93"/>
      <c r="G429" s="201"/>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9"/>
      <c r="F430" s="93"/>
      <c r="G430" s="201"/>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9"/>
      <c r="F432" s="93"/>
      <c r="G432" s="201"/>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9"/>
      <c r="F433" s="136"/>
      <c r="G433" s="201"/>
      <c r="H433" s="204"/>
      <c r="I433" s="204"/>
      <c r="J433" s="205"/>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3" t="s">
        <v>10</v>
      </c>
      <c r="M435" s="185"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7">
        <f t="shared" ref="E436" si="1290">D435</f>
        <v>1</v>
      </c>
      <c r="F436" s="92"/>
      <c r="G436" s="189" t="s">
        <v>1</v>
      </c>
      <c r="H436" s="192" t="e">
        <f>INDEX('BASE FORMAÇÃO'!C:C,B435+1)</f>
        <v>#VALUE!</v>
      </c>
      <c r="I436" s="192"/>
      <c r="J436" s="193"/>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8"/>
      <c r="F437" s="93"/>
      <c r="G437" s="190"/>
      <c r="H437" s="194"/>
      <c r="I437" s="194"/>
      <c r="J437" s="195"/>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1"/>
      <c r="H438" s="196"/>
      <c r="I438" s="196"/>
      <c r="J438" s="197"/>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8" t="e">
        <f t="shared" ref="E439" si="1294">C435</f>
        <v>#VALUE!</v>
      </c>
      <c r="F439" s="93"/>
      <c r="G439" s="200" t="s">
        <v>304</v>
      </c>
      <c r="H439" s="202"/>
      <c r="I439" s="203"/>
      <c r="J439" s="203"/>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9"/>
      <c r="F440" s="93"/>
      <c r="G440" s="201"/>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9"/>
      <c r="F441" s="93"/>
      <c r="G441" s="201"/>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9"/>
      <c r="F442" s="93"/>
      <c r="G442" s="201"/>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9"/>
      <c r="F443" s="93"/>
      <c r="G443" s="201"/>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9"/>
      <c r="F445" s="93"/>
      <c r="G445" s="201"/>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9"/>
      <c r="F446" s="93"/>
      <c r="G446" s="201"/>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9"/>
      <c r="F447" s="93"/>
      <c r="G447" s="201"/>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9"/>
      <c r="F448" s="93"/>
      <c r="G448" s="201"/>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9"/>
      <c r="F449" s="93"/>
      <c r="G449" s="201"/>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9"/>
      <c r="F450" s="93"/>
      <c r="G450" s="201"/>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9"/>
      <c r="F451" s="93"/>
      <c r="G451" s="201"/>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9"/>
      <c r="F453" s="93"/>
      <c r="G453" s="201"/>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9"/>
      <c r="F454" s="136"/>
      <c r="G454" s="201"/>
      <c r="H454" s="204"/>
      <c r="I454" s="204"/>
      <c r="J454" s="205"/>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3" t="s">
        <v>10</v>
      </c>
      <c r="M456" s="185"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7">
        <f t="shared" ref="E457" si="1356">D456</f>
        <v>1</v>
      </c>
      <c r="F457" s="92"/>
      <c r="G457" s="189" t="s">
        <v>1</v>
      </c>
      <c r="H457" s="192" t="e">
        <f>INDEX('BASE FORMAÇÃO'!C:C,B456+1)</f>
        <v>#VALUE!</v>
      </c>
      <c r="I457" s="192"/>
      <c r="J457" s="193"/>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8"/>
      <c r="F458" s="93"/>
      <c r="G458" s="190"/>
      <c r="H458" s="194"/>
      <c r="I458" s="194"/>
      <c r="J458" s="195"/>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1"/>
      <c r="H459" s="196"/>
      <c r="I459" s="196"/>
      <c r="J459" s="197"/>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8" t="e">
        <f t="shared" ref="E460" si="1360">C456</f>
        <v>#VALUE!</v>
      </c>
      <c r="F460" s="93"/>
      <c r="G460" s="200" t="s">
        <v>304</v>
      </c>
      <c r="H460" s="202"/>
      <c r="I460" s="203"/>
      <c r="J460" s="203"/>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9"/>
      <c r="F461" s="93"/>
      <c r="G461" s="201"/>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9"/>
      <c r="F462" s="93"/>
      <c r="G462" s="201"/>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9"/>
      <c r="F463" s="93"/>
      <c r="G463" s="201"/>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9"/>
      <c r="F464" s="93"/>
      <c r="G464" s="201"/>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9"/>
      <c r="F466" s="93"/>
      <c r="G466" s="201"/>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9"/>
      <c r="F467" s="93"/>
      <c r="G467" s="201"/>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9"/>
      <c r="F468" s="93"/>
      <c r="G468" s="201"/>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9"/>
      <c r="F469" s="93"/>
      <c r="G469" s="201"/>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9"/>
      <c r="F470" s="93"/>
      <c r="G470" s="201"/>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9"/>
      <c r="F471" s="93"/>
      <c r="G471" s="201"/>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9"/>
      <c r="F472" s="93"/>
      <c r="G472" s="201"/>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9"/>
      <c r="F474" s="93"/>
      <c r="G474" s="201"/>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9"/>
      <c r="F475" s="136"/>
      <c r="G475" s="201"/>
      <c r="H475" s="204"/>
      <c r="I475" s="204"/>
      <c r="J475" s="205"/>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P37:P39 A38:D55 F38:XFD55 A57:XFD58 P58:P60 A59:D76 F59:XFD76 A78:XFD79 P79:P81 A80:D97 F80:XFD97 A99:XFD100 P100:P102 A101:D118 F101:XFD118 A120:XFD121 P121:P123 A122:D139 F122:XFD139 A141:XFD142 P142:P144 A143:D160 F143:XFD160 A162:XFD163 P163:P165 A164:D181 F164:XFD181 A183:XFD184 P184:P186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P37:P39 A38:D55 P58:P60 A59:D76 P79:P81 A80:D97 P100:P102 A101:D118 P121:P123 A122:D139 P142:P144 A143:D160 P163:P165 A164:D181 P184:P186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2158:AI2158 P37:AI37 P58:AI58 P79:AI79 P100:AI100 P121:AI121 P142:AI142 P163:AI163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184:AI184" xr:uid="{00000000-0002-0000-0200-000000000000}">
      <formula1>1</formula1>
      <formula2>73051</formula2>
    </dataValidation>
    <dataValidation type="list" allowBlank="1" showInputMessage="1" showErrorMessage="1" sqref="I2157 I36 I2136 I57 I78 I120 I99 I141 I162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183" xr:uid="{00000000-0002-0000-0200-000001000000}">
      <formula1>"CATMAT,CATSER"</formula1>
    </dataValidation>
    <dataValidation allowBlank="1" showErrorMessage="1" error="Informe uma fonte constante na lista" sqref="P18:XFD18 P2160:XFD2160 P39:XFD39 P60:XFD60 P81:XFD81 P102:XFD102 P123:XFD123 P144:XFD144 P165:XFD165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186:XFD186"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22</xdr:col>
                    <xdr:colOff>552450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H40:J40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H2161:J2161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H19:J19</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P2159:AI2159 P38:AI38 P59:AI59 P80:AI80 P101:AI101 P122:AI122 P143:AI143 P164:AI164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P185:AI185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J8" sqref="J8:J16"/>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5.28515625" style="55" customWidth="1"/>
    <col min="7" max="7" width="44.42578125" style="146" bestFit="1" customWidth="1"/>
    <col min="8" max="8" width="15.85546875" style="57" bestFit="1" customWidth="1"/>
    <col min="9" max="9" width="7" style="57" bestFit="1" customWidth="1"/>
    <col min="10" max="10" width="14.7109375" style="58" bestFit="1" customWidth="1"/>
    <col min="11" max="11" width="14.140625" style="59" bestFit="1"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SECRETARIA MUNICIPAL DE PLANEJAMENTO E GESTÃO (SMPG)</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EDITAL'!$D$2="",INDEX('MAPA DE PREÇOS'!H:H,MATCH(EDITAL!B6,'MAPA DE PREÇOS'!B:B,0)+1),UPPER(INDEX('BASE EDITAL'!$D:$D,EDITAL!B6+1))),IF($C6=$C4,"Especificação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EDITAL'!$D$2="",INDEX('MAPA DE PREÇOS'!H:H,MATCH(EDITAL!B7,'MAPA DE PREÇOS'!B:B,0)+1),UPPER(INDEX('BASE EDITAL'!$D:$D,EDITAL!B7+1))),IF($C7=$C5,"Especificação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t="str">
        <f>IF($B7="","",IF($C8=$C5,INDEX('MAPA DE PREÇOS'!$H:$H,MATCH($B8,'MAPA DE PREÇOS'!$B:$B)-19),IF($C8=$C6,"Código","")))</f>
        <v>MS.6.0-A0101</v>
      </c>
      <c r="G8" s="145" t="str">
        <f>IF($B7="","",IF($C8=$C5,IF('BASE EDITAL'!$D$2="",INDEX('MAPA DE PREÇOS'!H:H,MATCH(EDITAL!B8,'MAPA DE PREÇOS'!B:B,0)+1),UPPER(INDEX('BASE EDITAL'!$D:$D,EDITAL!B8+1))),IF($C8=$C6,"Especificação do Objeto","")))</f>
        <v>OFFICE PROFESSIONAL PLUS ALNG LSA</v>
      </c>
      <c r="H8" s="84" t="str">
        <f>IF($B7="","",IF($C8=$C5,INDEX('MAPA DE PREÇOS'!$M:$M,MATCH($B8,'MAPA DE PREÇOS'!$B:$B)-16),IF($C8=$C6,"Unidade","")))</f>
        <v>Unidade/Ano</v>
      </c>
      <c r="I8" s="84">
        <f>IF($B7="","",IF($C8=$C5,INDEX('MAPA DE PREÇOS'!$M:$M,MATCH($B8,'MAPA DE PREÇOS'!$B:$B)-17),IF($C8=$C6,"Quant.","")))</f>
        <v>368</v>
      </c>
      <c r="J8" s="75">
        <f>IF(AND(COUNTBLANK($B5:$B7)=2,$B7="",$B6="",MAX(C:C)&gt;1),"Total Estimado",IF($B7="","",IF($C8=$C5,INDEX('MAPA DE PREÇOS'!$M:$M,MATCH($B8,'MAPA DE PREÇOS'!$B:$B)-19),IF($C8=$C6,"Valor Unit. (R$)",IF(AND($C8&lt;&gt;$C7,$J7&lt;&gt;""),IF(MAX(C:C)=1,"Total Estimado","Subtotal"),"")))))</f>
        <v>5716.26</v>
      </c>
      <c r="K8" s="75">
        <f>IFERROR(IF(AND(COUNTBLANK($B5:$B7)=2,$B7="",$B6="",MAX($C:$C)&gt;1),SUM($K$3:K7)/2,IF($B7="","",IF($C8=$C5,ROUND(J8*I8,2),IF($C8=$C6,"Total Item (R$)",IF(AND($C8&lt;&gt;$C7,$J7&lt;&gt;""),SUMIFS(K:K,$C:$C,C7,J:J,"&lt;&gt;Subtotal"),""))))),"")</f>
        <v>2103583.6800000002</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t="str">
        <f>IF($B8="","",IF($C9=$C6,INDEX('MAPA DE PREÇOS'!$H:$H,MATCH($B9,'MAPA DE PREÇOS'!$B:$B)-19),IF($C9=$C7,"Código","")))</f>
        <v>MS.6.0-A0004</v>
      </c>
      <c r="G9" s="145" t="str">
        <f>IF($B8="","",IF($C9=$C6,IF('BASE EDITAL'!$D$2="",INDEX('MAPA DE PREÇOS'!H:H,MATCH(EDITAL!B9,'MAPA DE PREÇOS'!B:B,0)+1),UPPER(INDEX('BASE EDITAL'!$D:$D,EDITAL!B9+1))),IF($C9=$C7,"Especificação do Objeto","")))</f>
        <v>PROJECT STANDARD ALNG LSA</v>
      </c>
      <c r="H9" s="84" t="str">
        <f>IF($B8="","",IF($C9=$C6,INDEX('MAPA DE PREÇOS'!$M:$M,MATCH($B9,'MAPA DE PREÇOS'!$B:$B)-16),IF($C9=$C7,"Unidade","")))</f>
        <v>Unidade/Ano</v>
      </c>
      <c r="I9" s="84">
        <f>IF($B8="","",IF($C9=$C6,INDEX('MAPA DE PREÇOS'!$M:$M,MATCH($B9,'MAPA DE PREÇOS'!$B:$B)-17),IF($C9=$C7,"Quant.","")))</f>
        <v>3</v>
      </c>
      <c r="J9" s="75">
        <f>IF(AND(COUNTBLANK($B6:$B8)=2,$B8="",$B7="",MAX(C:C)&gt;1),"Total Estimado",IF($B8="","",IF($C9=$C6,INDEX('MAPA DE PREÇOS'!$M:$M,MATCH($B9,'MAPA DE PREÇOS'!$B:$B)-19),IF($C9=$C7,"Valor Unit. (R$)",IF(AND($C9&lt;&gt;$C8,$J8&lt;&gt;""),IF(MAX(C:C)=1,"Total Estimado","Subtotal"),"")))))</f>
        <v>6776.46</v>
      </c>
      <c r="K9" s="75">
        <f>IFERROR(IF(AND(COUNTBLANK($B6:$B8)=2,$B8="",$B7="",MAX(C:C)&gt;1),SUM($K$3:K8)/2,IF($B8="","",IF($C9=$C6,ROUND(J9*I9,2),IF($C9=$C7,"Total Item (R$)",IF(AND($C9&lt;&gt;$C8,$J8&lt;&gt;""),SUMIFS(K:K,C:C,C8,J:J,"&lt;&gt;Subtotal"),""))))),"")</f>
        <v>20329.38</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t="str">
        <f>IF($B9="","",IF($C10=$C7,INDEX('MAPA DE PREÇOS'!$H:$H,MATCH($B10,'MAPA DE PREÇOS'!$B:$B)-19),IF($C10=$C8,"Código","")))</f>
        <v>MS.6.0-A1343</v>
      </c>
      <c r="G10" s="145" t="str">
        <f>IF($B9="","",IF($C10=$C7,IF('BASE EDITAL'!$D$2="",INDEX('MAPA DE PREÇOS'!H:H,MATCH(EDITAL!B10,'MAPA DE PREÇOS'!B:B,0)+1),UPPER(INDEX('BASE EDITAL'!$D:$D,EDITAL!B10+1))),IF($C10=$C8,"Especificação do Objeto","")))</f>
        <v>PROJECT PROFESSIONAL ALNG LSA 1 SERVER CAL</v>
      </c>
      <c r="H10" s="84" t="str">
        <f>IF($B9="","",IF($C10=$C7,INDEX('MAPA DE PREÇOS'!$M:$M,MATCH($B10,'MAPA DE PREÇOS'!$B:$B)-16),IF($C10=$C8,"Unidade","")))</f>
        <v>Unidade/Ano</v>
      </c>
      <c r="I10" s="84">
        <f>IF($B9="","",IF($C10=$C7,INDEX('MAPA DE PREÇOS'!$M:$M,MATCH($B10,'MAPA DE PREÇOS'!$B:$B)-17),IF($C10=$C8,"Quant.","")))</f>
        <v>16</v>
      </c>
      <c r="J10" s="75">
        <f>IF(AND(COUNTBLANK($B7:$B9)=2,$B9="",$B8="",MAX(C:C)&gt;1),"Total Estimado",IF($B9="","",IF($C10=$C7,INDEX('MAPA DE PREÇOS'!$M:$M,MATCH($B10,'MAPA DE PREÇOS'!$B:$B)-19),IF($C10=$C8,"Valor Unit. (R$)",IF(AND($C10&lt;&gt;$C9,$J9&lt;&gt;""),IF(MAX(C:C)=1,"Total Estimado","Subtotal"),"")))))</f>
        <v>11257.83</v>
      </c>
      <c r="K10" s="75">
        <f>IFERROR(IF(AND(COUNTBLANK($B7:$B9)=2,$B9="",$B8="",MAX(C:C)&gt;1),SUM($K$3:K9)/2,IF($B9="","",IF($C10=$C7,ROUND(J10*I10,2),IF($C10=$C8,"Total Item (R$)",IF(AND($C10&lt;&gt;$C9,$J9&lt;&gt;""),SUMIFS(K:K,C:C,C9,J:J,"&lt;&gt;Subtotal"),""))))),"")</f>
        <v>180125.28</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t="str">
        <f>IF($B10="","",IF($C11=$C8,INDEX('MAPA DE PREÇOS'!$H:$H,MATCH($B11,'MAPA DE PREÇOS'!$B:$B)-19),IF($C11=$C9,"Código","")))</f>
        <v>MS.6.0-A1506</v>
      </c>
      <c r="G11" s="145" t="str">
        <f>IF($B10="","",IF($C11=$C8,IF('BASE EDITAL'!$D$2="",INDEX('MAPA DE PREÇOS'!H:H,MATCH(EDITAL!B11,'MAPA DE PREÇOS'!B:B,0)+1),UPPER(INDEX('BASE EDITAL'!$D:$D,EDITAL!B11+1))),IF($C11=$C9,"Especificação do Objeto","")))</f>
        <v>POWER BI PRO SUB PER USER</v>
      </c>
      <c r="H11" s="84" t="str">
        <f>IF($B10="","",IF($C11=$C8,INDEX('MAPA DE PREÇOS'!$M:$M,MATCH($B11,'MAPA DE PREÇOS'!$B:$B)-16),IF($C11=$C9,"Unidade","")))</f>
        <v>Unidade/Mensal</v>
      </c>
      <c r="I11" s="84">
        <f>IF($B10="","",IF($C11=$C8,INDEX('MAPA DE PREÇOS'!$M:$M,MATCH($B11,'MAPA DE PREÇOS'!$B:$B)-17),IF($C11=$C9,"Quant.","")))</f>
        <v>81</v>
      </c>
      <c r="J11" s="75">
        <f>IF(AND(COUNTBLANK($B8:$B10)=2,$B10="",$B9="",MAX(C:C)&gt;1),"Total Estimado",IF($B10="","",IF($C11=$C8,INDEX('MAPA DE PREÇOS'!$M:$M,MATCH($B11,'MAPA DE PREÇOS'!$B:$B)-19),IF($C11=$C9,"Valor Unit. (R$)",IF(AND($C11&lt;&gt;$C10,$J10&lt;&gt;""),IF(MAX(C:C)=1,"Total Estimado","Subtotal"),"")))))</f>
        <v>3043.08</v>
      </c>
      <c r="K11" s="75">
        <f>IFERROR(IF(AND(COUNTBLANK($B8:$B10)=2,$B10="",$B9="",MAX(C:C)&gt;1),SUM($K$3:K10)/2,IF($B10="","",IF($C11=$C8,ROUND(J11*I11,2),IF($C11=$C9,"Total Item (R$)",IF(AND($C11&lt;&gt;$C10,$J10&lt;&gt;""),SUMIFS(K:K,C:C,C10,J:J,"&lt;&gt;Subtotal"),""))))),"")</f>
        <v>246489.48</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t="str">
        <f>IF($B11="","",IF($C12=$C9,INDEX('MAPA DE PREÇOS'!$H:$H,MATCH($B12,'MAPA DE PREÇOS'!$B:$B)-19),IF($C12=$C10,"Código","")))</f>
        <v>MS.6.0-A0871</v>
      </c>
      <c r="G12" s="145" t="str">
        <f>IF($B11="","",IF($C12=$C9,IF('BASE EDITAL'!$D$2="",INDEX('MAPA DE PREÇOS'!H:H,MATCH(EDITAL!B12,'MAPA DE PREÇOS'!B:B,0)+1),UPPER(INDEX('BASE EDITAL'!$D:$D,EDITAL!B12+1))),IF($C12=$C10,"Especificação do Objeto","")))</f>
        <v>O365 E3 SUB PER USER</v>
      </c>
      <c r="H12" s="84" t="str">
        <f>IF($B11="","",IF($C12=$C9,INDEX('MAPA DE PREÇOS'!$M:$M,MATCH($B12,'MAPA DE PREÇOS'!$B:$B)-16),IF($C12=$C10,"Unidade","")))</f>
        <v>Unidade/Mensal</v>
      </c>
      <c r="I12" s="84">
        <f>IF($B11="","",IF($C12=$C9,INDEX('MAPA DE PREÇOS'!$M:$M,MATCH($B12,'MAPA DE PREÇOS'!$B:$B)-17),IF($C12=$C10,"Quant.","")))</f>
        <v>83</v>
      </c>
      <c r="J12" s="75">
        <f>IF(AND(COUNTBLANK($B9:$B11)=2,$B11="",$B10="",MAX(C:C)&gt;1),"Total Estimado",IF($B11="","",IF($C12=$C9,INDEX('MAPA DE PREÇOS'!$M:$M,MATCH($B12,'MAPA DE PREÇOS'!$B:$B)-19),IF($C12=$C10,"Valor Unit. (R$)",IF(AND($C12&lt;&gt;$C11,$J11&lt;&gt;""),IF(MAX(C:C)=1,"Total Estimado","Subtotal"),"")))))</f>
        <v>4999.32</v>
      </c>
      <c r="K12" s="75">
        <f>IFERROR(IF(AND(COUNTBLANK($B9:$B11)=2,$B11="",$B10="",MAX(C:C)&gt;1),SUM($K$3:K11)/2,IF($B11="","",IF($C12=$C9,ROUND(J12*I12,2),IF($C12=$C10,"Total Item (R$)",IF(AND($C12&lt;&gt;$C11,$J11&lt;&gt;""),SUMIFS(K:K,C:C,C11,J:J,"&lt;&gt;Subtotal"),""))))),"")</f>
        <v>414943.56</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t="str">
        <f>IF($B12="","",IF($C13=$C10,INDEX('MAPA DE PREÇOS'!$H:$H,MATCH($B13,'MAPA DE PREÇOS'!$B:$B)-19),IF($C13=$C11,"Código","")))</f>
        <v>MS.6.0-A1692</v>
      </c>
      <c r="G13" s="145" t="str">
        <f>IF($B12="","",IF($C13=$C10,IF('BASE EDITAL'!$D$2="",INDEX('MAPA DE PREÇOS'!H:H,MATCH(EDITAL!B13,'MAPA DE PREÇOS'!B:B,0)+1),UPPER(INDEX('BASE EDITAL'!$D:$D,EDITAL!B13+1))),IF($C13=$C11,"Especificação do Objeto","")))</f>
        <v>O365 E5 SUB PER USER</v>
      </c>
      <c r="H13" s="84" t="str">
        <f>IF($B12="","",IF($C13=$C10,INDEX('MAPA DE PREÇOS'!$M:$M,MATCH($B13,'MAPA DE PREÇOS'!$B:$B)-16),IF($C13=$C11,"Unidade","")))</f>
        <v>Unidade/Mensal</v>
      </c>
      <c r="I13" s="84">
        <f>IF($B12="","",IF($C13=$C10,INDEX('MAPA DE PREÇOS'!$M:$M,MATCH($B13,'MAPA DE PREÇOS'!$B:$B)-17),IF($C13=$C11,"Quant.","")))</f>
        <v>3</v>
      </c>
      <c r="J13" s="75">
        <f>IF(AND(COUNTBLANK($B10:$B12)=2,$B12="",$B11="",MAX(C:C)&gt;1),"Total Estimado",IF($B12="","",IF($C13=$C10,INDEX('MAPA DE PREÇOS'!$M:$M,MATCH($B13,'MAPA DE PREÇOS'!$B:$B)-19),IF($C13=$C11,"Valor Unit. (R$)",IF(AND($C13&lt;&gt;$C12,$J12&lt;&gt;""),IF(MAX(C:C)=1,"Total Estimado","Subtotal"),"")))))</f>
        <v>8260.56</v>
      </c>
      <c r="K13" s="75">
        <f>IFERROR(IF(AND(COUNTBLANK($B10:$B12)=2,$B12="",$B11="",MAX(C:C)&gt;1),SUM($K$3:K12)/2,IF($B12="","",IF($C13=$C10,ROUND(J13*I13,2),IF($C13=$C11,"Total Item (R$)",IF(AND($C13&lt;&gt;$C12,$J12&lt;&gt;""),SUMIFS(K:K,C:C,C12,J:J,"&lt;&gt;Subtotal"),""))))),"")</f>
        <v>24781.68</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t="str">
        <f>IF($B13="","",IF($C14=$C11,INDEX('MAPA DE PREÇOS'!$H:$H,MATCH($B14,'MAPA DE PREÇOS'!$B:$B)-19),IF($C14=$C12,"Código","")))</f>
        <v>MS.6.0-A0463</v>
      </c>
      <c r="G14" s="145" t="str">
        <f>IF($B13="","",IF($C14=$C11,IF('BASE EDITAL'!$D$2="",INDEX('MAPA DE PREÇOS'!H:H,MATCH(EDITAL!B14,'MAPA DE PREÇOS'!B:B,0)+1),UPPER(INDEX('BASE EDITAL'!$D:$D,EDITAL!B14+1))),IF($C14=$C12,"Especificação do Objeto","")))</f>
        <v>PLANNER &amp; PROJECT P3 SUB PER USER</v>
      </c>
      <c r="H14" s="84" t="str">
        <f>IF($B13="","",IF($C14=$C11,INDEX('MAPA DE PREÇOS'!$M:$M,MATCH($B14,'MAPA DE PREÇOS'!$B:$B)-16),IF($C14=$C12,"Unidade","")))</f>
        <v>Unidade/Mensal</v>
      </c>
      <c r="I14" s="84">
        <f>IF($B13="","",IF($C14=$C11,INDEX('MAPA DE PREÇOS'!$M:$M,MATCH($B14,'MAPA DE PREÇOS'!$B:$B)-17),IF($C14=$C12,"Quant.","")))</f>
        <v>41</v>
      </c>
      <c r="J14" s="75">
        <f>IF(AND(COUNTBLANK($B11:$B13)=2,$B13="",$B12="",MAX(C:C)&gt;1),"Total Estimado",IF($B13="","",IF($C14=$C11,INDEX('MAPA DE PREÇOS'!$M:$M,MATCH($B14,'MAPA DE PREÇOS'!$B:$B)-19),IF($C14=$C12,"Valor Unit. (R$)",IF(AND($C14&lt;&gt;$C13,$J13&lt;&gt;""),IF(MAX(C:C)=1,"Total Estimado","Subtotal"),"")))))</f>
        <v>6521.4</v>
      </c>
      <c r="K14" s="75">
        <f>IFERROR(IF(AND(COUNTBLANK($B11:$B13)=2,$B13="",$B12="",MAX(C:C)&gt;1),SUM($K$3:K13)/2,IF($B13="","",IF($C14=$C11,ROUND(J14*I14,2),IF($C14=$C12,"Total Item (R$)",IF(AND($C14&lt;&gt;$C13,$J13&lt;&gt;""),SUMIFS(K:K,C:C,C13,J:J,"&lt;&gt;Subtotal"),""))))),"")</f>
        <v>267377.40000000002</v>
      </c>
      <c r="L14" s="75" t="str">
        <f t="shared" si="1"/>
        <v/>
      </c>
    </row>
    <row r="15" spans="2:14" x14ac:dyDescent="0.25">
      <c r="B15" s="41">
        <f>IFERROR(IF(C14=C11,IF(B14+1&lt;='MAPA DE PREÇOS'!$H$8,B14+1,""),B14),"")</f>
        <v>8</v>
      </c>
      <c r="C15" s="41">
        <f>IFERROR(VLOOKUP(B15,'MAPA DE PREÇOS'!B:D,2,FALSE),"")</f>
        <v>1</v>
      </c>
      <c r="D15" s="41">
        <f>IFERROR(VLOOKUP(B15,'MAPA DE PREÇOS'!B:D,3,FALSE),"")</f>
        <v>8</v>
      </c>
      <c r="E15" s="82">
        <f t="shared" si="0"/>
        <v>8</v>
      </c>
      <c r="F15" s="82" t="str">
        <f>IF($B14="","",IF($C15=$C12,INDEX('MAPA DE PREÇOS'!$H:$H,MATCH($B15,'MAPA DE PREÇOS'!$B:$B)-19),IF($C15=$C13,"Código","")))</f>
        <v>MS.6.0-A0491</v>
      </c>
      <c r="G15" s="145" t="str">
        <f>IF($B14="","",IF($C15=$C12,IF('BASE EDITAL'!$D$2="",INDEX('MAPA DE PREÇOS'!H:H,MATCH(EDITAL!B15,'MAPA DE PREÇOS'!B:B,0)+1),UPPER(INDEX('BASE EDITAL'!$D:$D,EDITAL!B15+1))),IF($C15=$C13,"Especificação do Objeto","")))</f>
        <v>PLANNER &amp; PROJECT P5 SUB PER USER</v>
      </c>
      <c r="H15" s="84" t="str">
        <f>IF($B14="","",IF($C15=$C12,INDEX('MAPA DE PREÇOS'!$M:$M,MATCH($B15,'MAPA DE PREÇOS'!$B:$B)-16),IF($C15=$C13,"Unidade","")))</f>
        <v>Unidade/Mensal</v>
      </c>
      <c r="I15" s="84">
        <f>IF($B14="","",IF($C15=$C12,INDEX('MAPA DE PREÇOS'!$M:$M,MATCH($B15,'MAPA DE PREÇOS'!$B:$B)-17),IF($C15=$C13,"Quant.","")))</f>
        <v>3</v>
      </c>
      <c r="J15" s="75">
        <f>IF(AND(COUNTBLANK($B12:$B14)=2,$B14="",$B13="",MAX(C:C)&gt;1),"Total Estimado",IF($B14="","",IF($C15=$C12,INDEX('MAPA DE PREÇOS'!$M:$M,MATCH($B15,'MAPA DE PREÇOS'!$B:$B)-19),IF($C15=$C13,"Valor Unit. (R$)",IF(AND($C15&lt;&gt;$C14,$J14&lt;&gt;""),IF(MAX(C:C)=1,"Total Estimado","Subtotal"),"")))))</f>
        <v>11955.24</v>
      </c>
      <c r="K15" s="75">
        <f>IFERROR(IF(AND(COUNTBLANK($B12:$B14)=2,$B14="",$B13="",MAX(C:C)&gt;1),SUM($K$3:K14)/2,IF($B14="","",IF($C15=$C12,ROUND(J15*I15,2),IF($C15=$C13,"Total Item (R$)",IF(AND($C15&lt;&gt;$C14,$J14&lt;&gt;""),SUMIFS(K:K,C:C,C14,J:J,"&lt;&gt;Subtotal"),""))))),"")</f>
        <v>35865.72</v>
      </c>
      <c r="L15" s="75" t="str">
        <f t="shared" si="1"/>
        <v/>
      </c>
    </row>
    <row r="16" spans="2:14" x14ac:dyDescent="0.25">
      <c r="B16" s="41">
        <f>IFERROR(IF(C15=C12,IF(B15+1&lt;='MAPA DE PREÇOS'!$H$8,B15+1,""),B15),"")</f>
        <v>9</v>
      </c>
      <c r="C16" s="41">
        <f>IFERROR(VLOOKUP(B16,'MAPA DE PREÇOS'!B:D,2,FALSE),"")</f>
        <v>1</v>
      </c>
      <c r="D16" s="41">
        <f>IFERROR(VLOOKUP(B16,'MAPA DE PREÇOS'!B:D,3,FALSE),"")</f>
        <v>9</v>
      </c>
      <c r="E16" s="82">
        <f t="shared" si="0"/>
        <v>9</v>
      </c>
      <c r="F16" s="82" t="str">
        <f>IF($B15="","",IF($C16=$C13,INDEX('MAPA DE PREÇOS'!$H:$H,MATCH($B16,'MAPA DE PREÇOS'!$B:$B)-19),IF($C16=$C14,"Código","")))</f>
        <v>MS.6.0-A1769</v>
      </c>
      <c r="G16" s="145" t="str">
        <f>IF($B15="","",IF($C16=$C13,IF('BASE EDITAL'!$D$2="",INDEX('MAPA DE PREÇOS'!H:H,MATCH(EDITAL!B16,'MAPA DE PREÇOS'!B:B,0)+1),UPPER(INDEX('BASE EDITAL'!$D:$D,EDITAL!B16+1))),IF($C16=$C14,"Especificação do Objeto","")))</f>
        <v>PLANNER P1 SUB PER USER</v>
      </c>
      <c r="H16" s="84" t="str">
        <f>IF($B15="","",IF($C16=$C13,INDEX('MAPA DE PREÇOS'!$M:$M,MATCH($B16,'MAPA DE PREÇOS'!$B:$B)-16),IF($C16=$C14,"Unidade","")))</f>
        <v>Unidade/Mensal</v>
      </c>
      <c r="I16" s="84">
        <f>IF($B15="","",IF($C16=$C13,INDEX('MAPA DE PREÇOS'!$M:$M,MATCH($B16,'MAPA DE PREÇOS'!$B:$B)-17),IF($C16=$C14,"Quant.","")))</f>
        <v>13</v>
      </c>
      <c r="J16" s="75">
        <f>IF(AND(COUNTBLANK($B13:$B15)=2,$B15="",$B14="",MAX(C:C)&gt;1),"Total Estimado",IF($B15="","",IF($C16=$C13,INDEX('MAPA DE PREÇOS'!$M:$M,MATCH($B16,'MAPA DE PREÇOS'!$B:$B)-19),IF($C16=$C14,"Valor Unit. (R$)",IF(AND($C16&lt;&gt;$C15,$J15&lt;&gt;""),IF(MAX(C:C)=1,"Total Estimado","Subtotal"),"")))))</f>
        <v>2173.6799999999998</v>
      </c>
      <c r="K16" s="75">
        <f>IFERROR(IF(AND(COUNTBLANK($B13:$B15)=2,$B15="",$B14="",MAX(C:C)&gt;1),SUM($K$3:K15)/2,IF($B15="","",IF($C16=$C13,ROUND(J16*I16,2),IF($C16=$C14,"Total Item (R$)",IF(AND($C16&lt;&gt;$C15,$J15&lt;&gt;""),SUMIFS(K:K,C:C,C15,J:J,"&lt;&gt;Subtotal"),""))))),"")</f>
        <v>28257.84</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EDITAL'!$D$2="",INDEX('MAPA DE PREÇOS'!H:H,MATCH(EDITAL!B17,'MAPA DE PREÇOS'!B:B,0)+1),UPPER(INDEX('BASE EDITAL'!$D:$D,EDITAL!B17+1))),IF($C17=$C15,"Especificação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Total Estimado</v>
      </c>
      <c r="K17" s="75">
        <f>IFERROR(IF(AND(COUNTBLANK($B14:$B16)=2,$B16="",$B15="",MAX(C:C)&gt;1),SUM($K$3:K16)/2,IF($B16="","",IF($C17=$C14,ROUND(J17*I17,2),IF($C17=$C15,"Total Item (R$)",IF(AND($C17&lt;&gt;$C16,$J16&lt;&gt;""),SUMIFS(K:K,C:C,C16,J:J,"&lt;&gt;Subtotal"),""))))),"")</f>
        <v>3321754.02</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EDITAL'!$D$2="",INDEX('MAPA DE PREÇOS'!H:H,MATCH(EDITAL!B18,'MAPA DE PREÇOS'!B:B,0)+1),UPPER(INDEX('BASE EDITAL'!$D:$D,EDITAL!B18+1))),IF($C18=$C16,"Especificação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EDITAL'!$D$2="",INDEX('MAPA DE PREÇOS'!H:H,MATCH(EDITAL!B19,'MAPA DE PREÇOS'!B:B,0)+1),UPPER(INDEX('BASE EDITAL'!$D:$D,EDITAL!B19+1))),IF($C19=$C17,"Especificação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EDITAL'!$D$2="",INDEX('MAPA DE PREÇOS'!H:H,MATCH(EDITAL!B20,'MAPA DE PREÇOS'!B:B,0)+1),UPPER(INDEX('BASE EDITAL'!$D:$D,EDITAL!B20+1))),IF($C20=$C18,"Especificação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EDITAL'!$D$2="",INDEX('MAPA DE PREÇOS'!H:H,MATCH(EDITAL!B21,'MAPA DE PREÇOS'!B:B,0)+1),UPPER(INDEX('BASE EDITAL'!$D:$D,EDITAL!B21+1))),IF($C21=$C19,"Especificação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EDITAL'!$D$2="",INDEX('MAPA DE PREÇOS'!H:H,MATCH(EDITAL!B22,'MAPA DE PREÇOS'!B:B,0)+1),UPPER(INDEX('BASE EDITAL'!$D:$D,EDITAL!B22+1))),IF($C22=$C20,"Especificação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EDITAL'!$D$2="",INDEX('MAPA DE PREÇOS'!H:H,MATCH(EDITAL!B23,'MAPA DE PREÇOS'!B:B,0)+1),UPPER(INDEX('BASE EDITAL'!$D:$D,EDITAL!B23+1))),IF($C23=$C21,"Especificação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EDITAL'!$D$2="",INDEX('MAPA DE PREÇOS'!H:H,MATCH(EDITAL!B24,'MAPA DE PREÇOS'!B:B,0)+1),UPPER(INDEX('BASE EDITAL'!$D:$D,EDITAL!B24+1))),IF($C24=$C22,"Especificação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EDITAL'!$D$2="",INDEX('MAPA DE PREÇOS'!H:H,MATCH(EDITAL!B25,'MAPA DE PREÇOS'!B:B,0)+1),UPPER(INDEX('BASE EDITAL'!$D:$D,EDITAL!B25+1))),IF($C25=$C23,"Especificação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EDITAL'!$D$2="",INDEX('MAPA DE PREÇOS'!H:H,MATCH(EDITAL!B26,'MAPA DE PREÇOS'!B:B,0)+1),UPPER(INDEX('BASE EDITAL'!$D:$D,EDITAL!B26+1))),IF($C26=$C24,"Especificação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EDITAL'!$D$2="",INDEX('MAPA DE PREÇOS'!H:H,MATCH(EDITAL!B27,'MAPA DE PREÇOS'!B:B,0)+1),UPPER(INDEX('BASE EDITAL'!$D:$D,EDITAL!B27+1))),IF($C27=$C25,"Especificação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EDITAL'!$D$2="",INDEX('MAPA DE PREÇOS'!H:H,MATCH(EDITAL!B28,'MAPA DE PREÇOS'!B:B,0)+1),UPPER(INDEX('BASE EDITAL'!$D:$D,EDITAL!B28+1))),IF($C28=$C26,"Especificação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EDITAL'!$D$2="",INDEX('MAPA DE PREÇOS'!H:H,MATCH(EDITAL!B29,'MAPA DE PREÇOS'!B:B,0)+1),UPPER(INDEX('BASE EDITAL'!$D:$D,EDITAL!B29+1))),IF($C29=$C27,"Especificação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EDITAL'!$D$2="",INDEX('MAPA DE PREÇOS'!H:H,MATCH(EDITAL!B30,'MAPA DE PREÇOS'!B:B,0)+1),UPPER(INDEX('BASE EDITAL'!$D:$D,EDITAL!B30+1))),IF($C30=$C28,"Especificação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EDITAL'!$D$2="",INDEX('MAPA DE PREÇOS'!H:H,MATCH(EDITAL!B31,'MAPA DE PREÇOS'!B:B,0)+1),UPPER(INDEX('BASE EDITAL'!$D:$D,EDITAL!B31+1))),IF($C31=$C29,"Especificação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EDITAL'!$D$2="",INDEX('MAPA DE PREÇOS'!H:H,MATCH(EDITAL!B32,'MAPA DE PREÇOS'!B:B,0)+1),UPPER(INDEX('BASE EDITAL'!$D:$D,EDITAL!B32+1))),IF($C32=$C30,"Especificação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EDITAL'!$D$2="",INDEX('MAPA DE PREÇOS'!H:H,MATCH(EDITAL!B33,'MAPA DE PREÇOS'!B:B,0)+1),UPPER(INDEX('BASE EDITAL'!$D:$D,EDITAL!B33+1))),IF($C33=$C31,"Especificação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EDITAL'!$D$2="",INDEX('MAPA DE PREÇOS'!H:H,MATCH(EDITAL!B34,'MAPA DE PREÇOS'!B:B,0)+1),UPPER(INDEX('BASE EDITAL'!$D:$D,EDITAL!B34+1))),IF($C34=$C32,"Especificação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EDITAL'!$D$2="",INDEX('MAPA DE PREÇOS'!H:H,MATCH(EDITAL!B35,'MAPA DE PREÇOS'!B:B,0)+1),UPPER(INDEX('BASE EDITAL'!$D:$D,EDITAL!B35+1))),IF($C35=$C33,"Especificação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EDITAL'!$D$2="",INDEX('MAPA DE PREÇOS'!H:H,MATCH(EDITAL!B36,'MAPA DE PREÇOS'!B:B,0)+1),UPPER(INDEX('BASE EDITAL'!$D:$D,EDITAL!B36+1))),IF($C36=$C34,"Especificação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EDITAL'!$D$2="",INDEX('MAPA DE PREÇOS'!H:H,MATCH(EDITAL!B37,'MAPA DE PREÇOS'!B:B,0)+1),UPPER(INDEX('BASE EDITAL'!$D:$D,EDITAL!B37+1))),IF($C37=$C35,"Especificação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EDITAL'!$D$2="",INDEX('MAPA DE PREÇOS'!H:H,MATCH(EDITAL!B38,'MAPA DE PREÇOS'!B:B,0)+1),UPPER(INDEX('BASE EDITAL'!$D:$D,EDITAL!B38+1))),IF($C38=$C36,"Especificação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EDITAL'!$D$2="",INDEX('MAPA DE PREÇOS'!H:H,MATCH(EDITAL!B39,'MAPA DE PREÇOS'!B:B,0)+1),UPPER(INDEX('BASE EDITAL'!$D:$D,EDITAL!B39+1))),IF($C39=$C37,"Especificação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EDITAL'!$D$2="",INDEX('MAPA DE PREÇOS'!H:H,MATCH(EDITAL!B40,'MAPA DE PREÇOS'!B:B,0)+1),UPPER(INDEX('BASE EDITAL'!$D:$D,EDITAL!B40+1))),IF($C40=$C38,"Especificação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EDITAL'!$D$2="",INDEX('MAPA DE PREÇOS'!H:H,MATCH(EDITAL!B41,'MAPA DE PREÇOS'!B:B,0)+1),UPPER(INDEX('BASE EDITAL'!$D:$D,EDITAL!B41+1))),IF($C41=$C39,"Especificação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EDITAL'!$D$2="",INDEX('MAPA DE PREÇOS'!H:H,MATCH(EDITAL!B42,'MAPA DE PREÇOS'!B:B,0)+1),UPPER(INDEX('BASE EDITAL'!$D:$D,EDITAL!B42+1))),IF($C42=$C40,"Especificação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EDITAL'!$D$2="",INDEX('MAPA DE PREÇOS'!H:H,MATCH(EDITAL!B43,'MAPA DE PREÇOS'!B:B,0)+1),UPPER(INDEX('BASE EDITAL'!$D:$D,EDITAL!B43+1))),IF($C43=$C41,"Especificação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EDITAL'!$D$2="",INDEX('MAPA DE PREÇOS'!H:H,MATCH(EDITAL!B44,'MAPA DE PREÇOS'!B:B,0)+1),UPPER(INDEX('BASE EDITAL'!$D:$D,EDITAL!B44+1))),IF($C44=$C42,"Especificação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EDITAL'!$D$2="",INDEX('MAPA DE PREÇOS'!H:H,MATCH(EDITAL!B45,'MAPA DE PREÇOS'!B:B,0)+1),UPPER(INDEX('BASE EDITAL'!$D:$D,EDITAL!B45+1))),IF($C45=$C43,"Especificação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EDITAL'!$D$2="",INDEX('MAPA DE PREÇOS'!H:H,MATCH(EDITAL!B46,'MAPA DE PREÇOS'!B:B,0)+1),UPPER(INDEX('BASE EDITAL'!$D:$D,EDITAL!B46+1))),IF($C46=$C44,"Especificação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EDITAL'!$D$2="",INDEX('MAPA DE PREÇOS'!H:H,MATCH(EDITAL!B47,'MAPA DE PREÇOS'!B:B,0)+1),UPPER(INDEX('BASE EDITAL'!$D:$D,EDITAL!B47+1))),IF($C47=$C45,"Especificação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EDITAL'!$D$2="",INDEX('MAPA DE PREÇOS'!H:H,MATCH(EDITAL!B48,'MAPA DE PREÇOS'!B:B,0)+1),UPPER(INDEX('BASE EDITAL'!$D:$D,EDITAL!B48+1))),IF($C48=$C46,"Especificação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EDITAL'!$D$2="",INDEX('MAPA DE PREÇOS'!H:H,MATCH(EDITAL!B49,'MAPA DE PREÇOS'!B:B,0)+1),UPPER(INDEX('BASE EDITAL'!$D:$D,EDITAL!B49+1))),IF($C49=$C47,"Especificação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EDITAL'!$D$2="",INDEX('MAPA DE PREÇOS'!H:H,MATCH(EDITAL!B50,'MAPA DE PREÇOS'!B:B,0)+1),UPPER(INDEX('BASE EDITAL'!$D:$D,EDITAL!B50+1))),IF($C50=$C48,"Especificação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EDITAL'!$D$2="",INDEX('MAPA DE PREÇOS'!H:H,MATCH(EDITAL!B51,'MAPA DE PREÇOS'!B:B,0)+1),UPPER(INDEX('BASE EDITAL'!$D:$D,EDITAL!B51+1))),IF($C51=$C49,"Especificação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EDITAL'!$D$2="",INDEX('MAPA DE PREÇOS'!H:H,MATCH(EDITAL!B52,'MAPA DE PREÇOS'!B:B,0)+1),UPPER(INDEX('BASE EDITAL'!$D:$D,EDITAL!B52+1))),IF($C52=$C50,"Especificação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EDITAL'!$D$2="",INDEX('MAPA DE PREÇOS'!H:H,MATCH(EDITAL!B53,'MAPA DE PREÇOS'!B:B,0)+1),UPPER(INDEX('BASE EDITAL'!$D:$D,EDITAL!B53+1))),IF($C53=$C51,"Especificação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EDITAL'!$D$2="",INDEX('MAPA DE PREÇOS'!H:H,MATCH(EDITAL!B54,'MAPA DE PREÇOS'!B:B,0)+1),UPPER(INDEX('BASE EDITAL'!$D:$D,EDITAL!B54+1))),IF($C54=$C52,"Especificação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EDITAL'!$D$2="",INDEX('MAPA DE PREÇOS'!H:H,MATCH(EDITAL!B55,'MAPA DE PREÇOS'!B:B,0)+1),UPPER(INDEX('BASE EDITAL'!$D:$D,EDITAL!B55+1))),IF($C55=$C53,"Especificação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EDITAL'!$D$2="",INDEX('MAPA DE PREÇOS'!H:H,MATCH(EDITAL!B56,'MAPA DE PREÇOS'!B:B,0)+1),UPPER(INDEX('BASE EDITAL'!$D:$D,EDITAL!B56+1))),IF($C56=$C54,"Especificação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EDITAL'!$D$2="",INDEX('MAPA DE PREÇOS'!H:H,MATCH(EDITAL!B57,'MAPA DE PREÇOS'!B:B,0)+1),UPPER(INDEX('BASE EDITAL'!$D:$D,EDITAL!B57+1))),IF($C57=$C55,"Especificação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EDITAL'!$D$2="",INDEX('MAPA DE PREÇOS'!H:H,MATCH(EDITAL!B58,'MAPA DE PREÇOS'!B:B,0)+1),UPPER(INDEX('BASE EDITAL'!$D:$D,EDITAL!B58+1))),IF($C58=$C56,"Especificação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EDITAL'!$D$2="",INDEX('MAPA DE PREÇOS'!H:H,MATCH(EDITAL!B59,'MAPA DE PREÇOS'!B:B,0)+1),UPPER(INDEX('BASE EDITAL'!$D:$D,EDITAL!B59+1))),IF($C59=$C57,"Especificação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EDITAL'!$D$2="",INDEX('MAPA DE PREÇOS'!H:H,MATCH(EDITAL!B60,'MAPA DE PREÇOS'!B:B,0)+1),UPPER(INDEX('BASE EDITAL'!$D:$D,EDITAL!B60+1))),IF($C60=$C58,"Especificação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EDITAL'!$D$2="",INDEX('MAPA DE PREÇOS'!H:H,MATCH(EDITAL!B61,'MAPA DE PREÇOS'!B:B,0)+1),UPPER(INDEX('BASE EDITAL'!$D:$D,EDITAL!B61+1))),IF($C61=$C59,"Especificação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EDITAL'!$D$2="",INDEX('MAPA DE PREÇOS'!H:H,MATCH(EDITAL!B62,'MAPA DE PREÇOS'!B:B,0)+1),UPPER(INDEX('BASE EDITAL'!$D:$D,EDITAL!B62+1))),IF($C62=$C60,"Especificação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EDITAL'!$D$2="",INDEX('MAPA DE PREÇOS'!H:H,MATCH(EDITAL!B63,'MAPA DE PREÇOS'!B:B,0)+1),UPPER(INDEX('BASE EDITAL'!$D:$D,EDITAL!B63+1))),IF($C63=$C61,"Especificação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EDITAL'!$D$2="",INDEX('MAPA DE PREÇOS'!H:H,MATCH(EDITAL!B64,'MAPA DE PREÇOS'!B:B,0)+1),UPPER(INDEX('BASE EDITAL'!$D:$D,EDITAL!B64+1))),IF($C64=$C62,"Especificação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EDITAL'!$D$2="",INDEX('MAPA DE PREÇOS'!H:H,MATCH(EDITAL!B65,'MAPA DE PREÇOS'!B:B,0)+1),UPPER(INDEX('BASE EDITAL'!$D:$D,EDITAL!B65+1))),IF($C65=$C63,"Especificação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EDITAL'!$D$2="",INDEX('MAPA DE PREÇOS'!H:H,MATCH(EDITAL!B66,'MAPA DE PREÇOS'!B:B,0)+1),UPPER(INDEX('BASE EDITAL'!$D:$D,EDITAL!B66+1))),IF($C66=$C64,"Especificação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EDITAL'!$D$2="",INDEX('MAPA DE PREÇOS'!H:H,MATCH(EDITAL!B67,'MAPA DE PREÇOS'!B:B,0)+1),UPPER(INDEX('BASE EDITAL'!$D:$D,EDITAL!B67+1))),IF($C67=$C65,"Especificação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EDITAL'!$D$2="",INDEX('MAPA DE PREÇOS'!H:H,MATCH(EDITAL!B68,'MAPA DE PREÇOS'!B:B,0)+1),UPPER(INDEX('BASE EDITAL'!$D:$D,EDITAL!B68+1))),IF($C68=$C66,"Especificação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EDITAL'!$D$2="",INDEX('MAPA DE PREÇOS'!H:H,MATCH(EDITAL!B69,'MAPA DE PREÇOS'!B:B,0)+1),UPPER(INDEX('BASE EDITAL'!$D:$D,EDITAL!B69+1))),IF($C69=$C67,"Especificação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EDITAL'!$D$2="",INDEX('MAPA DE PREÇOS'!H:H,MATCH(EDITAL!B70,'MAPA DE PREÇOS'!B:B,0)+1),UPPER(INDEX('BASE EDITAL'!$D:$D,EDITAL!B70+1))),IF($C70=$C68,"Especificação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EDITAL'!$D$2="",INDEX('MAPA DE PREÇOS'!H:H,MATCH(EDITAL!B71,'MAPA DE PREÇOS'!B:B,0)+1),UPPER(INDEX('BASE EDITAL'!$D:$D,EDITAL!B71+1))),IF($C71=$C69,"Especificação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EDITAL'!$D$2="",INDEX('MAPA DE PREÇOS'!H:H,MATCH(EDITAL!B72,'MAPA DE PREÇOS'!B:B,0)+1),UPPER(INDEX('BASE EDITAL'!$D:$D,EDITAL!B72+1))),IF($C72=$C70,"Especificação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EDITAL'!$D$2="",INDEX('MAPA DE PREÇOS'!H:H,MATCH(EDITAL!B73,'MAPA DE PREÇOS'!B:B,0)+1),UPPER(INDEX('BASE EDITAL'!$D:$D,EDITAL!B73+1))),IF($C73=$C71,"Especificação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EDITAL'!$D$2="",INDEX('MAPA DE PREÇOS'!H:H,MATCH(EDITAL!B74,'MAPA DE PREÇOS'!B:B,0)+1),UPPER(INDEX('BASE EDITAL'!$D:$D,EDITAL!B74+1))),IF($C74=$C72,"Especificação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EDITAL'!$D$2="",INDEX('MAPA DE PREÇOS'!H:H,MATCH(EDITAL!B75,'MAPA DE PREÇOS'!B:B,0)+1),UPPER(INDEX('BASE EDITAL'!$D:$D,EDITAL!B75+1))),IF($C75=$C73,"Especificação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EDITAL'!$D$2="",INDEX('MAPA DE PREÇOS'!H:H,MATCH(EDITAL!B76,'MAPA DE PREÇOS'!B:B,0)+1),UPPER(INDEX('BASE EDITAL'!$D:$D,EDITAL!B76+1))),IF($C76=$C74,"Especificação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EDITAL'!$D$2="",INDEX('MAPA DE PREÇOS'!H:H,MATCH(EDITAL!B77,'MAPA DE PREÇOS'!B:B,0)+1),UPPER(INDEX('BASE EDITAL'!$D:$D,EDITAL!B77+1))),IF($C77=$C75,"Especificação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EDITAL'!$D$2="",INDEX('MAPA DE PREÇOS'!H:H,MATCH(EDITAL!B78,'MAPA DE PREÇOS'!B:B,0)+1),UPPER(INDEX('BASE EDITAL'!$D:$D,EDITAL!B78+1))),IF($C78=$C76,"Especificação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EDITAL'!$D$2="",INDEX('MAPA DE PREÇOS'!H:H,MATCH(EDITAL!B79,'MAPA DE PREÇOS'!B:B,0)+1),UPPER(INDEX('BASE EDITAL'!$D:$D,EDITAL!B79+1))),IF($C79=$C77,"Especificação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EDITAL'!$D$2="",INDEX('MAPA DE PREÇOS'!H:H,MATCH(EDITAL!B80,'MAPA DE PREÇOS'!B:B,0)+1),UPPER(INDEX('BASE EDITAL'!$D:$D,EDITAL!B80+1))),IF($C80=$C78,"Especificação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EDITAL'!$D$2="",INDEX('MAPA DE PREÇOS'!H:H,MATCH(EDITAL!B81,'MAPA DE PREÇOS'!B:B,0)+1),UPPER(INDEX('BASE EDITAL'!$D:$D,EDITAL!B81+1))),IF($C81=$C79,"Especificação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EDITAL'!$D$2="",INDEX('MAPA DE PREÇOS'!H:H,MATCH(EDITAL!B82,'MAPA DE PREÇOS'!B:B,0)+1),UPPER(INDEX('BASE EDITAL'!$D:$D,EDITAL!B82+1))),IF($C82=$C80,"Especificação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EDITAL'!$D$2="",INDEX('MAPA DE PREÇOS'!H:H,MATCH(EDITAL!B83,'MAPA DE PREÇOS'!B:B,0)+1),UPPER(INDEX('BASE EDITAL'!$D:$D,EDITAL!B83+1))),IF($C83=$C81,"Especificação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EDITAL'!$D$2="",INDEX('MAPA DE PREÇOS'!H:H,MATCH(EDITAL!B84,'MAPA DE PREÇOS'!B:B,0)+1),UPPER(INDEX('BASE EDITAL'!$D:$D,EDITAL!B84+1))),IF($C84=$C82,"Especificação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EDITAL'!$D$2="",INDEX('MAPA DE PREÇOS'!H:H,MATCH(EDITAL!B85,'MAPA DE PREÇOS'!B:B,0)+1),UPPER(INDEX('BASE EDITAL'!$D:$D,EDITAL!B85+1))),IF($C85=$C83,"Especificação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EDITAL'!$D$2="",INDEX('MAPA DE PREÇOS'!H:H,MATCH(EDITAL!B86,'MAPA DE PREÇOS'!B:B,0)+1),UPPER(INDEX('BASE EDITAL'!$D:$D,EDITAL!B86+1))),IF($C86=$C84,"Especificação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EDITAL'!$D$2="",INDEX('MAPA DE PREÇOS'!H:H,MATCH(EDITAL!B87,'MAPA DE PREÇOS'!B:B,0)+1),UPPER(INDEX('BASE EDITAL'!$D:$D,EDITAL!B87+1))),IF($C87=$C85,"Especificação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EDITAL'!$D$2="",INDEX('MAPA DE PREÇOS'!H:H,MATCH(EDITAL!B88,'MAPA DE PREÇOS'!B:B,0)+1),UPPER(INDEX('BASE EDITAL'!$D:$D,EDITAL!B88+1))),IF($C88=$C86,"Especificação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EDITAL'!$D$2="",INDEX('MAPA DE PREÇOS'!H:H,MATCH(EDITAL!B89,'MAPA DE PREÇOS'!B:B,0)+1),UPPER(INDEX('BASE EDITAL'!$D:$D,EDITAL!B89+1))),IF($C89=$C87,"Especificação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EDITAL'!$D$2="",INDEX('MAPA DE PREÇOS'!H:H,MATCH(EDITAL!B90,'MAPA DE PREÇOS'!B:B,0)+1),UPPER(INDEX('BASE EDITAL'!$D:$D,EDITAL!B90+1))),IF($C90=$C88,"Especificação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EDITAL'!$D$2="",INDEX('MAPA DE PREÇOS'!H:H,MATCH(EDITAL!B91,'MAPA DE PREÇOS'!B:B,0)+1),UPPER(INDEX('BASE EDITAL'!$D:$D,EDITAL!B91+1))),IF($C91=$C89,"Especificação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EDITAL'!$D$2="",INDEX('MAPA DE PREÇOS'!H:H,MATCH(EDITAL!B92,'MAPA DE PREÇOS'!B:B,0)+1),UPPER(INDEX('BASE EDITAL'!$D:$D,EDITAL!B92+1))),IF($C92=$C90,"Especificação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EDITAL'!$D$2="",INDEX('MAPA DE PREÇOS'!H:H,MATCH(EDITAL!B93,'MAPA DE PREÇOS'!B:B,0)+1),UPPER(INDEX('BASE EDITAL'!$D:$D,EDITAL!B93+1))),IF($C93=$C91,"Especificação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EDITAL'!$D$2="",INDEX('MAPA DE PREÇOS'!H:H,MATCH(EDITAL!B94,'MAPA DE PREÇOS'!B:B,0)+1),UPPER(INDEX('BASE EDITAL'!$D:$D,EDITAL!B94+1))),IF($C94=$C92,"Especificação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EDITAL'!$D$2="",INDEX('MAPA DE PREÇOS'!H:H,MATCH(EDITAL!B95,'MAPA DE PREÇOS'!B:B,0)+1),UPPER(INDEX('BASE EDITAL'!$D:$D,EDITAL!B95+1))),IF($C95=$C93,"Especificação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EDITAL'!$D$2="",INDEX('MAPA DE PREÇOS'!H:H,MATCH(EDITAL!B96,'MAPA DE PREÇOS'!B:B,0)+1),UPPER(INDEX('BASE EDITAL'!$D:$D,EDITAL!B96+1))),IF($C96=$C94,"Especificação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EDITAL'!$D$2="",INDEX('MAPA DE PREÇOS'!H:H,MATCH(EDITAL!B97,'MAPA DE PREÇOS'!B:B,0)+1),UPPER(INDEX('BASE EDITAL'!$D:$D,EDITAL!B97+1))),IF($C97=$C95,"Especificação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EDITAL'!$D$2="",INDEX('MAPA DE PREÇOS'!H:H,MATCH(EDITAL!B98,'MAPA DE PREÇOS'!B:B,0)+1),UPPER(INDEX('BASE EDITAL'!$D:$D,EDITAL!B98+1))),IF($C98=$C96,"Especificação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EDITAL'!$D$2="",INDEX('MAPA DE PREÇOS'!H:H,MATCH(EDITAL!B99,'MAPA DE PREÇOS'!B:B,0)+1),UPPER(INDEX('BASE EDITAL'!$D:$D,EDITAL!B99+1))),IF($C99=$C97,"Especificação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EDITAL'!$D$2="",INDEX('MAPA DE PREÇOS'!H:H,MATCH(EDITAL!B100,'MAPA DE PREÇOS'!B:B,0)+1),UPPER(INDEX('BASE EDITAL'!$D:$D,EDITAL!B100+1))),IF($C100=$C98,"Especificação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EDITAL'!$D$2="",INDEX('MAPA DE PREÇOS'!H:H,MATCH(EDITAL!B101,'MAPA DE PREÇOS'!B:B,0)+1),UPPER(INDEX('BASE EDITAL'!$D:$D,EDITAL!B101+1))),IF($C101=$C99,"Especificação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EDITAL'!$D$2="",INDEX('MAPA DE PREÇOS'!H:H,MATCH(EDITAL!B102,'MAPA DE PREÇOS'!B:B,0)+1),UPPER(INDEX('BASE EDITAL'!$D:$D,EDITAL!B102+1))),IF($C102=$C100,"Especificação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EDITAL'!$D$2="",INDEX('MAPA DE PREÇOS'!H:H,MATCH(EDITAL!B103,'MAPA DE PREÇOS'!B:B,0)+1),UPPER(INDEX('BASE EDITAL'!$D:$D,EDITAL!B103+1))),IF($C103=$C101,"Especificação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EDITAL'!$D$2="",INDEX('MAPA DE PREÇOS'!H:H,MATCH(EDITAL!B104,'MAPA DE PREÇOS'!B:B,0)+1),UPPER(INDEX('BASE EDITAL'!$D:$D,EDITAL!B104+1))),IF($C104=$C102,"Especificação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EDITAL'!$D$2="",INDEX('MAPA DE PREÇOS'!H:H,MATCH(EDITAL!B105,'MAPA DE PREÇOS'!B:B,0)+1),UPPER(INDEX('BASE EDITAL'!$D:$D,EDITAL!B105+1))),IF($C105=$C103,"Especificação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EDITAL'!$D$2="",INDEX('MAPA DE PREÇOS'!H:H,MATCH(EDITAL!B106,'MAPA DE PREÇOS'!B:B,0)+1),UPPER(INDEX('BASE EDITAL'!$D:$D,EDITAL!B106+1))),IF($C106=$C104,"Especificação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EDITAL'!$D$2="",INDEX('MAPA DE PREÇOS'!H:H,MATCH(EDITAL!B107,'MAPA DE PREÇOS'!B:B,0)+1),UPPER(INDEX('BASE EDITAL'!$D:$D,EDITAL!B107+1))),IF($C107=$C105,"Especificação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4" t="str">
        <f>'MAPA DE PREÇOS'!H5</f>
        <v>SECRETARIA MUNICIPAL DE PLANEJAMENTO E GESTÃO (SMPG)</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0" t="s">
        <v>354</v>
      </c>
      <c r="O7" s="241"/>
      <c r="P7" s="240" t="s">
        <v>364</v>
      </c>
      <c r="Q7" s="241"/>
      <c r="R7" s="240" t="s">
        <v>365</v>
      </c>
      <c r="S7" s="241"/>
      <c r="T7" s="240" t="s">
        <v>366</v>
      </c>
      <c r="U7" s="241"/>
      <c r="V7" s="240" t="s">
        <v>367</v>
      </c>
      <c r="W7" s="241"/>
      <c r="X7" s="240" t="s">
        <v>368</v>
      </c>
      <c r="Y7" s="241"/>
      <c r="Z7" s="240" t="s">
        <v>369</v>
      </c>
      <c r="AA7" s="241"/>
      <c r="AB7" s="240" t="s">
        <v>370</v>
      </c>
      <c r="AC7" s="241"/>
      <c r="AD7" s="240" t="s">
        <v>371</v>
      </c>
      <c r="AE7" s="241"/>
      <c r="AF7" s="240" t="s">
        <v>372</v>
      </c>
      <c r="AG7" s="241"/>
      <c r="AH7" s="240" t="s">
        <v>373</v>
      </c>
      <c r="AI7" s="241"/>
      <c r="AJ7" s="240" t="s">
        <v>374</v>
      </c>
      <c r="AK7" s="24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t="str">
        <f>IF($B7="","",IF($C8=$C5,INDEX('MAPA DE PREÇOS'!$H:$H,MATCH($B8,'MAPA DE PREÇOS'!$B:$B)-19),IF($C8=$C6,"Código","")))</f>
        <v>MS.6.0-A0101</v>
      </c>
      <c r="G8" s="83" t="str">
        <f>IF($B7="","",IF($C8=$C5,IF('BASE EDITAL'!$D$2="",INDEX('MAPA DE PREÇOS'!H:H,MATCH(EDITAL!B8,'MAPA DE PREÇOS'!B:B,0)+1),UPPER(INDEX('BASE EDITAL'!$D:$D,EDITAL!B8+1))),IF($C8=$C6,"Especificação do Objeto","")))</f>
        <v>OFFICE PROFESSIONAL PLUS ALNG LSA</v>
      </c>
      <c r="H8" s="84" t="str">
        <f>IF($B7="","",IF($C8=$C5,INDEX('MAPA DE PREÇOS'!$M:$M,MATCH($B8,'MAPA DE PREÇOS'!$B:$B)-16),IF($C8=$C6,"Unidade","")))</f>
        <v>Unidade/Ano</v>
      </c>
      <c r="I8" s="84">
        <f>IF($B7="","",IF($C8=$C5,INDEX('MAPA DE PREÇOS'!$M:$M,MATCH($B8,'MAPA DE PREÇOS'!$B:$B)-17),IF($C8=$C6,"Quant.","")))</f>
        <v>368</v>
      </c>
      <c r="J8" s="60">
        <f>IF(J7="Total Mensal","Total Acumulado",IF($B7="","",IF($C8=$C5,INDEX('MAPA DE PREÇOS'!$M:$M,MATCH($B8,'MAPA DE PREÇOS'!$B:$B)-19),IF($C8=$C6,"Valor Unit. (R$)",IF(AND($C8&lt;&gt;$C7,$J7&lt;&gt;""),"Total Mensal","")))))</f>
        <v>5716.26</v>
      </c>
      <c r="K8" s="75">
        <f>IF(J8="","",IF(J8="Total Mensal","-",IF(J8="Total Acumulado",SUM(K$7:K7),I8*J8)))</f>
        <v>2103583.6800000002</v>
      </c>
      <c r="L8" s="112">
        <f>IF(J8="","",IF(J8="Total Mensal","-",IF(J8="Total Acumulado",SUM(L$7:L7),K8/SUMIF(J:J,"Total Acumulado",K:K))))</f>
        <v>0.63327497079389405</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t="str">
        <f>IF($B8="","",IF($C9=$C6,INDEX('MAPA DE PREÇOS'!$H:$H,MATCH($B9,'MAPA DE PREÇOS'!$B:$B)-19),IF($C9=$C7,"Código","")))</f>
        <v>MS.6.0-A0004</v>
      </c>
      <c r="G9" s="83" t="str">
        <f>IF($B8="","",IF($C9=$C6,IF('BASE EDITAL'!$D$2="",INDEX('MAPA DE PREÇOS'!H:H,MATCH(EDITAL!B9,'MAPA DE PREÇOS'!B:B,0)+1),UPPER(INDEX('BASE EDITAL'!$D:$D,EDITAL!B9+1))),IF($C9=$C7,"Especificação do Objeto","")))</f>
        <v>PROJECT STANDARD ALNG LSA</v>
      </c>
      <c r="H9" s="84" t="str">
        <f>IF($B8="","",IF($C9=$C6,INDEX('MAPA DE PREÇOS'!$M:$M,MATCH($B9,'MAPA DE PREÇOS'!$B:$B)-16),IF($C9=$C7,"Unidade","")))</f>
        <v>Unidade/Ano</v>
      </c>
      <c r="I9" s="84">
        <f>IF($B8="","",IF($C9=$C6,INDEX('MAPA DE PREÇOS'!$M:$M,MATCH($B9,'MAPA DE PREÇOS'!$B:$B)-17),IF($C9=$C7,"Quant.","")))</f>
        <v>3</v>
      </c>
      <c r="J9" s="60">
        <f>IF(J8="Total Mensal","Total Acumulado",IF($B8="","",IF($C9=$C6,INDEX('MAPA DE PREÇOS'!$M:$M,MATCH($B9,'MAPA DE PREÇOS'!$B:$B)-19),IF($C9=$C7,"Valor Unit. (R$)",IF(AND($C9&lt;&gt;$C8,$J8&lt;&gt;""),"Total Mensal","")))))</f>
        <v>6776.46</v>
      </c>
      <c r="K9" s="75">
        <f>IF(J9="","",IF(J9="Total Mensal","-",IF(J9="Total Acumulado",SUM(K$7:K8),I9*J9)))</f>
        <v>20329.38</v>
      </c>
      <c r="L9" s="112">
        <f>IF(J9="","",IF(J9="Total Mensal","-",IF(J9="Total Acumulado",SUM(L$7:L8),K9/SUMIF(J:J,"Total Acumulado",K:K))))</f>
        <v>6.1200738759096922E-3</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t="str">
        <f>IF($B9="","",IF($C10=$C7,INDEX('MAPA DE PREÇOS'!$H:$H,MATCH($B10,'MAPA DE PREÇOS'!$B:$B)-19),IF($C10=$C8,"Código","")))</f>
        <v>MS.6.0-A1343</v>
      </c>
      <c r="G10" s="83" t="str">
        <f>IF($B9="","",IF($C10=$C7,IF('BASE EDITAL'!$D$2="",INDEX('MAPA DE PREÇOS'!H:H,MATCH(EDITAL!B10,'MAPA DE PREÇOS'!B:B,0)+1),UPPER(INDEX('BASE EDITAL'!$D:$D,EDITAL!B10+1))),IF($C10=$C8,"Especificação do Objeto","")))</f>
        <v>PROJECT PROFESSIONAL ALNG LSA 1 SERVER CAL</v>
      </c>
      <c r="H10" s="84" t="str">
        <f>IF($B9="","",IF($C10=$C7,INDEX('MAPA DE PREÇOS'!$M:$M,MATCH($B10,'MAPA DE PREÇOS'!$B:$B)-16),IF($C10=$C8,"Unidade","")))</f>
        <v>Unidade/Ano</v>
      </c>
      <c r="I10" s="84">
        <f>IF($B9="","",IF($C10=$C7,INDEX('MAPA DE PREÇOS'!$M:$M,MATCH($B10,'MAPA DE PREÇOS'!$B:$B)-17),IF($C10=$C8,"Quant.","")))</f>
        <v>16</v>
      </c>
      <c r="J10" s="60">
        <f>IF(J9="Total Mensal","Total Acumulado",IF($B9="","",IF($C10=$C7,INDEX('MAPA DE PREÇOS'!$M:$M,MATCH($B10,'MAPA DE PREÇOS'!$B:$B)-19),IF($C10=$C8,"Valor Unit. (R$)",IF(AND($C10&lt;&gt;$C9,$J9&lt;&gt;""),"Total Mensal","")))))</f>
        <v>11257.83</v>
      </c>
      <c r="K10" s="75">
        <f>IF(J10="","",IF(J10="Total Mensal","-",IF(J10="Total Acumulado",SUM(K$7:K9),I10*J10)))</f>
        <v>180125.28</v>
      </c>
      <c r="L10" s="112">
        <f>IF(J10="","",IF(J10="Total Mensal","-",IF(J10="Total Acumulado",SUM(L$7:L9),K10/SUMIF(J:J,"Total Acumulado",K:K))))</f>
        <v>5.4225953792930159E-2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t="str">
        <f>IF($B10="","",IF($C11=$C8,INDEX('MAPA DE PREÇOS'!$H:$H,MATCH($B11,'MAPA DE PREÇOS'!$B:$B)-19),IF($C11=$C9,"Código","")))</f>
        <v>MS.6.0-A1506</v>
      </c>
      <c r="G11" s="83" t="str">
        <f>IF($B10="","",IF($C11=$C8,IF('BASE EDITAL'!$D$2="",INDEX('MAPA DE PREÇOS'!H:H,MATCH(EDITAL!B11,'MAPA DE PREÇOS'!B:B,0)+1),UPPER(INDEX('BASE EDITAL'!$D:$D,EDITAL!B11+1))),IF($C11=$C9,"Especificação do Objeto","")))</f>
        <v>POWER BI PRO SUB PER USER</v>
      </c>
      <c r="H11" s="84" t="str">
        <f>IF($B10="","",IF($C11=$C8,INDEX('MAPA DE PREÇOS'!$M:$M,MATCH($B11,'MAPA DE PREÇOS'!$B:$B)-16),IF($C11=$C9,"Unidade","")))</f>
        <v>Unidade/Mensal</v>
      </c>
      <c r="I11" s="84">
        <f>IF($B10="","",IF($C11=$C8,INDEX('MAPA DE PREÇOS'!$M:$M,MATCH($B11,'MAPA DE PREÇOS'!$B:$B)-17),IF($C11=$C9,"Quant.","")))</f>
        <v>81</v>
      </c>
      <c r="J11" s="60">
        <f>IF(J10="Total Mensal","Total Acumulado",IF($B10="","",IF($C11=$C8,INDEX('MAPA DE PREÇOS'!$M:$M,MATCH($B11,'MAPA DE PREÇOS'!$B:$B)-19),IF($C11=$C9,"Valor Unit. (R$)",IF(AND($C11&lt;&gt;$C10,$J10&lt;&gt;""),"Total Mensal","")))))</f>
        <v>3043.08</v>
      </c>
      <c r="K11" s="75">
        <f>IF(J11="","",IF(J11="Total Mensal","-",IF(J11="Total Acumulado",SUM(K$7:K10),I11*J11)))</f>
        <v>246489.47999999998</v>
      </c>
      <c r="L11" s="112">
        <f>IF(J11="","",IF(J11="Total Mensal","-",IF(J11="Total Acumulado",SUM(L$7:L10),K11/SUMIF(J:J,"Total Acumulado",K:K))))</f>
        <v>7.4204615548263866E-2</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t="str">
        <f>IF($B11="","",IF($C12=$C9,INDEX('MAPA DE PREÇOS'!$H:$H,MATCH($B12,'MAPA DE PREÇOS'!$B:$B)-19),IF($C12=$C10,"Código","")))</f>
        <v>MS.6.0-A0871</v>
      </c>
      <c r="G12" s="83" t="str">
        <f>IF($B11="","",IF($C12=$C9,IF('BASE EDITAL'!$D$2="",INDEX('MAPA DE PREÇOS'!H:H,MATCH(EDITAL!B12,'MAPA DE PREÇOS'!B:B,0)+1),UPPER(INDEX('BASE EDITAL'!$D:$D,EDITAL!B12+1))),IF($C12=$C10,"Especificação do Objeto","")))</f>
        <v>O365 E3 SUB PER USER</v>
      </c>
      <c r="H12" s="84" t="str">
        <f>IF($B11="","",IF($C12=$C9,INDEX('MAPA DE PREÇOS'!$M:$M,MATCH($B12,'MAPA DE PREÇOS'!$B:$B)-16),IF($C12=$C10,"Unidade","")))</f>
        <v>Unidade/Mensal</v>
      </c>
      <c r="I12" s="84">
        <f>IF($B11="","",IF($C12=$C9,INDEX('MAPA DE PREÇOS'!$M:$M,MATCH($B12,'MAPA DE PREÇOS'!$B:$B)-17),IF($C12=$C10,"Quant.","")))</f>
        <v>83</v>
      </c>
      <c r="J12" s="60">
        <f>IF(J11="Total Mensal","Total Acumulado",IF($B11="","",IF($C12=$C9,INDEX('MAPA DE PREÇOS'!$M:$M,MATCH($B12,'MAPA DE PREÇOS'!$B:$B)-19),IF($C12=$C10,"Valor Unit. (R$)",IF(AND($C12&lt;&gt;$C11,$J11&lt;&gt;""),"Total Mensal","")))))</f>
        <v>4999.32</v>
      </c>
      <c r="K12" s="75">
        <f>IF(J12="","",IF(J12="Total Mensal","-",IF(J12="Total Acumulado",SUM(K$7:K11),I12*J12)))</f>
        <v>414943.56</v>
      </c>
      <c r="L12" s="112">
        <f>IF(J12="","",IF(J12="Total Mensal","-",IF(J12="Total Acumulado",SUM(L$7:L11),K12/SUMIF(J:J,"Total Acumulado",K:K))))</f>
        <v>0.12491700393878051</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t="str">
        <f>IF($B12="","",IF($C13=$C10,INDEX('MAPA DE PREÇOS'!$H:$H,MATCH($B13,'MAPA DE PREÇOS'!$B:$B)-19),IF($C13=$C11,"Código","")))</f>
        <v>MS.6.0-A1692</v>
      </c>
      <c r="G13" s="83" t="str">
        <f>IF($B12="","",IF($C13=$C10,IF('BASE EDITAL'!$D$2="",INDEX('MAPA DE PREÇOS'!H:H,MATCH(EDITAL!B13,'MAPA DE PREÇOS'!B:B,0)+1),UPPER(INDEX('BASE EDITAL'!$D:$D,EDITAL!B13+1))),IF($C13=$C11,"Especificação do Objeto","")))</f>
        <v>O365 E5 SUB PER USER</v>
      </c>
      <c r="H13" s="84" t="str">
        <f>IF($B12="","",IF($C13=$C10,INDEX('MAPA DE PREÇOS'!$M:$M,MATCH($B13,'MAPA DE PREÇOS'!$B:$B)-16),IF($C13=$C11,"Unidade","")))</f>
        <v>Unidade/Mensal</v>
      </c>
      <c r="I13" s="84">
        <f>IF($B12="","",IF($C13=$C10,INDEX('MAPA DE PREÇOS'!$M:$M,MATCH($B13,'MAPA DE PREÇOS'!$B:$B)-17),IF($C13=$C11,"Quant.","")))</f>
        <v>3</v>
      </c>
      <c r="J13" s="60">
        <f>IF(J12="Total Mensal","Total Acumulado",IF($B12="","",IF($C13=$C10,INDEX('MAPA DE PREÇOS'!$M:$M,MATCH($B13,'MAPA DE PREÇOS'!$B:$B)-19),IF($C13=$C11,"Valor Unit. (R$)",IF(AND($C13&lt;&gt;$C12,$J12&lt;&gt;""),"Total Mensal","")))))</f>
        <v>8260.56</v>
      </c>
      <c r="K13" s="75">
        <f>IF(J13="","",IF(J13="Total Mensal","-",IF(J13="Total Acumulado",SUM(K$7:K12),I13*J13)))</f>
        <v>24781.68</v>
      </c>
      <c r="L13" s="112">
        <f>IF(J13="","",IF(J13="Total Mensal","-",IF(J13="Total Acumulado",SUM(L$7:L12),K13/SUMIF(J:J,"Total Acumulado",K:K))))</f>
        <v>7.4604199621018299E-3</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t="str">
        <f>IF($B13="","",IF($C14=$C11,INDEX('MAPA DE PREÇOS'!$H:$H,MATCH($B14,'MAPA DE PREÇOS'!$B:$B)-19),IF($C14=$C12,"Código","")))</f>
        <v>MS.6.0-A0463</v>
      </c>
      <c r="G14" s="83" t="str">
        <f>IF($B13="","",IF($C14=$C11,IF('BASE EDITAL'!$D$2="",INDEX('MAPA DE PREÇOS'!H:H,MATCH(EDITAL!B14,'MAPA DE PREÇOS'!B:B,0)+1),UPPER(INDEX('BASE EDITAL'!$D:$D,EDITAL!B14+1))),IF($C14=$C12,"Especificação do Objeto","")))</f>
        <v>PLANNER &amp; PROJECT P3 SUB PER USER</v>
      </c>
      <c r="H14" s="84" t="str">
        <f>IF($B13="","",IF($C14=$C11,INDEX('MAPA DE PREÇOS'!$M:$M,MATCH($B14,'MAPA DE PREÇOS'!$B:$B)-16),IF($C14=$C12,"Unidade","")))</f>
        <v>Unidade/Mensal</v>
      </c>
      <c r="I14" s="84">
        <f>IF($B13="","",IF($C14=$C11,INDEX('MAPA DE PREÇOS'!$M:$M,MATCH($B14,'MAPA DE PREÇOS'!$B:$B)-17),IF($C14=$C12,"Quant.","")))</f>
        <v>41</v>
      </c>
      <c r="J14" s="60">
        <f>IF(J13="Total Mensal","Total Acumulado",IF($B13="","",IF($C14=$C11,INDEX('MAPA DE PREÇOS'!$M:$M,MATCH($B14,'MAPA DE PREÇOS'!$B:$B)-19),IF($C14=$C12,"Valor Unit. (R$)",IF(AND($C14&lt;&gt;$C13,$J13&lt;&gt;""),"Total Mensal","")))))</f>
        <v>6521.4</v>
      </c>
      <c r="K14" s="75">
        <f>IF(J14="","",IF(J14="Total Mensal","-",IF(J14="Total Acumulado",SUM(K$7:K13),I14*J14)))</f>
        <v>267377.39999999997</v>
      </c>
      <c r="L14" s="112">
        <f>IF(J14="","",IF(J14="Total Mensal","-",IF(J14="Total Acumulado",SUM(L$7:L13),K14/SUMIF(J:J,"Total Acumulado",K:K))))</f>
        <v>8.0492835529103982E-2</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t="str">
        <f>IF($B14="","",IF($C15=$C12,INDEX('MAPA DE PREÇOS'!$H:$H,MATCH($B15,'MAPA DE PREÇOS'!$B:$B)-19),IF($C15=$C13,"Código","")))</f>
        <v>MS.6.0-A0491</v>
      </c>
      <c r="G15" s="83" t="str">
        <f>IF($B14="","",IF($C15=$C12,IF('BASE EDITAL'!$D$2="",INDEX('MAPA DE PREÇOS'!H:H,MATCH(EDITAL!B15,'MAPA DE PREÇOS'!B:B,0)+1),UPPER(INDEX('BASE EDITAL'!$D:$D,EDITAL!B15+1))),IF($C15=$C13,"Especificação do Objeto","")))</f>
        <v>PLANNER &amp; PROJECT P5 SUB PER USER</v>
      </c>
      <c r="H15" s="84" t="str">
        <f>IF($B14="","",IF($C15=$C12,INDEX('MAPA DE PREÇOS'!$M:$M,MATCH($B15,'MAPA DE PREÇOS'!$B:$B)-16),IF($C15=$C13,"Unidade","")))</f>
        <v>Unidade/Mensal</v>
      </c>
      <c r="I15" s="84">
        <f>IF($B14="","",IF($C15=$C12,INDEX('MAPA DE PREÇOS'!$M:$M,MATCH($B15,'MAPA DE PREÇOS'!$B:$B)-17),IF($C15=$C13,"Quant.","")))</f>
        <v>3</v>
      </c>
      <c r="J15" s="60">
        <f>IF(J14="Total Mensal","Total Acumulado",IF($B14="","",IF($C15=$C12,INDEX('MAPA DE PREÇOS'!$M:$M,MATCH($B15,'MAPA DE PREÇOS'!$B:$B)-19),IF($C15=$C13,"Valor Unit. (R$)",IF(AND($C15&lt;&gt;$C14,$J14&lt;&gt;""),"Total Mensal","")))))</f>
        <v>11955.24</v>
      </c>
      <c r="K15" s="75">
        <f>IF(J15="","",IF(J15="Total Mensal","-",IF(J15="Total Acumulado",SUM(K$7:K14),I15*J15)))</f>
        <v>35865.72</v>
      </c>
      <c r="L15" s="112">
        <f>IF(J15="","",IF(J15="Total Mensal","-",IF(J15="Total Acumulado",SUM(L$7:L14),K15/SUMIF(J:J,"Total Acumulado",K:K))))</f>
        <v>1.0797223329619091E-2</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t="str">
        <f>IF($B15="","",IF($C16=$C13,INDEX('MAPA DE PREÇOS'!$H:$H,MATCH($B16,'MAPA DE PREÇOS'!$B:$B)-19),IF($C16=$C14,"Código","")))</f>
        <v>MS.6.0-A1769</v>
      </c>
      <c r="G16" s="83" t="str">
        <f>IF($B15="","",IF($C16=$C13,IF('BASE EDITAL'!$D$2="",INDEX('MAPA DE PREÇOS'!H:H,MATCH(EDITAL!B16,'MAPA DE PREÇOS'!B:B,0)+1),UPPER(INDEX('BASE EDITAL'!$D:$D,EDITAL!B16+1))),IF($C16=$C14,"Especificação do Objeto","")))</f>
        <v>PLANNER P1 SUB PER USER</v>
      </c>
      <c r="H16" s="84" t="str">
        <f>IF($B15="","",IF($C16=$C13,INDEX('MAPA DE PREÇOS'!$M:$M,MATCH($B16,'MAPA DE PREÇOS'!$B:$B)-16),IF($C16=$C14,"Unidade","")))</f>
        <v>Unidade/Mensal</v>
      </c>
      <c r="I16" s="84">
        <f>IF($B15="","",IF($C16=$C13,INDEX('MAPA DE PREÇOS'!$M:$M,MATCH($B16,'MAPA DE PREÇOS'!$B:$B)-17),IF($C16=$C14,"Quant.","")))</f>
        <v>13</v>
      </c>
      <c r="J16" s="60">
        <f>IF(J15="Total Mensal","Total Acumulado",IF($B15="","",IF($C16=$C13,INDEX('MAPA DE PREÇOS'!$M:$M,MATCH($B16,'MAPA DE PREÇOS'!$B:$B)-19),IF($C16=$C14,"Valor Unit. (R$)",IF(AND($C16&lt;&gt;$C15,$J15&lt;&gt;""),"Total Mensal","")))))</f>
        <v>2173.6799999999998</v>
      </c>
      <c r="K16" s="75">
        <f>IF(J16="","",IF(J16="Total Mensal","-",IF(J16="Total Acumulado",SUM(K$7:K15),I16*J16)))</f>
        <v>28257.839999999997</v>
      </c>
      <c r="L16" s="112">
        <f>IF(J16="","",IF(J16="Total Mensal","-",IF(J16="Total Acumulado",SUM(L$7:L15),K16/SUMIF(J:J,"Total Acumulado",K:K))))</f>
        <v>8.5069032293968588E-3</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EDITAL'!$D$2="",INDEX('MAPA DE PREÇOS'!H:H,MATCH(EDITAL!B17,'MAPA DE PREÇOS'!B:B,0)+1),UPPER(INDEX('BASE EDITAL'!$D:$D,EDITAL!B17+1))),IF($C17=$C15,"Especificação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Total Mensal</v>
      </c>
      <c r="K17" s="75" t="str">
        <f>IF(J17="","",IF(J17="Total Mensal","-",IF(J17="Total Acumulado",SUM(K$7:K16),I17*J17)))</f>
        <v>-</v>
      </c>
      <c r="L17" s="112" t="str">
        <f>IF(J17="","",IF(J17="Total Mensal","-",IF(J17="Total Acumulado",SUM(L$7:L16),K17/SUMIF(J:J,"Total Acumulado",K:K))))</f>
        <v>-</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EDITAL'!$D$2="",INDEX('MAPA DE PREÇOS'!H:H,MATCH(EDITAL!B18,'MAPA DE PREÇOS'!B:B,0)+1),UPPER(INDEX('BASE EDITAL'!$D:$D,EDITAL!B18+1))),IF($C18=$C16,"Especificação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Total Acumulado</v>
      </c>
      <c r="K18" s="75">
        <f>IF(J18="","",IF(J18="Total Mensal","-",IF(J18="Total Acumulado",SUM(K$7:K17),I18*J18)))</f>
        <v>3321754.02</v>
      </c>
      <c r="L18" s="112">
        <f>IF(J18="","",IF(J18="Total Mensal","-",IF(J18="Total Acumulado",SUM(L$7:L17),K18/SUMIF(J:J,"Total Acumulado",K:K))))</f>
        <v>1</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EDITAL'!$D$2="",INDEX('MAPA DE PREÇOS'!H:H,MATCH(EDITAL!B19,'MAPA DE PREÇOS'!B:B,0)+1),UPPER(INDEX('BASE EDITAL'!$D:$D,EDITAL!B19+1))),IF($C19=$C17,"Especificação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EDITAL'!$D$2="",INDEX('MAPA DE PREÇOS'!H:H,MATCH(EDITAL!B20,'MAPA DE PREÇOS'!B:B,0)+1),UPPER(INDEX('BASE EDITAL'!$D:$D,EDITAL!B20+1))),IF($C20=$C18,"Especificação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EDITAL'!$D$2="",INDEX('MAPA DE PREÇOS'!H:H,MATCH(EDITAL!B21,'MAPA DE PREÇOS'!B:B,0)+1),UPPER(INDEX('BASE EDITAL'!$D:$D,EDITAL!B21+1))),IF($C21=$C19,"Especificação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EDITAL'!$D$2="",INDEX('MAPA DE PREÇOS'!H:H,MATCH(EDITAL!B22,'MAPA DE PREÇOS'!B:B,0)+1),UPPER(INDEX('BASE EDITAL'!$D:$D,EDITAL!B22+1))),IF($C22=$C20,"Especificação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EDITAL'!$D$2="",INDEX('MAPA DE PREÇOS'!H:H,MATCH(EDITAL!B23,'MAPA DE PREÇOS'!B:B,0)+1),UPPER(INDEX('BASE EDITAL'!$D:$D,EDITAL!B23+1))),IF($C23=$C21,"Especificação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EDITAL'!$D$2="",INDEX('MAPA DE PREÇOS'!H:H,MATCH(EDITAL!B24,'MAPA DE PREÇOS'!B:B,0)+1),UPPER(INDEX('BASE EDITAL'!$D:$D,EDITAL!B24+1))),IF($C24=$C22,"Especificação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EDITAL'!$D$2="",INDEX('MAPA DE PREÇOS'!H:H,MATCH(EDITAL!B25,'MAPA DE PREÇOS'!B:B,0)+1),UPPER(INDEX('BASE EDITAL'!$D:$D,EDITAL!B25+1))),IF($C25=$C23,"Especificação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EDITAL'!$D$2="",INDEX('MAPA DE PREÇOS'!H:H,MATCH(EDITAL!B26,'MAPA DE PREÇOS'!B:B,0)+1),UPPER(INDEX('BASE EDITAL'!$D:$D,EDITAL!B26+1))),IF($C26=$C24,"Especificação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EDITAL'!$D$2="",INDEX('MAPA DE PREÇOS'!H:H,MATCH(EDITAL!B27,'MAPA DE PREÇOS'!B:B,0)+1),UPPER(INDEX('BASE EDITAL'!$D:$D,EDITAL!B27+1))),IF($C27=$C25,"Especificação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EDITAL'!$D$2="",INDEX('MAPA DE PREÇOS'!H:H,MATCH(EDITAL!B28,'MAPA DE PREÇOS'!B:B,0)+1),UPPER(INDEX('BASE EDITAL'!$D:$D,EDITAL!B28+1))),IF($C28=$C26,"Especificação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EDITAL'!$D$2="",INDEX('MAPA DE PREÇOS'!H:H,MATCH(EDITAL!B29,'MAPA DE PREÇOS'!B:B,0)+1),UPPER(INDEX('BASE EDITAL'!$D:$D,EDITAL!B29+1))),IF($C29=$C27,"Especificação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EDITAL'!$D$2="",INDEX('MAPA DE PREÇOS'!H:H,MATCH(EDITAL!B30,'MAPA DE PREÇOS'!B:B,0)+1),UPPER(INDEX('BASE EDITAL'!$D:$D,EDITAL!B30+1))),IF($C30=$C28,"Especificação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EDITAL'!$D$2="",INDEX('MAPA DE PREÇOS'!H:H,MATCH(EDITAL!B31,'MAPA DE PREÇOS'!B:B,0)+1),UPPER(INDEX('BASE EDITAL'!$D:$D,EDITAL!B31+1))),IF($C31=$C29,"Especificação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EDITAL'!$D$2="",INDEX('MAPA DE PREÇOS'!H:H,MATCH(EDITAL!B32,'MAPA DE PREÇOS'!B:B,0)+1),UPPER(INDEX('BASE EDITAL'!$D:$D,EDITAL!B32+1))),IF($C32=$C30,"Especificação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EDITAL'!$D$2="",INDEX('MAPA DE PREÇOS'!H:H,MATCH(EDITAL!B33,'MAPA DE PREÇOS'!B:B,0)+1),UPPER(INDEX('BASE EDITAL'!$D:$D,EDITAL!B33+1))),IF($C33=$C31,"Especificação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EDITAL'!$D$2="",INDEX('MAPA DE PREÇOS'!H:H,MATCH(EDITAL!B34,'MAPA DE PREÇOS'!B:B,0)+1),UPPER(INDEX('BASE EDITAL'!$D:$D,EDITAL!B34+1))),IF($C34=$C32,"Especificação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EDITAL'!$D$2="",INDEX('MAPA DE PREÇOS'!H:H,MATCH(EDITAL!B35,'MAPA DE PREÇOS'!B:B,0)+1),UPPER(INDEX('BASE EDITAL'!$D:$D,EDITAL!B35+1))),IF($C35=$C33,"Especificação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EDITAL'!$D$2="",INDEX('MAPA DE PREÇOS'!H:H,MATCH(EDITAL!B36,'MAPA DE PREÇOS'!B:B,0)+1),UPPER(INDEX('BASE EDITAL'!$D:$D,EDITAL!B36+1))),IF($C36=$C34,"Especificação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EDITAL'!$D$2="",INDEX('MAPA DE PREÇOS'!H:H,MATCH(EDITAL!B37,'MAPA DE PREÇOS'!B:B,0)+1),UPPER(INDEX('BASE EDITAL'!$D:$D,EDITAL!B37+1))),IF($C37=$C35,"Especificação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EDITAL'!$D$2="",INDEX('MAPA DE PREÇOS'!H:H,MATCH(EDITAL!B38,'MAPA DE PREÇOS'!B:B,0)+1),UPPER(INDEX('BASE EDITAL'!$D:$D,EDITAL!B38+1))),IF($C38=$C36,"Especificação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EDITAL'!$D$2="",INDEX('MAPA DE PREÇOS'!H:H,MATCH(EDITAL!B39,'MAPA DE PREÇOS'!B:B,0)+1),UPPER(INDEX('BASE EDITAL'!$D:$D,EDITAL!B39+1))),IF($C39=$C37,"Especificação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EDITAL'!$D$2="",INDEX('MAPA DE PREÇOS'!H:H,MATCH(EDITAL!B40,'MAPA DE PREÇOS'!B:B,0)+1),UPPER(INDEX('BASE EDITAL'!$D:$D,EDITAL!B40+1))),IF($C40=$C38,"Especificação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EDITAL'!$D$2="",INDEX('MAPA DE PREÇOS'!H:H,MATCH(EDITAL!B41,'MAPA DE PREÇOS'!B:B,0)+1),UPPER(INDEX('BASE EDITAL'!$D:$D,EDITAL!B41+1))),IF($C41=$C39,"Especificação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EDITAL'!$D$2="",INDEX('MAPA DE PREÇOS'!H:H,MATCH(EDITAL!B42,'MAPA DE PREÇOS'!B:B,0)+1),UPPER(INDEX('BASE EDITAL'!$D:$D,EDITAL!B42+1))),IF($C42=$C40,"Especificação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EDITAL'!$D$2="",INDEX('MAPA DE PREÇOS'!H:H,MATCH(EDITAL!B43,'MAPA DE PREÇOS'!B:B,0)+1),UPPER(INDEX('BASE EDITAL'!$D:$D,EDITAL!B43+1))),IF($C43=$C41,"Especificação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EDITAL'!$D$2="",INDEX('MAPA DE PREÇOS'!H:H,MATCH(EDITAL!B44,'MAPA DE PREÇOS'!B:B,0)+1),UPPER(INDEX('BASE EDITAL'!$D:$D,EDITAL!B44+1))),IF($C44=$C42,"Especificação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EDITAL'!$D$2="",INDEX('MAPA DE PREÇOS'!H:H,MATCH(EDITAL!B45,'MAPA DE PREÇOS'!B:B,0)+1),UPPER(INDEX('BASE EDITAL'!$D:$D,EDITAL!B45+1))),IF($C45=$C43,"Especificação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EDITAL'!$D$2="",INDEX('MAPA DE PREÇOS'!H:H,MATCH(EDITAL!B46,'MAPA DE PREÇOS'!B:B,0)+1),UPPER(INDEX('BASE EDITAL'!$D:$D,EDITAL!B46+1))),IF($C46=$C44,"Especificação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EDITAL'!$D$2="",INDEX('MAPA DE PREÇOS'!H:H,MATCH(EDITAL!B47,'MAPA DE PREÇOS'!B:B,0)+1),UPPER(INDEX('BASE EDITAL'!$D:$D,EDITAL!B47+1))),IF($C47=$C45,"Especificação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EDITAL'!$D$2="",INDEX('MAPA DE PREÇOS'!H:H,MATCH(EDITAL!B48,'MAPA DE PREÇOS'!B:B,0)+1),UPPER(INDEX('BASE EDITAL'!$D:$D,EDITAL!B48+1))),IF($C48=$C46,"Especificação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EDITAL'!$D$2="",INDEX('MAPA DE PREÇOS'!H:H,MATCH(EDITAL!B49,'MAPA DE PREÇOS'!B:B,0)+1),UPPER(INDEX('BASE EDITAL'!$D:$D,EDITAL!B49+1))),IF($C49=$C47,"Especificação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EDITAL'!$D$2="",INDEX('MAPA DE PREÇOS'!H:H,MATCH(EDITAL!B50,'MAPA DE PREÇOS'!B:B,0)+1),UPPER(INDEX('BASE EDITAL'!$D:$D,EDITAL!B50+1))),IF($C50=$C48,"Especificação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EDITAL'!$D$2="",INDEX('MAPA DE PREÇOS'!H:H,MATCH(EDITAL!B51,'MAPA DE PREÇOS'!B:B,0)+1),UPPER(INDEX('BASE EDITAL'!$D:$D,EDITAL!B51+1))),IF($C51=$C49,"Especificação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EDITAL'!$D$2="",INDEX('MAPA DE PREÇOS'!H:H,MATCH(EDITAL!B52,'MAPA DE PREÇOS'!B:B,0)+1),UPPER(INDEX('BASE EDITAL'!$D:$D,EDITAL!B52+1))),IF($C52=$C50,"Especificação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EDITAL'!$D$2="",INDEX('MAPA DE PREÇOS'!H:H,MATCH(EDITAL!B53,'MAPA DE PREÇOS'!B:B,0)+1),UPPER(INDEX('BASE EDITAL'!$D:$D,EDITAL!B53+1))),IF($C53=$C51,"Especificação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EDITAL'!$D$2="",INDEX('MAPA DE PREÇOS'!H:H,MATCH(EDITAL!B54,'MAPA DE PREÇOS'!B:B,0)+1),UPPER(INDEX('BASE EDITAL'!$D:$D,EDITAL!B54+1))),IF($C54=$C52,"Especificação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EDITAL'!$D$2="",INDEX('MAPA DE PREÇOS'!H:H,MATCH(EDITAL!B55,'MAPA DE PREÇOS'!B:B,0)+1),UPPER(INDEX('BASE EDITAL'!$D:$D,EDITAL!B55+1))),IF($C55=$C53,"Especificação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EDITAL'!$D$2="",INDEX('MAPA DE PREÇOS'!H:H,MATCH(EDITAL!B56,'MAPA DE PREÇOS'!B:B,0)+1),UPPER(INDEX('BASE EDITAL'!$D:$D,EDITAL!B56+1))),IF($C56=$C54,"Especificação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EDITAL'!$D$2="",INDEX('MAPA DE PREÇOS'!H:H,MATCH(EDITAL!B57,'MAPA DE PREÇOS'!B:B,0)+1),UPPER(INDEX('BASE EDITAL'!$D:$D,EDITAL!B57+1))),IF($C57=$C55,"Especificação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EDITAL'!$D$2="",INDEX('MAPA DE PREÇOS'!H:H,MATCH(EDITAL!B58,'MAPA DE PREÇOS'!B:B,0)+1),UPPER(INDEX('BASE EDITAL'!$D:$D,EDITAL!B58+1))),IF($C58=$C56,"Especificação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EDITAL'!$D$2="",INDEX('MAPA DE PREÇOS'!H:H,MATCH(EDITAL!B59,'MAPA DE PREÇOS'!B:B,0)+1),UPPER(INDEX('BASE EDITAL'!$D:$D,EDITAL!B59+1))),IF($C59=$C57,"Especificação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EDITAL'!$D$2="",INDEX('MAPA DE PREÇOS'!H:H,MATCH(EDITAL!B60,'MAPA DE PREÇOS'!B:B,0)+1),UPPER(INDEX('BASE EDITAL'!$D:$D,EDITAL!B60+1))),IF($C60=$C58,"Especificação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EDITAL'!$D$2="",INDEX('MAPA DE PREÇOS'!H:H,MATCH(EDITAL!B61,'MAPA DE PREÇOS'!B:B,0)+1),UPPER(INDEX('BASE EDITAL'!$D:$D,EDITAL!B61+1))),IF($C61=$C59,"Especificação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EDITAL'!$D$2="",INDEX('MAPA DE PREÇOS'!H:H,MATCH(EDITAL!B62,'MAPA DE PREÇOS'!B:B,0)+1),UPPER(INDEX('BASE EDITAL'!$D:$D,EDITAL!B62+1))),IF($C62=$C60,"Especificação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EDITAL'!$D$2="",INDEX('MAPA DE PREÇOS'!H:H,MATCH(EDITAL!B63,'MAPA DE PREÇOS'!B:B,0)+1),UPPER(INDEX('BASE EDITAL'!$D:$D,EDITAL!B63+1))),IF($C63=$C61,"Especificação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EDITAL'!$D$2="",INDEX('MAPA DE PREÇOS'!H:H,MATCH(EDITAL!B64,'MAPA DE PREÇOS'!B:B,0)+1),UPPER(INDEX('BASE EDITAL'!$D:$D,EDITAL!B64+1))),IF($C64=$C62,"Especificação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EDITAL'!$D$2="",INDEX('MAPA DE PREÇOS'!H:H,MATCH(EDITAL!B65,'MAPA DE PREÇOS'!B:B,0)+1),UPPER(INDEX('BASE EDITAL'!$D:$D,EDITAL!B65+1))),IF($C65=$C63,"Especificação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EDITAL'!$D$2="",INDEX('MAPA DE PREÇOS'!H:H,MATCH(EDITAL!B66,'MAPA DE PREÇOS'!B:B,0)+1),UPPER(INDEX('BASE EDITAL'!$D:$D,EDITAL!B66+1))),IF($C66=$C64,"Especificação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EDITAL'!$D$2="",INDEX('MAPA DE PREÇOS'!H:H,MATCH(EDITAL!B67,'MAPA DE PREÇOS'!B:B,0)+1),UPPER(INDEX('BASE EDITAL'!$D:$D,EDITAL!B67+1))),IF($C67=$C65,"Especificação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EDITAL'!$D:$D,CRONOGRAMA!B68+1)),IF($C68=$C66,"Especificação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0.63327497079389405</v>
      </c>
      <c r="D6" s="42">
        <f>IFERROR(IF(C6=C5,IF(D5="","",D5+0.000000001),C6),"")</f>
        <v>0.63327497079389405</v>
      </c>
      <c r="E6" s="41">
        <f t="shared" ref="E6:E37" si="0">IFERROR(INDEX(B:B,MATCH(LARGE(D:D,ROW()-5),D:D,0)),"")</f>
        <v>1</v>
      </c>
      <c r="F6" s="41">
        <f>IFERROR(VLOOKUP($E6,'MAPA DE PREÇOS'!$B:$D,2,FALSE),"")</f>
        <v>1</v>
      </c>
      <c r="G6" s="41">
        <f>IFERROR(VLOOKUP($E6,'MAPA DE PREÇOS'!$B:$D,3,FALSE),"")</f>
        <v>1</v>
      </c>
      <c r="H6" s="41" t="str">
        <f t="array" ref="H6">IFERROR(IF(E6="","",INDEX('MAPA DE PREÇOS'!H:H,0+MATCH(ABC!E6,'MAPA DE PREÇOS'!B:B,0))),"")</f>
        <v>MS.6.0-A0101</v>
      </c>
      <c r="I6" t="str">
        <f>IF(E6="","",INDEX('MAPA DE PREÇOS'!H:H,MATCH(ABC!E6,'MAPA DE PREÇOS'!B:B,0)+1))</f>
        <v>Office Professional Plus ALng LSA</v>
      </c>
      <c r="J6" s="41" t="str">
        <f>IFERROR(IF(E6="","",INDEX('MAPA DE PREÇOS'!M:M,3+MATCH(ABC!E6,'MAPA DE PREÇOS'!B:B,0))),"")</f>
        <v>Unidade/Ano</v>
      </c>
      <c r="K6" s="52">
        <f t="array" ref="K6">IFERROR(IF(E6="","",INDEX('MAPA DE PREÇOS'!M:M,2+MATCH(ABC!E6,'MAPA DE PREÇOS'!B:B,0))),"")</f>
        <v>368</v>
      </c>
      <c r="L6" s="53">
        <f t="array" ref="L6">IFERROR(IF(AND(E5&lt;&gt;"",E6=""),"TOTAL ESTIMADO",INDEX('MAPA DE PREÇOS'!M:M,0+MATCH(ABC!E6,'MAPA DE PREÇOS'!B:B,0))),"")</f>
        <v>5716.26</v>
      </c>
      <c r="M6" s="54">
        <f>IFERROR(IF(AND(E5&lt;&gt;"",E6=""),SUM($M$5:M5),INDEX('MAPA DE PREÇOS'!M:M,19+MATCH(ABC!E6,'MAPA DE PREÇOS'!B:B,0))),"")</f>
        <v>2103583.6800000002</v>
      </c>
      <c r="N6" s="90">
        <f t="shared" ref="N6:N37" si="1">IFERROR(VLOOKUP(E6,$B:$C,2),"")</f>
        <v>0.63327497079389405</v>
      </c>
      <c r="O6" s="90">
        <f>N6</f>
        <v>0.63327497079389405</v>
      </c>
      <c r="P6" s="54" t="str">
        <f>IF(O6="","",IF(OR(N6&gt;=$S$6,O6&lt;=$S$6),"A",IF(O6&lt;=SUM($S$6:$S$7),"B","C")))</f>
        <v>A</v>
      </c>
      <c r="R6" s="156" t="s">
        <v>310</v>
      </c>
      <c r="S6" s="157">
        <v>0.8</v>
      </c>
      <c r="T6" s="156">
        <f>COUNTIF($P$6:$P$107,$R6)</f>
        <v>2</v>
      </c>
      <c r="U6" s="158">
        <f>SUMIFS($M$6:$M$107,$P$6:$P$107,$R6)</f>
        <v>2518527.2400000002</v>
      </c>
    </row>
    <row r="7" spans="1:21" x14ac:dyDescent="0.25">
      <c r="B7" s="41">
        <v>2</v>
      </c>
      <c r="C7" s="42">
        <f>IFERROR(INDEX('MAPA DE PREÇOS'!M:M,MATCH(B7,'MAPA DE PREÇOS'!B:B,0)+19)/(SUMPRODUCT(EDITAL!I:I,EDITAL!J:J)),"")</f>
        <v>6.1200738759096922E-3</v>
      </c>
      <c r="D7" s="42">
        <f t="shared" ref="D7:D70" si="2">IFERROR(IF(C7=C6,IF(D6="","",D6+0.000000001),C7),"")</f>
        <v>6.1200738759096922E-3</v>
      </c>
      <c r="E7" s="41">
        <f t="shared" si="0"/>
        <v>5</v>
      </c>
      <c r="F7" s="41">
        <f>IFERROR(VLOOKUP($E7,'MAPA DE PREÇOS'!$B:$D,2,FALSE),"")</f>
        <v>1</v>
      </c>
      <c r="G7" s="41">
        <f>IFERROR(VLOOKUP($E7,'MAPA DE PREÇOS'!$B:$D,3,FALSE),"")</f>
        <v>5</v>
      </c>
      <c r="H7" s="41" t="str">
        <f t="array" ref="H7">IFERROR(IF(E7="","",INDEX('MAPA DE PREÇOS'!H:H,0+MATCH(ABC!E7,'MAPA DE PREÇOS'!B:B,0))),"")</f>
        <v>MS.6.0-A0871</v>
      </c>
      <c r="I7" t="str">
        <f>IF(E7="","",INDEX('MAPA DE PREÇOS'!H:H,MATCH(ABC!E7,'MAPA DE PREÇOS'!B:B,0)+1))</f>
        <v>O365 E3 Sub Per User</v>
      </c>
      <c r="J7" s="41" t="str">
        <f>IFERROR(IF(E7="","",INDEX('MAPA DE PREÇOS'!M:M,3+MATCH(ABC!E7,'MAPA DE PREÇOS'!B:B,0))),"")</f>
        <v>Unidade/Mensal</v>
      </c>
      <c r="K7" s="52">
        <f t="array" ref="K7">IFERROR(IF(E7="","",INDEX('MAPA DE PREÇOS'!M:M,2+MATCH(ABC!E7,'MAPA DE PREÇOS'!B:B,0))),"")</f>
        <v>83</v>
      </c>
      <c r="L7" s="53">
        <f t="array" ref="L7">IFERROR(IF(AND(E6&lt;&gt;"",E7=""),"TOTAL ESTIMADO",INDEX('MAPA DE PREÇOS'!M:M,0+MATCH(ABC!E7,'MAPA DE PREÇOS'!B:B,0))),"")</f>
        <v>4999.32</v>
      </c>
      <c r="M7" s="54">
        <f>IFERROR(IF(AND(E6&lt;&gt;"",E7=""),SUM($M$5:M6),INDEX('MAPA DE PREÇOS'!M:M,19+MATCH(ABC!E7,'MAPA DE PREÇOS'!B:B,0))),"")</f>
        <v>414943.56</v>
      </c>
      <c r="N7" s="90">
        <f t="shared" si="1"/>
        <v>0.12491700393878051</v>
      </c>
      <c r="O7" s="90">
        <f>IFERROR(N7+O6,"")</f>
        <v>0.75819197473267452</v>
      </c>
      <c r="P7" s="54" t="str">
        <f t="shared" ref="P7:P70" si="3">IF(O7="","",IF(OR(N7&gt;=$S$6,O7&lt;=$S$6),"A",IF(O7&lt;=SUM($S$6:$S$7),"B","C")))</f>
        <v>A</v>
      </c>
      <c r="R7" s="159" t="s">
        <v>311</v>
      </c>
      <c r="S7" s="160">
        <v>0.15</v>
      </c>
      <c r="T7" s="159">
        <f>COUNTIF($P$6:$P$107,$R7)</f>
        <v>2</v>
      </c>
      <c r="U7" s="161">
        <f>SUMIFS($M$6:$M$107,$P$6:$P$107,$R7)</f>
        <v>513866.88</v>
      </c>
    </row>
    <row r="8" spans="1:21" x14ac:dyDescent="0.25">
      <c r="B8" s="41">
        <v>3</v>
      </c>
      <c r="C8" s="42">
        <f>IFERROR(INDEX('MAPA DE PREÇOS'!M:M,MATCH(B8,'MAPA DE PREÇOS'!B:B,0)+19)/(SUMPRODUCT(EDITAL!I:I,EDITAL!J:J)),"")</f>
        <v>5.4225953792930159E-2</v>
      </c>
      <c r="D8" s="42">
        <f t="shared" si="2"/>
        <v>5.4225953792930159E-2</v>
      </c>
      <c r="E8" s="41">
        <f t="shared" si="0"/>
        <v>7</v>
      </c>
      <c r="F8" s="41">
        <f>IFERROR(VLOOKUP($E8,'MAPA DE PREÇOS'!$B:$D,2,FALSE),"")</f>
        <v>1</v>
      </c>
      <c r="G8" s="41">
        <f>IFERROR(VLOOKUP($E8,'MAPA DE PREÇOS'!$B:$D,3,FALSE),"")</f>
        <v>7</v>
      </c>
      <c r="H8" s="41" t="str">
        <f t="array" ref="H8">IFERROR(IF(E8="","",INDEX('MAPA DE PREÇOS'!H:H,0+MATCH(ABC!E8,'MAPA DE PREÇOS'!B:B,0))),"")</f>
        <v>MS.6.0-A0463</v>
      </c>
      <c r="I8" t="str">
        <f>IF(E8="","",INDEX('MAPA DE PREÇOS'!H:H,MATCH(ABC!E8,'MAPA DE PREÇOS'!B:B,0)+1))</f>
        <v>Planner &amp; Project P3 Sub Per User</v>
      </c>
      <c r="J8" s="41" t="str">
        <f>IFERROR(IF(E8="","",INDEX('MAPA DE PREÇOS'!M:M,3+MATCH(ABC!E8,'MAPA DE PREÇOS'!B:B,0))),"")</f>
        <v>Unidade/Mensal</v>
      </c>
      <c r="K8" s="52">
        <f t="array" ref="K8">IFERROR(IF(E8="","",INDEX('MAPA DE PREÇOS'!M:M,2+MATCH(ABC!E8,'MAPA DE PREÇOS'!B:B,0))),"")</f>
        <v>41</v>
      </c>
      <c r="L8" s="53">
        <f t="array" ref="L8">IFERROR(IF(AND(E7&lt;&gt;"",E8=""),"TOTAL ESTIMADO",INDEX('MAPA DE PREÇOS'!M:M,0+MATCH(ABC!E8,'MAPA DE PREÇOS'!B:B,0))),"")</f>
        <v>6521.4</v>
      </c>
      <c r="M8" s="54">
        <f>IFERROR(IF(AND(E7&lt;&gt;"",E8=""),SUM($M$5:M7),INDEX('MAPA DE PREÇOS'!M:M,19+MATCH(ABC!E8,'MAPA DE PREÇOS'!B:B,0))),"")</f>
        <v>267377.40000000002</v>
      </c>
      <c r="N8" s="90">
        <f t="shared" si="1"/>
        <v>8.0492835529103995E-2</v>
      </c>
      <c r="O8" s="90">
        <f t="shared" ref="O8:O71" si="4">IFERROR(N8+O7,"")</f>
        <v>0.83868481026177855</v>
      </c>
      <c r="P8" s="54" t="str">
        <f t="shared" si="3"/>
        <v>B</v>
      </c>
      <c r="R8" s="153" t="s">
        <v>312</v>
      </c>
      <c r="S8" s="154">
        <v>0.05</v>
      </c>
      <c r="T8" s="153">
        <f>COUNTIF($P$6:$P$107,$R8)</f>
        <v>5</v>
      </c>
      <c r="U8" s="155">
        <f>SUMIFS($M$6:$M$107,$P$6:$P$107,$R8)</f>
        <v>289359.90000000002</v>
      </c>
    </row>
    <row r="9" spans="1:21" x14ac:dyDescent="0.25">
      <c r="B9" s="41">
        <v>4</v>
      </c>
      <c r="C9" s="42">
        <f>IFERROR(INDEX('MAPA DE PREÇOS'!M:M,MATCH(B9,'MAPA DE PREÇOS'!B:B,0)+19)/(SUMPRODUCT(EDITAL!I:I,EDITAL!J:J)),"")</f>
        <v>7.4204615548263866E-2</v>
      </c>
      <c r="D9" s="42">
        <f t="shared" si="2"/>
        <v>7.4204615548263866E-2</v>
      </c>
      <c r="E9" s="41">
        <f t="shared" si="0"/>
        <v>4</v>
      </c>
      <c r="F9" s="41">
        <f>IFERROR(VLOOKUP($E9,'MAPA DE PREÇOS'!$B:$D,2,FALSE),"")</f>
        <v>1</v>
      </c>
      <c r="G9" s="41">
        <f>IFERROR(VLOOKUP($E9,'MAPA DE PREÇOS'!$B:$D,3,FALSE),"")</f>
        <v>4</v>
      </c>
      <c r="H9" s="41" t="str">
        <f t="array" ref="H9">IFERROR(IF(E9="","",INDEX('MAPA DE PREÇOS'!H:H,0+MATCH(ABC!E9,'MAPA DE PREÇOS'!B:B,0))),"")</f>
        <v>MS.6.0-A1506</v>
      </c>
      <c r="I9" t="str">
        <f>IF(E9="","",INDEX('MAPA DE PREÇOS'!H:H,MATCH(ABC!E9,'MAPA DE PREÇOS'!B:B,0)+1))</f>
        <v>Power BI Pro Sub Per User</v>
      </c>
      <c r="J9" s="41" t="str">
        <f>IFERROR(IF(E9="","",INDEX('MAPA DE PREÇOS'!M:M,3+MATCH(ABC!E9,'MAPA DE PREÇOS'!B:B,0))),"")</f>
        <v>Unidade/Mensal</v>
      </c>
      <c r="K9" s="52">
        <f t="array" ref="K9">IFERROR(IF(E9="","",INDEX('MAPA DE PREÇOS'!M:M,2+MATCH(ABC!E9,'MAPA DE PREÇOS'!B:B,0))),"")</f>
        <v>81</v>
      </c>
      <c r="L9" s="53">
        <f t="array" ref="L9">IFERROR(IF(AND(E8&lt;&gt;"",E9=""),"TOTAL ESTIMADO",INDEX('MAPA DE PREÇOS'!M:M,0+MATCH(ABC!E9,'MAPA DE PREÇOS'!B:B,0))),"")</f>
        <v>3043.08</v>
      </c>
      <c r="M9" s="54">
        <f>IFERROR(IF(AND(E8&lt;&gt;"",E9=""),SUM($M$5:M8),INDEX('MAPA DE PREÇOS'!M:M,19+MATCH(ABC!E9,'MAPA DE PREÇOS'!B:B,0))),"")</f>
        <v>246489.48</v>
      </c>
      <c r="N9" s="90">
        <f t="shared" si="1"/>
        <v>7.4204615548263866E-2</v>
      </c>
      <c r="O9" s="90">
        <f t="shared" si="4"/>
        <v>0.9128894258100424</v>
      </c>
      <c r="P9" s="54" t="str">
        <f t="shared" si="3"/>
        <v>B</v>
      </c>
    </row>
    <row r="10" spans="1:21" x14ac:dyDescent="0.25">
      <c r="B10" s="41">
        <v>5</v>
      </c>
      <c r="C10" s="42">
        <f>IFERROR(INDEX('MAPA DE PREÇOS'!M:M,MATCH(B10,'MAPA DE PREÇOS'!B:B,0)+19)/(SUMPRODUCT(EDITAL!I:I,EDITAL!J:J)),"")</f>
        <v>0.12491700393878051</v>
      </c>
      <c r="D10" s="42">
        <f t="shared" si="2"/>
        <v>0.12491700393878051</v>
      </c>
      <c r="E10" s="41">
        <f t="shared" si="0"/>
        <v>3</v>
      </c>
      <c r="F10" s="41">
        <f>IFERROR(VLOOKUP($E10,'MAPA DE PREÇOS'!$B:$D,2,FALSE),"")</f>
        <v>1</v>
      </c>
      <c r="G10" s="41">
        <f>IFERROR(VLOOKUP($E10,'MAPA DE PREÇOS'!$B:$D,3,FALSE),"")</f>
        <v>3</v>
      </c>
      <c r="H10" s="41" t="str">
        <f t="array" ref="H10">IFERROR(IF(E10="","",INDEX('MAPA DE PREÇOS'!H:H,0+MATCH(ABC!E10,'MAPA DE PREÇOS'!B:B,0))),"")</f>
        <v>MS.6.0-A1343</v>
      </c>
      <c r="I10" t="str">
        <f>IF(E10="","",INDEX('MAPA DE PREÇOS'!H:H,MATCH(ABC!E10,'MAPA DE PREÇOS'!B:B,0)+1))</f>
        <v>Project Professional ALng LSA 1 Server CAL</v>
      </c>
      <c r="J10" s="41" t="str">
        <f>IFERROR(IF(E10="","",INDEX('MAPA DE PREÇOS'!M:M,3+MATCH(ABC!E10,'MAPA DE PREÇOS'!B:B,0))),"")</f>
        <v>Unidade/Ano</v>
      </c>
      <c r="K10" s="52">
        <f t="array" ref="K10">IFERROR(IF(E10="","",INDEX('MAPA DE PREÇOS'!M:M,2+MATCH(ABC!E10,'MAPA DE PREÇOS'!B:B,0))),"")</f>
        <v>16</v>
      </c>
      <c r="L10" s="53">
        <f t="array" ref="L10">IFERROR(IF(AND(E9&lt;&gt;"",E10=""),"TOTAL ESTIMADO",INDEX('MAPA DE PREÇOS'!M:M,0+MATCH(ABC!E10,'MAPA DE PREÇOS'!B:B,0))),"")</f>
        <v>11257.83</v>
      </c>
      <c r="M10" s="54">
        <f>IFERROR(IF(AND(E9&lt;&gt;"",E10=""),SUM($M$5:M9),INDEX('MAPA DE PREÇOS'!M:M,19+MATCH(ABC!E10,'MAPA DE PREÇOS'!B:B,0))),"")</f>
        <v>180125.28</v>
      </c>
      <c r="N10" s="90">
        <f t="shared" si="1"/>
        <v>5.4225953792930159E-2</v>
      </c>
      <c r="O10" s="90">
        <f t="shared" si="4"/>
        <v>0.96711537960297256</v>
      </c>
      <c r="P10" s="54" t="str">
        <f t="shared" si="3"/>
        <v>C</v>
      </c>
    </row>
    <row r="11" spans="1:21" x14ac:dyDescent="0.25">
      <c r="B11" s="41">
        <v>6</v>
      </c>
      <c r="C11" s="42">
        <f>IFERROR(INDEX('MAPA DE PREÇOS'!M:M,MATCH(B11,'MAPA DE PREÇOS'!B:B,0)+19)/(SUMPRODUCT(EDITAL!I:I,EDITAL!J:J)),"")</f>
        <v>7.4604199621018299E-3</v>
      </c>
      <c r="D11" s="42">
        <f t="shared" si="2"/>
        <v>7.4604199621018299E-3</v>
      </c>
      <c r="E11" s="41">
        <f t="shared" si="0"/>
        <v>8</v>
      </c>
      <c r="F11" s="41">
        <f>IFERROR(VLOOKUP($E11,'MAPA DE PREÇOS'!$B:$D,2,FALSE),"")</f>
        <v>1</v>
      </c>
      <c r="G11" s="41">
        <f>IFERROR(VLOOKUP($E11,'MAPA DE PREÇOS'!$B:$D,3,FALSE),"")</f>
        <v>8</v>
      </c>
      <c r="H11" s="41" t="str">
        <f t="array" ref="H11">IFERROR(IF(E11="","",INDEX('MAPA DE PREÇOS'!H:H,0+MATCH(ABC!E11,'MAPA DE PREÇOS'!B:B,0))),"")</f>
        <v>MS.6.0-A0491</v>
      </c>
      <c r="I11" t="str">
        <f>IF(E11="","",INDEX('MAPA DE PREÇOS'!H:H,MATCH(ABC!E11,'MAPA DE PREÇOS'!B:B,0)+1))</f>
        <v>Planner &amp; Project P5 Sub Per User</v>
      </c>
      <c r="J11" s="41" t="str">
        <f>IFERROR(IF(E11="","",INDEX('MAPA DE PREÇOS'!M:M,3+MATCH(ABC!E11,'MAPA DE PREÇOS'!B:B,0))),"")</f>
        <v>Unidade/Mensal</v>
      </c>
      <c r="K11" s="52">
        <f t="array" ref="K11">IFERROR(IF(E11="","",INDEX('MAPA DE PREÇOS'!M:M,2+MATCH(ABC!E11,'MAPA DE PREÇOS'!B:B,0))),"")</f>
        <v>3</v>
      </c>
      <c r="L11" s="53">
        <f t="array" ref="L11">IFERROR(IF(AND(E10&lt;&gt;"",E11=""),"TOTAL ESTIMADO",INDEX('MAPA DE PREÇOS'!M:M,0+MATCH(ABC!E11,'MAPA DE PREÇOS'!B:B,0))),"")</f>
        <v>11955.24</v>
      </c>
      <c r="M11" s="54">
        <f>IFERROR(IF(AND(E10&lt;&gt;"",E11=""),SUM($M$5:M10),INDEX('MAPA DE PREÇOS'!M:M,19+MATCH(ABC!E11,'MAPA DE PREÇOS'!B:B,0))),"")</f>
        <v>35865.72</v>
      </c>
      <c r="N11" s="90">
        <f t="shared" si="1"/>
        <v>1.0797223329619091E-2</v>
      </c>
      <c r="O11" s="90">
        <f t="shared" si="4"/>
        <v>0.97791260293259163</v>
      </c>
      <c r="P11" s="54" t="str">
        <f t="shared" si="3"/>
        <v>C</v>
      </c>
    </row>
    <row r="12" spans="1:21" x14ac:dyDescent="0.25">
      <c r="B12" s="41">
        <v>7</v>
      </c>
      <c r="C12" s="42">
        <f>IFERROR(INDEX('MAPA DE PREÇOS'!M:M,MATCH(B12,'MAPA DE PREÇOS'!B:B,0)+19)/(SUMPRODUCT(EDITAL!I:I,EDITAL!J:J)),"")</f>
        <v>8.0492835529103995E-2</v>
      </c>
      <c r="D12" s="42">
        <f t="shared" si="2"/>
        <v>8.0492835529103995E-2</v>
      </c>
      <c r="E12" s="41">
        <f t="shared" si="0"/>
        <v>9</v>
      </c>
      <c r="F12" s="41">
        <f>IFERROR(VLOOKUP($E12,'MAPA DE PREÇOS'!$B:$D,2,FALSE),"")</f>
        <v>1</v>
      </c>
      <c r="G12" s="41">
        <f>IFERROR(VLOOKUP($E12,'MAPA DE PREÇOS'!$B:$D,3,FALSE),"")</f>
        <v>9</v>
      </c>
      <c r="H12" s="41" t="str">
        <f t="array" ref="H12">IFERROR(IF(E12="","",INDEX('MAPA DE PREÇOS'!H:H,0+MATCH(ABC!E12,'MAPA DE PREÇOS'!B:B,0))),"")</f>
        <v>MS.6.0-A1769</v>
      </c>
      <c r="I12" t="str">
        <f>IF(E12="","",INDEX('MAPA DE PREÇOS'!H:H,MATCH(ABC!E12,'MAPA DE PREÇOS'!B:B,0)+1))</f>
        <v>Planner P1 Sub Per User</v>
      </c>
      <c r="J12" s="41" t="str">
        <f>IFERROR(IF(E12="","",INDEX('MAPA DE PREÇOS'!M:M,3+MATCH(ABC!E12,'MAPA DE PREÇOS'!B:B,0))),"")</f>
        <v>Unidade/Mensal</v>
      </c>
      <c r="K12" s="52">
        <f t="array" ref="K12">IFERROR(IF(E12="","",INDEX('MAPA DE PREÇOS'!M:M,2+MATCH(ABC!E12,'MAPA DE PREÇOS'!B:B,0))),"")</f>
        <v>13</v>
      </c>
      <c r="L12" s="53">
        <f t="array" ref="L12">IFERROR(IF(AND(E11&lt;&gt;"",E12=""),"TOTAL ESTIMADO",INDEX('MAPA DE PREÇOS'!M:M,0+MATCH(ABC!E12,'MAPA DE PREÇOS'!B:B,0))),"")</f>
        <v>2173.6799999999998</v>
      </c>
      <c r="M12" s="54">
        <f>IFERROR(IF(AND(E11&lt;&gt;"",E12=""),SUM($M$5:M11),INDEX('MAPA DE PREÇOS'!M:M,19+MATCH(ABC!E12,'MAPA DE PREÇOS'!B:B,0))),"")</f>
        <v>28257.84</v>
      </c>
      <c r="N12" s="90">
        <f t="shared" si="1"/>
        <v>8.5069032293968588E-3</v>
      </c>
      <c r="O12" s="90">
        <f t="shared" si="4"/>
        <v>0.98641950616198848</v>
      </c>
      <c r="P12" s="54" t="str">
        <f t="shared" si="3"/>
        <v>C</v>
      </c>
    </row>
    <row r="13" spans="1:21" x14ac:dyDescent="0.25">
      <c r="B13" s="41">
        <v>8</v>
      </c>
      <c r="C13" s="42">
        <f>IFERROR(INDEX('MAPA DE PREÇOS'!M:M,MATCH(B13,'MAPA DE PREÇOS'!B:B,0)+19)/(SUMPRODUCT(EDITAL!I:I,EDITAL!J:J)),"")</f>
        <v>1.0797223329619091E-2</v>
      </c>
      <c r="D13" s="42">
        <f t="shared" si="2"/>
        <v>1.0797223329619091E-2</v>
      </c>
      <c r="E13" s="41">
        <f t="shared" si="0"/>
        <v>6</v>
      </c>
      <c r="F13" s="41">
        <f>IFERROR(VLOOKUP($E13,'MAPA DE PREÇOS'!$B:$D,2,FALSE),"")</f>
        <v>1</v>
      </c>
      <c r="G13" s="41">
        <f>IFERROR(VLOOKUP($E13,'MAPA DE PREÇOS'!$B:$D,3,FALSE),"")</f>
        <v>6</v>
      </c>
      <c r="H13" s="41" t="str">
        <f t="array" ref="H13">IFERROR(IF(E13="","",INDEX('MAPA DE PREÇOS'!H:H,0+MATCH(ABC!E13,'MAPA DE PREÇOS'!B:B,0))),"")</f>
        <v>MS.6.0-A1692</v>
      </c>
      <c r="I13" t="str">
        <f>IF(E13="","",INDEX('MAPA DE PREÇOS'!H:H,MATCH(ABC!E13,'MAPA DE PREÇOS'!B:B,0)+1))</f>
        <v>O365 E5 Sub Per User</v>
      </c>
      <c r="J13" s="41" t="str">
        <f>IFERROR(IF(E13="","",INDEX('MAPA DE PREÇOS'!M:M,3+MATCH(ABC!E13,'MAPA DE PREÇOS'!B:B,0))),"")</f>
        <v>Unidade/Mensal</v>
      </c>
      <c r="K13" s="52">
        <f t="array" ref="K13">IFERROR(IF(E13="","",INDEX('MAPA DE PREÇOS'!M:M,2+MATCH(ABC!E13,'MAPA DE PREÇOS'!B:B,0))),"")</f>
        <v>3</v>
      </c>
      <c r="L13" s="53">
        <f t="array" ref="L13">IFERROR(IF(AND(E12&lt;&gt;"",E13=""),"TOTAL ESTIMADO",INDEX('MAPA DE PREÇOS'!M:M,0+MATCH(ABC!E13,'MAPA DE PREÇOS'!B:B,0))),"")</f>
        <v>8260.56</v>
      </c>
      <c r="M13" s="54">
        <f>IFERROR(IF(AND(E12&lt;&gt;"",E13=""),SUM($M$5:M12),INDEX('MAPA DE PREÇOS'!M:M,19+MATCH(ABC!E13,'MAPA DE PREÇOS'!B:B,0))),"")</f>
        <v>24781.68</v>
      </c>
      <c r="N13" s="90">
        <f t="shared" si="1"/>
        <v>7.4604199621018299E-3</v>
      </c>
      <c r="O13" s="90">
        <f t="shared" si="4"/>
        <v>0.99387992612409026</v>
      </c>
      <c r="P13" s="54" t="str">
        <f t="shared" si="3"/>
        <v>C</v>
      </c>
    </row>
    <row r="14" spans="1:21" x14ac:dyDescent="0.25">
      <c r="B14" s="41">
        <v>9</v>
      </c>
      <c r="C14" s="42">
        <f>IFERROR(INDEX('MAPA DE PREÇOS'!M:M,MATCH(B14,'MAPA DE PREÇOS'!B:B,0)+19)/(SUMPRODUCT(EDITAL!I:I,EDITAL!J:J)),"")</f>
        <v>8.5069032293968588E-3</v>
      </c>
      <c r="D14" s="42">
        <f t="shared" si="2"/>
        <v>8.5069032293968588E-3</v>
      </c>
      <c r="E14" s="41">
        <f t="shared" si="0"/>
        <v>2</v>
      </c>
      <c r="F14" s="41">
        <f>IFERROR(VLOOKUP($E14,'MAPA DE PREÇOS'!$B:$D,2,FALSE),"")</f>
        <v>1</v>
      </c>
      <c r="G14" s="41">
        <f>IFERROR(VLOOKUP($E14,'MAPA DE PREÇOS'!$B:$D,3,FALSE),"")</f>
        <v>2</v>
      </c>
      <c r="H14" s="41" t="str">
        <f t="array" ref="H14">IFERROR(IF(E14="","",INDEX('MAPA DE PREÇOS'!H:H,0+MATCH(ABC!E14,'MAPA DE PREÇOS'!B:B,0))),"")</f>
        <v>MS.6.0-A0004</v>
      </c>
      <c r="I14" t="str">
        <f>IF(E14="","",INDEX('MAPA DE PREÇOS'!H:H,MATCH(ABC!E14,'MAPA DE PREÇOS'!B:B,0)+1))</f>
        <v>Project Standard ALng LSA</v>
      </c>
      <c r="J14" s="41" t="str">
        <f>IFERROR(IF(E14="","",INDEX('MAPA DE PREÇOS'!M:M,3+MATCH(ABC!E14,'MAPA DE PREÇOS'!B:B,0))),"")</f>
        <v>Unidade/Ano</v>
      </c>
      <c r="K14" s="52">
        <f t="array" ref="K14">IFERROR(IF(E14="","",INDEX('MAPA DE PREÇOS'!M:M,2+MATCH(ABC!E14,'MAPA DE PREÇOS'!B:B,0))),"")</f>
        <v>3</v>
      </c>
      <c r="L14" s="53">
        <f t="array" ref="L14">IFERROR(IF(AND(E13&lt;&gt;"",E14=""),"TOTAL ESTIMADO",INDEX('MAPA DE PREÇOS'!M:M,0+MATCH(ABC!E14,'MAPA DE PREÇOS'!B:B,0))),"")</f>
        <v>6776.46</v>
      </c>
      <c r="M14" s="54">
        <f>IFERROR(IF(AND(E13&lt;&gt;"",E14=""),SUM($M$5:M13),INDEX('MAPA DE PREÇOS'!M:M,19+MATCH(ABC!E14,'MAPA DE PREÇOS'!B:B,0))),"")</f>
        <v>20329.38</v>
      </c>
      <c r="N14" s="90">
        <f t="shared" si="1"/>
        <v>6.1200738759096922E-3</v>
      </c>
      <c r="O14" s="90">
        <f t="shared" si="4"/>
        <v>1</v>
      </c>
      <c r="P14" s="54" t="str">
        <f t="shared" si="3"/>
        <v>C</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TOTAL ESTIMADO</v>
      </c>
      <c r="M15" s="54">
        <f>IFERROR(IF(AND(E14&lt;&gt;"",E15=""),SUM($M$5:M14),INDEX('MAPA DE PREÇOS'!M:M,19+MATCH(ABC!E15,'MAPA DE PREÇOS'!B:B,0))),"")</f>
        <v>3321754.02</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4" t="s">
        <v>35</v>
      </c>
      <c r="C2" s="265"/>
      <c r="D2" s="266"/>
    </row>
    <row r="3" spans="2:4" ht="78" customHeight="1" x14ac:dyDescent="0.2">
      <c r="B3" s="283" t="s">
        <v>384</v>
      </c>
      <c r="C3" s="284"/>
      <c r="D3" s="285"/>
    </row>
    <row r="4" spans="2:4" s="32" customFormat="1" ht="32.1" customHeight="1" x14ac:dyDescent="0.25">
      <c r="B4" s="263" t="s">
        <v>385</v>
      </c>
      <c r="C4" s="263"/>
      <c r="D4" s="263"/>
    </row>
    <row r="5" spans="2:4" ht="61.5" customHeight="1" x14ac:dyDescent="0.2">
      <c r="B5" s="280" t="s">
        <v>386</v>
      </c>
      <c r="C5" s="281"/>
      <c r="D5" s="282"/>
    </row>
    <row r="6" spans="2:4" s="33" customFormat="1" ht="32.1" customHeight="1" x14ac:dyDescent="0.25">
      <c r="B6" s="263" t="s">
        <v>387</v>
      </c>
      <c r="C6" s="263"/>
      <c r="D6" s="263"/>
    </row>
    <row r="7" spans="2:4" ht="61.5" customHeight="1" x14ac:dyDescent="0.2">
      <c r="B7" s="280" t="s">
        <v>388</v>
      </c>
      <c r="C7" s="281"/>
      <c r="D7" s="282"/>
    </row>
    <row r="8" spans="2:4" ht="21.6" customHeight="1" x14ac:dyDescent="0.2">
      <c r="B8" s="267" t="s">
        <v>389</v>
      </c>
      <c r="C8" s="268"/>
      <c r="D8" s="269"/>
    </row>
    <row r="9" spans="2:4" ht="14.25" x14ac:dyDescent="0.2">
      <c r="B9" s="270"/>
      <c r="C9" s="271"/>
      <c r="D9" s="272"/>
    </row>
    <row r="10" spans="2:4" ht="14.25" x14ac:dyDescent="0.2">
      <c r="B10" s="270"/>
      <c r="C10" s="271"/>
      <c r="D10" s="272"/>
    </row>
    <row r="11" spans="2:4" ht="14.25" x14ac:dyDescent="0.2">
      <c r="B11" s="270"/>
      <c r="C11" s="271"/>
      <c r="D11" s="272"/>
    </row>
    <row r="12" spans="2:4" ht="14.25" x14ac:dyDescent="0.2">
      <c r="B12" s="270"/>
      <c r="C12" s="271"/>
      <c r="D12" s="272"/>
    </row>
    <row r="13" spans="2:4" ht="61.5" customHeight="1" x14ac:dyDescent="0.2">
      <c r="B13" s="270"/>
      <c r="C13" s="271"/>
      <c r="D13" s="272"/>
    </row>
    <row r="14" spans="2:4" ht="61.5" customHeight="1" x14ac:dyDescent="0.2">
      <c r="B14" s="270"/>
      <c r="C14" s="271"/>
      <c r="D14" s="272"/>
    </row>
    <row r="15" spans="2:4" ht="61.5" customHeight="1" x14ac:dyDescent="0.2">
      <c r="B15" s="270"/>
      <c r="C15" s="271"/>
      <c r="D15" s="272"/>
    </row>
    <row r="16" spans="2:4" ht="61.5" customHeight="1" x14ac:dyDescent="0.2">
      <c r="B16" s="270"/>
      <c r="C16" s="271"/>
      <c r="D16" s="272"/>
    </row>
    <row r="17" spans="2:4" ht="61.5" customHeight="1" x14ac:dyDescent="0.2">
      <c r="B17" s="270"/>
      <c r="C17" s="271"/>
      <c r="D17" s="272"/>
    </row>
    <row r="18" spans="2:4" ht="61.5" customHeight="1" x14ac:dyDescent="0.2">
      <c r="B18" s="270"/>
      <c r="C18" s="271"/>
      <c r="D18" s="272"/>
    </row>
    <row r="19" spans="2:4" ht="15" customHeight="1" x14ac:dyDescent="0.2">
      <c r="B19" s="270"/>
      <c r="C19" s="271"/>
      <c r="D19" s="272"/>
    </row>
    <row r="20" spans="2:4" ht="15" customHeight="1" x14ac:dyDescent="0.2">
      <c r="B20" s="270"/>
      <c r="C20" s="271"/>
      <c r="D20" s="272"/>
    </row>
    <row r="21" spans="2:4" ht="15" customHeight="1" x14ac:dyDescent="0.2">
      <c r="B21" s="270"/>
      <c r="C21" s="271"/>
      <c r="D21" s="272"/>
    </row>
    <row r="22" spans="2:4" ht="15" customHeight="1" x14ac:dyDescent="0.2">
      <c r="B22" s="270"/>
      <c r="C22" s="271"/>
      <c r="D22" s="272"/>
    </row>
    <row r="23" spans="2:4" ht="15" customHeight="1" x14ac:dyDescent="0.2">
      <c r="B23" s="270"/>
      <c r="C23" s="271"/>
      <c r="D23" s="272"/>
    </row>
    <row r="24" spans="2:4" ht="15" customHeight="1" x14ac:dyDescent="0.2">
      <c r="B24" s="270"/>
      <c r="C24" s="271"/>
      <c r="D24" s="272"/>
    </row>
    <row r="25" spans="2:4" ht="15" customHeight="1" x14ac:dyDescent="0.2">
      <c r="B25" s="270"/>
      <c r="C25" s="271"/>
      <c r="D25" s="272"/>
    </row>
    <row r="26" spans="2:4" ht="15" customHeight="1" x14ac:dyDescent="0.2">
      <c r="B26" s="270"/>
      <c r="C26" s="271"/>
      <c r="D26" s="272"/>
    </row>
    <row r="27" spans="2:4" ht="15" customHeight="1" x14ac:dyDescent="0.2">
      <c r="B27" s="270"/>
      <c r="C27" s="271"/>
      <c r="D27" s="272"/>
    </row>
    <row r="28" spans="2:4" ht="15" customHeight="1" x14ac:dyDescent="0.2">
      <c r="B28" s="270"/>
      <c r="C28" s="271"/>
      <c r="D28" s="272"/>
    </row>
    <row r="29" spans="2:4" ht="15" customHeight="1" x14ac:dyDescent="0.2">
      <c r="B29" s="270"/>
      <c r="C29" s="271"/>
      <c r="D29" s="272"/>
    </row>
    <row r="30" spans="2:4" ht="15" customHeight="1" x14ac:dyDescent="0.2">
      <c r="B30" s="270"/>
      <c r="C30" s="271"/>
      <c r="D30" s="272"/>
    </row>
    <row r="31" spans="2:4" ht="15" customHeight="1" x14ac:dyDescent="0.2">
      <c r="B31" s="270"/>
      <c r="C31" s="271"/>
      <c r="D31" s="272"/>
    </row>
    <row r="32" spans="2:4" ht="15" customHeight="1" x14ac:dyDescent="0.2">
      <c r="B32" s="270"/>
      <c r="C32" s="271"/>
      <c r="D32" s="272"/>
    </row>
    <row r="33" spans="2:4" ht="15" customHeight="1" x14ac:dyDescent="0.2">
      <c r="B33" s="270"/>
      <c r="C33" s="271"/>
      <c r="D33" s="272"/>
    </row>
    <row r="34" spans="2:4" ht="15" customHeight="1" x14ac:dyDescent="0.2">
      <c r="B34" s="270"/>
      <c r="C34" s="271"/>
      <c r="D34" s="272"/>
    </row>
    <row r="35" spans="2:4" ht="15" customHeight="1" x14ac:dyDescent="0.2">
      <c r="B35" s="270"/>
      <c r="C35" s="271"/>
      <c r="D35" s="272"/>
    </row>
    <row r="36" spans="2:4" ht="15" customHeight="1" x14ac:dyDescent="0.2">
      <c r="B36" s="270"/>
      <c r="C36" s="271"/>
      <c r="D36" s="272"/>
    </row>
    <row r="37" spans="2:4" ht="15" customHeight="1" x14ac:dyDescent="0.2">
      <c r="B37" s="270"/>
      <c r="C37" s="271"/>
      <c r="D37" s="272"/>
    </row>
    <row r="38" spans="2:4" s="34" customFormat="1" ht="32.450000000000003" customHeight="1" x14ac:dyDescent="0.2">
      <c r="B38" s="273"/>
      <c r="C38" s="274"/>
      <c r="D38" s="275"/>
    </row>
    <row r="39" spans="2:4" s="32" customFormat="1" ht="32.1" customHeight="1" x14ac:dyDescent="0.25">
      <c r="B39" s="276" t="s">
        <v>390</v>
      </c>
      <c r="C39" s="277"/>
      <c r="D39" s="278"/>
    </row>
    <row r="40" spans="2:4" s="164" customFormat="1" ht="64.900000000000006" customHeight="1" x14ac:dyDescent="0.25">
      <c r="B40" s="279" t="s">
        <v>391</v>
      </c>
      <c r="C40" s="279"/>
      <c r="D40" s="279"/>
    </row>
    <row r="41" spans="2:4" s="164" customFormat="1" ht="64.900000000000006" customHeight="1" x14ac:dyDescent="0.25">
      <c r="B41" s="279"/>
      <c r="C41" s="279"/>
      <c r="D41" s="279"/>
    </row>
    <row r="42" spans="2:4" s="164" customFormat="1" ht="64.900000000000006" customHeight="1" x14ac:dyDescent="0.25">
      <c r="B42" s="279"/>
      <c r="C42" s="279"/>
      <c r="D42" s="279"/>
    </row>
    <row r="43" spans="2:4" s="164" customFormat="1" ht="64.900000000000006" customHeight="1" x14ac:dyDescent="0.25">
      <c r="B43" s="279"/>
      <c r="C43" s="279"/>
      <c r="D43" s="279"/>
    </row>
    <row r="44" spans="2:4" s="164" customFormat="1" ht="64.900000000000006" customHeight="1" x14ac:dyDescent="0.25">
      <c r="B44" s="279"/>
      <c r="C44" s="279"/>
      <c r="D44" s="279"/>
    </row>
    <row r="45" spans="2:4" s="164" customFormat="1" ht="112.15" customHeight="1" x14ac:dyDescent="0.25">
      <c r="B45" s="279"/>
      <c r="C45" s="279"/>
      <c r="D45" s="279"/>
    </row>
    <row r="46" spans="2:4" s="33" customFormat="1" ht="32.1" customHeight="1" x14ac:dyDescent="0.25">
      <c r="B46" s="264" t="s">
        <v>392</v>
      </c>
      <c r="C46" s="265"/>
      <c r="D46" s="266"/>
    </row>
    <row r="47" spans="2:4" ht="140.44999999999999" customHeight="1" x14ac:dyDescent="0.2">
      <c r="B47" s="254" t="s">
        <v>393</v>
      </c>
      <c r="C47" s="255"/>
      <c r="D47" s="256"/>
    </row>
    <row r="48" spans="2:4" s="33" customFormat="1" ht="32.1" customHeight="1" x14ac:dyDescent="0.25">
      <c r="B48" s="263" t="s">
        <v>394</v>
      </c>
      <c r="C48" s="263"/>
      <c r="D48" s="263"/>
    </row>
    <row r="49" spans="2:4" ht="14.25" x14ac:dyDescent="0.2">
      <c r="B49" s="254" t="s">
        <v>395</v>
      </c>
      <c r="C49" s="255"/>
      <c r="D49" s="256"/>
    </row>
    <row r="50" spans="2:4" ht="14.25" x14ac:dyDescent="0.2">
      <c r="B50" s="257"/>
      <c r="C50" s="258"/>
      <c r="D50" s="259"/>
    </row>
    <row r="51" spans="2:4" ht="14.25" x14ac:dyDescent="0.2">
      <c r="B51" s="257"/>
      <c r="C51" s="258"/>
      <c r="D51" s="259"/>
    </row>
    <row r="52" spans="2:4" ht="14.25" x14ac:dyDescent="0.2">
      <c r="B52" s="257"/>
      <c r="C52" s="258"/>
      <c r="D52" s="259"/>
    </row>
    <row r="53" spans="2:4" ht="14.25" x14ac:dyDescent="0.2">
      <c r="B53" s="257"/>
      <c r="C53" s="258"/>
      <c r="D53" s="259"/>
    </row>
    <row r="54" spans="2:4" ht="14.25" x14ac:dyDescent="0.2">
      <c r="B54" s="257"/>
      <c r="C54" s="258"/>
      <c r="D54" s="259"/>
    </row>
    <row r="55" spans="2:4" ht="14.25" x14ac:dyDescent="0.2">
      <c r="B55" s="257"/>
      <c r="C55" s="258"/>
      <c r="D55" s="259"/>
    </row>
    <row r="56" spans="2:4" ht="14.25" x14ac:dyDescent="0.2">
      <c r="B56" s="257"/>
      <c r="C56" s="258"/>
      <c r="D56" s="259"/>
    </row>
    <row r="57" spans="2:4" ht="14.25" x14ac:dyDescent="0.2">
      <c r="B57" s="260"/>
      <c r="C57" s="261"/>
      <c r="D57" s="262"/>
    </row>
    <row r="58" spans="2:4" s="33" customFormat="1" ht="32.1" customHeight="1" x14ac:dyDescent="0.25">
      <c r="B58" s="263" t="s">
        <v>396</v>
      </c>
      <c r="C58" s="263"/>
      <c r="D58" s="263"/>
    </row>
    <row r="59" spans="2:4" ht="14.25" x14ac:dyDescent="0.2">
      <c r="B59" s="254" t="s">
        <v>36</v>
      </c>
      <c r="C59" s="255"/>
      <c r="D59" s="256"/>
    </row>
    <row r="60" spans="2:4" ht="14.25" x14ac:dyDescent="0.2">
      <c r="B60" s="257"/>
      <c r="C60" s="258"/>
      <c r="D60" s="259"/>
    </row>
    <row r="61" spans="2:4" ht="14.25" x14ac:dyDescent="0.2">
      <c r="B61" s="257"/>
      <c r="C61" s="258"/>
      <c r="D61" s="259"/>
    </row>
    <row r="62" spans="2:4" ht="14.25" x14ac:dyDescent="0.2">
      <c r="B62" s="257"/>
      <c r="C62" s="258"/>
      <c r="D62" s="259"/>
    </row>
    <row r="63" spans="2:4" ht="14.25" x14ac:dyDescent="0.2">
      <c r="B63" s="257"/>
      <c r="C63" s="258"/>
      <c r="D63" s="259"/>
    </row>
    <row r="64" spans="2:4" ht="14.25" x14ac:dyDescent="0.2">
      <c r="B64" s="257"/>
      <c r="C64" s="258"/>
      <c r="D64" s="259"/>
    </row>
    <row r="65" spans="2:4" ht="14.25" x14ac:dyDescent="0.2">
      <c r="B65" s="260"/>
      <c r="C65" s="261"/>
      <c r="D65" s="262"/>
    </row>
    <row r="66" spans="2:4" s="33" customFormat="1" ht="32.1" customHeight="1" x14ac:dyDescent="0.25">
      <c r="B66" s="263" t="s">
        <v>397</v>
      </c>
      <c r="C66" s="263"/>
      <c r="D66" s="263"/>
    </row>
    <row r="67" spans="2:4" ht="14.25" x14ac:dyDescent="0.2">
      <c r="B67" s="254" t="s">
        <v>37</v>
      </c>
      <c r="C67" s="255"/>
      <c r="D67" s="256"/>
    </row>
    <row r="68" spans="2:4" ht="14.25" x14ac:dyDescent="0.2">
      <c r="B68" s="257"/>
      <c r="C68" s="258"/>
      <c r="D68" s="259"/>
    </row>
    <row r="69" spans="2:4" ht="14.25" x14ac:dyDescent="0.2">
      <c r="B69" s="257"/>
      <c r="C69" s="258"/>
      <c r="D69" s="259"/>
    </row>
    <row r="70" spans="2:4" ht="14.25" x14ac:dyDescent="0.2">
      <c r="B70" s="260"/>
      <c r="C70" s="261"/>
      <c r="D70" s="262"/>
    </row>
    <row r="71" spans="2:4" s="33" customFormat="1" ht="32.1" customHeight="1" x14ac:dyDescent="0.25">
      <c r="B71" s="263" t="s">
        <v>398</v>
      </c>
      <c r="C71" s="263"/>
      <c r="D71" s="263"/>
    </row>
    <row r="72" spans="2:4" ht="14.25" x14ac:dyDescent="0.2">
      <c r="B72" s="254" t="s">
        <v>34</v>
      </c>
      <c r="C72" s="255"/>
      <c r="D72" s="256"/>
    </row>
    <row r="73" spans="2:4" ht="14.25" x14ac:dyDescent="0.2">
      <c r="B73" s="257"/>
      <c r="C73" s="258"/>
      <c r="D73" s="259"/>
    </row>
    <row r="74" spans="2:4" ht="14.25" x14ac:dyDescent="0.2">
      <c r="B74" s="257"/>
      <c r="C74" s="258"/>
      <c r="D74" s="259"/>
    </row>
    <row r="75" spans="2:4" ht="14.25" x14ac:dyDescent="0.2">
      <c r="B75" s="260"/>
      <c r="C75" s="261"/>
      <c r="D75" s="26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0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0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0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0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0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0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0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0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0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7"/>
      <c r="L13" s="287"/>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B388" sqref="B388"/>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2026-09-10T13:06:47Z</dcterms:modified>
</cp:coreProperties>
</file>