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DA00160B-1560-47D6-B186-ECD00142C4C6}" xr6:coauthVersionLast="47" xr6:coauthVersionMax="47" xr10:uidLastSave="{00000000-0000-0000-0000-000000000000}"/>
  <bookViews>
    <workbookView xWindow="2868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20" i="2" l="1"/>
  <c r="Z124" i="2"/>
  <c r="V120" i="2"/>
  <c r="S120" i="2"/>
  <c r="R120" i="2"/>
  <c r="Q120" i="2"/>
  <c r="P120" i="2"/>
  <c r="P99" i="2"/>
  <c r="P103" i="2" s="1"/>
  <c r="P40" i="2"/>
  <c r="Q40" i="2"/>
  <c r="R40" i="2"/>
  <c r="S40" i="2"/>
  <c r="T40" i="2"/>
  <c r="U40" i="2"/>
  <c r="V40" i="2"/>
  <c r="W40" i="2"/>
  <c r="X40" i="2"/>
  <c r="Y40" i="2"/>
  <c r="Z40" i="2"/>
  <c r="AA40" i="2"/>
  <c r="AB40" i="2"/>
  <c r="AC40" i="2"/>
  <c r="AD40" i="2"/>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AE41" i="2"/>
  <c r="AF41" i="2"/>
  <c r="AG41" i="2"/>
  <c r="AH41" i="2"/>
  <c r="AI41" i="2"/>
  <c r="J42" i="2"/>
  <c r="O43" i="2"/>
  <c r="AE43" i="2"/>
  <c r="AF43" i="2"/>
  <c r="AG43" i="2"/>
  <c r="AH43" i="2"/>
  <c r="AI43" i="2"/>
  <c r="O44" i="2"/>
  <c r="O45" i="2"/>
  <c r="AE45" i="2"/>
  <c r="AF45" i="2"/>
  <c r="AG45" i="2"/>
  <c r="AH45" i="2"/>
  <c r="AI45" i="2"/>
  <c r="O46" i="2"/>
  <c r="O47" i="2"/>
  <c r="AE47" i="2"/>
  <c r="AF47" i="2"/>
  <c r="AG47" i="2"/>
  <c r="AH47" i="2"/>
  <c r="AI47" i="2"/>
  <c r="O48" i="2"/>
  <c r="O49" i="2"/>
  <c r="AE49" i="2"/>
  <c r="AF49" i="2"/>
  <c r="AG49" i="2"/>
  <c r="AH49" i="2"/>
  <c r="AI49" i="2"/>
  <c r="O50" i="2"/>
  <c r="O51" i="2"/>
  <c r="AE51" i="2"/>
  <c r="AF51" i="2"/>
  <c r="AG51" i="2"/>
  <c r="AH51" i="2"/>
  <c r="AI51" i="2"/>
  <c r="O52" i="2"/>
  <c r="O53" i="2"/>
  <c r="AE53" i="2"/>
  <c r="AF53" i="2"/>
  <c r="AG53" i="2"/>
  <c r="AH53" i="2"/>
  <c r="AI53" i="2"/>
  <c r="O54" i="2"/>
  <c r="P61" i="2"/>
  <c r="Q61" i="2"/>
  <c r="R61" i="2"/>
  <c r="S61" i="2"/>
  <c r="T61" i="2"/>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V62" i="2"/>
  <c r="W62" i="2"/>
  <c r="X62" i="2"/>
  <c r="Y62" i="2"/>
  <c r="Z62" i="2"/>
  <c r="AA62" i="2"/>
  <c r="AB62" i="2"/>
  <c r="AC62" i="2"/>
  <c r="AD62" i="2"/>
  <c r="AE62" i="2"/>
  <c r="AF62" i="2"/>
  <c r="AG62" i="2"/>
  <c r="AH62" i="2"/>
  <c r="AI62" i="2"/>
  <c r="J63" i="2"/>
  <c r="O64" i="2"/>
  <c r="V64" i="2"/>
  <c r="W64" i="2"/>
  <c r="X64" i="2"/>
  <c r="Y64" i="2"/>
  <c r="Z64" i="2"/>
  <c r="AA64" i="2"/>
  <c r="AB64" i="2"/>
  <c r="AC64" i="2"/>
  <c r="AD64" i="2"/>
  <c r="AE64" i="2"/>
  <c r="AF64" i="2"/>
  <c r="AG64" i="2"/>
  <c r="AH64" i="2"/>
  <c r="AI64" i="2"/>
  <c r="O65" i="2"/>
  <c r="O66" i="2"/>
  <c r="V66" i="2"/>
  <c r="W66" i="2"/>
  <c r="X66" i="2"/>
  <c r="Y66" i="2"/>
  <c r="Z66" i="2"/>
  <c r="AA66" i="2"/>
  <c r="AB66" i="2"/>
  <c r="AC66" i="2"/>
  <c r="AD66" i="2"/>
  <c r="AE66" i="2"/>
  <c r="AF66" i="2"/>
  <c r="AG66" i="2"/>
  <c r="AH66" i="2"/>
  <c r="AI66" i="2"/>
  <c r="O67" i="2"/>
  <c r="O68" i="2"/>
  <c r="V68" i="2"/>
  <c r="W68" i="2"/>
  <c r="X68" i="2"/>
  <c r="Y68" i="2"/>
  <c r="Z68" i="2"/>
  <c r="AA68" i="2"/>
  <c r="AB68" i="2"/>
  <c r="AC68" i="2"/>
  <c r="AD68" i="2"/>
  <c r="AE68" i="2"/>
  <c r="AF68" i="2"/>
  <c r="AG68" i="2"/>
  <c r="AH68" i="2"/>
  <c r="AI68" i="2"/>
  <c r="O69" i="2"/>
  <c r="O70" i="2"/>
  <c r="V70" i="2"/>
  <c r="W70" i="2"/>
  <c r="X70" i="2"/>
  <c r="Y70" i="2"/>
  <c r="Z70" i="2"/>
  <c r="AA70" i="2"/>
  <c r="AB70" i="2"/>
  <c r="AC70" i="2"/>
  <c r="AD70" i="2"/>
  <c r="AE70" i="2"/>
  <c r="AF70" i="2"/>
  <c r="AG70" i="2"/>
  <c r="AH70" i="2"/>
  <c r="AI70" i="2"/>
  <c r="O71" i="2"/>
  <c r="O72" i="2"/>
  <c r="V72" i="2"/>
  <c r="W72" i="2"/>
  <c r="X72" i="2"/>
  <c r="Y72" i="2"/>
  <c r="Z72" i="2"/>
  <c r="AA72" i="2"/>
  <c r="AB72" i="2"/>
  <c r="AC72" i="2"/>
  <c r="AD72" i="2"/>
  <c r="AE72" i="2"/>
  <c r="AF72" i="2"/>
  <c r="AG72" i="2"/>
  <c r="AH72" i="2"/>
  <c r="AI72" i="2"/>
  <c r="O73" i="2"/>
  <c r="O74" i="2"/>
  <c r="V74" i="2"/>
  <c r="W74" i="2"/>
  <c r="X74" i="2"/>
  <c r="Y74" i="2"/>
  <c r="Z74" i="2"/>
  <c r="AA74" i="2"/>
  <c r="AB74" i="2"/>
  <c r="AC74" i="2"/>
  <c r="AD74" i="2"/>
  <c r="AE74" i="2"/>
  <c r="AF74" i="2"/>
  <c r="AG74" i="2"/>
  <c r="AH74" i="2"/>
  <c r="AI74" i="2"/>
  <c r="O75" i="2"/>
  <c r="P82" i="2"/>
  <c r="Q82" i="2"/>
  <c r="R82" i="2"/>
  <c r="S82" i="2"/>
  <c r="T82" i="2"/>
  <c r="U82" i="2"/>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V83" i="2"/>
  <c r="W83" i="2"/>
  <c r="X83" i="2"/>
  <c r="Y83" i="2"/>
  <c r="Z83" i="2"/>
  <c r="AA83" i="2"/>
  <c r="AB83" i="2"/>
  <c r="AC83" i="2"/>
  <c r="AD83" i="2"/>
  <c r="AE83" i="2"/>
  <c r="AF83" i="2"/>
  <c r="AG83" i="2"/>
  <c r="AH83" i="2"/>
  <c r="AI83" i="2"/>
  <c r="J84" i="2"/>
  <c r="O85" i="2"/>
  <c r="V85" i="2"/>
  <c r="W85" i="2"/>
  <c r="X85" i="2"/>
  <c r="Y85" i="2"/>
  <c r="Z85" i="2"/>
  <c r="AA85" i="2"/>
  <c r="AB85" i="2"/>
  <c r="AC85" i="2"/>
  <c r="AD85" i="2"/>
  <c r="AE85" i="2"/>
  <c r="AF85" i="2"/>
  <c r="AG85" i="2"/>
  <c r="AH85" i="2"/>
  <c r="AI85" i="2"/>
  <c r="O86" i="2"/>
  <c r="O87" i="2"/>
  <c r="V87" i="2"/>
  <c r="W87" i="2"/>
  <c r="X87" i="2"/>
  <c r="Y87" i="2"/>
  <c r="Z87" i="2"/>
  <c r="AA87" i="2"/>
  <c r="AB87" i="2"/>
  <c r="AC87" i="2"/>
  <c r="AD87" i="2"/>
  <c r="AE87" i="2"/>
  <c r="AF87" i="2"/>
  <c r="AG87" i="2"/>
  <c r="AH87" i="2"/>
  <c r="AI87" i="2"/>
  <c r="O88" i="2"/>
  <c r="O89" i="2"/>
  <c r="V89" i="2"/>
  <c r="W89" i="2"/>
  <c r="X89" i="2"/>
  <c r="Y89" i="2"/>
  <c r="Z89" i="2"/>
  <c r="AA89" i="2"/>
  <c r="AB89" i="2"/>
  <c r="AC89" i="2"/>
  <c r="AD89" i="2"/>
  <c r="AE89" i="2"/>
  <c r="AF89" i="2"/>
  <c r="AG89" i="2"/>
  <c r="AH89" i="2"/>
  <c r="AI89" i="2"/>
  <c r="O90" i="2"/>
  <c r="O91" i="2"/>
  <c r="V91" i="2"/>
  <c r="W91" i="2"/>
  <c r="X91" i="2"/>
  <c r="Y91" i="2"/>
  <c r="Z91" i="2"/>
  <c r="AA91" i="2"/>
  <c r="AB91" i="2"/>
  <c r="AC91" i="2"/>
  <c r="AD91" i="2"/>
  <c r="AE91" i="2"/>
  <c r="AF91" i="2"/>
  <c r="AG91" i="2"/>
  <c r="AH91" i="2"/>
  <c r="AI91" i="2"/>
  <c r="O92" i="2"/>
  <c r="O93" i="2"/>
  <c r="V93" i="2"/>
  <c r="W93" i="2"/>
  <c r="X93" i="2"/>
  <c r="Y93" i="2"/>
  <c r="Z93" i="2"/>
  <c r="AA93" i="2"/>
  <c r="AB93" i="2"/>
  <c r="AC93" i="2"/>
  <c r="AD93" i="2"/>
  <c r="AE93" i="2"/>
  <c r="AF93" i="2"/>
  <c r="AG93" i="2"/>
  <c r="AH93" i="2"/>
  <c r="AI93" i="2"/>
  <c r="O94" i="2"/>
  <c r="O95" i="2"/>
  <c r="V95" i="2"/>
  <c r="W95" i="2"/>
  <c r="X95" i="2"/>
  <c r="Y95" i="2"/>
  <c r="Z95" i="2"/>
  <c r="AA95" i="2"/>
  <c r="AB95" i="2"/>
  <c r="AC95" i="2"/>
  <c r="AD95" i="2"/>
  <c r="AE95" i="2"/>
  <c r="AF95" i="2"/>
  <c r="AG95" i="2"/>
  <c r="AH95" i="2"/>
  <c r="AI95" i="2"/>
  <c r="O96" i="2"/>
  <c r="Q103" i="2"/>
  <c r="R103" i="2"/>
  <c r="S103" i="2"/>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T104" i="2"/>
  <c r="U104" i="2"/>
  <c r="V104" i="2"/>
  <c r="W104" i="2"/>
  <c r="X104" i="2"/>
  <c r="Y104" i="2"/>
  <c r="Z104" i="2"/>
  <c r="AA104" i="2"/>
  <c r="AB104" i="2"/>
  <c r="AC104" i="2"/>
  <c r="AD104" i="2"/>
  <c r="AE104" i="2"/>
  <c r="AF104" i="2"/>
  <c r="AG104" i="2"/>
  <c r="AH104" i="2"/>
  <c r="AI104" i="2"/>
  <c r="J105" i="2"/>
  <c r="O106" i="2"/>
  <c r="T106" i="2"/>
  <c r="U106" i="2"/>
  <c r="V106" i="2"/>
  <c r="W106" i="2"/>
  <c r="X106" i="2"/>
  <c r="Y106" i="2"/>
  <c r="Z106" i="2"/>
  <c r="AA106" i="2"/>
  <c r="AB106" i="2"/>
  <c r="AC106" i="2"/>
  <c r="AD106" i="2"/>
  <c r="AE106" i="2"/>
  <c r="AF106" i="2"/>
  <c r="AG106" i="2"/>
  <c r="AH106" i="2"/>
  <c r="AI106" i="2"/>
  <c r="O107" i="2"/>
  <c r="O108" i="2"/>
  <c r="T108" i="2"/>
  <c r="U108" i="2"/>
  <c r="V108" i="2"/>
  <c r="W108" i="2"/>
  <c r="X108" i="2"/>
  <c r="Y108" i="2"/>
  <c r="Z108" i="2"/>
  <c r="AA108" i="2"/>
  <c r="AB108" i="2"/>
  <c r="AC108" i="2"/>
  <c r="AD108" i="2"/>
  <c r="AE108" i="2"/>
  <c r="AF108" i="2"/>
  <c r="AG108" i="2"/>
  <c r="AH108" i="2"/>
  <c r="AI108" i="2"/>
  <c r="O109" i="2"/>
  <c r="O110" i="2"/>
  <c r="T110" i="2"/>
  <c r="U110" i="2"/>
  <c r="V110" i="2"/>
  <c r="W110" i="2"/>
  <c r="X110" i="2"/>
  <c r="Y110" i="2"/>
  <c r="Z110" i="2"/>
  <c r="AA110" i="2"/>
  <c r="AB110" i="2"/>
  <c r="AC110" i="2"/>
  <c r="AD110" i="2"/>
  <c r="AE110" i="2"/>
  <c r="AF110" i="2"/>
  <c r="AG110" i="2"/>
  <c r="AH110" i="2"/>
  <c r="AI110" i="2"/>
  <c r="O111" i="2"/>
  <c r="O112" i="2"/>
  <c r="T112" i="2"/>
  <c r="U112" i="2"/>
  <c r="V112" i="2"/>
  <c r="W112" i="2"/>
  <c r="X112" i="2"/>
  <c r="Y112" i="2"/>
  <c r="Z112" i="2"/>
  <c r="AA112" i="2"/>
  <c r="AB112" i="2"/>
  <c r="AC112" i="2"/>
  <c r="AD112" i="2"/>
  <c r="AE112" i="2"/>
  <c r="AF112" i="2"/>
  <c r="AG112" i="2"/>
  <c r="AH112" i="2"/>
  <c r="AI112" i="2"/>
  <c r="O113" i="2"/>
  <c r="O114" i="2"/>
  <c r="T114" i="2"/>
  <c r="U114" i="2"/>
  <c r="V114" i="2"/>
  <c r="W114" i="2"/>
  <c r="X114" i="2"/>
  <c r="Y114" i="2"/>
  <c r="Z114" i="2"/>
  <c r="AA114" i="2"/>
  <c r="AB114" i="2"/>
  <c r="AC114" i="2"/>
  <c r="AD114" i="2"/>
  <c r="AE114" i="2"/>
  <c r="AF114" i="2"/>
  <c r="AG114" i="2"/>
  <c r="AH114" i="2"/>
  <c r="AI114" i="2"/>
  <c r="O115" i="2"/>
  <c r="O116" i="2"/>
  <c r="T116" i="2"/>
  <c r="U116" i="2"/>
  <c r="V116" i="2"/>
  <c r="W116" i="2"/>
  <c r="X116" i="2"/>
  <c r="Y116" i="2"/>
  <c r="Z116" i="2"/>
  <c r="AA116" i="2"/>
  <c r="AB116" i="2"/>
  <c r="AC116" i="2"/>
  <c r="AD116" i="2"/>
  <c r="AE116" i="2"/>
  <c r="AF116" i="2"/>
  <c r="AG116" i="2"/>
  <c r="AH116" i="2"/>
  <c r="AI116" i="2"/>
  <c r="O117" i="2"/>
  <c r="P124" i="2"/>
  <c r="Q124" i="2"/>
  <c r="R124" i="2"/>
  <c r="S124" i="2"/>
  <c r="T124" i="2"/>
  <c r="U124" i="2"/>
  <c r="V124" i="2"/>
  <c r="W124" i="2"/>
  <c r="X124" i="2"/>
  <c r="Y124" i="2"/>
  <c r="AA124" i="2"/>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AB125" i="2"/>
  <c r="AC125" i="2"/>
  <c r="AD125" i="2"/>
  <c r="AE125" i="2"/>
  <c r="AF125" i="2"/>
  <c r="AG125" i="2"/>
  <c r="AH125" i="2"/>
  <c r="AI125" i="2"/>
  <c r="J126" i="2"/>
  <c r="O127" i="2"/>
  <c r="AB127" i="2"/>
  <c r="AC127" i="2"/>
  <c r="AD127" i="2"/>
  <c r="AE127" i="2"/>
  <c r="AF127" i="2"/>
  <c r="AG127" i="2"/>
  <c r="AH127" i="2"/>
  <c r="AI127" i="2"/>
  <c r="O128" i="2"/>
  <c r="O129" i="2"/>
  <c r="AB129" i="2"/>
  <c r="AC129" i="2"/>
  <c r="AD129" i="2"/>
  <c r="AE129" i="2"/>
  <c r="AF129" i="2"/>
  <c r="AG129" i="2"/>
  <c r="AH129" i="2"/>
  <c r="AI129" i="2"/>
  <c r="O130" i="2"/>
  <c r="O131" i="2"/>
  <c r="AB131" i="2"/>
  <c r="AC131" i="2"/>
  <c r="AD131" i="2"/>
  <c r="AE131" i="2"/>
  <c r="AF131" i="2"/>
  <c r="AG131" i="2"/>
  <c r="AH131" i="2"/>
  <c r="AI131" i="2"/>
  <c r="O132" i="2"/>
  <c r="O133" i="2"/>
  <c r="AB133" i="2"/>
  <c r="AC133" i="2"/>
  <c r="AD133" i="2"/>
  <c r="AE133" i="2"/>
  <c r="AF133" i="2"/>
  <c r="AG133" i="2"/>
  <c r="AH133" i="2"/>
  <c r="AI133" i="2"/>
  <c r="O134" i="2"/>
  <c r="O135" i="2"/>
  <c r="AB135" i="2"/>
  <c r="AC135" i="2"/>
  <c r="AD135" i="2"/>
  <c r="AE135" i="2"/>
  <c r="AF135" i="2"/>
  <c r="AG135" i="2"/>
  <c r="AH135" i="2"/>
  <c r="AI135" i="2"/>
  <c r="O136" i="2"/>
  <c r="O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AA126" i="2" l="1"/>
  <c r="AA125" i="2" s="1"/>
  <c r="Z126" i="2"/>
  <c r="Z125" i="2" s="1"/>
  <c r="Y126" i="2"/>
  <c r="Y125" i="2" s="1"/>
  <c r="X126" i="2"/>
  <c r="X125" i="2" s="1"/>
  <c r="U63" i="2"/>
  <c r="U62" i="2" s="1"/>
  <c r="R84" i="2"/>
  <c r="R83" i="2" s="1"/>
  <c r="W126" i="2"/>
  <c r="W125" i="2" s="1"/>
  <c r="V126" i="2"/>
  <c r="V125" i="2" s="1"/>
  <c r="U126" i="2"/>
  <c r="U125" i="2" s="1"/>
  <c r="T126" i="2"/>
  <c r="T125" i="2" s="1"/>
  <c r="S126" i="2"/>
  <c r="S125" i="2" s="1"/>
  <c r="R126" i="2"/>
  <c r="R125" i="2" s="1"/>
  <c r="Q126" i="2"/>
  <c r="Q125" i="2" s="1"/>
  <c r="P126" i="2"/>
  <c r="P125" i="2" s="1"/>
  <c r="S105" i="2"/>
  <c r="S104" i="2" s="1"/>
  <c r="R105" i="2"/>
  <c r="R104" i="2" s="1"/>
  <c r="Q105" i="2"/>
  <c r="Q104" i="2" s="1"/>
  <c r="P105" i="2"/>
  <c r="P104" i="2" s="1"/>
  <c r="Q84" i="2"/>
  <c r="P84" i="2"/>
  <c r="P83" i="2" s="1"/>
  <c r="U84" i="2"/>
  <c r="T84" i="2"/>
  <c r="S84" i="2"/>
  <c r="Q63" i="2"/>
  <c r="Q62" i="2" s="1"/>
  <c r="T63" i="2"/>
  <c r="T62" i="2" s="1"/>
  <c r="S63" i="2"/>
  <c r="S62" i="2" s="1"/>
  <c r="R63" i="2"/>
  <c r="R62" i="2" s="1"/>
  <c r="P63" i="2"/>
  <c r="P62" i="2" s="1"/>
  <c r="AA42" i="2"/>
  <c r="AA41" i="2" s="1"/>
  <c r="AD42" i="2"/>
  <c r="AD41" i="2" s="1"/>
  <c r="AC42" i="2"/>
  <c r="AC41" i="2" s="1"/>
  <c r="AB42" i="2"/>
  <c r="AB41" i="2" s="1"/>
  <c r="Z42" i="2"/>
  <c r="Z41" i="2" s="1"/>
  <c r="Y42" i="2"/>
  <c r="Y41" i="2" s="1"/>
  <c r="X42" i="2"/>
  <c r="X41" i="2" s="1"/>
  <c r="W42" i="2"/>
  <c r="W41" i="2" s="1"/>
  <c r="V42" i="2"/>
  <c r="V41" i="2" s="1"/>
  <c r="U42" i="2"/>
  <c r="U41" i="2" s="1"/>
  <c r="T42" i="2"/>
  <c r="T41" i="2" s="1"/>
  <c r="S42" i="2"/>
  <c r="S41" i="2" s="1"/>
  <c r="R42" i="2"/>
  <c r="R41" i="2" s="1"/>
  <c r="Q42" i="2"/>
  <c r="Q41" i="2" s="1"/>
  <c r="P42" i="2"/>
  <c r="P41"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H336" i="2"/>
  <c r="R233" i="2"/>
  <c r="R235" i="2" s="1"/>
  <c r="R237" i="2" s="1"/>
  <c r="R239" i="2" s="1"/>
  <c r="R241" i="2" s="1"/>
  <c r="R243" i="2" s="1"/>
  <c r="M211" i="2"/>
  <c r="M446" i="2"/>
  <c r="M441" i="2" s="1"/>
  <c r="M443" i="2"/>
  <c r="I176"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M216" i="2"/>
  <c r="M217" i="2"/>
  <c r="M212" i="2"/>
  <c r="I170" i="2"/>
  <c r="M175" i="2"/>
  <c r="H174" i="2"/>
  <c r="J174" i="2" s="1"/>
  <c r="M177" i="2"/>
  <c r="M156" i="2"/>
  <c r="M155" i="2"/>
  <c r="M149" i="2"/>
  <c r="M153" i="2"/>
  <c r="H172" i="2"/>
  <c r="J172" i="2" s="1"/>
  <c r="M152" i="2"/>
  <c r="M147" i="2" s="1"/>
  <c r="I174" i="2"/>
  <c r="P212" i="2"/>
  <c r="M219" i="2"/>
  <c r="M169" i="2"/>
  <c r="M176" i="2"/>
  <c r="H168" i="2"/>
  <c r="I147" i="2"/>
  <c r="I172" i="2"/>
  <c r="H170" i="2"/>
  <c r="M23" i="13"/>
  <c r="Z128" i="2" l="1"/>
  <c r="Z127" i="2" s="1"/>
  <c r="AA128" i="2"/>
  <c r="AA127" i="2" s="1"/>
  <c r="Y128" i="2"/>
  <c r="Y127" i="2" s="1"/>
  <c r="X128" i="2"/>
  <c r="X127" i="2" s="1"/>
  <c r="Q107" i="2"/>
  <c r="Q106" i="2" s="1"/>
  <c r="H84" i="2"/>
  <c r="M92" i="2"/>
  <c r="M86" i="2"/>
  <c r="M90" i="2"/>
  <c r="W128" i="2"/>
  <c r="W127" i="2" s="1"/>
  <c r="V128" i="2"/>
  <c r="V127" i="2" s="1"/>
  <c r="U128" i="2"/>
  <c r="U127" i="2" s="1"/>
  <c r="H126" i="2"/>
  <c r="Q128" i="2"/>
  <c r="Q127" i="2" s="1"/>
  <c r="T128" i="2"/>
  <c r="T127" i="2" s="1"/>
  <c r="S128" i="2"/>
  <c r="S127" i="2" s="1"/>
  <c r="R128" i="2"/>
  <c r="R127" i="2" s="1"/>
  <c r="M131" i="2"/>
  <c r="I126" i="2"/>
  <c r="M134" i="2"/>
  <c r="M132" i="2"/>
  <c r="P128" i="2"/>
  <c r="P127" i="2" s="1"/>
  <c r="M127" i="2"/>
  <c r="M128" i="2"/>
  <c r="M133" i="2"/>
  <c r="M135" i="2"/>
  <c r="S107" i="2"/>
  <c r="S106" i="2" s="1"/>
  <c r="R107" i="2"/>
  <c r="R106" i="2" s="1"/>
  <c r="I105" i="2"/>
  <c r="M110" i="2"/>
  <c r="M112" i="2"/>
  <c r="M114" i="2"/>
  <c r="M106" i="2"/>
  <c r="P107" i="2"/>
  <c r="P106" i="2" s="1"/>
  <c r="H105" i="2"/>
  <c r="M111" i="2"/>
  <c r="M113" i="2"/>
  <c r="M107" i="2"/>
  <c r="S83" i="2"/>
  <c r="T83" i="2"/>
  <c r="U83" i="2"/>
  <c r="M93" i="2"/>
  <c r="M85" i="2"/>
  <c r="Q83" i="2"/>
  <c r="M91" i="2"/>
  <c r="U65" i="2"/>
  <c r="U64" i="2" s="1"/>
  <c r="M65" i="2"/>
  <c r="Q65" i="2"/>
  <c r="Q64" i="2" s="1"/>
  <c r="H63" i="2"/>
  <c r="M69" i="2"/>
  <c r="T65" i="2"/>
  <c r="T64" i="2" s="1"/>
  <c r="M64" i="2"/>
  <c r="S65" i="2"/>
  <c r="S64" i="2" s="1"/>
  <c r="M68" i="2"/>
  <c r="M71" i="2"/>
  <c r="I63" i="2"/>
  <c r="M72" i="2"/>
  <c r="P65" i="2"/>
  <c r="P64" i="2" s="1"/>
  <c r="M70" i="2"/>
  <c r="R65" i="2"/>
  <c r="AD44" i="2"/>
  <c r="AD43" i="2" s="1"/>
  <c r="AB44" i="2"/>
  <c r="AB43" i="2" s="1"/>
  <c r="AC44" i="2"/>
  <c r="AC43" i="2" s="1"/>
  <c r="AA44" i="2"/>
  <c r="AA43" i="2" s="1"/>
  <c r="T44" i="2"/>
  <c r="T43" i="2" s="1"/>
  <c r="Z44" i="2"/>
  <c r="Z43" i="2" s="1"/>
  <c r="M47" i="2"/>
  <c r="Y44" i="2"/>
  <c r="Y43" i="2" s="1"/>
  <c r="M51" i="2"/>
  <c r="X44" i="2"/>
  <c r="X43" i="2" s="1"/>
  <c r="W44" i="2"/>
  <c r="W43" i="2" s="1"/>
  <c r="V44" i="2"/>
  <c r="V43" i="2" s="1"/>
  <c r="M48" i="2"/>
  <c r="H42" i="2"/>
  <c r="U44" i="2"/>
  <c r="U43" i="2" s="1"/>
  <c r="I42" i="2"/>
  <c r="M49" i="2"/>
  <c r="M43" i="2"/>
  <c r="S44" i="2"/>
  <c r="S43" i="2" s="1"/>
  <c r="M50" i="2"/>
  <c r="M44" i="2"/>
  <c r="Q44" i="2"/>
  <c r="Q43" i="2" s="1"/>
  <c r="R44" i="2"/>
  <c r="R43" i="2" s="1"/>
  <c r="P44" i="2"/>
  <c r="P43" i="2" s="1"/>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149" i="2"/>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AA130" i="2" l="1"/>
  <c r="AA129" i="2" s="1"/>
  <c r="Z130" i="2"/>
  <c r="Z129" i="2" s="1"/>
  <c r="Y130" i="2"/>
  <c r="Y129" i="2" s="1"/>
  <c r="X130" i="2"/>
  <c r="X129" i="2" s="1"/>
  <c r="Q109" i="2"/>
  <c r="Q108" i="2" s="1"/>
  <c r="W130" i="2"/>
  <c r="W129" i="2" s="1"/>
  <c r="U130" i="2"/>
  <c r="U129" i="2" s="1"/>
  <c r="V130" i="2"/>
  <c r="V129" i="2" s="1"/>
  <c r="T130" i="2"/>
  <c r="T129" i="2" s="1"/>
  <c r="R130" i="2"/>
  <c r="R129" i="2" s="1"/>
  <c r="S130" i="2"/>
  <c r="S129" i="2" s="1"/>
  <c r="P130" i="2"/>
  <c r="P129" i="2" s="1"/>
  <c r="I128" i="2"/>
  <c r="H128" i="2"/>
  <c r="J128" i="2" s="1"/>
  <c r="Q130" i="2"/>
  <c r="Q129" i="2" s="1"/>
  <c r="S109" i="2"/>
  <c r="S108" i="2" s="1"/>
  <c r="I107" i="2"/>
  <c r="H107" i="2"/>
  <c r="J107" i="2" s="1"/>
  <c r="R109" i="2"/>
  <c r="R108" i="2" s="1"/>
  <c r="P109" i="2"/>
  <c r="P108" i="2" s="1"/>
  <c r="P86" i="2"/>
  <c r="I84" i="2"/>
  <c r="M89" i="2"/>
  <c r="Q86" i="2"/>
  <c r="U86" i="2"/>
  <c r="S86" i="2"/>
  <c r="T86" i="2"/>
  <c r="R86" i="2"/>
  <c r="H65" i="2"/>
  <c r="J65" i="2" s="1"/>
  <c r="R64" i="2"/>
  <c r="U67" i="2" s="1"/>
  <c r="U66" i="2" s="1"/>
  <c r="AD46" i="2"/>
  <c r="AD45" i="2" s="1"/>
  <c r="AC46" i="2"/>
  <c r="AC45" i="2" s="1"/>
  <c r="AA46" i="2"/>
  <c r="AA45" i="2" s="1"/>
  <c r="AB46" i="2"/>
  <c r="AB45" i="2" s="1"/>
  <c r="Z46" i="2"/>
  <c r="Z45" i="2" s="1"/>
  <c r="Y46" i="2"/>
  <c r="Y45" i="2" s="1"/>
  <c r="X46" i="2"/>
  <c r="X45" i="2" s="1"/>
  <c r="W46" i="2"/>
  <c r="W45" i="2" s="1"/>
  <c r="T46" i="2"/>
  <c r="T45" i="2" s="1"/>
  <c r="V46" i="2"/>
  <c r="V45" i="2" s="1"/>
  <c r="U46" i="2"/>
  <c r="U45" i="2" s="1"/>
  <c r="S46" i="2"/>
  <c r="S45" i="2" s="1"/>
  <c r="R46" i="2"/>
  <c r="R45" i="2" s="1"/>
  <c r="H44" i="2"/>
  <c r="J44" i="2" s="1"/>
  <c r="I44" i="2"/>
  <c r="Q46" i="2"/>
  <c r="Q45" i="2" s="1"/>
  <c r="P46" i="2"/>
  <c r="P45" i="2" s="1"/>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Z22" i="2"/>
  <c r="AA22" i="2"/>
  <c r="AB22" i="2"/>
  <c r="AC22" i="2"/>
  <c r="AD22" i="2"/>
  <c r="AE22" i="2"/>
  <c r="AF22" i="2"/>
  <c r="AG22" i="2"/>
  <c r="AH22" i="2"/>
  <c r="AI22" i="2"/>
  <c r="Z24" i="2"/>
  <c r="AA24" i="2"/>
  <c r="AB24" i="2"/>
  <c r="AC24" i="2"/>
  <c r="AD24" i="2"/>
  <c r="AE24" i="2"/>
  <c r="AF24" i="2"/>
  <c r="AG24" i="2"/>
  <c r="AH24" i="2"/>
  <c r="AI24" i="2"/>
  <c r="Z26" i="2"/>
  <c r="AA26" i="2"/>
  <c r="AB26" i="2"/>
  <c r="AC26" i="2"/>
  <c r="AD26" i="2"/>
  <c r="AE26" i="2"/>
  <c r="AF26" i="2"/>
  <c r="AG26" i="2"/>
  <c r="AH26" i="2"/>
  <c r="AI26" i="2"/>
  <c r="Z28" i="2"/>
  <c r="AA28" i="2"/>
  <c r="AB28" i="2"/>
  <c r="AC28" i="2"/>
  <c r="AD28" i="2"/>
  <c r="AE28" i="2"/>
  <c r="AF28" i="2"/>
  <c r="AG28" i="2"/>
  <c r="AH28" i="2"/>
  <c r="AI28" i="2"/>
  <c r="Z30" i="2"/>
  <c r="AA30" i="2"/>
  <c r="AB30" i="2"/>
  <c r="AC30" i="2"/>
  <c r="AD30" i="2"/>
  <c r="AE30" i="2"/>
  <c r="AF30" i="2"/>
  <c r="AG30" i="2"/>
  <c r="AH30" i="2"/>
  <c r="AI30" i="2"/>
  <c r="Z32" i="2"/>
  <c r="AA32" i="2"/>
  <c r="AB32" i="2"/>
  <c r="AC32" i="2"/>
  <c r="AD32" i="2"/>
  <c r="AE32" i="2"/>
  <c r="AF32" i="2"/>
  <c r="AG32" i="2"/>
  <c r="AH32" i="2"/>
  <c r="AI32" i="2"/>
  <c r="AA132" i="2" l="1"/>
  <c r="AA131" i="2" s="1"/>
  <c r="Z132" i="2"/>
  <c r="Z131" i="2" s="1"/>
  <c r="Y132" i="2"/>
  <c r="Y131" i="2" s="1"/>
  <c r="X132" i="2"/>
  <c r="X131" i="2" s="1"/>
  <c r="I109" i="2"/>
  <c r="S67" i="2"/>
  <c r="S66" i="2" s="1"/>
  <c r="P67" i="2"/>
  <c r="P66" i="2" s="1"/>
  <c r="Q67" i="2"/>
  <c r="Q66" i="2" s="1"/>
  <c r="R67" i="2"/>
  <c r="R66" i="2" s="1"/>
  <c r="T67" i="2"/>
  <c r="T66" i="2" s="1"/>
  <c r="W132" i="2"/>
  <c r="W131" i="2" s="1"/>
  <c r="U132" i="2"/>
  <c r="U131" i="2" s="1"/>
  <c r="V132" i="2"/>
  <c r="V131" i="2" s="1"/>
  <c r="H130" i="2"/>
  <c r="J130" i="2" s="1"/>
  <c r="T132" i="2"/>
  <c r="T131" i="2" s="1"/>
  <c r="S132" i="2"/>
  <c r="S131" i="2" s="1"/>
  <c r="I130" i="2"/>
  <c r="R132" i="2"/>
  <c r="R131" i="2" s="1"/>
  <c r="Q132" i="2"/>
  <c r="Q131" i="2" s="1"/>
  <c r="P111" i="2"/>
  <c r="P110" i="2" s="1"/>
  <c r="H109" i="2"/>
  <c r="J109" i="2" s="1"/>
  <c r="S111" i="2"/>
  <c r="S110" i="2" s="1"/>
  <c r="R111" i="2"/>
  <c r="R110" i="2" s="1"/>
  <c r="Q111" i="2"/>
  <c r="P132" i="2"/>
  <c r="R85" i="2"/>
  <c r="T85" i="2"/>
  <c r="S85" i="2"/>
  <c r="U85" i="2"/>
  <c r="Q85" i="2"/>
  <c r="P85" i="2"/>
  <c r="H86" i="2"/>
  <c r="I65" i="2"/>
  <c r="AD48" i="2"/>
  <c r="AD47" i="2" s="1"/>
  <c r="AC48" i="2"/>
  <c r="AC47" i="2" s="1"/>
  <c r="AA48" i="2"/>
  <c r="AA47" i="2" s="1"/>
  <c r="AB48" i="2"/>
  <c r="AB47" i="2" s="1"/>
  <c r="R48" i="2"/>
  <c r="R47" i="2" s="1"/>
  <c r="Z48" i="2"/>
  <c r="Z47" i="2" s="1"/>
  <c r="Y48" i="2"/>
  <c r="Y47" i="2" s="1"/>
  <c r="X48" i="2"/>
  <c r="X47" i="2" s="1"/>
  <c r="W48" i="2"/>
  <c r="W47" i="2" s="1"/>
  <c r="V48" i="2"/>
  <c r="V47" i="2" s="1"/>
  <c r="U48" i="2"/>
  <c r="U47" i="2" s="1"/>
  <c r="S48" i="2"/>
  <c r="S47" i="2" s="1"/>
  <c r="T48" i="2"/>
  <c r="T47" i="2" s="1"/>
  <c r="P48" i="2"/>
  <c r="P47" i="2" s="1"/>
  <c r="H46" i="2"/>
  <c r="J46" i="2" s="1"/>
  <c r="I46" i="2"/>
  <c r="Q48" i="2"/>
  <c r="Q47" i="2" s="1"/>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U88" i="2" l="1"/>
  <c r="U69" i="2"/>
  <c r="U68" i="2" s="1"/>
  <c r="R69" i="2"/>
  <c r="R68" i="2" s="1"/>
  <c r="S69" i="2"/>
  <c r="S68" i="2" s="1"/>
  <c r="P69" i="2"/>
  <c r="P68" i="2" s="1"/>
  <c r="Q69" i="2"/>
  <c r="Q68" i="2" s="1"/>
  <c r="I67" i="2"/>
  <c r="T69" i="2"/>
  <c r="T68" i="2" s="1"/>
  <c r="H67" i="2"/>
  <c r="J67" i="2" s="1"/>
  <c r="Q110" i="2"/>
  <c r="Q113" i="2" s="1"/>
  <c r="Q112" i="2" s="1"/>
  <c r="H111" i="2"/>
  <c r="J111" i="2" s="1"/>
  <c r="P131" i="2"/>
  <c r="Z134" i="2" s="1"/>
  <c r="Z133" i="2" s="1"/>
  <c r="H132" i="2"/>
  <c r="J132" i="2" s="1"/>
  <c r="U87" i="2"/>
  <c r="I86" i="2"/>
  <c r="Q88" i="2"/>
  <c r="S88" i="2"/>
  <c r="T88" i="2"/>
  <c r="M87" i="2"/>
  <c r="M84" i="2" s="1"/>
  <c r="M78" i="2" s="1"/>
  <c r="J86" i="2"/>
  <c r="P88" i="2"/>
  <c r="R88" i="2"/>
  <c r="AD50" i="2"/>
  <c r="AD49" i="2" s="1"/>
  <c r="AA50" i="2"/>
  <c r="AA49" i="2" s="1"/>
  <c r="AC50" i="2"/>
  <c r="AC49" i="2" s="1"/>
  <c r="AB50" i="2"/>
  <c r="AB49" i="2" s="1"/>
  <c r="Z50" i="2"/>
  <c r="Z49" i="2" s="1"/>
  <c r="Y50" i="2"/>
  <c r="Y49" i="2" s="1"/>
  <c r="X50" i="2"/>
  <c r="X49" i="2" s="1"/>
  <c r="W50" i="2"/>
  <c r="W49" i="2" s="1"/>
  <c r="V50" i="2"/>
  <c r="V49" i="2" s="1"/>
  <c r="U50" i="2"/>
  <c r="U49" i="2" s="1"/>
  <c r="T50" i="2"/>
  <c r="T49" i="2" s="1"/>
  <c r="R50" i="2"/>
  <c r="R49" i="2" s="1"/>
  <c r="S50" i="2"/>
  <c r="S49" i="2" s="1"/>
  <c r="Q50" i="2"/>
  <c r="Q49" i="2" s="1"/>
  <c r="P50" i="2"/>
  <c r="P49" i="2" s="1"/>
  <c r="I48" i="2"/>
  <c r="H48" i="2"/>
  <c r="J48"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AA134" i="2" l="1"/>
  <c r="AA133" i="2" s="1"/>
  <c r="X134" i="2"/>
  <c r="X133" i="2" s="1"/>
  <c r="Y134" i="2"/>
  <c r="Y133" i="2" s="1"/>
  <c r="P113" i="2"/>
  <c r="P112" i="2" s="1"/>
  <c r="S113" i="2"/>
  <c r="S112" i="2" s="1"/>
  <c r="I111" i="2"/>
  <c r="R113" i="2"/>
  <c r="R112" i="2" s="1"/>
  <c r="T71" i="2"/>
  <c r="T70" i="2" s="1"/>
  <c r="P71" i="2"/>
  <c r="P70" i="2" s="1"/>
  <c r="H69" i="2"/>
  <c r="J69" i="2" s="1"/>
  <c r="U71" i="2"/>
  <c r="U70" i="2" s="1"/>
  <c r="S71" i="2"/>
  <c r="S70" i="2" s="1"/>
  <c r="Q71" i="2"/>
  <c r="Q70" i="2" s="1"/>
  <c r="I69" i="2"/>
  <c r="R71" i="2"/>
  <c r="R70" i="2" s="1"/>
  <c r="V134" i="2"/>
  <c r="V133" i="2" s="1"/>
  <c r="W134" i="2"/>
  <c r="W133" i="2" s="1"/>
  <c r="R134" i="2"/>
  <c r="R133" i="2" s="1"/>
  <c r="U134" i="2"/>
  <c r="U133" i="2" s="1"/>
  <c r="T134" i="2"/>
  <c r="T133" i="2" s="1"/>
  <c r="S134" i="2"/>
  <c r="S133" i="2" s="1"/>
  <c r="I132" i="2"/>
  <c r="Q134" i="2"/>
  <c r="Q133" i="2" s="1"/>
  <c r="I113" i="2"/>
  <c r="P134" i="2"/>
  <c r="P87" i="2"/>
  <c r="H88" i="2"/>
  <c r="J88" i="2" s="1"/>
  <c r="S87" i="2"/>
  <c r="R87" i="2"/>
  <c r="T87" i="2"/>
  <c r="Q87" i="2"/>
  <c r="AD52" i="2"/>
  <c r="AD51" i="2" s="1"/>
  <c r="AC52" i="2"/>
  <c r="AC51" i="2" s="1"/>
  <c r="AB52" i="2"/>
  <c r="AB51" i="2" s="1"/>
  <c r="AA52" i="2"/>
  <c r="AA51" i="2" s="1"/>
  <c r="Z52" i="2"/>
  <c r="Z51" i="2" s="1"/>
  <c r="Y52" i="2"/>
  <c r="Y51" i="2" s="1"/>
  <c r="R52" i="2"/>
  <c r="R51" i="2" s="1"/>
  <c r="X52" i="2"/>
  <c r="X51" i="2" s="1"/>
  <c r="W52" i="2"/>
  <c r="W51" i="2" s="1"/>
  <c r="V52" i="2"/>
  <c r="V51" i="2" s="1"/>
  <c r="U52" i="2"/>
  <c r="U51" i="2" s="1"/>
  <c r="T52" i="2"/>
  <c r="T51" i="2" s="1"/>
  <c r="S52" i="2"/>
  <c r="S51" i="2" s="1"/>
  <c r="H50" i="2"/>
  <c r="I50" i="2"/>
  <c r="P52" i="2"/>
  <c r="P51" i="2" s="1"/>
  <c r="Q52" i="2"/>
  <c r="Q51" i="2" s="1"/>
  <c r="S21" i="2"/>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AF21" i="2"/>
  <c r="AF23" i="2" s="1"/>
  <c r="AF25" i="2" s="1"/>
  <c r="AF27" i="2" s="1"/>
  <c r="AF29" i="2" s="1"/>
  <c r="AF31" i="2" s="1"/>
  <c r="AF33" i="2" s="1"/>
  <c r="AB21" i="2"/>
  <c r="AB23" i="2" s="1"/>
  <c r="AB25" i="2" s="1"/>
  <c r="AB27" i="2" s="1"/>
  <c r="AB29" i="2" s="1"/>
  <c r="AB31" i="2" s="1"/>
  <c r="AB33" i="2" s="1"/>
  <c r="X21" i="2"/>
  <c r="U21" i="2"/>
  <c r="T21" i="2"/>
  <c r="AI21" i="2"/>
  <c r="AI23" i="2" s="1"/>
  <c r="AI25" i="2" s="1"/>
  <c r="AI27" i="2" s="1"/>
  <c r="AI29" i="2" s="1"/>
  <c r="AI31" i="2" s="1"/>
  <c r="AI33" i="2" s="1"/>
  <c r="AE21" i="2"/>
  <c r="AE23" i="2" s="1"/>
  <c r="AE25" i="2" s="1"/>
  <c r="AE27" i="2" s="1"/>
  <c r="AE29" i="2" s="1"/>
  <c r="AE31" i="2" s="1"/>
  <c r="AE33" i="2" s="1"/>
  <c r="AA21" i="2"/>
  <c r="W21" i="2"/>
  <c r="AH21" i="2"/>
  <c r="AH23" i="2" s="1"/>
  <c r="AH25" i="2" s="1"/>
  <c r="AH27" i="2" s="1"/>
  <c r="AH29" i="2" s="1"/>
  <c r="AH31" i="2" s="1"/>
  <c r="AH33" i="2" s="1"/>
  <c r="AD21" i="2"/>
  <c r="AD23" i="2" s="1"/>
  <c r="AD25" i="2" s="1"/>
  <c r="AD27" i="2" s="1"/>
  <c r="AD29" i="2" s="1"/>
  <c r="AD31" i="2" s="1"/>
  <c r="AD33" i="2" s="1"/>
  <c r="Z21" i="2"/>
  <c r="V21" i="2"/>
  <c r="S115" i="2" l="1"/>
  <c r="S114" i="2" s="1"/>
  <c r="P115" i="2"/>
  <c r="P114" i="2" s="1"/>
  <c r="H113" i="2"/>
  <c r="J113" i="2" s="1"/>
  <c r="Q115" i="2"/>
  <c r="Q114" i="2" s="1"/>
  <c r="R90" i="2"/>
  <c r="R115" i="2"/>
  <c r="R114" i="2" s="1"/>
  <c r="I115" i="2" s="1"/>
  <c r="I71" i="2"/>
  <c r="H71" i="2"/>
  <c r="J71" i="2" s="1"/>
  <c r="S73" i="2"/>
  <c r="S72" i="2" s="1"/>
  <c r="T73" i="2"/>
  <c r="T72" i="2" s="1"/>
  <c r="P90" i="2"/>
  <c r="P89" i="2" s="1"/>
  <c r="R117" i="2"/>
  <c r="R116" i="2" s="1"/>
  <c r="P133" i="2"/>
  <c r="AA136" i="2" s="1"/>
  <c r="AA135" i="2" s="1"/>
  <c r="H134" i="2"/>
  <c r="R89" i="2"/>
  <c r="T90" i="2"/>
  <c r="S90" i="2"/>
  <c r="Q90" i="2"/>
  <c r="I88" i="2"/>
  <c r="U90" i="2"/>
  <c r="Q73" i="2"/>
  <c r="Q72" i="2" s="1"/>
  <c r="R73" i="2"/>
  <c r="R72" i="2" s="1"/>
  <c r="U73" i="2"/>
  <c r="U72" i="2" s="1"/>
  <c r="P73" i="2"/>
  <c r="AD54" i="2"/>
  <c r="AD53" i="2" s="1"/>
  <c r="AC54" i="2"/>
  <c r="AC53" i="2" s="1"/>
  <c r="AA54" i="2"/>
  <c r="AA53" i="2" s="1"/>
  <c r="AB54" i="2"/>
  <c r="AB53" i="2" s="1"/>
  <c r="Z54" i="2"/>
  <c r="Z53" i="2" s="1"/>
  <c r="Y54" i="2"/>
  <c r="Y53" i="2" s="1"/>
  <c r="X54" i="2"/>
  <c r="X53" i="2" s="1"/>
  <c r="W54" i="2"/>
  <c r="W53" i="2" s="1"/>
  <c r="V54" i="2"/>
  <c r="V53" i="2" s="1"/>
  <c r="Q54" i="2"/>
  <c r="Q53" i="2" s="1"/>
  <c r="U54" i="2"/>
  <c r="U53" i="2" s="1"/>
  <c r="T54" i="2"/>
  <c r="T53" i="2" s="1"/>
  <c r="R54" i="2"/>
  <c r="R53" i="2" s="1"/>
  <c r="S54" i="2"/>
  <c r="S53" i="2" s="1"/>
  <c r="P54" i="2"/>
  <c r="P53" i="2" s="1"/>
  <c r="H52" i="2"/>
  <c r="J52" i="2" s="1"/>
  <c r="I52" i="2"/>
  <c r="J5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S117" i="2" l="1"/>
  <c r="S116" i="2" s="1"/>
  <c r="Y136" i="2"/>
  <c r="Y135" i="2" s="1"/>
  <c r="Z136" i="2"/>
  <c r="Z135" i="2" s="1"/>
  <c r="W136" i="2"/>
  <c r="W135" i="2" s="1"/>
  <c r="X136" i="2"/>
  <c r="X135" i="2" s="1"/>
  <c r="Q117" i="2"/>
  <c r="Q116" i="2" s="1"/>
  <c r="H115" i="2"/>
  <c r="J115" i="2" s="1"/>
  <c r="P117" i="2"/>
  <c r="P116" i="2" s="1"/>
  <c r="I117" i="2" s="1"/>
  <c r="S136" i="2"/>
  <c r="S135" i="2" s="1"/>
  <c r="V136" i="2"/>
  <c r="V135" i="2" s="1"/>
  <c r="U136" i="2"/>
  <c r="U135" i="2" s="1"/>
  <c r="T136" i="2"/>
  <c r="T135" i="2" s="1"/>
  <c r="I134" i="2"/>
  <c r="R136" i="2"/>
  <c r="R135" i="2" s="1"/>
  <c r="Q136" i="2"/>
  <c r="Q135" i="2" s="1"/>
  <c r="P136" i="2"/>
  <c r="J134" i="2"/>
  <c r="M108" i="2"/>
  <c r="M105" i="2" s="1"/>
  <c r="M99" i="2" s="1"/>
  <c r="S89" i="2"/>
  <c r="T89" i="2"/>
  <c r="U89" i="2"/>
  <c r="Q89" i="2"/>
  <c r="H90" i="2"/>
  <c r="J90" i="2" s="1"/>
  <c r="P72" i="2"/>
  <c r="P75" i="2" s="1"/>
  <c r="H73" i="2"/>
  <c r="J73" i="2" s="1"/>
  <c r="I54" i="2"/>
  <c r="H54"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T1315" i="2"/>
  <c r="X1063" i="2"/>
  <c r="Z1567" i="2"/>
  <c r="U1420" i="2"/>
  <c r="AC1168" i="2"/>
  <c r="M1054" i="2"/>
  <c r="AF1063" i="2"/>
  <c r="AF1567" i="2"/>
  <c r="W1567" i="2"/>
  <c r="AD1567" i="2"/>
  <c r="M1978" i="2"/>
  <c r="M235" i="2"/>
  <c r="AH1567" i="2"/>
  <c r="W1168" i="2"/>
  <c r="R1063" i="2"/>
  <c r="W979" i="2"/>
  <c r="P1063" i="2"/>
  <c r="U1882" i="2"/>
  <c r="AH1063" i="2"/>
  <c r="U286" i="2"/>
  <c r="T979" i="2"/>
  <c r="AC1063" i="2"/>
  <c r="AI286" i="2"/>
  <c r="V1987" i="2"/>
  <c r="AE1987" i="2"/>
  <c r="V1882" i="2"/>
  <c r="AG1420" i="2"/>
  <c r="W1420" i="2"/>
  <c r="M1999" i="2"/>
  <c r="AA1021" i="2"/>
  <c r="AF1294" i="2"/>
  <c r="Y1168" i="2"/>
  <c r="S685" i="2"/>
  <c r="AA1735" i="2"/>
  <c r="AE1294" i="2"/>
  <c r="V685" i="2"/>
  <c r="M1048"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V286" i="2"/>
  <c r="M1768" i="2"/>
  <c r="M466" i="2"/>
  <c r="V2071" i="2"/>
  <c r="E3" i="10"/>
  <c r="H117" i="2" l="1"/>
  <c r="J117" i="2" s="1"/>
  <c r="P92" i="2"/>
  <c r="R92" i="2"/>
  <c r="P135" i="2"/>
  <c r="H136" i="2"/>
  <c r="P91" i="2"/>
  <c r="I90" i="2"/>
  <c r="U92" i="2"/>
  <c r="Q92" i="2"/>
  <c r="T92" i="2"/>
  <c r="R91" i="2"/>
  <c r="S92" i="2"/>
  <c r="U75" i="2"/>
  <c r="U74" i="2" s="1"/>
  <c r="P74" i="2"/>
  <c r="T75" i="2"/>
  <c r="T74" i="2" s="1"/>
  <c r="S75" i="2"/>
  <c r="S74" i="2" s="1"/>
  <c r="R75" i="2"/>
  <c r="R74" i="2" s="1"/>
  <c r="I73" i="2"/>
  <c r="Q75" i="2"/>
  <c r="Q74" i="2" s="1"/>
  <c r="M45" i="2"/>
  <c r="J54" i="2"/>
  <c r="M46"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Z138" i="2" l="1"/>
  <c r="Z137" i="2" s="1"/>
  <c r="AA138" i="2"/>
  <c r="AA137" i="2" s="1"/>
  <c r="X138" i="2"/>
  <c r="X137" i="2" s="1"/>
  <c r="Y138" i="2"/>
  <c r="Y137" i="2" s="1"/>
  <c r="T138" i="2"/>
  <c r="T137" i="2" s="1"/>
  <c r="W138" i="2"/>
  <c r="W137" i="2" s="1"/>
  <c r="U138" i="2"/>
  <c r="U137" i="2" s="1"/>
  <c r="V138" i="2"/>
  <c r="V137" i="2" s="1"/>
  <c r="I136" i="2"/>
  <c r="S138" i="2"/>
  <c r="S137" i="2" s="1"/>
  <c r="R138" i="2"/>
  <c r="R137" i="2" s="1"/>
  <c r="Q138" i="2"/>
  <c r="Q137" i="2" s="1"/>
  <c r="J136" i="2"/>
  <c r="P138" i="2"/>
  <c r="T91" i="2"/>
  <c r="Q91" i="2"/>
  <c r="S91" i="2"/>
  <c r="H92" i="2"/>
  <c r="J92" i="2" s="1"/>
  <c r="U91" i="2"/>
  <c r="H75" i="2"/>
  <c r="I75" i="2"/>
  <c r="M42" i="2"/>
  <c r="M36" i="2" s="1"/>
  <c r="W55" i="2"/>
  <c r="AD55" i="2"/>
  <c r="AB55" i="2"/>
  <c r="Z55" i="2"/>
  <c r="AF55" i="2"/>
  <c r="M40" i="2"/>
  <c r="AG55" i="2"/>
  <c r="T55" i="2"/>
  <c r="S55" i="2"/>
  <c r="AA55" i="2"/>
  <c r="Y55" i="2"/>
  <c r="P55" i="2"/>
  <c r="V55" i="2"/>
  <c r="AI55" i="2"/>
  <c r="Q55" i="2"/>
  <c r="AE55" i="2"/>
  <c r="AC55" i="2"/>
  <c r="U55" i="2"/>
  <c r="X55" i="2"/>
  <c r="R55" i="2"/>
  <c r="AH55" i="2"/>
  <c r="U20" i="2"/>
  <c r="P20" i="2"/>
  <c r="Q20" i="2"/>
  <c r="R20" i="2"/>
  <c r="S94" i="2" l="1"/>
  <c r="P137" i="2"/>
  <c r="I138" i="2" s="1"/>
  <c r="H138" i="2"/>
  <c r="S93" i="2"/>
  <c r="U94" i="2"/>
  <c r="I92" i="2"/>
  <c r="P94" i="2"/>
  <c r="R94" i="2"/>
  <c r="Q94" i="2"/>
  <c r="T94" i="2"/>
  <c r="M66" i="2"/>
  <c r="M63" i="2" s="1"/>
  <c r="M57" i="2" s="1"/>
  <c r="J75" i="2"/>
  <c r="V20" i="2"/>
  <c r="M129" i="2" l="1"/>
  <c r="J138" i="2"/>
  <c r="M130" i="2"/>
  <c r="P93" i="2"/>
  <c r="H94" i="2"/>
  <c r="J94" i="2" s="1"/>
  <c r="T93" i="2"/>
  <c r="Q93" i="2"/>
  <c r="U93" i="2"/>
  <c r="R93" i="2"/>
  <c r="M61" i="2"/>
  <c r="AD76" i="2"/>
  <c r="V76" i="2"/>
  <c r="Q76" i="2"/>
  <c r="AC76" i="2"/>
  <c r="Z76" i="2"/>
  <c r="AB76" i="2"/>
  <c r="AF76" i="2"/>
  <c r="U76" i="2"/>
  <c r="AA76" i="2"/>
  <c r="R76" i="2"/>
  <c r="AE76" i="2"/>
  <c r="S76" i="2"/>
  <c r="Y76" i="2"/>
  <c r="AI76" i="2"/>
  <c r="W76" i="2"/>
  <c r="AH76" i="2"/>
  <c r="P76" i="2"/>
  <c r="AG76" i="2"/>
  <c r="X76" i="2"/>
  <c r="T76" i="2"/>
  <c r="B5" i="12"/>
  <c r="E3" i="12"/>
  <c r="T96" i="2" l="1"/>
  <c r="T95" i="2" s="1"/>
  <c r="M126" i="2"/>
  <c r="M120" i="2" s="1"/>
  <c r="W139" i="2"/>
  <c r="X139" i="2"/>
  <c r="Z139" i="2"/>
  <c r="AG139" i="2"/>
  <c r="T139" i="2"/>
  <c r="S139" i="2"/>
  <c r="U139" i="2"/>
  <c r="AH139" i="2"/>
  <c r="AA139" i="2"/>
  <c r="Y139" i="2"/>
  <c r="AD139" i="2"/>
  <c r="AI139" i="2"/>
  <c r="P139" i="2"/>
  <c r="AB139" i="2"/>
  <c r="AF139" i="2"/>
  <c r="AE139" i="2"/>
  <c r="AC139" i="2"/>
  <c r="Q139" i="2"/>
  <c r="R139" i="2"/>
  <c r="V139" i="2"/>
  <c r="M124" i="2"/>
  <c r="R96" i="2"/>
  <c r="R95" i="2" s="1"/>
  <c r="U96" i="2"/>
  <c r="U95" i="2" s="1"/>
  <c r="Q96" i="2"/>
  <c r="Q95" i="2" s="1"/>
  <c r="I94" i="2"/>
  <c r="S96" i="2"/>
  <c r="S95" i="2" s="1"/>
  <c r="P96" i="2"/>
  <c r="S20" i="2"/>
  <c r="T20" i="2"/>
  <c r="Z20" i="2"/>
  <c r="AA20" i="2"/>
  <c r="AB20" i="2"/>
  <c r="AC20" i="2"/>
  <c r="AD20" i="2"/>
  <c r="AE20" i="2"/>
  <c r="AF20" i="2"/>
  <c r="AG20" i="2"/>
  <c r="AH20" i="2"/>
  <c r="AI20" i="2"/>
  <c r="P95" i="2" l="1"/>
  <c r="I96" i="2" s="1"/>
  <c r="H96" i="2"/>
  <c r="J96" i="2" s="1"/>
  <c r="E3" i="11"/>
  <c r="B5" i="11"/>
  <c r="C5" i="11" s="1"/>
  <c r="P104" i="10"/>
  <c r="P105" i="10"/>
  <c r="AH97" i="2" l="1"/>
  <c r="R97" i="2"/>
  <c r="P97" i="2"/>
  <c r="AB97" i="2"/>
  <c r="Y97" i="2"/>
  <c r="M82" i="2"/>
  <c r="V97" i="2"/>
  <c r="Z97" i="2"/>
  <c r="Q97" i="2"/>
  <c r="AG97" i="2"/>
  <c r="X97" i="2"/>
  <c r="U97" i="2"/>
  <c r="AI97" i="2"/>
  <c r="W97" i="2"/>
  <c r="AC97" i="2"/>
  <c r="AD97" i="2"/>
  <c r="T97" i="2"/>
  <c r="AA97" i="2"/>
  <c r="S97" i="2"/>
  <c r="AE97" i="2"/>
  <c r="AF97" i="2"/>
  <c r="D15" i="2"/>
  <c r="D16" i="2" l="1"/>
  <c r="D17" i="2" s="1"/>
  <c r="D18" i="2" s="1"/>
  <c r="D19" i="2" s="1"/>
  <c r="D20" i="2" s="1"/>
  <c r="D21" i="2" s="1"/>
  <c r="D22" i="2" s="1"/>
  <c r="D23" i="2" s="1"/>
  <c r="D24" i="2" s="1"/>
  <c r="D25" i="2" s="1"/>
  <c r="D26" i="2" s="1"/>
  <c r="D27" i="2" s="1"/>
  <c r="D28" i="2" s="1"/>
  <c r="D29" i="2" s="1"/>
  <c r="D30" i="2" s="1"/>
  <c r="D31" i="2" s="1"/>
  <c r="D32" i="2" s="1"/>
  <c r="D33" i="2" s="1"/>
  <c r="D34" i="2" s="1"/>
  <c r="C16" i="2"/>
  <c r="J15" i="2"/>
  <c r="B16" i="2"/>
  <c r="B17" i="2" l="1"/>
  <c r="B18" i="2" s="1"/>
  <c r="H21" i="2"/>
  <c r="M30" i="2"/>
  <c r="M29" i="2"/>
  <c r="M22" i="2"/>
  <c r="M28" i="2"/>
  <c r="M27" i="2"/>
  <c r="Y20" i="2"/>
  <c r="B19" i="2" l="1"/>
  <c r="B20" i="2" s="1"/>
  <c r="W20" i="2"/>
  <c r="Z23" i="2" s="1"/>
  <c r="X20" i="2"/>
  <c r="C17" i="2"/>
  <c r="C18" i="2" s="1"/>
  <c r="AA23" i="2" l="1"/>
  <c r="T23" i="2"/>
  <c r="T22" i="2" s="1"/>
  <c r="Y23" i="2"/>
  <c r="Y22" i="2" s="1"/>
  <c r="X23" i="2"/>
  <c r="X22" i="2" s="1"/>
  <c r="W23" i="2"/>
  <c r="W22" i="2" s="1"/>
  <c r="V23" i="2"/>
  <c r="V22" i="2" s="1"/>
  <c r="U23" i="2"/>
  <c r="U22" i="2" s="1"/>
  <c r="P23" i="2"/>
  <c r="P22" i="2" s="1"/>
  <c r="M26" i="2"/>
  <c r="S23" i="2"/>
  <c r="S22" i="2" s="1"/>
  <c r="R23" i="2"/>
  <c r="R22" i="2" s="1"/>
  <c r="Q23" i="2"/>
  <c r="Q22" i="2" s="1"/>
  <c r="I21" i="2"/>
  <c r="B21" i="2"/>
  <c r="C19" i="2"/>
  <c r="Z25" i="2" l="1"/>
  <c r="AA25" i="2"/>
  <c r="Y25" i="2"/>
  <c r="Y24" i="2" s="1"/>
  <c r="X25" i="2"/>
  <c r="X24" i="2" s="1"/>
  <c r="W25" i="2"/>
  <c r="W24" i="2" s="1"/>
  <c r="V25" i="2"/>
  <c r="V24" i="2" s="1"/>
  <c r="T25" i="2"/>
  <c r="T24" i="2" s="1"/>
  <c r="U25" i="2"/>
  <c r="U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Z27" i="2" l="1"/>
  <c r="AA27" i="2"/>
  <c r="X27" i="2"/>
  <c r="X26" i="2" s="1"/>
  <c r="Y27" i="2"/>
  <c r="Y26" i="2" s="1"/>
  <c r="V27" i="2"/>
  <c r="V26" i="2" s="1"/>
  <c r="W27" i="2"/>
  <c r="W26" i="2" s="1"/>
  <c r="T27" i="2"/>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J57" i="2"/>
  <c r="B58" i="2"/>
  <c r="B59" i="2" s="1"/>
  <c r="H27" i="2"/>
  <c r="J27" i="2" s="1"/>
  <c r="P26" i="2"/>
  <c r="AA29" i="2" s="1"/>
  <c r="Y29" i="2" l="1"/>
  <c r="Y28" i="2" s="1"/>
  <c r="Z29" i="2"/>
  <c r="W29" i="2"/>
  <c r="W28" i="2" s="1"/>
  <c r="X29" i="2"/>
  <c r="X28" i="2" s="1"/>
  <c r="U29" i="2"/>
  <c r="U28" i="2" s="1"/>
  <c r="V29" i="2"/>
  <c r="V28" i="2" s="1"/>
  <c r="S29" i="2"/>
  <c r="S28" i="2" s="1"/>
  <c r="T29" i="2"/>
  <c r="T28" i="2" s="1"/>
  <c r="B60" i="2"/>
  <c r="B61" i="2"/>
  <c r="D57" i="2"/>
  <c r="C58" i="2"/>
  <c r="C59" i="2" s="1"/>
  <c r="E61" i="2"/>
  <c r="Q29" i="2"/>
  <c r="Q28" i="2" s="1"/>
  <c r="R29" i="2"/>
  <c r="R28" i="2" s="1"/>
  <c r="I27" i="2"/>
  <c r="P29" i="2"/>
  <c r="P28" i="2" s="1"/>
  <c r="AA31" i="2" s="1"/>
  <c r="Y31" i="2" l="1"/>
  <c r="Y30" i="2" s="1"/>
  <c r="Z31" i="2"/>
  <c r="X31" i="2"/>
  <c r="X30" i="2" s="1"/>
  <c r="W31" i="2"/>
  <c r="W30" i="2" s="1"/>
  <c r="U31" i="2"/>
  <c r="U30" i="2" s="1"/>
  <c r="V31" i="2"/>
  <c r="V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AA33" i="2" s="1"/>
  <c r="I29" i="2"/>
  <c r="H29" i="2"/>
  <c r="J29" i="2" s="1"/>
  <c r="Y33" i="2" l="1"/>
  <c r="Y32" i="2" s="1"/>
  <c r="Z33" i="2"/>
  <c r="W33" i="2"/>
  <c r="W32" i="2" s="1"/>
  <c r="X33" i="2"/>
  <c r="X32" i="2" s="1"/>
  <c r="V33" i="2"/>
  <c r="V32" i="2" s="1"/>
  <c r="U33" i="2"/>
  <c r="U32" i="2" s="1"/>
  <c r="T33" i="2"/>
  <c r="T32" i="2" s="1"/>
  <c r="C78" i="2"/>
  <c r="J78"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M15" i="2" s="1"/>
  <c r="J99" i="2"/>
  <c r="C99"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J120" i="2"/>
  <c r="B121" i="2"/>
  <c r="B122" i="2" s="1"/>
  <c r="C6" i="11"/>
  <c r="C7" i="12"/>
  <c r="B8" i="12" s="1"/>
  <c r="B123" i="2" l="1"/>
  <c r="B124" i="2"/>
  <c r="E124" i="2"/>
  <c r="C121" i="2"/>
  <c r="C122" i="2" s="1"/>
  <c r="D120" i="2"/>
  <c r="C8" i="12"/>
  <c r="G6" i="11"/>
  <c r="I6" i="11"/>
  <c r="L6" i="11"/>
  <c r="B7" i="11"/>
  <c r="F6" i="11"/>
  <c r="H6" i="11"/>
  <c r="M139" i="2" l="1"/>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AE8" i="12" l="1"/>
  <c r="AK8" i="12"/>
  <c r="AI8" i="12"/>
  <c r="W8" i="12"/>
  <c r="Y8" i="12"/>
  <c r="U8" i="12"/>
  <c r="Q8" i="12"/>
  <c r="AG8" i="12"/>
  <c r="AC8" i="12"/>
  <c r="S8" i="12"/>
  <c r="O8" i="12"/>
  <c r="AA8" i="12"/>
  <c r="D10" i="12"/>
  <c r="C10" i="12"/>
  <c r="D10" i="11"/>
  <c r="C10" i="11"/>
  <c r="AH9" i="12"/>
  <c r="P9" i="12"/>
  <c r="AB9" i="12"/>
  <c r="AD9" i="12"/>
  <c r="T9" i="12"/>
  <c r="K9" i="12"/>
  <c r="Z9" i="12"/>
  <c r="N9" i="12"/>
  <c r="X9" i="12"/>
  <c r="AF9" i="12"/>
  <c r="R9" i="12"/>
  <c r="AJ9" i="12"/>
  <c r="AG9" i="12" l="1"/>
  <c r="U9" i="12"/>
  <c r="Y9" i="12"/>
  <c r="AA9" i="12"/>
  <c r="O9" i="12"/>
  <c r="AK9" i="12"/>
  <c r="AE9" i="12"/>
  <c r="Q9" i="12"/>
  <c r="AC9" i="12"/>
  <c r="AI9" i="12"/>
  <c r="S9" i="12"/>
  <c r="B11" i="12"/>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W10" i="12" l="1"/>
  <c r="AC10" i="12"/>
  <c r="Y10" i="12"/>
  <c r="AA10" i="12"/>
  <c r="AE10" i="12"/>
  <c r="AG10" i="12"/>
  <c r="AK10" i="12"/>
  <c r="AI10" i="12"/>
  <c r="S10" i="12"/>
  <c r="U10" i="12"/>
  <c r="Q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AI11" i="12"/>
  <c r="U11" i="12"/>
  <c r="AK11" i="12"/>
  <c r="Q11" i="12"/>
  <c r="W11" i="12"/>
  <c r="S11" i="12"/>
  <c r="O11" i="12"/>
  <c r="AE11" i="12"/>
  <c r="Y11" i="12"/>
  <c r="AG11" i="12"/>
  <c r="D13" i="12"/>
  <c r="T12" i="12"/>
  <c r="AB12" i="12"/>
  <c r="AJ12" i="12"/>
  <c r="C13" i="12"/>
  <c r="J13" i="12" s="1"/>
  <c r="N13" i="12" s="1"/>
  <c r="AH12" i="12"/>
  <c r="K12" i="12"/>
  <c r="P12" i="12"/>
  <c r="N12" i="12"/>
  <c r="R12" i="12"/>
  <c r="X12" i="12"/>
  <c r="L12" i="11"/>
  <c r="I12" i="11"/>
  <c r="G12" i="11"/>
  <c r="H12" i="11"/>
  <c r="F12" i="11"/>
  <c r="AF12" i="12"/>
  <c r="AD12" i="12"/>
  <c r="Z12" i="12"/>
  <c r="B13" i="11"/>
  <c r="O12" i="12" l="1"/>
  <c r="AE12" i="12"/>
  <c r="AG12" i="12"/>
  <c r="AI12" i="12"/>
  <c r="AC12" i="12"/>
  <c r="W12" i="12"/>
  <c r="AK12" i="12"/>
  <c r="U12" i="12"/>
  <c r="Y12" i="12"/>
  <c r="S12" i="12"/>
  <c r="AA12" i="12"/>
  <c r="Q12" i="12"/>
  <c r="B14" i="12"/>
  <c r="E13" i="12"/>
  <c r="F13" i="12"/>
  <c r="H13" i="12"/>
  <c r="I13" i="12"/>
  <c r="K13" i="12" s="1"/>
  <c r="G13" i="12"/>
  <c r="AD13" i="12"/>
  <c r="Z13" i="12"/>
  <c r="AF13" i="12"/>
  <c r="AB13" i="12"/>
  <c r="P13" i="12"/>
  <c r="X13" i="12"/>
  <c r="T13" i="12"/>
  <c r="R13" i="12"/>
  <c r="V13" i="12"/>
  <c r="AJ13" i="12"/>
  <c r="AH13" i="12"/>
  <c r="D13" i="11"/>
  <c r="C13" i="11"/>
  <c r="D14" i="12" l="1"/>
  <c r="C14" i="12"/>
  <c r="O13" i="12"/>
  <c r="Y13" i="12"/>
  <c r="Q13" i="12"/>
  <c r="AC13" i="12"/>
  <c r="AG13" i="12"/>
  <c r="AI13" i="12"/>
  <c r="AA13" i="12"/>
  <c r="AK13" i="12"/>
  <c r="AE13" i="12"/>
  <c r="W13" i="12"/>
  <c r="S13" i="12"/>
  <c r="U13" i="12"/>
  <c r="G13" i="11"/>
  <c r="F13" i="11"/>
  <c r="E13" i="11"/>
  <c r="H13" i="11"/>
  <c r="L13" i="11"/>
  <c r="I13" i="11"/>
  <c r="B14" i="11"/>
  <c r="G14" i="12" l="1"/>
  <c r="J14" i="12"/>
  <c r="B15" i="12"/>
  <c r="H14" i="12"/>
  <c r="I14" i="12"/>
  <c r="F14" i="12"/>
  <c r="AE14" i="12"/>
  <c r="W14" i="12"/>
  <c r="AA14" i="12"/>
  <c r="C14" i="11"/>
  <c r="D14" i="11"/>
  <c r="U14" i="12" l="1"/>
  <c r="S14" i="12"/>
  <c r="AK14" i="12"/>
  <c r="AI14" i="12"/>
  <c r="AG14" i="12"/>
  <c r="AC14" i="12"/>
  <c r="Q14" i="12"/>
  <c r="Y14" i="12"/>
  <c r="L14" i="12"/>
  <c r="K14" i="12"/>
  <c r="D15" i="12"/>
  <c r="C15" i="12"/>
  <c r="B16" i="12" s="1"/>
  <c r="J15" i="12"/>
  <c r="I15" i="12"/>
  <c r="H15" i="12"/>
  <c r="F15" i="12"/>
  <c r="E15" i="12"/>
  <c r="G14" i="11"/>
  <c r="H14" i="11"/>
  <c r="I14" i="11"/>
  <c r="F14" i="11"/>
  <c r="L14" i="11"/>
  <c r="B15" i="11"/>
  <c r="C16" i="12" l="1"/>
  <c r="D16" i="12"/>
  <c r="K15" i="12"/>
  <c r="AB14" i="12" s="1"/>
  <c r="I16" i="12"/>
  <c r="F16" i="12"/>
  <c r="H16" i="12"/>
  <c r="J16" i="12"/>
  <c r="S16" i="12" s="1"/>
  <c r="G15" i="12"/>
  <c r="D15" i="11"/>
  <c r="C15" i="11"/>
  <c r="E16" i="12" l="1"/>
  <c r="B17" i="12"/>
  <c r="D17" i="12" s="1"/>
  <c r="Z14" i="12"/>
  <c r="AD14" i="12"/>
  <c r="AH14" i="12"/>
  <c r="AJ14" i="12"/>
  <c r="R14" i="12"/>
  <c r="V14" i="12"/>
  <c r="X14" i="12"/>
  <c r="T14" i="12"/>
  <c r="P14" i="12"/>
  <c r="AF14" i="12"/>
  <c r="C17" i="12"/>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B18" i="12" l="1"/>
  <c r="C18" i="12" s="1"/>
  <c r="D16" i="11"/>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J18" i="12" l="1"/>
  <c r="D18" i="12"/>
  <c r="G17" i="12"/>
  <c r="B19" i="12"/>
  <c r="H18" i="12"/>
  <c r="E18" i="12"/>
  <c r="I18" i="12"/>
  <c r="F18" i="12"/>
  <c r="C17" i="11"/>
  <c r="D17" i="11"/>
  <c r="S18" i="12" l="1"/>
  <c r="K18" i="12"/>
  <c r="X18" i="12"/>
  <c r="AB18" i="12"/>
  <c r="T18" i="12"/>
  <c r="W18" i="12"/>
  <c r="Z18" i="12"/>
  <c r="R18" i="12"/>
  <c r="AH18" i="12"/>
  <c r="U18" i="12"/>
  <c r="V18" i="12"/>
  <c r="AK18" i="12"/>
  <c r="L18" i="12"/>
  <c r="AG18" i="12"/>
  <c r="AJ18" i="12"/>
  <c r="Y18" i="12"/>
  <c r="P18" i="12"/>
  <c r="N18" i="12"/>
  <c r="AI18" i="12"/>
  <c r="AF18" i="12"/>
  <c r="Q18" i="12"/>
  <c r="O18" i="12"/>
  <c r="AE18" i="12"/>
  <c r="AD18" i="12"/>
  <c r="AC18" i="12"/>
  <c r="AA18" i="12"/>
  <c r="D19" i="12"/>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4"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11" i="12" l="1"/>
  <c r="L13"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15" i="12" l="1"/>
  <c r="O14" i="12"/>
  <c r="N14" i="12"/>
  <c r="B68" i="11"/>
  <c r="H67" i="11"/>
  <c r="G67" i="11"/>
  <c r="F67" i="11"/>
  <c r="L67" i="11"/>
  <c r="I67" i="11"/>
  <c r="N15" i="12" l="1"/>
  <c r="P15" i="12" s="1"/>
  <c r="R15" i="12" s="1"/>
  <c r="O15" i="12"/>
  <c r="Q15" i="12" s="1"/>
  <c r="D68" i="11"/>
  <c r="C68" i="11"/>
  <c r="S15" i="12" l="1"/>
  <c r="U15" i="12" s="1"/>
  <c r="W15" i="12" s="1"/>
  <c r="T15" i="12"/>
  <c r="V15" i="12" s="1"/>
  <c r="X15" i="12" s="1"/>
  <c r="E68" i="11"/>
  <c r="B69" i="11"/>
  <c r="G68" i="11"/>
  <c r="L68" i="11"/>
  <c r="I68" i="11"/>
  <c r="F68" i="11"/>
  <c r="H68" i="11"/>
  <c r="Y15" i="12" l="1"/>
  <c r="Z15" i="12"/>
  <c r="D69" i="11"/>
  <c r="C69" i="11"/>
  <c r="AA15" i="12" l="1"/>
  <c r="AC15" i="12" s="1"/>
  <c r="AB15" i="12"/>
  <c r="AD15" i="12" s="1"/>
  <c r="B70" i="11"/>
  <c r="F69" i="11"/>
  <c r="G69" i="11"/>
  <c r="L69" i="11"/>
  <c r="I69" i="11"/>
  <c r="H69" i="11"/>
  <c r="E69" i="11"/>
  <c r="AE15" i="12" l="1"/>
  <c r="AF15" i="12"/>
  <c r="D70" i="11"/>
  <c r="E70" i="11" s="1"/>
  <c r="C70" i="11"/>
  <c r="AG15" i="12" l="1"/>
  <c r="AH15" i="12"/>
  <c r="B71" i="11"/>
  <c r="I70" i="11"/>
  <c r="F70" i="11"/>
  <c r="G70" i="11"/>
  <c r="L70" i="11"/>
  <c r="H70" i="11"/>
  <c r="AI15" i="12" l="1"/>
  <c r="AJ15" i="12"/>
  <c r="D71" i="11"/>
  <c r="C71" i="11"/>
  <c r="AK15" i="12" l="1"/>
  <c r="B72" i="1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4"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16" i="11"/>
  <c r="K16" i="11" s="1"/>
  <c r="J7"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J14"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14" i="11" l="1"/>
  <c r="K9" i="1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8" i="10" l="1"/>
  <c r="M9" i="10" s="1"/>
  <c r="O7" i="10"/>
  <c r="P7" i="10" s="1"/>
  <c r="M10" i="10" l="1"/>
  <c r="M11" i="10" s="1"/>
  <c r="O8" i="10"/>
  <c r="M12" i="10" l="1"/>
  <c r="P8" i="10"/>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<sst xmlns="http://schemas.openxmlformats.org/spreadsheetml/2006/main" count="3560" uniqueCount="448">
  <si>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</si>
  <si>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</si>
  <si>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</si>
  <si>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</si>
  <si>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</si>
  <si>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</si>
  <si>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</si>
  <si>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</si>
  <si>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</si>
  <si>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</si>
  <si>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</si>
  <si>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</si>
  <si>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</si>
  <si>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</si>
  <si>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</si>
  <si>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</si>
  <si>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</si>
  <si>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</si>
  <si>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</si>
  <si>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</si>
  <si>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</si>
  <si>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</si>
  <si>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</si>
  <si>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</si>
  <si>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</si>
  <si>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</si>
  <si>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</si>
  <si>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</si>
  <si>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</si>
  <si>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</si>
  <si>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</si>
  <si>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</si>
  <si>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</si>
  <si>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</si>
  <si>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</si>
  <si>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</si>
  <si>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</si>
  <si>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</si>
  <si>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</si>
  <si>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</si>
  <si>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</si>
  <si>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</si>
  <si>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</si>
  <si>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</si>
  <si>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</si>
  <si>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</si>
  <si>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</si>
  <si>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</si>
  <si>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</si>
  <si>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</si>
  <si>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</si>
  <si>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</si>
  <si>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</si>
  <si>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</si>
  <si>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</si>
  <si>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</si>
  <si>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</si>
  <si>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</si>
  <si>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</si>
  <si>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</si>
  <si>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</si>
  <si>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</si>
  <si>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</si>
  <si>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</si>
  <si>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</si>
  <si>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</si>
  <si>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</si>
  <si>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</si>
  <si>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</si>
  <si>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</si>
  <si>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</si>
  <si>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</si>
  <si>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</si>
  <si>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</si>
  <si>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</si>
  <si>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</si>
  <si>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</si>
  <si>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</si>
  <si>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</si>
  <si>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</si>
  <si>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</si>
  <si>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</si>
  <si>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</si>
  <si>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</si>
  <si>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</si>
  <si>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</si>
  <si>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</si>
  <si>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</si>
  <si>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</si>
  <si>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</si>
  <si>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</si>
  <si>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</si>
  <si>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</si>
  <si>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</si>
  <si>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</si>
  <si>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</si>
  <si>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</si>
  <si>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</si>
  <si>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</si>
  <si>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</si>
  <si>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</si>
  <si>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</si>
  <si>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</si>
  <si>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</si>
  <si>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</si>
  <si>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</si>
  <si>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</si>
  <si>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</si>
  <si>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</si>
  <si>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</si>
  <si>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</si>
  <si>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</si>
  <si>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</si>
  <si>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</si>
  <si>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</si>
  <si>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</si>
  <si>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</si>
  <si>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</si>
  <si>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</si>
  <si>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</si>
  <si>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</si>
  <si>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</si>
  <si>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</si>
  <si>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</si>
  <si>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</si>
  <si>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</si>
  <si>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</si>
  <si>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</si>
  <si>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</si>
  <si>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</si>
  <si>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</si>
  <si>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</si>
  <si>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</si>
  <si>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</si>
  <si>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</si>
  <si>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</si>
  <si>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</si>
  <si>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</si>
  <si>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</si>
  <si>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</si>
  <si>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</si>
  <si>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</si>
  <si>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</si>
  <si>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</si>
  <si>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</si>
  <si>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</si>
  <si>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</si>
  <si>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</si>
  <si>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</si>
  <si>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</si>
  <si>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</si>
  <si>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</si>
  <si>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</si>
  <si>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</si>
  <si>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</si>
  <si>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</si>
  <si>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</si>
  <si>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</si>
  <si>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</si>
  <si>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</si>
  <si>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</si>
  <si>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</si>
  <si>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</si>
  <si>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</si>
  <si>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</si>
  <si>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</si>
  <si>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</si>
  <si>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</si>
  <si>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</si>
  <si>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</si>
  <si>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</si>
  <si>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</si>
  <si>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</si>
  <si>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</si>
  <si>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</si>
  <si>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</si>
  <si>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</si>
  <si>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</si>
  <si>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</si>
  <si>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</si>
  <si>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</si>
  <si>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</si>
  <si>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</si>
  <si>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</si>
  <si>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</si>
  <si>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</si>
  <si>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</si>
  <si>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</si>
  <si>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</si>
  <si>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</si>
  <si>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</si>
  <si>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</si>
  <si>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</si>
  <si>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</si>
  <si>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</si>
  <si>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</si>
  <si>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</si>
  <si>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</si>
  <si>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</si>
  <si>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</si>
  <si>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</si>
  <si>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</si>
  <si>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</si>
  <si>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</si>
  <si>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</si>
  <si>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</si>
  <si>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</si>
  <si>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</si>
  <si>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</si>
  <si>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</si>
  <si>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</si>
  <si>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</si>
  <si>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</si>
  <si>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</si>
  <si>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</si>
  <si>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</si>
  <si>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</si>
  <si>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</si>
  <si>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</si>
  <si>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</si>
  <si>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</si>
  <si>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</si>
  <si>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</si>
  <si>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</si>
  <si>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</si>
  <si>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</si>
  <si>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</si>
  <si>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</si>
  <si>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</si>
  <si>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</si>
  <si>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</si>
  <si>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</si>
  <si>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</si>
  <si>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</si>
  <si>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</si>
  <si>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</si>
  <si>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</si>
  <si>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</si>
  <si>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</si>
  <si>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</si>
  <si>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</si>
  <si>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</si>
  <si>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</si>
  <si>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</si>
  <si>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</si>
  <si>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</si>
  <si>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</si>
  <si>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</si>
  <si>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</si>
  <si>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</si>
  <si>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</si>
  <si>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</si>
  <si>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</si>
  <si>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</si>
  <si>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</si>
  <si>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</si>
  <si>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</si>
  <si>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</si>
  <si>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</si>
  <si>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</si>
  <si>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</si>
  <si>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</si>
  <si>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</si>
  <si>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</si>
  <si>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</si>
  <si>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</si>
  <si>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</si>
  <si>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</si>
  <si>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</si>
  <si>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</si>
  <si>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</si>
  <si>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</si>
  <si>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</si>
  <si>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</si>
  <si>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</si>
  <si>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</si>
  <si>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</si>
  <si>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</si>
  <si>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</si>
  <si>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</si>
  <si>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</si>
  <si>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</si>
  <si>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</si>
  <si>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</si>
  <si>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</si>
  <si>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</si>
  <si>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</si>
  <si>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</si>
  <si>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</si>
  <si>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</si>
  <si>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</si>
  <si>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</si>
  <si>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</si>
  <si>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</si>
  <si>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</si>
  <si>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</si>
  <si>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</si>
  <si>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</si>
  <si>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</si>
  <si>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</si>
  <si>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</si>
  <si>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</si>
  <si>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</si>
  <si>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</si>
  <si>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</si>
  <si>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</si>
  <si>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</si>
  <si>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</si>
  <si>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</si>
  <si>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</si>
  <si>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</si>
  <si>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</si>
  <si>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</si>
  <si>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</si>
  <si>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</si>
  <si>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</si>
  <si>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</si>
  <si>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</si>
  <si>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</si>
  <si>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</si>
  <si>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</si>
  <si>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</si>
  <si>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</si>
  <si>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</si>
  <si>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</si>
  <si>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</si>
  <si>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</si>
  <si>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</si>
  <si>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</si>
  <si>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</si>
  <si>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</si>
  <si>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</si>
  <si>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</si>
  <si>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</si>
  <si>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</si>
  <si>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</si>
  <si>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</si>
  <si>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</si>
  <si>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</si>
  <si>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</si>
  <si>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</si>
  <si>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</si>
  <si>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</si>
  <si>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</si>
  <si>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</si>
  <si>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</si>
  <si>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</si>
  <si>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</si>
  <si>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</si>
  <si>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</si>
  <si>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</si>
  <si>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</si>
  <si>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</si>
  <si>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</si>
  <si>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</si>
  <si>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</si>
  <si>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</si>
  <si>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</si>
  <si>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</si>
  <si>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</si>
  <si>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</si>
  <si>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</si>
  <si>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</si>
  <si>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</si>
  <si>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</si>
  <si>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</si>
  <si>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</si>
  <si>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</si>
  <si>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</si>
  <si>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</si>
  <si>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</si>
  <si>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</si>
  <si>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</si>
  <si>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</si>
  <si>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</si>
  <si>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</si>
  <si>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</si>
  <si>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</si>
  <si>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</si>
  <si>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</si>
  <si>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</si>
  <si>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</si>
  <si>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</si>
  <si>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</si>
  <si>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</si>
  <si>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</si>
  <si>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</si>
  <si>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</si>
  <si>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</si>
  <si>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</si>
  <si>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</si>
  <si>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</si>
  <si>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</si>
  <si>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</si>
  <si>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</si>
  <si>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</si>
  <si>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</si>
  <si>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</si>
  <si>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</si>
  <si>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</si>
  <si>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</si>
  <si>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</si>
  <si>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</si>
  <si>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</si>
  <si>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</si>
  <si>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</si>
  <si>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</si>
  <si>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</si>
  <si>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</si>
  <si>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</si>
  <si>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</si>
  <si>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</si>
  <si>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</si>
  <si>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</si>
  <si>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</si>
  <si>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</si>
  <si>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</si>
  <si>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</si>
  <si>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</si>
  <si>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</si>
  <si>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</si>
  <si>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</si>
  <si>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</si>
  <si>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</si>
  <si>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</si>
  <si>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</si>
  <si>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</si>
  <si>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</si>
  <si>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</si>
  <si>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</si>
  <si>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</si>
  <si>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</si>
  <si>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</si>
  <si>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SECOPA2027-GP</t>
  </si>
  <si>
    <t>26.0.000069403-6</t>
  </si>
  <si>
    <t>ASSESSORIA CONTÁBIL</t>
  </si>
  <si>
    <t>ASSESSORIA DE COMUNICAÇÃO</t>
  </si>
  <si>
    <t>COORDENADOR GERAL</t>
  </si>
  <si>
    <t>MONITOR</t>
  </si>
  <si>
    <t>PROFESSOR DE EDUCAÇÃO FÍSICA</t>
  </si>
  <si>
    <t>Licitacon</t>
  </si>
  <si>
    <t>Preço Estimado</t>
  </si>
  <si>
    <t>Portal de Compras Públicas</t>
  </si>
  <si>
    <t>Utilizados preços referenciais do Item 3</t>
  </si>
  <si>
    <t>Coqueiro Baixo</t>
  </si>
  <si>
    <t>UGFP-DLC</t>
  </si>
  <si>
    <t>GABRIELA LUNARDI DE ALMEIDA</t>
  </si>
  <si>
    <t>COORDENADOR  DE NÚCLEO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</si>
</sst>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opLeftCell="A10" zoomScale="85" zoomScaleNormal="85" workbookViewId="0">
      <selection activeCell="M80" sqref="M8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SECOPA2027-GP
MAPA DE PREÇOS - JUL/26</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433</v>
      </c>
      <c r="I5" s="219"/>
      <c r="J5" s="219"/>
      <c r="K5" s="141"/>
      <c r="L5" s="205" t="s">
        <v>321</v>
      </c>
      <c r="M5" s="206"/>
      <c r="N5" s="206"/>
      <c r="O5" s="220" t="s">
        <v>445</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c r="I6" s="223"/>
      <c r="J6" s="223"/>
      <c r="K6" s="142"/>
      <c r="L6" s="205" t="s">
        <v>352</v>
      </c>
      <c r="M6" s="206"/>
      <c r="N6" s="206"/>
      <c r="O6" s="220" t="s">
        <v>446</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434</v>
      </c>
      <c r="I7" s="219"/>
      <c r="J7" s="219"/>
      <c r="K7" s="141"/>
      <c r="L7" s="205" t="s">
        <v>351</v>
      </c>
      <c r="M7" s="206"/>
      <c r="N7" s="206"/>
      <c r="O7" s="220">
        <v>1589008</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09">
        <v>6</v>
      </c>
      <c r="I8" s="210"/>
      <c r="J8" s="211"/>
      <c r="K8" s="141"/>
      <c r="L8" s="212" t="s">
        <v>301</v>
      </c>
      <c r="M8" s="213"/>
      <c r="N8" s="214"/>
      <c r="O8" s="226">
        <v>46246</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129135.95999999999</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v>2333</v>
      </c>
      <c r="I15" s="181" t="s">
        <v>16</v>
      </c>
      <c r="J15" s="6">
        <f>INDEX('BASE FORMAÇÃO'!K:K,B15+1)</f>
        <v>0</v>
      </c>
      <c r="K15" s="65"/>
      <c r="L15" s="182" t="s">
        <v>10</v>
      </c>
      <c r="M15" s="184">
        <f>IF(OR(ISBLANK($O$8),ISBLANK($O$7),ISBLANK($H$8),ISBLANK($O$6),ISBLANK($O$5),ISBLANK($H$5)),"",IFERROR(IF(VLOOKUP(L15,L21:M30,2,FALSE)&lt;1,ROUND(VLOOKUP(L15,L21:M30,2,FALSE),4),ROUND(VLOOKUP(L15,L21:M30,2,FALSE),2)),""))</f>
        <v>3669.2</v>
      </c>
      <c r="N15" s="69"/>
      <c r="O15" s="27" t="s">
        <v>17</v>
      </c>
      <c r="P15" s="113">
        <v>1611.53</v>
      </c>
      <c r="Q15" s="113">
        <v>3000</v>
      </c>
      <c r="R15" s="113">
        <v>5300</v>
      </c>
      <c r="S15" s="113">
        <v>10700</v>
      </c>
      <c r="T15" s="113">
        <v>6100</v>
      </c>
      <c r="U15" s="105">
        <v>10240</v>
      </c>
      <c r="V15" s="105">
        <v>2000</v>
      </c>
      <c r="W15" s="105">
        <v>4950</v>
      </c>
      <c r="X15" s="105">
        <v>2800</v>
      </c>
      <c r="Y15" s="105">
        <v>3900</v>
      </c>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
        <v>435</v>
      </c>
      <c r="I16" s="191"/>
      <c r="J16" s="192"/>
      <c r="K16" s="66"/>
      <c r="L16" s="183"/>
      <c r="M16" s="185"/>
      <c r="N16" s="70"/>
      <c r="O16" s="27" t="s">
        <v>13</v>
      </c>
      <c r="P16" s="122">
        <v>46218</v>
      </c>
      <c r="Q16" s="122">
        <v>46217</v>
      </c>
      <c r="R16" s="122">
        <v>46181</v>
      </c>
      <c r="S16" s="122">
        <v>46170</v>
      </c>
      <c r="T16" s="122">
        <v>46170</v>
      </c>
      <c r="U16" s="122">
        <v>46127</v>
      </c>
      <c r="V16" s="122">
        <v>46225</v>
      </c>
      <c r="W16" s="122">
        <v>46198</v>
      </c>
      <c r="X16" s="122">
        <v>46197</v>
      </c>
      <c r="Y16" s="122">
        <v>46190</v>
      </c>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6</v>
      </c>
      <c r="N17" s="71"/>
      <c r="O17" s="27" t="s">
        <v>380</v>
      </c>
      <c r="P17" s="114" t="s">
        <v>12</v>
      </c>
      <c r="Q17" s="114" t="s">
        <v>12</v>
      </c>
      <c r="R17" s="114" t="s">
        <v>12</v>
      </c>
      <c r="S17" s="114" t="s">
        <v>12</v>
      </c>
      <c r="T17" s="114" t="s">
        <v>12</v>
      </c>
      <c r="U17" s="114" t="s">
        <v>12</v>
      </c>
      <c r="V17" s="114" t="s">
        <v>12</v>
      </c>
      <c r="W17" s="114" t="s">
        <v>12</v>
      </c>
      <c r="X17" s="114" t="s">
        <v>12</v>
      </c>
      <c r="Y17" s="114" t="s">
        <v>12</v>
      </c>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
        <v>206</v>
      </c>
      <c r="N18" s="71"/>
      <c r="O18" s="27" t="s">
        <v>381</v>
      </c>
      <c r="P18" s="115" t="s">
        <v>440</v>
      </c>
      <c r="Q18" s="115" t="s">
        <v>440</v>
      </c>
      <c r="R18" s="115" t="s">
        <v>440</v>
      </c>
      <c r="S18" s="115" t="s">
        <v>440</v>
      </c>
      <c r="T18" s="115" t="s">
        <v>440</v>
      </c>
      <c r="U18" s="118" t="s">
        <v>440</v>
      </c>
      <c r="V18" s="118" t="s">
        <v>442</v>
      </c>
      <c r="W18" s="118" t="s">
        <v>442</v>
      </c>
      <c r="X18" s="118" t="s">
        <v>442</v>
      </c>
      <c r="Y18" s="118" t="s">
        <v>442</v>
      </c>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0.23283436820511233</v>
      </c>
      <c r="N19" s="71"/>
      <c r="O19" s="27" t="s">
        <v>18</v>
      </c>
      <c r="P19" s="106">
        <f>IF(P15="","",
IF(OR(P17="Orçamento",P16="",MAX('Tabela de Apoio'!$A:$A)&lt;=P16),
P15,
(INDEX('Tabela de Apoio'!$B:$B,MATCH('MAPA DE PREÇOS'!$O$8,'Tabela de Apoio'!$A:$A,1))/INDEX('Tabela de Apoio'!$B:$B,MATCH('MAPA DE PREÇOS'!P16,'Tabela de Apoio'!$A:$A,1)-1))*P15))</f>
        <v>1611.53</v>
      </c>
      <c r="Q19" s="106">
        <f>IF(Q15="","",
IF(OR(Q17="Orçamento",Q16="",MAX('Tabela de Apoio'!$A:$A)&lt;=Q16),
Q15,
(INDEX('Tabela de Apoio'!$B:$B,MATCH('MAPA DE PREÇOS'!$O$8,'Tabela de Apoio'!$A:$A,1))/INDEX('Tabela de Apoio'!$B:$B,MATCH('MAPA DE PREÇOS'!Q16,'Tabela de Apoio'!$A:$A,1)-1))*Q15))</f>
        <v>3000</v>
      </c>
      <c r="R19" s="106">
        <f>IF(R15="","",
IF(OR(R17="Orçamento",R16="",MAX('Tabela de Apoio'!$A:$A)&lt;=R16),
R15,
(INDEX('Tabela de Apoio'!$B:$B,MATCH('MAPA DE PREÇOS'!$O$8,'Tabela de Apoio'!$A:$A,1))/INDEX('Tabela de Apoio'!$B:$B,MATCH('MAPA DE PREÇOS'!R16,'Tabela de Apoio'!$A:$A,1)-1))*R15))</f>
        <v>5312.1953103014994</v>
      </c>
      <c r="S19" s="106">
        <f>IF(S15="","",
IF(OR(S17="Orçamento",S16="",MAX('Tabela de Apoio'!$A:$A)&lt;=S16),
S15,
(INDEX('Tabela de Apoio'!$B:$B,MATCH('MAPA DE PREÇOS'!$O$8,'Tabela de Apoio'!$A:$A,1))/INDEX('Tabela de Apoio'!$B:$B,MATCH('MAPA DE PREÇOS'!S16,'Tabela de Apoio'!$A:$A,1)-1))*S15))</f>
        <v>10786.827301940866</v>
      </c>
      <c r="T19" s="106">
        <f>IF(T15="","",
IF(OR(T17="Orçamento",T16="",MAX('Tabela de Apoio'!$A:$A)&lt;=T16),
T15,
(INDEX('Tabela de Apoio'!$B:$B,MATCH('MAPA DE PREÇOS'!$O$8,'Tabela de Apoio'!$A:$A,1))/INDEX('Tabela de Apoio'!$B:$B,MATCH('MAPA DE PREÇOS'!T16,'Tabela de Apoio'!$A:$A,1)-1))*T15))</f>
        <v>6149.4996768074097</v>
      </c>
      <c r="U19" s="106">
        <f>IF(U15="","",
IF(OR(U17="Orçamento",U16="",MAX('Tabela de Apoio'!$A:$A)&lt;=U16),
U15,
(INDEX('Tabela de Apoio'!$B:$B,MATCH('MAPA DE PREÇOS'!$O$8,'Tabela de Apoio'!$A:$A,1))/INDEX('Tabela de Apoio'!$B:$B,MATCH('MAPA DE PREÇOS'!U16,'Tabela de Apoio'!$A:$A,1)-1))*U15))</f>
        <v>10392.266043604624</v>
      </c>
      <c r="V19" s="106">
        <f>IF(V15="","",
IF(OR(V17="Orçamento",V16="",MAX('Tabela de Apoio'!$A:$A)&lt;=V16),
V15,
(INDEX('Tabela de Apoio'!$B:$B,MATCH('MAPA DE PREÇOS'!$O$8,'Tabela de Apoio'!$A:$A,1))/INDEX('Tabela de Apoio'!$B:$B,MATCH('MAPA DE PREÇOS'!V16,'Tabela de Apoio'!$A:$A,1)-1))*V15))</f>
        <v>2000</v>
      </c>
      <c r="W19" s="106">
        <f>IF(W15="","",
IF(OR(W17="Orçamento",W16="",MAX('Tabela de Apoio'!$A:$A)&lt;=W16),
W15,
(INDEX('Tabela de Apoio'!$B:$B,MATCH('MAPA DE PREÇOS'!$O$8,'Tabela de Apoio'!$A:$A,1))/INDEX('Tabela de Apoio'!$B:$B,MATCH('MAPA DE PREÇOS'!W16,'Tabela de Apoio'!$A:$A,1)-1))*W15))</f>
        <v>4961.3899596212113</v>
      </c>
      <c r="X19" s="106">
        <f>IF(X15="","",
IF(OR(X17="Orçamento",X16="",MAX('Tabela de Apoio'!$A:$A)&lt;=X16),
X15,
(INDEX('Tabela de Apoio'!$B:$B,MATCH('MAPA DE PREÇOS'!$O$8,'Tabela de Apoio'!$A:$A,1))/INDEX('Tabela de Apoio'!$B:$B,MATCH('MAPA DE PREÇOS'!X16,'Tabela de Apoio'!$A:$A,1)-1))*X15))</f>
        <v>2806.4428054423015</v>
      </c>
      <c r="Y19" s="106">
        <f>IF(Y15="","",
IF(OR(Y17="Orçamento",Y16="",MAX('Tabela de Apoio'!$A:$A)&lt;=Y16),
Y15,
(INDEX('Tabela de Apoio'!$B:$B,MATCH('MAPA DE PREÇOS'!$O$8,'Tabela de Apoio'!$A:$A,1))/INDEX('Tabela de Apoio'!$B:$B,MATCH('MAPA DE PREÇOS'!Y16,'Tabela de Apoio'!$A:$A,1)-1))*Y15))</f>
        <v>3908.9739075803486</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1611.53</v>
      </c>
      <c r="Q20" s="107">
        <f>IF(IFERROR(VLOOKUP(Q17,'Tabela de Apoio'!$D:$E,2,FALSE),1)=1,"",Q21)</f>
        <v>3000</v>
      </c>
      <c r="R20" s="107">
        <f>IF(IFERROR(VLOOKUP(R17,'Tabela de Apoio'!$D:$E,2,FALSE),1)=1,"",R21)</f>
        <v>5312.1953103014994</v>
      </c>
      <c r="S20" s="107" t="str">
        <f>IF(IFERROR(VLOOKUP(S17,'Tabela de Apoio'!$D:$E,2,FALSE),1)=1,"",S21)</f>
        <v>DESCARTADO</v>
      </c>
      <c r="T20" s="107">
        <f>IF(IFERROR(VLOOKUP(T17,'Tabela de Apoio'!$D:$E,2,FALSE),1)=1,"",T21)</f>
        <v>6149.4996768074097</v>
      </c>
      <c r="U20" s="107" t="str">
        <f>IF(IFERROR(VLOOKUP(U17,'Tabela de Apoio'!$D:$E,2,FALSE),1)=1,"",U21)</f>
        <v>DESCARTADO</v>
      </c>
      <c r="V20" s="107">
        <f>IF(IFERROR(VLOOKUP(V17,'Tabela de Apoio'!$D:$E,2,FALSE),1)=1,"",V21)</f>
        <v>2000</v>
      </c>
      <c r="W20" s="107">
        <f>IF(IFERROR(VLOOKUP(W17,'Tabela de Apoio'!$D:$E,2,FALSE),1)=1,"",W21)</f>
        <v>4961.3899596212113</v>
      </c>
      <c r="X20" s="107">
        <f>IF(IFERROR(VLOOKUP(X17,'Tabela de Apoio'!$D:$E,2,FALSE),1)=1,"",X21)</f>
        <v>2806.4428054423015</v>
      </c>
      <c r="Y20" s="107">
        <f>IF(IFERROR(VLOOKUP(Y17,'Tabela de Apoio'!$D:$E,2,FALSE),1)=1,"",Y21)</f>
        <v>3908.9739075803486</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8</v>
      </c>
      <c r="I21" s="132">
        <f>_xlfn.STDEV.P($P20:$XX21)/AVERAGE($P20:$XX21)</f>
        <v>0.41191265935723936</v>
      </c>
      <c r="J21" s="7">
        <f>ROW()</f>
        <v>21</v>
      </c>
      <c r="K21" s="67"/>
      <c r="L21" s="29" t="s">
        <v>10</v>
      </c>
      <c r="M21" s="30">
        <f>IFERROR(
IF(COUNTA(P15:AI15)=COUNTIF(P17:XX17,"Orçamento"),MIN(M26,M23),
IF(M24&lt;&gt;"",M24,
IF(M25&lt;&gt;"",M25,
M23
))),"")</f>
        <v>3669.2016681609653</v>
      </c>
      <c r="N21" s="71"/>
      <c r="O21" s="27" t="s">
        <v>376</v>
      </c>
      <c r="P21" s="106">
        <f>IFERROR(IF(P19="",
            "",
            IF(COUNT($P19:$XX19)&lt;=4,
               P19,
               IF(OR(P19&gt;(QUARTILE($P19:$XX19,3)+(QUARTILE($P19:$XX19,3)-QUARTILE($P19:$XX19,1))),
                     P19&lt;(QUARTILE($P19:$XX19,1)-(QUARTILE($P19:$XX19,3)-QUARTILE($P19:$XX19,1)))
                  ),
               "DESCARTADO",P19)
             )
  ),P19)</f>
        <v>1611.53</v>
      </c>
      <c r="Q21" s="106">
        <f t="shared" ref="Q21:AI21" si="3">IFERROR(IF(Q19="",
            "",
            IF(COUNT($P19:$XX19)&lt;=4,
               Q19,
               IF(OR(Q19&gt;(QUARTILE($P19:$XX19,3)+(QUARTILE($P19:$XX19,3)-QUARTILE($P19:$XX19,1))),
                     Q19&lt;(QUARTILE($P19:$XX19,1)-(QUARTILE($P19:$XX19,3)-QUARTILE($P19:$XX19,1)))
                  ),
               "DESCARTADO",Q19)
             )
  ),Q19)</f>
        <v>3000</v>
      </c>
      <c r="R21" s="106">
        <f t="shared" si="3"/>
        <v>5312.1953103014994</v>
      </c>
      <c r="S21" s="106" t="str">
        <f t="shared" si="3"/>
        <v>DESCARTADO</v>
      </c>
      <c r="T21" s="106">
        <f t="shared" si="3"/>
        <v>6149.4996768074097</v>
      </c>
      <c r="U21" s="106" t="str">
        <f t="shared" si="3"/>
        <v>DESCARTADO</v>
      </c>
      <c r="V21" s="106">
        <f t="shared" si="3"/>
        <v>2000</v>
      </c>
      <c r="W21" s="106">
        <f t="shared" si="3"/>
        <v>4961.3899596212113</v>
      </c>
      <c r="X21" s="106">
        <f t="shared" si="3"/>
        <v>2806.4428054423015</v>
      </c>
      <c r="Y21" s="106">
        <f t="shared" si="3"/>
        <v>3908.9739075803486</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3718.7539574690959</v>
      </c>
      <c r="N22" s="71"/>
      <c r="O22" s="27" t="str">
        <f>"1 POND"</f>
        <v>1 POND</v>
      </c>
      <c r="P22" s="107" t="str">
        <f>IF(IFERROR(VLOOKUP(P17,'Tabela de Apoio'!$D:$E,2,FALSE),1)=1,"",P23)</f>
        <v>DESCARTADO</v>
      </c>
      <c r="Q22" s="107">
        <f>IF(IFERROR(VLOOKUP(Q17,'Tabela de Apoio'!$D:$E,2,FALSE),1)=1,"",Q23)</f>
        <v>3000</v>
      </c>
      <c r="R22" s="107" t="str">
        <f>IF(IFERROR(VLOOKUP(R17,'Tabela de Apoio'!$D:$E,2,FALSE),1)=1,"",R23)</f>
        <v>DESCARTADO</v>
      </c>
      <c r="S22" s="107" t="str">
        <f>IF(IFERROR(VLOOKUP(S17,'Tabela de Apoio'!$D:$E,2,FALSE),1)=1,"",S23)</f>
        <v>DESCARTADO</v>
      </c>
      <c r="T22" s="107" t="str">
        <f>IF(IFERROR(VLOOKUP(T17,'Tabela de Apoio'!$D:$E,2,FALSE),1)=1,"",T23)</f>
        <v>DESCARTADO</v>
      </c>
      <c r="U22" s="107" t="str">
        <f>IF(IFERROR(VLOOKUP(U17,'Tabela de Apoio'!$D:$E,2,FALSE),1)=1,"",U23)</f>
        <v>DESCARTADO</v>
      </c>
      <c r="V22" s="107" t="str">
        <f>IF(IFERROR(VLOOKUP(V17,'Tabela de Apoio'!$D:$E,2,FALSE),1)=1,"",V23)</f>
        <v>DESCARTADO</v>
      </c>
      <c r="W22" s="107">
        <f>IF(IFERROR(VLOOKUP(W17,'Tabela de Apoio'!$D:$E,2,FALSE),1)=1,"",W23)</f>
        <v>4961.3899596212113</v>
      </c>
      <c r="X22" s="107">
        <f>IF(IFERROR(VLOOKUP(X17,'Tabela de Apoio'!$D:$E,2,FALSE),1)=1,"",X23)</f>
        <v>2806.4428054423015</v>
      </c>
      <c r="Y22" s="107">
        <f>IF(IFERROR(VLOOKUP(Y17,'Tabela de Apoio'!$D:$E,2,FALSE),1)=1,"",Y23)</f>
        <v>3908.9739075803486</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4</v>
      </c>
      <c r="I23" s="132">
        <f>_xlfn.STDEV.P($P22:$XX23)/AVERAGE($P22:$XX23)</f>
        <v>0.23283436820511233</v>
      </c>
      <c r="J23" s="7">
        <f>IF(AND(H23&gt;2,
OR(L15="MÉDIA SANEADA",L15="MEDIANA SANEADA",
AND(L15="PREÇO ESTIMADO",NOT(AND(P17="Orçamento",COUNTA(P15:XX15)=COUNTIF(P17:XX17,"Orçamento")))))),
ROW(),0)</f>
        <v>23</v>
      </c>
      <c r="K23" s="66"/>
      <c r="L23" s="29" t="s">
        <v>361</v>
      </c>
      <c r="M23" s="30">
        <f>MEDIAN($P21:$XX21)</f>
        <v>3454.4869537901741</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3000</v>
      </c>
      <c r="R23" s="107" t="str">
        <f t="shared" si="6"/>
        <v>DESCARTADO</v>
      </c>
      <c r="S23" s="107" t="str">
        <f t="shared" si="6"/>
        <v>DESCARTADO</v>
      </c>
      <c r="T23" s="107" t="str">
        <f t="shared" si="6"/>
        <v>DESCARTADO</v>
      </c>
      <c r="U23" s="107" t="str">
        <f t="shared" si="6"/>
        <v>DESCARTADO</v>
      </c>
      <c r="V23" s="107" t="str">
        <f t="shared" si="6"/>
        <v>DESCARTADO</v>
      </c>
      <c r="W23" s="107">
        <f t="shared" si="6"/>
        <v>4961.3899596212113</v>
      </c>
      <c r="X23" s="107">
        <f t="shared" si="6"/>
        <v>2806.4428054423015</v>
      </c>
      <c r="Y23" s="107">
        <f t="shared" si="6"/>
        <v>3908.9739075803486</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3669.2016681609653</v>
      </c>
      <c r="N24" s="71"/>
      <c r="O24" s="27" t="str">
        <f>"2 POND"</f>
        <v>2 POND</v>
      </c>
      <c r="P24" s="107" t="str">
        <f>IF(IFERROR(VLOOKUP(P17,'Tabela de Apoio'!$D:$E,2,FALSE),1)=1,"",P25)</f>
        <v>DESCARTADO</v>
      </c>
      <c r="Q24" s="107">
        <f>IF(IFERROR(VLOOKUP(Q17,'Tabela de Apoio'!$D:$E,2,FALSE),1)=1,"",Q25)</f>
        <v>3000</v>
      </c>
      <c r="R24" s="107" t="str">
        <f>IF(IFERROR(VLOOKUP(R17,'Tabela de Apoio'!$D:$E,2,FALSE),1)=1,"",R25)</f>
        <v>DESCARTADO</v>
      </c>
      <c r="S24" s="107" t="str">
        <f>IF(IFERROR(VLOOKUP(S17,'Tabela de Apoio'!$D:$E,2,FALSE),1)=1,"",S25)</f>
        <v>DESCARTADO</v>
      </c>
      <c r="T24" s="107" t="str">
        <f>IF(IFERROR(VLOOKUP(T17,'Tabela de Apoio'!$D:$E,2,FALSE),1)=1,"",T25)</f>
        <v>DESCARTADO</v>
      </c>
      <c r="U24" s="107" t="str">
        <f>IF(IFERROR(VLOOKUP(U17,'Tabela de Apoio'!$D:$E,2,FALSE),1)=1,"",U25)</f>
        <v>DESCARTADO</v>
      </c>
      <c r="V24" s="107" t="str">
        <f>IF(IFERROR(VLOOKUP(V17,'Tabela de Apoio'!$D:$E,2,FALSE),1)=1,"",V25)</f>
        <v>DESCARTADO</v>
      </c>
      <c r="W24" s="107">
        <f>IF(IFERROR(VLOOKUP(W17,'Tabela de Apoio'!$D:$E,2,FALSE),1)=1,"",W25)</f>
        <v>4961.3899596212113</v>
      </c>
      <c r="X24" s="107">
        <f>IF(IFERROR(VLOOKUP(X17,'Tabela de Apoio'!$D:$E,2,FALSE),1)=1,"",X25)</f>
        <v>2806.4428054423015</v>
      </c>
      <c r="Y24" s="107">
        <f>IF(IFERROR(VLOOKUP(Y17,'Tabela de Apoio'!$D:$E,2,FALSE),1)=1,"",Y25)</f>
        <v>3908.9739075803486</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4</v>
      </c>
      <c r="I25" s="132">
        <f>_xlfn.STDEV.P($P24:$XX25)/AVERAGE($P24:$XX25)</f>
        <v>0.23283436820511233</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3454.4869537901741</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3000</v>
      </c>
      <c r="R25" s="107" t="str">
        <f t="shared" si="7"/>
        <v>DESCARTADO</v>
      </c>
      <c r="S25" s="107" t="str">
        <f t="shared" si="7"/>
        <v>DESCARTADO</v>
      </c>
      <c r="T25" s="107" t="str">
        <f t="shared" si="7"/>
        <v>DESCARTADO</v>
      </c>
      <c r="U25" s="107" t="str">
        <f t="shared" si="7"/>
        <v>DESCARTADO</v>
      </c>
      <c r="V25" s="107" t="str">
        <f t="shared" si="7"/>
        <v>DESCARTADO</v>
      </c>
      <c r="W25" s="107">
        <f t="shared" si="7"/>
        <v>4961.3899596212113</v>
      </c>
      <c r="X25" s="107">
        <f t="shared" si="7"/>
        <v>2806.4428054423015</v>
      </c>
      <c r="Y25" s="107">
        <f t="shared" si="7"/>
        <v>3908.9739075803486</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3055.2734269221319</v>
      </c>
      <c r="N26" s="71"/>
      <c r="O26" s="27" t="str">
        <f>"3 POND"</f>
        <v>3 POND</v>
      </c>
      <c r="P26" s="107" t="str">
        <f>IF(IFERROR(VLOOKUP(P17,'Tabela de Apoio'!$D:$E,2,FALSE),1)=1,"",P27)</f>
        <v>DESCARTADO</v>
      </c>
      <c r="Q26" s="107">
        <f>IF(IFERROR(VLOOKUP(Q17,'Tabela de Apoio'!$D:$E,2,FALSE),1)=1,"",Q27)</f>
        <v>3000</v>
      </c>
      <c r="R26" s="107" t="str">
        <f>IF(IFERROR(VLOOKUP(R17,'Tabela de Apoio'!$D:$E,2,FALSE),1)=1,"",R27)</f>
        <v>DESCARTADO</v>
      </c>
      <c r="S26" s="107" t="str">
        <f>IF(IFERROR(VLOOKUP(S17,'Tabela de Apoio'!$D:$E,2,FALSE),1)=1,"",S27)</f>
        <v>DESCARTADO</v>
      </c>
      <c r="T26" s="107" t="str">
        <f>IF(IFERROR(VLOOKUP(T17,'Tabela de Apoio'!$D:$E,2,FALSE),1)=1,"",T27)</f>
        <v>DESCARTADO</v>
      </c>
      <c r="U26" s="107" t="str">
        <f>IF(IFERROR(VLOOKUP(U17,'Tabela de Apoio'!$D:$E,2,FALSE),1)=1,"",U27)</f>
        <v>DESCARTADO</v>
      </c>
      <c r="V26" s="107" t="str">
        <f>IF(IFERROR(VLOOKUP(V17,'Tabela de Apoio'!$D:$E,2,FALSE),1)=1,"",V27)</f>
        <v>DESCARTADO</v>
      </c>
      <c r="W26" s="107">
        <f>IF(IFERROR(VLOOKUP(W17,'Tabela de Apoio'!$D:$E,2,FALSE),1)=1,"",W27)</f>
        <v>4961.3899596212113</v>
      </c>
      <c r="X26" s="107">
        <f>IF(IFERROR(VLOOKUP(X17,'Tabela de Apoio'!$D:$E,2,FALSE),1)=1,"",X27)</f>
        <v>2806.4428054423015</v>
      </c>
      <c r="Y26" s="107">
        <f>IF(IFERROR(VLOOKUP(Y17,'Tabela de Apoio'!$D:$E,2,FALSE),1)=1,"",Y27)</f>
        <v>3908.9739075803486</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4</v>
      </c>
      <c r="I27" s="132">
        <f>_xlfn.STDEV.P($P26:$XX27)/AVERAGE($P26:$XX27)</f>
        <v>0.23283436820511233</v>
      </c>
      <c r="J27" s="7">
        <f>IF(AND(H27&gt;2,
OR(L15="MÉDIA SANEADA",L15="MEDIANA SANEADA",
AND(L15="PREÇO ESTIMADO",NOT(AND(P17="Orçamento",COUNTA(P15:XX15)=COUNTIF(P17:XX17,"Orçamento")))))),
ROW(),0)</f>
        <v>27</v>
      </c>
      <c r="K27" s="66"/>
      <c r="L27" s="29" t="s">
        <v>41</v>
      </c>
      <c r="M27" s="30">
        <f>IFERROR(_xlfn.QUARTILE.EXC($P21:$XX21,1),"")</f>
        <v>2201.6107013605751</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3000</v>
      </c>
      <c r="R27" s="107" t="str">
        <f t="shared" si="8"/>
        <v>DESCARTADO</v>
      </c>
      <c r="S27" s="107" t="str">
        <f t="shared" si="8"/>
        <v>DESCARTADO</v>
      </c>
      <c r="T27" s="107" t="str">
        <f t="shared" si="8"/>
        <v>DESCARTADO</v>
      </c>
      <c r="U27" s="107" t="str">
        <f t="shared" si="8"/>
        <v>DESCARTADO</v>
      </c>
      <c r="V27" s="107" t="str">
        <f t="shared" si="8"/>
        <v>DESCARTADO</v>
      </c>
      <c r="W27" s="107">
        <f t="shared" si="8"/>
        <v>4961.3899596212113</v>
      </c>
      <c r="X27" s="107">
        <f t="shared" si="8"/>
        <v>2806.4428054423015</v>
      </c>
      <c r="Y27" s="107">
        <f t="shared" si="8"/>
        <v>3908.9739075803486</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5224.4939726314278</v>
      </c>
      <c r="N28" s="71"/>
      <c r="O28" s="27" t="str">
        <f>"4 POND"</f>
        <v>4 POND</v>
      </c>
      <c r="P28" s="107" t="str">
        <f>IF(IFERROR(VLOOKUP(P17,'Tabela de Apoio'!$D:$E,2,FALSE),1)=1,"",P29)</f>
        <v>DESCARTADO</v>
      </c>
      <c r="Q28" s="107">
        <f>IF(IFERROR(VLOOKUP(Q17,'Tabela de Apoio'!$D:$E,2,FALSE),1)=1,"",Q29)</f>
        <v>3000</v>
      </c>
      <c r="R28" s="107" t="str">
        <f>IF(IFERROR(VLOOKUP(R17,'Tabela de Apoio'!$D:$E,2,FALSE),1)=1,"",R29)</f>
        <v>DESCARTADO</v>
      </c>
      <c r="S28" s="107" t="str">
        <f>IF(IFERROR(VLOOKUP(S17,'Tabela de Apoio'!$D:$E,2,FALSE),1)=1,"",S29)</f>
        <v>DESCARTADO</v>
      </c>
      <c r="T28" s="107" t="str">
        <f>IF(IFERROR(VLOOKUP(T17,'Tabela de Apoio'!$D:$E,2,FALSE),1)=1,"",T29)</f>
        <v>DESCARTADO</v>
      </c>
      <c r="U28" s="107" t="str">
        <f>IF(IFERROR(VLOOKUP(U17,'Tabela de Apoio'!$D:$E,2,FALSE),1)=1,"",U29)</f>
        <v>DESCARTADO</v>
      </c>
      <c r="V28" s="107" t="str">
        <f>IF(IFERROR(VLOOKUP(V17,'Tabela de Apoio'!$D:$E,2,FALSE),1)=1,"",V29)</f>
        <v>DESCARTADO</v>
      </c>
      <c r="W28" s="107">
        <f>IF(IFERROR(VLOOKUP(W17,'Tabela de Apoio'!$D:$E,2,FALSE),1)=1,"",W29)</f>
        <v>4961.3899596212113</v>
      </c>
      <c r="X28" s="107">
        <f>IF(IFERROR(VLOOKUP(X17,'Tabela de Apoio'!$D:$E,2,FALSE),1)=1,"",X29)</f>
        <v>2806.4428054423015</v>
      </c>
      <c r="Y28" s="107">
        <f>IF(IFERROR(VLOOKUP(Y17,'Tabela de Apoio'!$D:$E,2,FALSE),1)=1,"",Y29)</f>
        <v>3908.9739075803486</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4</v>
      </c>
      <c r="I29" s="132">
        <f>_xlfn.STDEV.P($P28:$XX29)/AVERAGE($P28:$XX29)</f>
        <v>0.23283436820511233</v>
      </c>
      <c r="J29" s="7">
        <f>IF(AND(H29&gt;2,
OR(L15="MÉDIA SANEADA",L15="MEDIANA SANEADA",
AND(L15="PREÇO ESTIMADO",NOT(AND(P17="Orçamento",COUNTA(P15:XX15)=COUNTIF(P17:XX17,"Orçamento")))))),
ROW(),0)</f>
        <v>29</v>
      </c>
      <c r="K29" s="66"/>
      <c r="L29" s="29" t="s">
        <v>42</v>
      </c>
      <c r="M29" s="30">
        <f>MIN($P21:$XX21)</f>
        <v>1611.53</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3000</v>
      </c>
      <c r="R29" s="107" t="str">
        <f t="shared" si="9"/>
        <v>DESCARTADO</v>
      </c>
      <c r="S29" s="107" t="str">
        <f t="shared" si="9"/>
        <v>DESCARTADO</v>
      </c>
      <c r="T29" s="107" t="str">
        <f t="shared" si="9"/>
        <v>DESCARTADO</v>
      </c>
      <c r="U29" s="107" t="str">
        <f t="shared" si="9"/>
        <v>DESCARTADO</v>
      </c>
      <c r="V29" s="107" t="str">
        <f t="shared" si="9"/>
        <v>DESCARTADO</v>
      </c>
      <c r="W29" s="107">
        <f t="shared" si="9"/>
        <v>4961.3899596212113</v>
      </c>
      <c r="X29" s="107">
        <f t="shared" si="9"/>
        <v>2806.4428054423015</v>
      </c>
      <c r="Y29" s="107">
        <f t="shared" si="9"/>
        <v>3908.9739075803486</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6149.4996768074097</v>
      </c>
      <c r="N30" s="71"/>
      <c r="O30" s="27" t="str">
        <f>"5 POND"</f>
        <v>5 POND</v>
      </c>
      <c r="P30" s="107" t="str">
        <f>IF(IFERROR(VLOOKUP(P17,'Tabela de Apoio'!$D:$E,2,FALSE),1)=1,"",P31)</f>
        <v>DESCARTADO</v>
      </c>
      <c r="Q30" s="107">
        <f>IF(IFERROR(VLOOKUP(Q17,'Tabela de Apoio'!$D:$E,2,FALSE),1)=1,"",Q31)</f>
        <v>3000</v>
      </c>
      <c r="R30" s="107" t="str">
        <f>IF(IFERROR(VLOOKUP(R17,'Tabela de Apoio'!$D:$E,2,FALSE),1)=1,"",R31)</f>
        <v>DESCARTADO</v>
      </c>
      <c r="S30" s="107" t="str">
        <f>IF(IFERROR(VLOOKUP(S17,'Tabela de Apoio'!$D:$E,2,FALSE),1)=1,"",S31)</f>
        <v>DESCARTADO</v>
      </c>
      <c r="T30" s="107" t="str">
        <f>IF(IFERROR(VLOOKUP(T17,'Tabela de Apoio'!$D:$E,2,FALSE),1)=1,"",T31)</f>
        <v>DESCARTADO</v>
      </c>
      <c r="U30" s="107" t="str">
        <f>IF(IFERROR(VLOOKUP(U17,'Tabela de Apoio'!$D:$E,2,FALSE),1)=1,"",U31)</f>
        <v>DESCARTADO</v>
      </c>
      <c r="V30" s="107" t="str">
        <f>IF(IFERROR(VLOOKUP(V17,'Tabela de Apoio'!$D:$E,2,FALSE),1)=1,"",V31)</f>
        <v>DESCARTADO</v>
      </c>
      <c r="W30" s="107">
        <f>IF(IFERROR(VLOOKUP(W17,'Tabela de Apoio'!$D:$E,2,FALSE),1)=1,"",W31)</f>
        <v>4961.3899596212113</v>
      </c>
      <c r="X30" s="107">
        <f>IF(IFERROR(VLOOKUP(X17,'Tabela de Apoio'!$D:$E,2,FALSE),1)=1,"",X31)</f>
        <v>2806.4428054423015</v>
      </c>
      <c r="Y30" s="107">
        <f>IF(IFERROR(VLOOKUP(Y17,'Tabela de Apoio'!$D:$E,2,FALSE),1)=1,"",Y31)</f>
        <v>3908.9739075803486</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4</v>
      </c>
      <c r="I31" s="132">
        <f>_xlfn.STDEV.P($P30:$XX31)/AVERAGE($P30:$XX31)</f>
        <v>0.23283436820511233</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3000</v>
      </c>
      <c r="R31" s="107" t="str">
        <f t="shared" si="10"/>
        <v>DESCARTADO</v>
      </c>
      <c r="S31" s="107" t="str">
        <f t="shared" si="10"/>
        <v>DESCARTADO</v>
      </c>
      <c r="T31" s="107" t="str">
        <f t="shared" si="10"/>
        <v>DESCARTADO</v>
      </c>
      <c r="U31" s="107" t="str">
        <f t="shared" si="10"/>
        <v>DESCARTADO</v>
      </c>
      <c r="V31" s="107" t="str">
        <f t="shared" si="10"/>
        <v>DESCARTADO</v>
      </c>
      <c r="W31" s="107">
        <f t="shared" si="10"/>
        <v>4961.3899596212113</v>
      </c>
      <c r="X31" s="107">
        <f t="shared" si="10"/>
        <v>2806.4428054423015</v>
      </c>
      <c r="Y31" s="107">
        <f t="shared" si="10"/>
        <v>3908.9739075803486</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DESCARTADO</v>
      </c>
      <c r="Q32" s="107">
        <f>IF(IFERROR(VLOOKUP(Q17,'Tabela de Apoio'!$D:$E,2,FALSE),1)=1,"",Q33)</f>
        <v>3000</v>
      </c>
      <c r="R32" s="107" t="str">
        <f>IF(IFERROR(VLOOKUP(R17,'Tabela de Apoio'!$D:$E,2,FALSE),1)=1,"",R33)</f>
        <v>DESCARTADO</v>
      </c>
      <c r="S32" s="107" t="str">
        <f>IF(IFERROR(VLOOKUP(S17,'Tabela de Apoio'!$D:$E,2,FALSE),1)=1,"",S33)</f>
        <v>DESCARTADO</v>
      </c>
      <c r="T32" s="107" t="str">
        <f>IF(IFERROR(VLOOKUP(T17,'Tabela de Apoio'!$D:$E,2,FALSE),1)=1,"",T33)</f>
        <v>DESCARTADO</v>
      </c>
      <c r="U32" s="107" t="str">
        <f>IF(IFERROR(VLOOKUP(U17,'Tabela de Apoio'!$D:$E,2,FALSE),1)=1,"",U33)</f>
        <v>DESCARTADO</v>
      </c>
      <c r="V32" s="107" t="str">
        <f>IF(IFERROR(VLOOKUP(V17,'Tabela de Apoio'!$D:$E,2,FALSE),1)=1,"",V33)</f>
        <v>DESCARTADO</v>
      </c>
      <c r="W32" s="107">
        <f>IF(IFERROR(VLOOKUP(W17,'Tabela de Apoio'!$D:$E,2,FALSE),1)=1,"",W33)</f>
        <v>4961.3899596212113</v>
      </c>
      <c r="X32" s="107">
        <f>IF(IFERROR(VLOOKUP(X17,'Tabela de Apoio'!$D:$E,2,FALSE),1)=1,"",X33)</f>
        <v>2806.4428054423015</v>
      </c>
      <c r="Y32" s="107">
        <f>IF(IFERROR(VLOOKUP(Y17,'Tabela de Apoio'!$D:$E,2,FALSE),1)=1,"",Y33)</f>
        <v>3908.9739075803486</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4</v>
      </c>
      <c r="I33" s="132">
        <f>_xlfn.STDEV.P($P32:$XX33)/AVERAGE($P32:$XX33)</f>
        <v>0.23283436820511233</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3000</v>
      </c>
      <c r="R33" s="107" t="str">
        <f t="shared" si="11"/>
        <v>DESCARTADO</v>
      </c>
      <c r="S33" s="107" t="str">
        <f t="shared" si="11"/>
        <v>DESCARTADO</v>
      </c>
      <c r="T33" s="107" t="str">
        <f t="shared" si="11"/>
        <v>DESCARTADO</v>
      </c>
      <c r="U33" s="107" t="str">
        <f t="shared" si="11"/>
        <v>DESCARTADO</v>
      </c>
      <c r="V33" s="107" t="str">
        <f t="shared" si="11"/>
        <v>DESCARTADO</v>
      </c>
      <c r="W33" s="107">
        <f t="shared" si="11"/>
        <v>4961.3899596212113</v>
      </c>
      <c r="X33" s="107">
        <f t="shared" si="11"/>
        <v>2806.4428054423015</v>
      </c>
      <c r="Y33" s="107">
        <f t="shared" si="11"/>
        <v>3908.9739075803486</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22015.200000000001</v>
      </c>
      <c r="O34" s="27" t="s">
        <v>363</v>
      </c>
      <c r="P34" s="107" t="str">
        <f>INDEX(P21:P33,MATCH(MAX($J21:$J33),$J21:$J33,0))</f>
        <v>DESCARTADO</v>
      </c>
      <c r="Q34" s="107">
        <f t="shared" ref="Q34:R34" si="12">INDEX(Q21:Q33,MATCH(MAX($J21:$J33),$J21:$J33,0))</f>
        <v>3000</v>
      </c>
      <c r="R34" s="107" t="str">
        <f t="shared" si="12"/>
        <v>DESCARTADO</v>
      </c>
      <c r="S34" s="107" t="str">
        <f t="shared" ref="S34" si="13">INDEX(S21:S33,MATCH(MAX($J21:$J33),$J21:$J33,0))</f>
        <v>DESCARTADO</v>
      </c>
      <c r="T34" s="107" t="str">
        <f t="shared" ref="T34" si="14">INDEX(T21:T33,MATCH(MAX($J21:$J33),$J21:$J33,0))</f>
        <v>DESCARTADO</v>
      </c>
      <c r="U34" s="107" t="str">
        <f t="shared" ref="U34" si="15">INDEX(U21:U33,MATCH(MAX($J21:$J33),$J21:$J33,0))</f>
        <v>DESCARTADO</v>
      </c>
      <c r="V34" s="107" t="str">
        <f t="shared" ref="V34" si="16">INDEX(V21:V33,MATCH(MAX($J21:$J33),$J21:$J33,0))</f>
        <v>DESCARTADO</v>
      </c>
      <c r="W34" s="107">
        <f t="shared" ref="W34" si="17">INDEX(W21:W33,MATCH(MAX($J21:$J33),$J21:$J33,0))</f>
        <v>4961.3899596212113</v>
      </c>
      <c r="X34" s="107">
        <f t="shared" ref="X34" si="18">INDEX(X21:X33,MATCH(MAX($J21:$J33),$J21:$J33,0))</f>
        <v>2806.4428054423015</v>
      </c>
      <c r="Y34" s="107">
        <f t="shared" ref="Y34" si="19">INDEX(Y21:Y33,MATCH(MAX($J21:$J33),$J21:$J33,0))</f>
        <v>3908.9739075803486</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v>2333</v>
      </c>
      <c r="I36" s="181" t="s">
        <v>432</v>
      </c>
      <c r="J36" s="6">
        <f>INDEX('BASE FORMAÇÃO'!K:K,B36+1)</f>
        <v>0</v>
      </c>
      <c r="K36" s="65"/>
      <c r="L36" s="182" t="s">
        <v>10</v>
      </c>
      <c r="M36" s="184">
        <f t="shared" ref="M36" si="32">IF(OR(ISBLANK($O$8),ISBLANK($O$7),ISBLANK($H$8),ISBLANK($O$6),ISBLANK($O$5),ISBLANK($H$5)),"",IFERROR(IF(VLOOKUP(L36,L42:M51,2,FALSE)&lt;1,ROUND(VLOOKUP(L36,L42:M51,2,FALSE),4),ROUND(VLOOKUP(L36,L42:M51,2,FALSE),2)),""))</f>
        <v>4206.9799999999996</v>
      </c>
      <c r="N36" s="69"/>
      <c r="O36" s="27" t="s">
        <v>17</v>
      </c>
      <c r="P36" s="113">
        <v>5000</v>
      </c>
      <c r="Q36" s="113">
        <v>7334</v>
      </c>
      <c r="R36" s="113">
        <v>2230</v>
      </c>
      <c r="S36" s="113">
        <v>4298</v>
      </c>
      <c r="T36" s="113">
        <v>6750</v>
      </c>
      <c r="U36" s="105">
        <v>4160</v>
      </c>
      <c r="V36" s="105">
        <v>2800</v>
      </c>
      <c r="W36" s="105">
        <v>5416</v>
      </c>
      <c r="X36" s="105">
        <v>5980</v>
      </c>
      <c r="Y36" s="105">
        <v>1400</v>
      </c>
      <c r="Z36" s="105">
        <v>3869</v>
      </c>
      <c r="AA36" s="105">
        <v>1980</v>
      </c>
      <c r="AB36" s="105">
        <v>4100</v>
      </c>
      <c r="AC36" s="105">
        <v>3500</v>
      </c>
      <c r="AD36" s="105">
        <v>4200</v>
      </c>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6">
        <f t="shared" ref="E37" si="34">D36</f>
        <v>2</v>
      </c>
      <c r="F37" s="92"/>
      <c r="G37" s="188" t="s">
        <v>1</v>
      </c>
      <c r="H37" s="191" t="s">
        <v>436</v>
      </c>
      <c r="I37" s="191"/>
      <c r="J37" s="192"/>
      <c r="K37" s="66"/>
      <c r="L37" s="183"/>
      <c r="M37" s="185"/>
      <c r="N37" s="70"/>
      <c r="O37" s="27" t="s">
        <v>13</v>
      </c>
      <c r="P37" s="122">
        <v>46234</v>
      </c>
      <c r="Q37" s="122">
        <v>46219</v>
      </c>
      <c r="R37" s="122">
        <v>46205</v>
      </c>
      <c r="S37" s="122">
        <v>46181</v>
      </c>
      <c r="T37" s="122">
        <v>46176</v>
      </c>
      <c r="U37" s="122">
        <v>46155</v>
      </c>
      <c r="V37" s="122">
        <v>46150</v>
      </c>
      <c r="W37" s="122">
        <v>46121</v>
      </c>
      <c r="X37" s="122">
        <v>46112</v>
      </c>
      <c r="Y37" s="122">
        <v>46101</v>
      </c>
      <c r="Z37" s="122">
        <v>46093</v>
      </c>
      <c r="AA37" s="122">
        <v>46087</v>
      </c>
      <c r="AB37" s="122">
        <v>46084</v>
      </c>
      <c r="AC37" s="122">
        <v>46083</v>
      </c>
      <c r="AD37" s="122">
        <v>46082</v>
      </c>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7"/>
      <c r="F38" s="93"/>
      <c r="G38" s="189"/>
      <c r="H38" s="193"/>
      <c r="I38" s="193"/>
      <c r="J38" s="194"/>
      <c r="K38" s="64"/>
      <c r="L38" s="130" t="s">
        <v>44</v>
      </c>
      <c r="M38" s="131">
        <v>6</v>
      </c>
      <c r="N38" s="71"/>
      <c r="O38" s="27" t="s">
        <v>380</v>
      </c>
      <c r="P38" s="114" t="s">
        <v>12</v>
      </c>
      <c r="Q38" s="114" t="s">
        <v>12</v>
      </c>
      <c r="R38" s="114" t="s">
        <v>12</v>
      </c>
      <c r="S38" s="114" t="s">
        <v>12</v>
      </c>
      <c r="T38" s="114" t="s">
        <v>12</v>
      </c>
      <c r="U38" s="114" t="s">
        <v>12</v>
      </c>
      <c r="V38" s="114" t="s">
        <v>12</v>
      </c>
      <c r="W38" s="114" t="s">
        <v>12</v>
      </c>
      <c r="X38" s="114" t="s">
        <v>12</v>
      </c>
      <c r="Y38" s="114" t="s">
        <v>12</v>
      </c>
      <c r="Z38" s="114" t="s">
        <v>12</v>
      </c>
      <c r="AA38" s="118" t="s">
        <v>12</v>
      </c>
      <c r="AB38" s="118" t="s">
        <v>12</v>
      </c>
      <c r="AC38" s="118" t="s">
        <v>12</v>
      </c>
      <c r="AD38" s="118" t="s">
        <v>12</v>
      </c>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0"/>
      <c r="H39" s="195"/>
      <c r="I39" s="195"/>
      <c r="J39" s="196"/>
      <c r="K39" s="64"/>
      <c r="L39" s="1" t="s">
        <v>2</v>
      </c>
      <c r="M39" s="6" t="s">
        <v>206</v>
      </c>
      <c r="N39" s="71"/>
      <c r="O39" s="27" t="s">
        <v>381</v>
      </c>
      <c r="P39" s="115" t="s">
        <v>440</v>
      </c>
      <c r="Q39" s="115" t="s">
        <v>440</v>
      </c>
      <c r="R39" s="115" t="s">
        <v>440</v>
      </c>
      <c r="S39" s="115" t="s">
        <v>440</v>
      </c>
      <c r="T39" s="115" t="s">
        <v>440</v>
      </c>
      <c r="U39" s="118" t="s">
        <v>440</v>
      </c>
      <c r="V39" s="118" t="s">
        <v>440</v>
      </c>
      <c r="W39" s="118" t="s">
        <v>440</v>
      </c>
      <c r="X39" s="118" t="s">
        <v>440</v>
      </c>
      <c r="Y39" s="118" t="s">
        <v>440</v>
      </c>
      <c r="Z39" s="118" t="s">
        <v>440</v>
      </c>
      <c r="AA39" s="118" t="s">
        <v>440</v>
      </c>
      <c r="AB39" s="118" t="s">
        <v>440</v>
      </c>
      <c r="AC39" s="118" t="s">
        <v>440</v>
      </c>
      <c r="AD39" s="118" t="s">
        <v>440</v>
      </c>
      <c r="AE39" s="118"/>
      <c r="AF39" s="118"/>
      <c r="AG39" s="118"/>
      <c r="AH39" s="118"/>
      <c r="AI39" s="118"/>
    </row>
    <row r="40" spans="1:167" x14ac:dyDescent="0.25">
      <c r="B40" s="128">
        <f t="shared" ref="B40:C40" si="37">B38</f>
        <v>2</v>
      </c>
      <c r="C40" s="128">
        <f t="shared" si="37"/>
        <v>1</v>
      </c>
      <c r="D40" s="127">
        <f t="shared" si="35"/>
        <v>2</v>
      </c>
      <c r="E40" s="197">
        <f t="shared" ref="E40" si="38">C36</f>
        <v>1</v>
      </c>
      <c r="F40" s="93"/>
      <c r="G40" s="199" t="s">
        <v>304</v>
      </c>
      <c r="H40" s="201"/>
      <c r="I40" s="202"/>
      <c r="J40" s="202"/>
      <c r="K40" s="67"/>
      <c r="L40" s="28" t="s">
        <v>303</v>
      </c>
      <c r="M40" s="133">
        <f t="shared" ref="M40" si="39">IFERROR(INDEX(I42:I54,MATCH(MAX(J42:J54),J42:J54,0)),"")</f>
        <v>0.17134454917847647</v>
      </c>
      <c r="N40" s="71"/>
      <c r="O40" s="27" t="s">
        <v>18</v>
      </c>
      <c r="P40" s="106">
        <f>IF(P36="","",
IF(OR(P38="Orçamento",P37="",MAX('Tabela de Apoio'!$A:$A)&lt;=P37),
P36,
(INDEX('Tabela de Apoio'!$B:$B,MATCH('MAPA DE PREÇOS'!$O$8,'Tabela de Apoio'!$A:$A,1))/INDEX('Tabela de Apoio'!$B:$B,MATCH('MAPA DE PREÇOS'!P37,'Tabela de Apoio'!$A:$A,1)-1))*P36))</f>
        <v>5000</v>
      </c>
      <c r="Q40" s="106">
        <f>IF(Q36="","",
IF(OR(Q38="Orçamento",Q37="",MAX('Tabela de Apoio'!$A:$A)&lt;=Q37),
Q36,
(INDEX('Tabela de Apoio'!$B:$B,MATCH('MAPA DE PREÇOS'!$O$8,'Tabela de Apoio'!$A:$A,1))/INDEX('Tabela de Apoio'!$B:$B,MATCH('MAPA DE PREÇOS'!Q37,'Tabela de Apoio'!$A:$A,1)-1))*Q36))</f>
        <v>7334</v>
      </c>
      <c r="R40" s="106">
        <f>IF(R36="","",
IF(OR(R38="Orçamento",R37="",MAX('Tabela de Apoio'!$A:$A)&lt;=R37),
R36,
(INDEX('Tabela de Apoio'!$B:$B,MATCH('MAPA DE PREÇOS'!$O$8,'Tabela de Apoio'!$A:$A,1))/INDEX('Tabela de Apoio'!$B:$B,MATCH('MAPA DE PREÇOS'!R37,'Tabela de Apoio'!$A:$A,1)-1))*R36))</f>
        <v>2230</v>
      </c>
      <c r="S40" s="106">
        <f>IF(S36="","",
IF(OR(S38="Orçamento",S37="",MAX('Tabela de Apoio'!$A:$A)&lt;=S37),
S36,
(INDEX('Tabela de Apoio'!$B:$B,MATCH('MAPA DE PREÇOS'!$O$8,'Tabela de Apoio'!$A:$A,1))/INDEX('Tabela de Apoio'!$B:$B,MATCH('MAPA DE PREÇOS'!S37,'Tabela de Apoio'!$A:$A,1)-1))*S36))</f>
        <v>4307.8897063539325</v>
      </c>
      <c r="T40" s="106">
        <f>IF(T36="","",
IF(OR(T38="Orçamento",T37="",MAX('Tabela de Apoio'!$A:$A)&lt;=T37),
T36,
(INDEX('Tabela de Apoio'!$B:$B,MATCH('MAPA DE PREÇOS'!$O$8,'Tabela de Apoio'!$A:$A,1))/INDEX('Tabela de Apoio'!$B:$B,MATCH('MAPA DE PREÇOS'!T37,'Tabela de Apoio'!$A:$A,1)-1))*T36))</f>
        <v>6765.5317631198341</v>
      </c>
      <c r="U40" s="106">
        <f>IF(U36="","",
IF(OR(U38="Orçamento",U37="",MAX('Tabela de Apoio'!$A:$A)&lt;=U37),
U36,
(INDEX('Tabela de Apoio'!$B:$B,MATCH('MAPA DE PREÇOS'!$O$8,'Tabela de Apoio'!$A:$A,1))/INDEX('Tabela de Apoio'!$B:$B,MATCH('MAPA DE PREÇOS'!U37,'Tabela de Apoio'!$A:$A,1)-1))*U36))</f>
        <v>4193.7571566424303</v>
      </c>
      <c r="V40" s="106">
        <f>IF(V36="","",
IF(OR(V38="Orçamento",V37="",MAX('Tabela de Apoio'!$A:$A)&lt;=V37),
V36,
(INDEX('Tabela de Apoio'!$B:$B,MATCH('MAPA DE PREÇOS'!$O$8,'Tabela de Apoio'!$A:$A,1))/INDEX('Tabela de Apoio'!$B:$B,MATCH('MAPA DE PREÇOS'!V37,'Tabela de Apoio'!$A:$A,1)-1))*V36))</f>
        <v>2822.7211631247128</v>
      </c>
      <c r="W40" s="106">
        <f>IF(W36="","",
IF(OR(W38="Orçamento",W37="",MAX('Tabela de Apoio'!$A:$A)&lt;=W37),
W36,
(INDEX('Tabela de Apoio'!$B:$B,MATCH('MAPA DE PREÇOS'!$O$8,'Tabela de Apoio'!$A:$A,1))/INDEX('Tabela de Apoio'!$B:$B,MATCH('MAPA DE PREÇOS'!W37,'Tabela de Apoio'!$A:$A,1)-1))*W36))</f>
        <v>5496.5344621252589</v>
      </c>
      <c r="X40" s="106">
        <f>IF(X36="","",
IF(OR(X38="Orçamento",X37="",MAX('Tabela de Apoio'!$A:$A)&lt;=X37),
X36,
(INDEX('Tabela de Apoio'!$B:$B,MATCH('MAPA DE PREÇOS'!$O$8,'Tabela de Apoio'!$A:$A,1))/INDEX('Tabela de Apoio'!$B:$B,MATCH('MAPA DE PREÇOS'!X37,'Tabela de Apoio'!$A:$A,1)-1))*X36))</f>
        <v>6122.3263201380796</v>
      </c>
      <c r="Y40" s="106">
        <f>IF(Y36="","",
IF(OR(Y38="Orçamento",Y37="",MAX('Tabela de Apoio'!$A:$A)&lt;=Y37),
Y36,
(INDEX('Tabela de Apoio'!$B:$B,MATCH('MAPA DE PREÇOS'!$O$8,'Tabela de Apoio'!$A:$A,1))/INDEX('Tabela de Apoio'!$B:$B,MATCH('MAPA DE PREÇOS'!Y37,'Tabela de Apoio'!$A:$A,1)-1))*Y36))</f>
        <v>1433.3205431761392</v>
      </c>
      <c r="Z40" s="106">
        <f>IF(Z36="","",
IF(OR(Z38="Orçamento",Z37="",MAX('Tabela de Apoio'!$A:$A)&lt;=Z37),
Z36,
(INDEX('Tabela de Apoio'!$B:$B,MATCH('MAPA DE PREÇOS'!$O$8,'Tabela de Apoio'!$A:$A,1))/INDEX('Tabela de Apoio'!$B:$B,MATCH('MAPA DE PREÇOS'!Z37,'Tabela de Apoio'!$A:$A,1)-1))*Z36))</f>
        <v>3961.0837011060585</v>
      </c>
      <c r="AA40" s="106">
        <f>IF(AA36="","",
IF(OR(AA38="Orçamento",AA37="",MAX('Tabela de Apoio'!$A:$A)&lt;=AA37),
AA36,
(INDEX('Tabela de Apoio'!$B:$B,MATCH('MAPA DE PREÇOS'!$O$8,'Tabela de Apoio'!$A:$A,1))/INDEX('Tabela de Apoio'!$B:$B,MATCH('MAPA DE PREÇOS'!AA37,'Tabela de Apoio'!$A:$A,1)-1))*AA36))</f>
        <v>2027.1247682062537</v>
      </c>
      <c r="AB40" s="106">
        <f>IF(AB36="","",
IF(OR(AB38="Orçamento",AB37="",MAX('Tabela de Apoio'!$A:$A)&lt;=AB37),
AB36,
(INDEX('Tabela de Apoio'!$B:$B,MATCH('MAPA DE PREÇOS'!$O$8,'Tabela de Apoio'!$A:$A,1))/INDEX('Tabela de Apoio'!$B:$B,MATCH('MAPA DE PREÇOS'!AB37,'Tabela de Apoio'!$A:$A,1)-1))*AB36))</f>
        <v>4197.5815907301212</v>
      </c>
      <c r="AC40" s="106">
        <f>IF(AC36="","",
IF(OR(AC38="Orçamento",AC37="",MAX('Tabela de Apoio'!$A:$A)&lt;=AC37),
AC36,
(INDEX('Tabela de Apoio'!$B:$B,MATCH('MAPA DE PREÇOS'!$O$8,'Tabela de Apoio'!$A:$A,1))/INDEX('Tabela de Apoio'!$B:$B,MATCH('MAPA DE PREÇOS'!AC37,'Tabela de Apoio'!$A:$A,1)-1))*AC36))</f>
        <v>3583.3013579403478</v>
      </c>
      <c r="AD40" s="106">
        <f>IF(AD36="","",
IF(OR(AD38="Orçamento",AD37="",MAX('Tabela de Apoio'!$A:$A)&lt;=AD37),
AD36,
(INDEX('Tabela de Apoio'!$B:$B,MATCH('MAPA DE PREÇOS'!$O$8,'Tabela de Apoio'!$A:$A,1))/INDEX('Tabela de Apoio'!$B:$B,MATCH('MAPA DE PREÇOS'!AD37,'Tabela de Apoio'!$A:$A,1)-1))*AD36))</f>
        <v>4299.9616295284168</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8"/>
      <c r="F41" s="93"/>
      <c r="G41" s="200"/>
      <c r="H41"/>
      <c r="I41"/>
      <c r="J41"/>
      <c r="N41" s="71"/>
      <c r="O41" s="27" t="s">
        <v>375</v>
      </c>
      <c r="P41" s="107">
        <f>IF(IFERROR(VLOOKUP(P38,'Tabela de Apoio'!$D:$E,2,FALSE),1)=1,"",P42)</f>
        <v>5000</v>
      </c>
      <c r="Q41" s="107" t="str">
        <f>IF(IFERROR(VLOOKUP(Q38,'Tabela de Apoio'!$D:$E,2,FALSE),1)=1,"",Q42)</f>
        <v>DESCARTADO</v>
      </c>
      <c r="R41" s="107">
        <f>IF(IFERROR(VLOOKUP(R38,'Tabela de Apoio'!$D:$E,2,FALSE),1)=1,"",R42)</f>
        <v>2230</v>
      </c>
      <c r="S41" s="107">
        <f>IF(IFERROR(VLOOKUP(S38,'Tabela de Apoio'!$D:$E,2,FALSE),1)=1,"",S42)</f>
        <v>4307.8897063539325</v>
      </c>
      <c r="T41" s="107">
        <f>IF(IFERROR(VLOOKUP(T38,'Tabela de Apoio'!$D:$E,2,FALSE),1)=1,"",T42)</f>
        <v>6765.5317631198341</v>
      </c>
      <c r="U41" s="107">
        <f>IF(IFERROR(VLOOKUP(U38,'Tabela de Apoio'!$D:$E,2,FALSE),1)=1,"",U42)</f>
        <v>4193.7571566424303</v>
      </c>
      <c r="V41" s="107">
        <f>IF(IFERROR(VLOOKUP(V38,'Tabela de Apoio'!$D:$E,2,FALSE),1)=1,"",V42)</f>
        <v>2822.7211631247128</v>
      </c>
      <c r="W41" s="107">
        <f>IF(IFERROR(VLOOKUP(W38,'Tabela de Apoio'!$D:$E,2,FALSE),1)=1,"",W42)</f>
        <v>5496.5344621252589</v>
      </c>
      <c r="X41" s="107">
        <f>IF(IFERROR(VLOOKUP(X38,'Tabela de Apoio'!$D:$E,2,FALSE),1)=1,"",X42)</f>
        <v>6122.3263201380796</v>
      </c>
      <c r="Y41" s="107">
        <f>IF(IFERROR(VLOOKUP(Y38,'Tabela de Apoio'!$D:$E,2,FALSE),1)=1,"",Y42)</f>
        <v>1433.3205431761392</v>
      </c>
      <c r="Z41" s="107">
        <f>IF(IFERROR(VLOOKUP(Z38,'Tabela de Apoio'!$D:$E,2,FALSE),1)=1,"",Z42)</f>
        <v>3961.0837011060585</v>
      </c>
      <c r="AA41" s="107">
        <f>IF(IFERROR(VLOOKUP(AA38,'Tabela de Apoio'!$D:$E,2,FALSE),1)=1,"",AA42)</f>
        <v>2027.1247682062537</v>
      </c>
      <c r="AB41" s="107">
        <f>IF(IFERROR(VLOOKUP(AB38,'Tabela de Apoio'!$D:$E,2,FALSE),1)=1,"",AB42)</f>
        <v>4197.5815907301212</v>
      </c>
      <c r="AC41" s="107">
        <f>IF(IFERROR(VLOOKUP(AC38,'Tabela de Apoio'!$D:$E,2,FALSE),1)=1,"",AC42)</f>
        <v>3583.3013579403478</v>
      </c>
      <c r="AD41" s="107">
        <f>IF(IFERROR(VLOOKUP(AD38,'Tabela de Apoio'!$D:$E,2,FALSE),1)=1,"",AD42)</f>
        <v>4299.9616295284168</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8"/>
      <c r="F42" s="93"/>
      <c r="G42" s="200"/>
      <c r="H42" s="134">
        <f t="shared" ref="H42" si="44">COUNT($P42:$XX42)</f>
        <v>14</v>
      </c>
      <c r="I42" s="132">
        <f t="shared" ref="I42" si="45">_xlfn.STDEV.P($P41:$XX42)/AVERAGE($P41:$XX42)</f>
        <v>0.36799308507506018</v>
      </c>
      <c r="J42" s="7">
        <f>ROW()</f>
        <v>42</v>
      </c>
      <c r="K42" s="67"/>
      <c r="L42" s="29" t="s">
        <v>10</v>
      </c>
      <c r="M42" s="30">
        <f t="shared" ref="M42" si="46">IFERROR(
IF(COUNTA(P36:AI36)=COUNTIF(P38:XX38,"Orçamento"),MIN(M47,M44),
IF(M45&lt;&gt;"",M45,
IF(M46&lt;&gt;"",M46,
M44
))),"")</f>
        <v>4206.9811963945867</v>
      </c>
      <c r="N42" s="71"/>
      <c r="O42" s="27" t="s">
        <v>376</v>
      </c>
      <c r="P42" s="106">
        <f t="shared" ref="P42:AI42" si="47">IFERROR(IF(P40="",
            "",
            IF(COUNT($P40:$XX40)&lt;=4,
               P40,
               IF(OR(P40&gt;(QUARTILE($P40:$XX40,3)+(QUARTILE($P40:$XX40,3)-QUARTILE($P40:$XX40,1))),
                     P40&lt;(QUARTILE($P40:$XX40,1)-(QUARTILE($P40:$XX40,3)-QUARTILE($P40:$XX40,1)))
                  ),
               "DESCARTADO",P40)
             )
  ),P40)</f>
        <v>5000</v>
      </c>
      <c r="Q42" s="106" t="str">
        <f t="shared" si="47"/>
        <v>DESCARTADO</v>
      </c>
      <c r="R42" s="106">
        <f t="shared" si="47"/>
        <v>2230</v>
      </c>
      <c r="S42" s="106">
        <f t="shared" si="47"/>
        <v>4307.8897063539325</v>
      </c>
      <c r="T42" s="106">
        <f t="shared" si="47"/>
        <v>6765.5317631198341</v>
      </c>
      <c r="U42" s="106">
        <f t="shared" si="47"/>
        <v>4193.7571566424303</v>
      </c>
      <c r="V42" s="106">
        <f t="shared" si="47"/>
        <v>2822.7211631247128</v>
      </c>
      <c r="W42" s="106">
        <f t="shared" si="47"/>
        <v>5496.5344621252589</v>
      </c>
      <c r="X42" s="106">
        <f t="shared" si="47"/>
        <v>6122.3263201380796</v>
      </c>
      <c r="Y42" s="106">
        <f t="shared" si="47"/>
        <v>1433.3205431761392</v>
      </c>
      <c r="Z42" s="106">
        <f t="shared" si="47"/>
        <v>3961.0837011060585</v>
      </c>
      <c r="AA42" s="106">
        <f t="shared" si="47"/>
        <v>2027.1247682062537</v>
      </c>
      <c r="AB42" s="106">
        <f t="shared" si="47"/>
        <v>4197.5815907301212</v>
      </c>
      <c r="AC42" s="106">
        <f t="shared" si="47"/>
        <v>3583.3013579403478</v>
      </c>
      <c r="AD42" s="106">
        <f t="shared" si="47"/>
        <v>4299.9616295284168</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8"/>
      <c r="F43" s="93"/>
      <c r="G43" s="200"/>
      <c r="H43"/>
      <c r="I43"/>
      <c r="J43"/>
      <c r="K43" s="66"/>
      <c r="L43" s="29" t="s">
        <v>360</v>
      </c>
      <c r="M43" s="30">
        <f t="shared" ref="M43" si="51">AVERAGE($P42:$XX42)</f>
        <v>4031.5095830136843</v>
      </c>
      <c r="N43" s="71"/>
      <c r="O43" s="27" t="str">
        <f t="shared" ref="O43" si="52">"1 POND"</f>
        <v>1 POND</v>
      </c>
      <c r="P43" s="107">
        <f>IF(IFERROR(VLOOKUP(P38,'Tabela de Apoio'!$D:$E,2,FALSE),1)=1,"",P44)</f>
        <v>5000</v>
      </c>
      <c r="Q43" s="107" t="str">
        <f>IF(IFERROR(VLOOKUP(Q38,'Tabela de Apoio'!$D:$E,2,FALSE),1)=1,"",Q44)</f>
        <v>DESCARTADO</v>
      </c>
      <c r="R43" s="107" t="str">
        <f>IF(IFERROR(VLOOKUP(R38,'Tabela de Apoio'!$D:$E,2,FALSE),1)=1,"",R44)</f>
        <v>DESCARTADO</v>
      </c>
      <c r="S43" s="107">
        <f>IF(IFERROR(VLOOKUP(S38,'Tabela de Apoio'!$D:$E,2,FALSE),1)=1,"",S44)</f>
        <v>4307.8897063539325</v>
      </c>
      <c r="T43" s="107" t="str">
        <f>IF(IFERROR(VLOOKUP(T38,'Tabela de Apoio'!$D:$E,2,FALSE),1)=1,"",T44)</f>
        <v>DESCARTADO</v>
      </c>
      <c r="U43" s="107">
        <f>IF(IFERROR(VLOOKUP(U38,'Tabela de Apoio'!$D:$E,2,FALSE),1)=1,"",U44)</f>
        <v>4193.7571566424303</v>
      </c>
      <c r="V43" s="107">
        <f>IF(IFERROR(VLOOKUP(V38,'Tabela de Apoio'!$D:$E,2,FALSE),1)=1,"",V44)</f>
        <v>2822.7211631247128</v>
      </c>
      <c r="W43" s="107">
        <f>IF(IFERROR(VLOOKUP(W38,'Tabela de Apoio'!$D:$E,2,FALSE),1)=1,"",W44)</f>
        <v>5496.5344621252589</v>
      </c>
      <c r="X43" s="107" t="str">
        <f>IF(IFERROR(VLOOKUP(X38,'Tabela de Apoio'!$D:$E,2,FALSE),1)=1,"",X44)</f>
        <v>DESCARTADO</v>
      </c>
      <c r="Y43" s="107" t="str">
        <f>IF(IFERROR(VLOOKUP(Y38,'Tabela de Apoio'!$D:$E,2,FALSE),1)=1,"",Y44)</f>
        <v>DESCARTADO</v>
      </c>
      <c r="Z43" s="107">
        <f>IF(IFERROR(VLOOKUP(Z38,'Tabela de Apoio'!$D:$E,2,FALSE),1)=1,"",Z44)</f>
        <v>3961.0837011060585</v>
      </c>
      <c r="AA43" s="107" t="str">
        <f>IF(IFERROR(VLOOKUP(AA38,'Tabela de Apoio'!$D:$E,2,FALSE),1)=1,"",AA44)</f>
        <v>DESCARTADO</v>
      </c>
      <c r="AB43" s="107">
        <f>IF(IFERROR(VLOOKUP(AB38,'Tabela de Apoio'!$D:$E,2,FALSE),1)=1,"",AB44)</f>
        <v>4197.5815907301212</v>
      </c>
      <c r="AC43" s="107">
        <f>IF(IFERROR(VLOOKUP(AC38,'Tabela de Apoio'!$D:$E,2,FALSE),1)=1,"",AC44)</f>
        <v>3583.3013579403478</v>
      </c>
      <c r="AD43" s="107">
        <f>IF(IFERROR(VLOOKUP(AD38,'Tabela de Apoio'!$D:$E,2,FALSE),1)=1,"",AD44)</f>
        <v>4299.9616295284168</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8"/>
      <c r="F44" s="93"/>
      <c r="G44" s="200"/>
      <c r="H44" s="134">
        <f t="shared" ref="H44" si="53">COUNT($P44:$XX44)</f>
        <v>9</v>
      </c>
      <c r="I44" s="132">
        <f t="shared" ref="I44" si="54">_xlfn.STDEV.P($P43:$XX44)/AVERAGE($P43:$XX44)</f>
        <v>0.17134454917847647</v>
      </c>
      <c r="J44" s="7">
        <f t="shared" ref="J44" si="55">IF(AND(H44&gt;2,
OR(L36="MÉDIA SANEADA",L36="MEDIANA SANEADA",
AND(L36="PREÇO ESTIMADO",NOT(AND(P38="Orçamento",COUNTA(P36:XX36)=COUNTIF(P38:XX38,"Orçamento")))))),
ROW(),0)</f>
        <v>44</v>
      </c>
      <c r="K44" s="66"/>
      <c r="L44" s="29" t="s">
        <v>361</v>
      </c>
      <c r="M44" s="30">
        <f t="shared" ref="M44" si="56">MEDIAN($P42:$XX42)</f>
        <v>4195.6693736862762</v>
      </c>
      <c r="N44" s="71"/>
      <c r="O44" s="27" t="str">
        <f t="shared" ref="O44" si="57">"1 RODADA"</f>
        <v>1 RODADA</v>
      </c>
      <c r="P44" s="107">
        <f t="shared" ref="P44:AI44" si="58">IF(P42="","",IF((_xlfn.STDEV.P($P41:$XX42)/AVERAGE($P41:$XX42))&lt;=25%,P42,IF(OR(P42&gt;(AVERAGE($P41:$XX42)+_xlfn.STDEV.P($P41:$XX42)),P42&lt;(AVERAGE($P41:$XX42)-_xlfn.STDEV.P($P41:$XX42))),"DESCARTADO",P42)))</f>
        <v>5000</v>
      </c>
      <c r="Q44" s="107" t="str">
        <f t="shared" si="58"/>
        <v>DESCARTADO</v>
      </c>
      <c r="R44" s="107" t="str">
        <f t="shared" si="58"/>
        <v>DESCARTADO</v>
      </c>
      <c r="S44" s="107">
        <f t="shared" si="58"/>
        <v>4307.8897063539325</v>
      </c>
      <c r="T44" s="107" t="str">
        <f t="shared" si="58"/>
        <v>DESCARTADO</v>
      </c>
      <c r="U44" s="107">
        <f t="shared" si="58"/>
        <v>4193.7571566424303</v>
      </c>
      <c r="V44" s="107">
        <f t="shared" si="58"/>
        <v>2822.7211631247128</v>
      </c>
      <c r="W44" s="107">
        <f t="shared" si="58"/>
        <v>5496.5344621252589</v>
      </c>
      <c r="X44" s="107" t="str">
        <f t="shared" si="58"/>
        <v>DESCARTADO</v>
      </c>
      <c r="Y44" s="107" t="str">
        <f t="shared" si="58"/>
        <v>DESCARTADO</v>
      </c>
      <c r="Z44" s="107">
        <f t="shared" si="58"/>
        <v>3961.0837011060585</v>
      </c>
      <c r="AA44" s="107" t="str">
        <f t="shared" si="58"/>
        <v>DESCARTADO</v>
      </c>
      <c r="AB44" s="107">
        <f t="shared" si="58"/>
        <v>4197.5815907301212</v>
      </c>
      <c r="AC44" s="107">
        <f t="shared" si="58"/>
        <v>3583.3013579403478</v>
      </c>
      <c r="AD44" s="107">
        <f t="shared" si="58"/>
        <v>4299.9616295284168</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8"/>
      <c r="F45" s="93"/>
      <c r="G45" s="200"/>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4206.9811963945867</v>
      </c>
      <c r="N45" s="71"/>
      <c r="O45" s="27" t="str">
        <f t="shared" ref="O45" si="60">"2 POND"</f>
        <v>2 POND</v>
      </c>
      <c r="P45" s="107">
        <f>IF(IFERROR(VLOOKUP(P38,'Tabela de Apoio'!$D:$E,2,FALSE),1)=1,"",P46)</f>
        <v>5000</v>
      </c>
      <c r="Q45" s="107" t="str">
        <f>IF(IFERROR(VLOOKUP(Q38,'Tabela de Apoio'!$D:$E,2,FALSE),1)=1,"",Q46)</f>
        <v>DESCARTADO</v>
      </c>
      <c r="R45" s="107" t="str">
        <f>IF(IFERROR(VLOOKUP(R38,'Tabela de Apoio'!$D:$E,2,FALSE),1)=1,"",R46)</f>
        <v>DESCARTADO</v>
      </c>
      <c r="S45" s="107">
        <f>IF(IFERROR(VLOOKUP(S38,'Tabela de Apoio'!$D:$E,2,FALSE),1)=1,"",S46)</f>
        <v>4307.8897063539325</v>
      </c>
      <c r="T45" s="107" t="str">
        <f>IF(IFERROR(VLOOKUP(T38,'Tabela de Apoio'!$D:$E,2,FALSE),1)=1,"",T46)</f>
        <v>DESCARTADO</v>
      </c>
      <c r="U45" s="107">
        <f>IF(IFERROR(VLOOKUP(U38,'Tabela de Apoio'!$D:$E,2,FALSE),1)=1,"",U46)</f>
        <v>4193.7571566424303</v>
      </c>
      <c r="V45" s="107">
        <f>IF(IFERROR(VLOOKUP(V38,'Tabela de Apoio'!$D:$E,2,FALSE),1)=1,"",V46)</f>
        <v>2822.7211631247128</v>
      </c>
      <c r="W45" s="107">
        <f>IF(IFERROR(VLOOKUP(W38,'Tabela de Apoio'!$D:$E,2,FALSE),1)=1,"",W46)</f>
        <v>5496.5344621252589</v>
      </c>
      <c r="X45" s="107" t="str">
        <f>IF(IFERROR(VLOOKUP(X38,'Tabela de Apoio'!$D:$E,2,FALSE),1)=1,"",X46)</f>
        <v>DESCARTADO</v>
      </c>
      <c r="Y45" s="107" t="str">
        <f>IF(IFERROR(VLOOKUP(Y38,'Tabela de Apoio'!$D:$E,2,FALSE),1)=1,"",Y46)</f>
        <v>DESCARTADO</v>
      </c>
      <c r="Z45" s="107">
        <f>IF(IFERROR(VLOOKUP(Z38,'Tabela de Apoio'!$D:$E,2,FALSE),1)=1,"",Z46)</f>
        <v>3961.0837011060585</v>
      </c>
      <c r="AA45" s="107" t="str">
        <f>IF(IFERROR(VLOOKUP(AA38,'Tabela de Apoio'!$D:$E,2,FALSE),1)=1,"",AA46)</f>
        <v>DESCARTADO</v>
      </c>
      <c r="AB45" s="107">
        <f>IF(IFERROR(VLOOKUP(AB38,'Tabela de Apoio'!$D:$E,2,FALSE),1)=1,"",AB46)</f>
        <v>4197.5815907301212</v>
      </c>
      <c r="AC45" s="107">
        <f>IF(IFERROR(VLOOKUP(AC38,'Tabela de Apoio'!$D:$E,2,FALSE),1)=1,"",AC46)</f>
        <v>3583.3013579403478</v>
      </c>
      <c r="AD45" s="107">
        <f>IF(IFERROR(VLOOKUP(AD38,'Tabela de Apoio'!$D:$E,2,FALSE),1)=1,"",AD46)</f>
        <v>4299.9616295284168</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8"/>
      <c r="F46" s="93"/>
      <c r="G46" s="200"/>
      <c r="H46" s="134">
        <f t="shared" ref="H46" si="61">COUNT($P46:$XX46)</f>
        <v>9</v>
      </c>
      <c r="I46" s="132">
        <f t="shared" ref="I46" si="62">_xlfn.STDEV.P($P45:$XX46)/AVERAGE($P45:$XX46)</f>
        <v>0.17134454917847647</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4197.5815907301212</v>
      </c>
      <c r="N46" s="71"/>
      <c r="O46" s="27" t="str">
        <f t="shared" ref="O46" si="65">"2 RODADA"</f>
        <v>2 RODADA</v>
      </c>
      <c r="P46" s="107">
        <f t="shared" ref="P46:AI46" si="66">IF(P44="","",IF((_xlfn.STDEV.P($P43:$XX44)/AVERAGE($P43:$XX44))&lt;=25%,P44,IF(OR(P44&gt;(AVERAGE($P43:$XX44)+_xlfn.STDEV.P($P43:$XX44)),P44&lt;(AVERAGE($P43:$XX44)-_xlfn.STDEV.P($P43:$XX44))),"DESCARTADO",P44)))</f>
        <v>5000</v>
      </c>
      <c r="Q46" s="107" t="str">
        <f t="shared" si="66"/>
        <v>DESCARTADO</v>
      </c>
      <c r="R46" s="107" t="str">
        <f t="shared" si="66"/>
        <v>DESCARTADO</v>
      </c>
      <c r="S46" s="107">
        <f t="shared" si="66"/>
        <v>4307.8897063539325</v>
      </c>
      <c r="T46" s="107" t="str">
        <f t="shared" si="66"/>
        <v>DESCARTADO</v>
      </c>
      <c r="U46" s="107">
        <f t="shared" si="66"/>
        <v>4193.7571566424303</v>
      </c>
      <c r="V46" s="107">
        <f t="shared" si="66"/>
        <v>2822.7211631247128</v>
      </c>
      <c r="W46" s="107">
        <f t="shared" si="66"/>
        <v>5496.5344621252589</v>
      </c>
      <c r="X46" s="107" t="str">
        <f t="shared" si="66"/>
        <v>DESCARTADO</v>
      </c>
      <c r="Y46" s="107" t="str">
        <f t="shared" si="66"/>
        <v>DESCARTADO</v>
      </c>
      <c r="Z46" s="107">
        <f t="shared" si="66"/>
        <v>3961.0837011060585</v>
      </c>
      <c r="AA46" s="107" t="str">
        <f t="shared" si="66"/>
        <v>DESCARTADO</v>
      </c>
      <c r="AB46" s="107">
        <f t="shared" si="66"/>
        <v>4197.5815907301212</v>
      </c>
      <c r="AC46" s="107">
        <f t="shared" si="66"/>
        <v>3583.3013579403478</v>
      </c>
      <c r="AD46" s="107">
        <f t="shared" si="66"/>
        <v>4299.9616295284168</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8"/>
      <c r="F47" s="93"/>
      <c r="G47" s="200"/>
      <c r="H47"/>
      <c r="I47"/>
      <c r="J47"/>
      <c r="K47" s="66"/>
      <c r="L47" s="29" t="s">
        <v>359</v>
      </c>
      <c r="M47" s="30">
        <f t="shared" ref="M47" si="67">HARMEAN($P41:$XX42)</f>
        <v>3365.6522770431416</v>
      </c>
      <c r="N47" s="71"/>
      <c r="O47" s="27" t="str">
        <f t="shared" ref="O47" si="68">"3 POND"</f>
        <v>3 POND</v>
      </c>
      <c r="P47" s="107">
        <f>IF(IFERROR(VLOOKUP(P38,'Tabela de Apoio'!$D:$E,2,FALSE),1)=1,"",P48)</f>
        <v>5000</v>
      </c>
      <c r="Q47" s="107" t="str">
        <f>IF(IFERROR(VLOOKUP(Q38,'Tabela de Apoio'!$D:$E,2,FALSE),1)=1,"",Q48)</f>
        <v>DESCARTADO</v>
      </c>
      <c r="R47" s="107" t="str">
        <f>IF(IFERROR(VLOOKUP(R38,'Tabela de Apoio'!$D:$E,2,FALSE),1)=1,"",R48)</f>
        <v>DESCARTADO</v>
      </c>
      <c r="S47" s="107">
        <f>IF(IFERROR(VLOOKUP(S38,'Tabela de Apoio'!$D:$E,2,FALSE),1)=1,"",S48)</f>
        <v>4307.8897063539325</v>
      </c>
      <c r="T47" s="107" t="str">
        <f>IF(IFERROR(VLOOKUP(T38,'Tabela de Apoio'!$D:$E,2,FALSE),1)=1,"",T48)</f>
        <v>DESCARTADO</v>
      </c>
      <c r="U47" s="107">
        <f>IF(IFERROR(VLOOKUP(U38,'Tabela de Apoio'!$D:$E,2,FALSE),1)=1,"",U48)</f>
        <v>4193.7571566424303</v>
      </c>
      <c r="V47" s="107">
        <f>IF(IFERROR(VLOOKUP(V38,'Tabela de Apoio'!$D:$E,2,FALSE),1)=1,"",V48)</f>
        <v>2822.7211631247128</v>
      </c>
      <c r="W47" s="107">
        <f>IF(IFERROR(VLOOKUP(W38,'Tabela de Apoio'!$D:$E,2,FALSE),1)=1,"",W48)</f>
        <v>5496.5344621252589</v>
      </c>
      <c r="X47" s="107" t="str">
        <f>IF(IFERROR(VLOOKUP(X38,'Tabela de Apoio'!$D:$E,2,FALSE),1)=1,"",X48)</f>
        <v>DESCARTADO</v>
      </c>
      <c r="Y47" s="107" t="str">
        <f>IF(IFERROR(VLOOKUP(Y38,'Tabela de Apoio'!$D:$E,2,FALSE),1)=1,"",Y48)</f>
        <v>DESCARTADO</v>
      </c>
      <c r="Z47" s="107">
        <f>IF(IFERROR(VLOOKUP(Z38,'Tabela de Apoio'!$D:$E,2,FALSE),1)=1,"",Z48)</f>
        <v>3961.0837011060585</v>
      </c>
      <c r="AA47" s="107" t="str">
        <f>IF(IFERROR(VLOOKUP(AA38,'Tabela de Apoio'!$D:$E,2,FALSE),1)=1,"",AA48)</f>
        <v>DESCARTADO</v>
      </c>
      <c r="AB47" s="107">
        <f>IF(IFERROR(VLOOKUP(AB38,'Tabela de Apoio'!$D:$E,2,FALSE),1)=1,"",AB48)</f>
        <v>4197.5815907301212</v>
      </c>
      <c r="AC47" s="107">
        <f>IF(IFERROR(VLOOKUP(AC38,'Tabela de Apoio'!$D:$E,2,FALSE),1)=1,"",AC48)</f>
        <v>3583.3013579403478</v>
      </c>
      <c r="AD47" s="107">
        <f>IF(IFERROR(VLOOKUP(AD38,'Tabela de Apoio'!$D:$E,2,FALSE),1)=1,"",AD48)</f>
        <v>4299.9616295284168</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8"/>
      <c r="F48" s="93"/>
      <c r="G48" s="200"/>
      <c r="H48" s="134">
        <f t="shared" ref="H48" si="69">COUNT($P48:$XX48)</f>
        <v>9</v>
      </c>
      <c r="I48" s="132">
        <f t="shared" ref="I48" si="70">_xlfn.STDEV.P($P47:$XX48)/AVERAGE($P47:$XX48)</f>
        <v>0.17134454917847647</v>
      </c>
      <c r="J48" s="7">
        <f t="shared" ref="J48" si="71">IF(AND(H48&gt;2,
OR(L36="MÉDIA SANEADA",L36="MEDIANA SANEADA",
AND(L36="PREÇO ESTIMADO",NOT(AND(P38="Orçamento",COUNTA(P36:XX36)=COUNTIF(P38:XX38,"Orçamento")))))),
ROW(),0)</f>
        <v>48</v>
      </c>
      <c r="K48" s="66"/>
      <c r="L48" s="29" t="s">
        <v>41</v>
      </c>
      <c r="M48" s="30">
        <f t="shared" ref="M48" si="72">IFERROR(_xlfn.QUARTILE.EXC($P42:$XX42,1),"")</f>
        <v>2674.5408723435348</v>
      </c>
      <c r="N48" s="71"/>
      <c r="O48" s="27" t="str">
        <f t="shared" ref="O48" si="73">"3 RODADA"</f>
        <v>3 RODADA</v>
      </c>
      <c r="P48" s="107">
        <f t="shared" ref="P48:AI48" si="74">IF(P46="","",IF((_xlfn.STDEV.P($P45:$XX46)/AVERAGE($P45:$XX46))&lt;=25%,P46,IF(OR(P46&gt;(AVERAGE($P45:$XX46)+_xlfn.STDEV.P($P45:$XX46)),P46&lt;(AVERAGE($P45:$XX46)-_xlfn.STDEV.P($P45:$XX46))),"DESCARTADO",P46)))</f>
        <v>5000</v>
      </c>
      <c r="Q48" s="107" t="str">
        <f t="shared" si="74"/>
        <v>DESCARTADO</v>
      </c>
      <c r="R48" s="107" t="str">
        <f t="shared" si="74"/>
        <v>DESCARTADO</v>
      </c>
      <c r="S48" s="107">
        <f t="shared" si="74"/>
        <v>4307.8897063539325</v>
      </c>
      <c r="T48" s="107" t="str">
        <f t="shared" si="74"/>
        <v>DESCARTADO</v>
      </c>
      <c r="U48" s="107">
        <f t="shared" si="74"/>
        <v>4193.7571566424303</v>
      </c>
      <c r="V48" s="107">
        <f t="shared" si="74"/>
        <v>2822.7211631247128</v>
      </c>
      <c r="W48" s="107">
        <f t="shared" si="74"/>
        <v>5496.5344621252589</v>
      </c>
      <c r="X48" s="107" t="str">
        <f t="shared" si="74"/>
        <v>DESCARTADO</v>
      </c>
      <c r="Y48" s="107" t="str">
        <f t="shared" si="74"/>
        <v>DESCARTADO</v>
      </c>
      <c r="Z48" s="107">
        <f t="shared" si="74"/>
        <v>3961.0837011060585</v>
      </c>
      <c r="AA48" s="107" t="str">
        <f t="shared" si="74"/>
        <v>DESCARTADO</v>
      </c>
      <c r="AB48" s="107">
        <f t="shared" si="74"/>
        <v>4197.5815907301212</v>
      </c>
      <c r="AC48" s="107">
        <f t="shared" si="74"/>
        <v>3583.3013579403478</v>
      </c>
      <c r="AD48" s="107">
        <f t="shared" si="74"/>
        <v>4299.9616295284168</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8"/>
      <c r="F49" s="93"/>
      <c r="G49" s="200"/>
      <c r="H49"/>
      <c r="I49"/>
      <c r="J49"/>
      <c r="K49" s="66"/>
      <c r="L49" s="29" t="s">
        <v>39</v>
      </c>
      <c r="M49" s="30">
        <f t="shared" ref="M49" si="75">IFERROR(_xlfn.QUARTILE.EXC($P42:$XX42,3),"")</f>
        <v>5124.1336155313147</v>
      </c>
      <c r="N49" s="71"/>
      <c r="O49" s="27" t="str">
        <f t="shared" ref="O49" si="76">"4 POND"</f>
        <v>4 POND</v>
      </c>
      <c r="P49" s="107">
        <f>IF(IFERROR(VLOOKUP(P38,'Tabela de Apoio'!$D:$E,2,FALSE),1)=1,"",P50)</f>
        <v>5000</v>
      </c>
      <c r="Q49" s="107" t="str">
        <f>IF(IFERROR(VLOOKUP(Q38,'Tabela de Apoio'!$D:$E,2,FALSE),1)=1,"",Q50)</f>
        <v>DESCARTADO</v>
      </c>
      <c r="R49" s="107" t="str">
        <f>IF(IFERROR(VLOOKUP(R38,'Tabela de Apoio'!$D:$E,2,FALSE),1)=1,"",R50)</f>
        <v>DESCARTADO</v>
      </c>
      <c r="S49" s="107">
        <f>IF(IFERROR(VLOOKUP(S38,'Tabela de Apoio'!$D:$E,2,FALSE),1)=1,"",S50)</f>
        <v>4307.8897063539325</v>
      </c>
      <c r="T49" s="107" t="str">
        <f>IF(IFERROR(VLOOKUP(T38,'Tabela de Apoio'!$D:$E,2,FALSE),1)=1,"",T50)</f>
        <v>DESCARTADO</v>
      </c>
      <c r="U49" s="107">
        <f>IF(IFERROR(VLOOKUP(U38,'Tabela de Apoio'!$D:$E,2,FALSE),1)=1,"",U50)</f>
        <v>4193.7571566424303</v>
      </c>
      <c r="V49" s="107">
        <f>IF(IFERROR(VLOOKUP(V38,'Tabela de Apoio'!$D:$E,2,FALSE),1)=1,"",V50)</f>
        <v>2822.7211631247128</v>
      </c>
      <c r="W49" s="107">
        <f>IF(IFERROR(VLOOKUP(W38,'Tabela de Apoio'!$D:$E,2,FALSE),1)=1,"",W50)</f>
        <v>5496.5344621252589</v>
      </c>
      <c r="X49" s="107" t="str">
        <f>IF(IFERROR(VLOOKUP(X38,'Tabela de Apoio'!$D:$E,2,FALSE),1)=1,"",X50)</f>
        <v>DESCARTADO</v>
      </c>
      <c r="Y49" s="107" t="str">
        <f>IF(IFERROR(VLOOKUP(Y38,'Tabela de Apoio'!$D:$E,2,FALSE),1)=1,"",Y50)</f>
        <v>DESCARTADO</v>
      </c>
      <c r="Z49" s="107">
        <f>IF(IFERROR(VLOOKUP(Z38,'Tabela de Apoio'!$D:$E,2,FALSE),1)=1,"",Z50)</f>
        <v>3961.0837011060585</v>
      </c>
      <c r="AA49" s="107" t="str">
        <f>IF(IFERROR(VLOOKUP(AA38,'Tabela de Apoio'!$D:$E,2,FALSE),1)=1,"",AA50)</f>
        <v>DESCARTADO</v>
      </c>
      <c r="AB49" s="107">
        <f>IF(IFERROR(VLOOKUP(AB38,'Tabela de Apoio'!$D:$E,2,FALSE),1)=1,"",AB50)</f>
        <v>4197.5815907301212</v>
      </c>
      <c r="AC49" s="107">
        <f>IF(IFERROR(VLOOKUP(AC38,'Tabela de Apoio'!$D:$E,2,FALSE),1)=1,"",AC50)</f>
        <v>3583.3013579403478</v>
      </c>
      <c r="AD49" s="107">
        <f>IF(IFERROR(VLOOKUP(AD38,'Tabela de Apoio'!$D:$E,2,FALSE),1)=1,"",AD50)</f>
        <v>4299.9616295284168</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8"/>
      <c r="F50" s="93"/>
      <c r="G50" s="200"/>
      <c r="H50" s="134">
        <f t="shared" ref="H50" si="77">COUNT($P50:$XX50)</f>
        <v>9</v>
      </c>
      <c r="I50" s="132">
        <f t="shared" ref="I50" si="78">_xlfn.STDEV.P($P49:$XX50)/AVERAGE($P49:$XX50)</f>
        <v>0.17134454917847647</v>
      </c>
      <c r="J50" s="7">
        <f t="shared" ref="J50" si="79">IF(AND(H50&gt;2,
OR(L36="MÉDIA SANEADA",L36="MEDIANA SANEADA",
AND(L36="PREÇO ESTIMADO",NOT(AND(P38="Orçamento",COUNTA(P36:XX36)=COUNTIF(P38:XX38,"Orçamento")))))),
ROW(),0)</f>
        <v>50</v>
      </c>
      <c r="K50" s="66"/>
      <c r="L50" s="29" t="s">
        <v>42</v>
      </c>
      <c r="M50" s="30">
        <f t="shared" ref="M50" si="80">MIN($P42:$XX42)</f>
        <v>1433.3205431761392</v>
      </c>
      <c r="N50" s="71"/>
      <c r="O50" s="27" t="str">
        <f t="shared" ref="O50" si="81">"4 RODADA"</f>
        <v>4 RODADA</v>
      </c>
      <c r="P50" s="107">
        <f t="shared" ref="P50:AI50" si="82">IF(P48="","",IF((_xlfn.STDEV.P($P47:$XX48)/AVERAGE($P47:$XX48))&lt;=25%,P48,IF(OR(P48&gt;(AVERAGE($P47:$XX48)+_xlfn.STDEV.P($P47:$XX48)),P48&lt;(AVERAGE($P47:$XX48)-_xlfn.STDEV.P($P47:$XX48))),"DESCARTADO",P48)))</f>
        <v>5000</v>
      </c>
      <c r="Q50" s="107" t="str">
        <f t="shared" si="82"/>
        <v>DESCARTADO</v>
      </c>
      <c r="R50" s="107" t="str">
        <f t="shared" si="82"/>
        <v>DESCARTADO</v>
      </c>
      <c r="S50" s="107">
        <f t="shared" si="82"/>
        <v>4307.8897063539325</v>
      </c>
      <c r="T50" s="107" t="str">
        <f t="shared" si="82"/>
        <v>DESCARTADO</v>
      </c>
      <c r="U50" s="107">
        <f t="shared" si="82"/>
        <v>4193.7571566424303</v>
      </c>
      <c r="V50" s="107">
        <f t="shared" si="82"/>
        <v>2822.7211631247128</v>
      </c>
      <c r="W50" s="107">
        <f t="shared" si="82"/>
        <v>5496.5344621252589</v>
      </c>
      <c r="X50" s="107" t="str">
        <f t="shared" si="82"/>
        <v>DESCARTADO</v>
      </c>
      <c r="Y50" s="107" t="str">
        <f t="shared" si="82"/>
        <v>DESCARTADO</v>
      </c>
      <c r="Z50" s="107">
        <f t="shared" si="82"/>
        <v>3961.0837011060585</v>
      </c>
      <c r="AA50" s="107" t="str">
        <f t="shared" si="82"/>
        <v>DESCARTADO</v>
      </c>
      <c r="AB50" s="107">
        <f t="shared" si="82"/>
        <v>4197.5815907301212</v>
      </c>
      <c r="AC50" s="107">
        <f t="shared" si="82"/>
        <v>3583.3013579403478</v>
      </c>
      <c r="AD50" s="107">
        <f t="shared" si="82"/>
        <v>4299.9616295284168</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8"/>
      <c r="F51" s="93"/>
      <c r="G51" s="200"/>
      <c r="H51"/>
      <c r="I51"/>
      <c r="J51"/>
      <c r="K51" s="66"/>
      <c r="L51" s="29" t="s">
        <v>40</v>
      </c>
      <c r="M51" s="30">
        <f t="shared" ref="M51" si="83">MAX($P42:$XX42)</f>
        <v>6765.5317631198341</v>
      </c>
      <c r="N51" s="71"/>
      <c r="O51" s="27" t="str">
        <f t="shared" ref="O51" si="84">"5 POND"</f>
        <v>5 POND</v>
      </c>
      <c r="P51" s="107">
        <f>IF(IFERROR(VLOOKUP(P38,'Tabela de Apoio'!$D:$E,2,FALSE),1)=1,"",P52)</f>
        <v>5000</v>
      </c>
      <c r="Q51" s="107" t="str">
        <f>IF(IFERROR(VLOOKUP(Q38,'Tabela de Apoio'!$D:$E,2,FALSE),1)=1,"",Q52)</f>
        <v>DESCARTADO</v>
      </c>
      <c r="R51" s="107" t="str">
        <f>IF(IFERROR(VLOOKUP(R38,'Tabela de Apoio'!$D:$E,2,FALSE),1)=1,"",R52)</f>
        <v>DESCARTADO</v>
      </c>
      <c r="S51" s="107">
        <f>IF(IFERROR(VLOOKUP(S38,'Tabela de Apoio'!$D:$E,2,FALSE),1)=1,"",S52)</f>
        <v>4307.8897063539325</v>
      </c>
      <c r="T51" s="107" t="str">
        <f>IF(IFERROR(VLOOKUP(T38,'Tabela de Apoio'!$D:$E,2,FALSE),1)=1,"",T52)</f>
        <v>DESCARTADO</v>
      </c>
      <c r="U51" s="107">
        <f>IF(IFERROR(VLOOKUP(U38,'Tabela de Apoio'!$D:$E,2,FALSE),1)=1,"",U52)</f>
        <v>4193.7571566424303</v>
      </c>
      <c r="V51" s="107">
        <f>IF(IFERROR(VLOOKUP(V38,'Tabela de Apoio'!$D:$E,2,FALSE),1)=1,"",V52)</f>
        <v>2822.7211631247128</v>
      </c>
      <c r="W51" s="107">
        <f>IF(IFERROR(VLOOKUP(W38,'Tabela de Apoio'!$D:$E,2,FALSE),1)=1,"",W52)</f>
        <v>5496.5344621252589</v>
      </c>
      <c r="X51" s="107" t="str">
        <f>IF(IFERROR(VLOOKUP(X38,'Tabela de Apoio'!$D:$E,2,FALSE),1)=1,"",X52)</f>
        <v>DESCARTADO</v>
      </c>
      <c r="Y51" s="107" t="str">
        <f>IF(IFERROR(VLOOKUP(Y38,'Tabela de Apoio'!$D:$E,2,FALSE),1)=1,"",Y52)</f>
        <v>DESCARTADO</v>
      </c>
      <c r="Z51" s="107">
        <f>IF(IFERROR(VLOOKUP(Z38,'Tabela de Apoio'!$D:$E,2,FALSE),1)=1,"",Z52)</f>
        <v>3961.0837011060585</v>
      </c>
      <c r="AA51" s="107" t="str">
        <f>IF(IFERROR(VLOOKUP(AA38,'Tabela de Apoio'!$D:$E,2,FALSE),1)=1,"",AA52)</f>
        <v>DESCARTADO</v>
      </c>
      <c r="AB51" s="107">
        <f>IF(IFERROR(VLOOKUP(AB38,'Tabela de Apoio'!$D:$E,2,FALSE),1)=1,"",AB52)</f>
        <v>4197.5815907301212</v>
      </c>
      <c r="AC51" s="107">
        <f>IF(IFERROR(VLOOKUP(AC38,'Tabela de Apoio'!$D:$E,2,FALSE),1)=1,"",AC52)</f>
        <v>3583.3013579403478</v>
      </c>
      <c r="AD51" s="107">
        <f>IF(IFERROR(VLOOKUP(AD38,'Tabela de Apoio'!$D:$E,2,FALSE),1)=1,"",AD52)</f>
        <v>4299.9616295284168</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8"/>
      <c r="F52" s="93"/>
      <c r="G52" s="200"/>
      <c r="H52" s="134">
        <f t="shared" ref="H52" si="85">COUNT($P52:$XX52)</f>
        <v>9</v>
      </c>
      <c r="I52" s="132">
        <f t="shared" ref="I52" si="86">_xlfn.STDEV.P($P51:$XX52)/AVERAGE($P51:$XX52)</f>
        <v>0.17134454917847647</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5000</v>
      </c>
      <c r="Q52" s="107" t="str">
        <f t="shared" si="89"/>
        <v>DESCARTADO</v>
      </c>
      <c r="R52" s="107" t="str">
        <f t="shared" si="89"/>
        <v>DESCARTADO</v>
      </c>
      <c r="S52" s="107">
        <f t="shared" si="89"/>
        <v>4307.8897063539325</v>
      </c>
      <c r="T52" s="107" t="str">
        <f t="shared" si="89"/>
        <v>DESCARTADO</v>
      </c>
      <c r="U52" s="107">
        <f t="shared" si="89"/>
        <v>4193.7571566424303</v>
      </c>
      <c r="V52" s="107">
        <f t="shared" si="89"/>
        <v>2822.7211631247128</v>
      </c>
      <c r="W52" s="107">
        <f t="shared" si="89"/>
        <v>5496.5344621252589</v>
      </c>
      <c r="X52" s="107" t="str">
        <f t="shared" si="89"/>
        <v>DESCARTADO</v>
      </c>
      <c r="Y52" s="107" t="str">
        <f t="shared" si="89"/>
        <v>DESCARTADO</v>
      </c>
      <c r="Z52" s="107">
        <f t="shared" si="89"/>
        <v>3961.0837011060585</v>
      </c>
      <c r="AA52" s="107" t="str">
        <f t="shared" si="89"/>
        <v>DESCARTADO</v>
      </c>
      <c r="AB52" s="107">
        <f t="shared" si="89"/>
        <v>4197.5815907301212</v>
      </c>
      <c r="AC52" s="107">
        <f t="shared" si="89"/>
        <v>3583.3013579403478</v>
      </c>
      <c r="AD52" s="107">
        <f t="shared" si="89"/>
        <v>4299.9616295284168</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8"/>
      <c r="F53" s="93"/>
      <c r="G53" s="200"/>
      <c r="H53"/>
      <c r="I53"/>
      <c r="J53"/>
      <c r="K53" s="66"/>
      <c r="L53" s="22"/>
      <c r="M53" s="22"/>
      <c r="N53" s="71"/>
      <c r="O53" s="27" t="str">
        <f t="shared" ref="O53" si="90">"6 POND"</f>
        <v>6 POND</v>
      </c>
      <c r="P53" s="107">
        <f>IF(IFERROR(VLOOKUP(P38,'Tabela de Apoio'!$D:$E,2,FALSE),1)=1,"",P54)</f>
        <v>5000</v>
      </c>
      <c r="Q53" s="107" t="str">
        <f>IF(IFERROR(VLOOKUP(Q38,'Tabela de Apoio'!$D:$E,2,FALSE),1)=1,"",Q54)</f>
        <v>DESCARTADO</v>
      </c>
      <c r="R53" s="107" t="str">
        <f>IF(IFERROR(VLOOKUP(R38,'Tabela de Apoio'!$D:$E,2,FALSE),1)=1,"",R54)</f>
        <v>DESCARTADO</v>
      </c>
      <c r="S53" s="107">
        <f>IF(IFERROR(VLOOKUP(S38,'Tabela de Apoio'!$D:$E,2,FALSE),1)=1,"",S54)</f>
        <v>4307.8897063539325</v>
      </c>
      <c r="T53" s="107" t="str">
        <f>IF(IFERROR(VLOOKUP(T38,'Tabela de Apoio'!$D:$E,2,FALSE),1)=1,"",T54)</f>
        <v>DESCARTADO</v>
      </c>
      <c r="U53" s="107">
        <f>IF(IFERROR(VLOOKUP(U38,'Tabela de Apoio'!$D:$E,2,FALSE),1)=1,"",U54)</f>
        <v>4193.7571566424303</v>
      </c>
      <c r="V53" s="107">
        <f>IF(IFERROR(VLOOKUP(V38,'Tabela de Apoio'!$D:$E,2,FALSE),1)=1,"",V54)</f>
        <v>2822.7211631247128</v>
      </c>
      <c r="W53" s="107">
        <f>IF(IFERROR(VLOOKUP(W38,'Tabela de Apoio'!$D:$E,2,FALSE),1)=1,"",W54)</f>
        <v>5496.5344621252589</v>
      </c>
      <c r="X53" s="107" t="str">
        <f>IF(IFERROR(VLOOKUP(X38,'Tabela de Apoio'!$D:$E,2,FALSE),1)=1,"",X54)</f>
        <v>DESCARTADO</v>
      </c>
      <c r="Y53" s="107" t="str">
        <f>IF(IFERROR(VLOOKUP(Y38,'Tabela de Apoio'!$D:$E,2,FALSE),1)=1,"",Y54)</f>
        <v>DESCARTADO</v>
      </c>
      <c r="Z53" s="107">
        <f>IF(IFERROR(VLOOKUP(Z38,'Tabela de Apoio'!$D:$E,2,FALSE),1)=1,"",Z54)</f>
        <v>3961.0837011060585</v>
      </c>
      <c r="AA53" s="107" t="str">
        <f>IF(IFERROR(VLOOKUP(AA38,'Tabela de Apoio'!$D:$E,2,FALSE),1)=1,"",AA54)</f>
        <v>DESCARTADO</v>
      </c>
      <c r="AB53" s="107">
        <f>IF(IFERROR(VLOOKUP(AB38,'Tabela de Apoio'!$D:$E,2,FALSE),1)=1,"",AB54)</f>
        <v>4197.5815907301212</v>
      </c>
      <c r="AC53" s="107">
        <f>IF(IFERROR(VLOOKUP(AC38,'Tabela de Apoio'!$D:$E,2,FALSE),1)=1,"",AC54)</f>
        <v>3583.3013579403478</v>
      </c>
      <c r="AD53" s="107">
        <f>IF(IFERROR(VLOOKUP(AD38,'Tabela de Apoio'!$D:$E,2,FALSE),1)=1,"",AD54)</f>
        <v>4299.9616295284168</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8"/>
      <c r="F54" s="93"/>
      <c r="G54" s="200"/>
      <c r="H54" s="134">
        <f t="shared" ref="H54" si="91">COUNT($P54:$XX54)</f>
        <v>9</v>
      </c>
      <c r="I54" s="132">
        <f t="shared" ref="I54" si="92">_xlfn.STDEV.P($P53:$XX54)/AVERAGE($P53:$XX54)</f>
        <v>0.17134454917847647</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5000</v>
      </c>
      <c r="Q54" s="107" t="str">
        <f t="shared" si="95"/>
        <v>DESCARTADO</v>
      </c>
      <c r="R54" s="107" t="str">
        <f t="shared" si="95"/>
        <v>DESCARTADO</v>
      </c>
      <c r="S54" s="107">
        <f t="shared" si="95"/>
        <v>4307.8897063539325</v>
      </c>
      <c r="T54" s="107" t="str">
        <f t="shared" si="95"/>
        <v>DESCARTADO</v>
      </c>
      <c r="U54" s="107">
        <f t="shared" si="95"/>
        <v>4193.7571566424303</v>
      </c>
      <c r="V54" s="107">
        <f t="shared" si="95"/>
        <v>2822.7211631247128</v>
      </c>
      <c r="W54" s="107">
        <f t="shared" si="95"/>
        <v>5496.5344621252589</v>
      </c>
      <c r="X54" s="107" t="str">
        <f t="shared" si="95"/>
        <v>DESCARTADO</v>
      </c>
      <c r="Y54" s="107" t="str">
        <f t="shared" si="95"/>
        <v>DESCARTADO</v>
      </c>
      <c r="Z54" s="107">
        <f t="shared" si="95"/>
        <v>3961.0837011060585</v>
      </c>
      <c r="AA54" s="107" t="str">
        <f t="shared" si="95"/>
        <v>DESCARTADO</v>
      </c>
      <c r="AB54" s="107">
        <f t="shared" si="95"/>
        <v>4197.5815907301212</v>
      </c>
      <c r="AC54" s="107">
        <f t="shared" si="95"/>
        <v>3583.3013579403478</v>
      </c>
      <c r="AD54" s="107">
        <f t="shared" si="95"/>
        <v>4299.9616295284168</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8"/>
      <c r="F55" s="136"/>
      <c r="G55" s="200"/>
      <c r="H55" s="203"/>
      <c r="I55" s="203"/>
      <c r="J55" s="204"/>
      <c r="K55" s="67"/>
      <c r="L55" s="1" t="s">
        <v>43</v>
      </c>
      <c r="M55" s="143">
        <f t="shared" ref="M55" si="96">IFERROR(ROUND(M36*M38,2),"")</f>
        <v>25241.88</v>
      </c>
      <c r="O55" s="27" t="s">
        <v>363</v>
      </c>
      <c r="P55" s="107">
        <f t="shared" ref="P55:AI76" si="97">INDEX(P42:P54,MATCH(MAX($J42:$J54),$J42:$J54,0))</f>
        <v>5000</v>
      </c>
      <c r="Q55" s="107" t="str">
        <f t="shared" si="97"/>
        <v>DESCARTADO</v>
      </c>
      <c r="R55" s="107" t="str">
        <f t="shared" si="97"/>
        <v>DESCARTADO</v>
      </c>
      <c r="S55" s="107">
        <f t="shared" si="97"/>
        <v>4307.8897063539325</v>
      </c>
      <c r="T55" s="107" t="str">
        <f t="shared" si="97"/>
        <v>DESCARTADO</v>
      </c>
      <c r="U55" s="107">
        <f t="shared" si="97"/>
        <v>4193.7571566424303</v>
      </c>
      <c r="V55" s="107">
        <f t="shared" si="97"/>
        <v>2822.7211631247128</v>
      </c>
      <c r="W55" s="107">
        <f t="shared" si="97"/>
        <v>5496.5344621252589</v>
      </c>
      <c r="X55" s="107" t="str">
        <f t="shared" si="97"/>
        <v>DESCARTADO</v>
      </c>
      <c r="Y55" s="107" t="str">
        <f t="shared" si="97"/>
        <v>DESCARTADO</v>
      </c>
      <c r="Z55" s="107">
        <f t="shared" si="97"/>
        <v>3961.0837011060585</v>
      </c>
      <c r="AA55" s="107" t="str">
        <f t="shared" si="97"/>
        <v>DESCARTADO</v>
      </c>
      <c r="AB55" s="107">
        <f t="shared" si="97"/>
        <v>4197.5815907301212</v>
      </c>
      <c r="AC55" s="107">
        <f t="shared" si="97"/>
        <v>3583.3013579403478</v>
      </c>
      <c r="AD55" s="107">
        <f t="shared" si="97"/>
        <v>4299.9616295284168</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v>1226</v>
      </c>
      <c r="I57" s="181" t="s">
        <v>16</v>
      </c>
      <c r="J57" s="6">
        <f>INDEX('BASE FORMAÇÃO'!K:K,B57+1)</f>
        <v>0</v>
      </c>
      <c r="K57" s="65"/>
      <c r="L57" s="182" t="s">
        <v>10</v>
      </c>
      <c r="M57" s="184">
        <f t="shared" ref="M57" si="100">IF(OR(ISBLANK($O$8),ISBLANK($O$7),ISBLANK($H$8),ISBLANK($O$6),ISBLANK($O$5),ISBLANK($H$5)),"",IFERROR(IF(VLOOKUP(L57,L63:M72,2,FALSE)&lt;1,ROUND(VLOOKUP(L57,L63:M72,2,FALSE),4),ROUND(VLOOKUP(L57,L63:M72,2,FALSE),2)),""))</f>
        <v>3056.31</v>
      </c>
      <c r="N57" s="69"/>
      <c r="O57" s="27" t="s">
        <v>17</v>
      </c>
      <c r="P57" s="113">
        <v>3500</v>
      </c>
      <c r="Q57" s="113">
        <v>1958.33</v>
      </c>
      <c r="R57" s="113">
        <v>2349.36</v>
      </c>
      <c r="S57" s="113">
        <v>3308.33</v>
      </c>
      <c r="T57" s="113">
        <v>3770</v>
      </c>
      <c r="U57" s="105">
        <v>3200</v>
      </c>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6">
        <f t="shared" ref="E58" si="102">D57</f>
        <v>3</v>
      </c>
      <c r="F58" s="92"/>
      <c r="G58" s="188" t="s">
        <v>1</v>
      </c>
      <c r="H58" s="191" t="s">
        <v>447</v>
      </c>
      <c r="I58" s="191"/>
      <c r="J58" s="192"/>
      <c r="K58" s="66"/>
      <c r="L58" s="183"/>
      <c r="M58" s="185"/>
      <c r="N58" s="70"/>
      <c r="O58" s="27" t="s">
        <v>13</v>
      </c>
      <c r="P58" s="122">
        <v>46128</v>
      </c>
      <c r="Q58" s="122">
        <v>46220</v>
      </c>
      <c r="R58" s="122">
        <v>46122</v>
      </c>
      <c r="S58" s="122">
        <v>46114</v>
      </c>
      <c r="T58" s="122">
        <v>46090</v>
      </c>
      <c r="U58" s="122">
        <v>46171</v>
      </c>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7"/>
      <c r="F59" s="93"/>
      <c r="G59" s="189"/>
      <c r="H59" s="193"/>
      <c r="I59" s="193"/>
      <c r="J59" s="194"/>
      <c r="K59" s="64"/>
      <c r="L59" s="130" t="s">
        <v>44</v>
      </c>
      <c r="M59" s="131">
        <v>6</v>
      </c>
      <c r="N59" s="71"/>
      <c r="O59" s="27" t="s">
        <v>380</v>
      </c>
      <c r="P59" s="114" t="s">
        <v>12</v>
      </c>
      <c r="Q59" s="114" t="s">
        <v>12</v>
      </c>
      <c r="R59" s="114" t="s">
        <v>12</v>
      </c>
      <c r="S59" s="114" t="s">
        <v>12</v>
      </c>
      <c r="T59" s="114" t="s">
        <v>12</v>
      </c>
      <c r="U59" s="114" t="s">
        <v>12</v>
      </c>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0"/>
      <c r="H60" s="195"/>
      <c r="I60" s="195"/>
      <c r="J60" s="196"/>
      <c r="K60" s="64"/>
      <c r="L60" s="1" t="s">
        <v>2</v>
      </c>
      <c r="M60" s="6" t="s">
        <v>206</v>
      </c>
      <c r="N60" s="71"/>
      <c r="O60" s="27" t="s">
        <v>381</v>
      </c>
      <c r="P60" s="115" t="s">
        <v>440</v>
      </c>
      <c r="Q60" s="115" t="s">
        <v>441</v>
      </c>
      <c r="R60" s="115" t="s">
        <v>441</v>
      </c>
      <c r="S60" s="115" t="s">
        <v>441</v>
      </c>
      <c r="T60" s="115" t="s">
        <v>441</v>
      </c>
      <c r="U60" s="118" t="s">
        <v>442</v>
      </c>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7">
        <f t="shared" ref="E61" si="106">C57</f>
        <v>1</v>
      </c>
      <c r="F61" s="93"/>
      <c r="G61" s="199" t="s">
        <v>304</v>
      </c>
      <c r="H61" s="201"/>
      <c r="I61" s="202"/>
      <c r="J61" s="202"/>
      <c r="K61" s="67"/>
      <c r="L61" s="28" t="s">
        <v>303</v>
      </c>
      <c r="M61" s="133">
        <f t="shared" ref="M61" si="107">IFERROR(INDEX(I63:I75,MATCH(MAX(J63:J75),J63:J75,0)),"")</f>
        <v>0.21817850036010425</v>
      </c>
      <c r="N61" s="71"/>
      <c r="O61" s="27" t="s">
        <v>18</v>
      </c>
      <c r="P61" s="106">
        <f>IF(P57="","",
IF(OR(P59="Orçamento",P58="",MAX('Tabela de Apoio'!$A:$A)&lt;=P58),
P57,
(INDEX('Tabela de Apoio'!$B:$B,MATCH('MAPA DE PREÇOS'!$O$8,'Tabela de Apoio'!$A:$A,1))/INDEX('Tabela de Apoio'!$B:$B,MATCH('MAPA DE PREÇOS'!P58,'Tabela de Apoio'!$A:$A,1)-1))*P57))</f>
        <v>3552.0440578726743</v>
      </c>
      <c r="Q61" s="106">
        <f>IF(Q57="","",
IF(OR(Q59="Orçamento",Q58="",MAX('Tabela de Apoio'!$A:$A)&lt;=Q58),
Q57,
(INDEX('Tabela de Apoio'!$B:$B,MATCH('MAPA DE PREÇOS'!$O$8,'Tabela de Apoio'!$A:$A,1))/INDEX('Tabela de Apoio'!$B:$B,MATCH('MAPA DE PREÇOS'!Q58,'Tabela de Apoio'!$A:$A,1)-1))*Q57))</f>
        <v>1958.33</v>
      </c>
      <c r="R61" s="106">
        <f>IF(R57="","",
IF(OR(R59="Orçamento",R58="",MAX('Tabela de Apoio'!$A:$A)&lt;=R58),
R57,
(INDEX('Tabela de Apoio'!$B:$B,MATCH('MAPA DE PREÇOS'!$O$8,'Tabela de Apoio'!$A:$A,1))/INDEX('Tabela de Apoio'!$B:$B,MATCH('MAPA DE PREÇOS'!R58,'Tabela de Apoio'!$A:$A,1)-1))*R57))</f>
        <v>2384.2943508010708</v>
      </c>
      <c r="S61" s="106">
        <f>IF(S57="","",
IF(OR(S59="Orçamento",S58="",MAX('Tabela de Apoio'!$A:$A)&lt;=S58),
S57,
(INDEX('Tabela de Apoio'!$B:$B,MATCH('MAPA DE PREÇOS'!$O$8,'Tabela de Apoio'!$A:$A,1))/INDEX('Tabela de Apoio'!$B:$B,MATCH('MAPA DE PREÇOS'!S58,'Tabela de Apoio'!$A:$A,1)-1))*S57))</f>
        <v>3357.5239765662586</v>
      </c>
      <c r="T61" s="106">
        <f>IF(T57="","",
IF(OR(T59="Orçamento",T58="",MAX('Tabela de Apoio'!$A:$A)&lt;=T58),
T57,
(INDEX('Tabela de Apoio'!$B:$B,MATCH('MAPA DE PREÇOS'!$O$8,'Tabela de Apoio'!$A:$A,1))/INDEX('Tabela de Apoio'!$B:$B,MATCH('MAPA DE PREÇOS'!T58,'Tabela de Apoio'!$A:$A,1)-1))*T57))</f>
        <v>3859.727462695746</v>
      </c>
      <c r="U61" s="106">
        <f>IF(U57="","",
IF(OR(U59="Orçamento",U58="",MAX('Tabela de Apoio'!$A:$A)&lt;=U58),
U57,
(INDEX('Tabela de Apoio'!$B:$B,MATCH('MAPA DE PREÇOS'!$O$8,'Tabela de Apoio'!$A:$A,1))/INDEX('Tabela de Apoio'!$B:$B,MATCH('MAPA DE PREÇOS'!U58,'Tabela de Apoio'!$A:$A,1)-1))*U57))</f>
        <v>3225.9670435711</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8"/>
      <c r="F62" s="93"/>
      <c r="G62" s="200"/>
      <c r="H62"/>
      <c r="I62"/>
      <c r="J62"/>
      <c r="N62" s="71"/>
      <c r="O62" s="27" t="s">
        <v>375</v>
      </c>
      <c r="P62" s="107">
        <f>IF(IFERROR(VLOOKUP(P59,'Tabela de Apoio'!$D:$E,2,FALSE),1)=1,"",P63)</f>
        <v>3552.0440578726743</v>
      </c>
      <c r="Q62" s="107">
        <f>IF(IFERROR(VLOOKUP(Q59,'Tabela de Apoio'!$D:$E,2,FALSE),1)=1,"",Q63)</f>
        <v>1958.33</v>
      </c>
      <c r="R62" s="107">
        <f>IF(IFERROR(VLOOKUP(R59,'Tabela de Apoio'!$D:$E,2,FALSE),1)=1,"",R63)</f>
        <v>2384.2943508010708</v>
      </c>
      <c r="S62" s="107">
        <f>IF(IFERROR(VLOOKUP(S59,'Tabela de Apoio'!$D:$E,2,FALSE),1)=1,"",S63)</f>
        <v>3357.5239765662586</v>
      </c>
      <c r="T62" s="107">
        <f>IF(IFERROR(VLOOKUP(T59,'Tabela de Apoio'!$D:$E,2,FALSE),1)=1,"",T63)</f>
        <v>3859.727462695746</v>
      </c>
      <c r="U62" s="107">
        <f>IF(IFERROR(VLOOKUP(U59,'Tabela de Apoio'!$D:$E,2,FALSE),1)=1,"",U63)</f>
        <v>3225.9670435711</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8"/>
      <c r="F63" s="93"/>
      <c r="G63" s="200"/>
      <c r="H63" s="134">
        <f t="shared" ref="H63" si="111">COUNT($P63:$XX63)</f>
        <v>6</v>
      </c>
      <c r="I63" s="132">
        <f t="shared" ref="I63" si="112">_xlfn.STDEV.P($P62:$XX63)/AVERAGE($P62:$XX63)</f>
        <v>0.21817850036010425</v>
      </c>
      <c r="J63" s="7">
        <f>ROW()</f>
        <v>63</v>
      </c>
      <c r="K63" s="67"/>
      <c r="L63" s="29" t="s">
        <v>10</v>
      </c>
      <c r="M63" s="30">
        <f t="shared" ref="M63" si="113">IFERROR(
IF(COUNTA(P57:AI57)=COUNTIF(P59:XX59,"Orçamento"),MIN(M68,M65),
IF(M66&lt;&gt;"",M66,
IF(M67&lt;&gt;"",M67,
M65
))),"")</f>
        <v>3056.3144819178087</v>
      </c>
      <c r="N63" s="71"/>
      <c r="O63" s="27" t="s">
        <v>376</v>
      </c>
      <c r="P63" s="106">
        <f t="shared" ref="P63:AI63" si="114">IFERROR(IF(P61="",
            "",
            IF(COUNT($P61:$XX61)&lt;=4,
               P61,
               IF(OR(P61&gt;(QUARTILE($P61:$XX61,3)+(QUARTILE($P61:$XX61,3)-QUARTILE($P61:$XX61,1))),
                     P61&lt;(QUARTILE($P61:$XX61,1)-(QUARTILE($P61:$XX61,3)-QUARTILE($P61:$XX61,1)))
                  ),
               "DESCARTADO",P61)
             )
  ),P61)</f>
        <v>3552.0440578726743</v>
      </c>
      <c r="Q63" s="106">
        <f t="shared" si="114"/>
        <v>1958.33</v>
      </c>
      <c r="R63" s="106">
        <f t="shared" si="114"/>
        <v>2384.2943508010708</v>
      </c>
      <c r="S63" s="106">
        <f t="shared" si="114"/>
        <v>3357.5239765662586</v>
      </c>
      <c r="T63" s="106">
        <f t="shared" si="114"/>
        <v>3859.727462695746</v>
      </c>
      <c r="U63" s="106">
        <f t="shared" si="114"/>
        <v>3225.9670435711</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8"/>
      <c r="F64" s="93"/>
      <c r="G64" s="200"/>
      <c r="H64"/>
      <c r="I64"/>
      <c r="J64"/>
      <c r="K64" s="66"/>
      <c r="L64" s="29" t="s">
        <v>360</v>
      </c>
      <c r="M64" s="30">
        <f t="shared" ref="M64" si="117">AVERAGE($P63:$XX63)</f>
        <v>3056.3144819178083</v>
      </c>
      <c r="N64" s="71"/>
      <c r="O64" s="27" t="str">
        <f t="shared" ref="O64" si="118">"1 POND"</f>
        <v>1 POND</v>
      </c>
      <c r="P64" s="107">
        <f>IF(IFERROR(VLOOKUP(P59,'Tabela de Apoio'!$D:$E,2,FALSE),1)=1,"",P65)</f>
        <v>3552.0440578726743</v>
      </c>
      <c r="Q64" s="107">
        <f>IF(IFERROR(VLOOKUP(Q59,'Tabela de Apoio'!$D:$E,2,FALSE),1)=1,"",Q65)</f>
        <v>1958.33</v>
      </c>
      <c r="R64" s="107">
        <f>IF(IFERROR(VLOOKUP(R59,'Tabela de Apoio'!$D:$E,2,FALSE),1)=1,"",R65)</f>
        <v>2384.2943508010708</v>
      </c>
      <c r="S64" s="107">
        <f>IF(IFERROR(VLOOKUP(S59,'Tabela de Apoio'!$D:$E,2,FALSE),1)=1,"",S65)</f>
        <v>3357.5239765662586</v>
      </c>
      <c r="T64" s="107">
        <f>IF(IFERROR(VLOOKUP(T59,'Tabela de Apoio'!$D:$E,2,FALSE),1)=1,"",T65)</f>
        <v>3859.727462695746</v>
      </c>
      <c r="U64" s="107">
        <f>IF(IFERROR(VLOOKUP(U59,'Tabela de Apoio'!$D:$E,2,FALSE),1)=1,"",U65)</f>
        <v>3225.9670435711</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8"/>
      <c r="F65" s="93"/>
      <c r="G65" s="200"/>
      <c r="H65" s="134">
        <f t="shared" ref="H65" si="119">COUNT($P65:$XX65)</f>
        <v>6</v>
      </c>
      <c r="I65" s="132">
        <f t="shared" ref="I65" si="120">_xlfn.STDEV.P($P64:$XX65)/AVERAGE($P64:$XX65)</f>
        <v>0.21817850036010425</v>
      </c>
      <c r="J65" s="7">
        <f t="shared" ref="J65" si="121">IF(AND(H65&gt;2,
OR(L57="MÉDIA SANEADA",L57="MEDIANA SANEADA",
AND(L57="PREÇO ESTIMADO",NOT(AND(P59="Orçamento",COUNTA(P57:XX57)=COUNTIF(P59:XX59,"Orçamento")))))),
ROW(),0)</f>
        <v>65</v>
      </c>
      <c r="K65" s="66"/>
      <c r="L65" s="29" t="s">
        <v>361</v>
      </c>
      <c r="M65" s="30">
        <f t="shared" ref="M65" si="122">MEDIAN($P63:$XX63)</f>
        <v>3291.7455100686793</v>
      </c>
      <c r="N65" s="71"/>
      <c r="O65" s="27" t="str">
        <f t="shared" ref="O65" si="123">"1 RODADA"</f>
        <v>1 RODADA</v>
      </c>
      <c r="P65" s="107">
        <f t="shared" ref="P65:AI65" si="124">IF(P63="","",IF((_xlfn.STDEV.P($P62:$XX63)/AVERAGE($P62:$XX63))&lt;=25%,P63,IF(OR(P63&gt;(AVERAGE($P62:$XX63)+_xlfn.STDEV.P($P62:$XX63)),P63&lt;(AVERAGE($P62:$XX63)-_xlfn.STDEV.P($P62:$XX63))),"DESCARTADO",P63)))</f>
        <v>3552.0440578726743</v>
      </c>
      <c r="Q65" s="107">
        <f t="shared" si="124"/>
        <v>1958.33</v>
      </c>
      <c r="R65" s="107">
        <f t="shared" si="124"/>
        <v>2384.2943508010708</v>
      </c>
      <c r="S65" s="107">
        <f t="shared" si="124"/>
        <v>3357.5239765662586</v>
      </c>
      <c r="T65" s="107">
        <f t="shared" si="124"/>
        <v>3859.727462695746</v>
      </c>
      <c r="U65" s="107">
        <f t="shared" si="124"/>
        <v>3225.9670435711</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8"/>
      <c r="F66" s="93"/>
      <c r="G66" s="200"/>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3056.3144819178087</v>
      </c>
      <c r="N66" s="71"/>
      <c r="O66" s="27" t="str">
        <f t="shared" ref="O66" si="126">"2 POND"</f>
        <v>2 POND</v>
      </c>
      <c r="P66" s="107">
        <f>IF(IFERROR(VLOOKUP(P59,'Tabela de Apoio'!$D:$E,2,FALSE),1)=1,"",P67)</f>
        <v>3552.0440578726743</v>
      </c>
      <c r="Q66" s="107">
        <f>IF(IFERROR(VLOOKUP(Q59,'Tabela de Apoio'!$D:$E,2,FALSE),1)=1,"",Q67)</f>
        <v>1958.33</v>
      </c>
      <c r="R66" s="107">
        <f>IF(IFERROR(VLOOKUP(R59,'Tabela de Apoio'!$D:$E,2,FALSE),1)=1,"",R67)</f>
        <v>2384.2943508010708</v>
      </c>
      <c r="S66" s="107">
        <f>IF(IFERROR(VLOOKUP(S59,'Tabela de Apoio'!$D:$E,2,FALSE),1)=1,"",S67)</f>
        <v>3357.5239765662586</v>
      </c>
      <c r="T66" s="107">
        <f>IF(IFERROR(VLOOKUP(T59,'Tabela de Apoio'!$D:$E,2,FALSE),1)=1,"",T67)</f>
        <v>3859.727462695746</v>
      </c>
      <c r="U66" s="107">
        <f>IF(IFERROR(VLOOKUP(U59,'Tabela de Apoio'!$D:$E,2,FALSE),1)=1,"",U67)</f>
        <v>3225.9670435711</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8"/>
      <c r="F67" s="93"/>
      <c r="G67" s="200"/>
      <c r="H67" s="134">
        <f t="shared" ref="H67" si="127">COUNT($P67:$XX67)</f>
        <v>6</v>
      </c>
      <c r="I67" s="132">
        <f t="shared" ref="I67" si="128">_xlfn.STDEV.P($P66:$XX67)/AVERAGE($P66:$XX67)</f>
        <v>0.21817850036010425</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3291.7455100686793</v>
      </c>
      <c r="N67" s="71"/>
      <c r="O67" s="27" t="str">
        <f t="shared" ref="O67" si="131">"2 RODADA"</f>
        <v>2 RODADA</v>
      </c>
      <c r="P67" s="107">
        <f t="shared" ref="P67:AI67" si="132">IF(P65="","",IF((_xlfn.STDEV.P($P64:$XX65)/AVERAGE($P64:$XX65))&lt;=25%,P65,IF(OR(P65&gt;(AVERAGE($P64:$XX65)+_xlfn.STDEV.P($P64:$XX65)),P65&lt;(AVERAGE($P64:$XX65)-_xlfn.STDEV.P($P64:$XX65))),"DESCARTADO",P65)))</f>
        <v>3552.0440578726743</v>
      </c>
      <c r="Q67" s="107">
        <f t="shared" si="132"/>
        <v>1958.33</v>
      </c>
      <c r="R67" s="107">
        <f t="shared" si="132"/>
        <v>2384.2943508010708</v>
      </c>
      <c r="S67" s="107">
        <f t="shared" si="132"/>
        <v>3357.5239765662586</v>
      </c>
      <c r="T67" s="107">
        <f t="shared" si="132"/>
        <v>3859.727462695746</v>
      </c>
      <c r="U67" s="107">
        <f t="shared" si="132"/>
        <v>3225.9670435711</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8"/>
      <c r="F68" s="93"/>
      <c r="G68" s="200"/>
      <c r="H68"/>
      <c r="I68"/>
      <c r="J68"/>
      <c r="K68" s="66"/>
      <c r="L68" s="29" t="s">
        <v>359</v>
      </c>
      <c r="M68" s="30">
        <f t="shared" ref="M68" si="133">HARMEAN($P62:$XX63)</f>
        <v>2886.7148367743648</v>
      </c>
      <c r="N68" s="71"/>
      <c r="O68" s="27" t="str">
        <f t="shared" ref="O68" si="134">"3 POND"</f>
        <v>3 POND</v>
      </c>
      <c r="P68" s="107">
        <f>IF(IFERROR(VLOOKUP(P59,'Tabela de Apoio'!$D:$E,2,FALSE),1)=1,"",P69)</f>
        <v>3552.0440578726743</v>
      </c>
      <c r="Q68" s="107">
        <f>IF(IFERROR(VLOOKUP(Q59,'Tabela de Apoio'!$D:$E,2,FALSE),1)=1,"",Q69)</f>
        <v>1958.33</v>
      </c>
      <c r="R68" s="107">
        <f>IF(IFERROR(VLOOKUP(R59,'Tabela de Apoio'!$D:$E,2,FALSE),1)=1,"",R69)</f>
        <v>2384.2943508010708</v>
      </c>
      <c r="S68" s="107">
        <f>IF(IFERROR(VLOOKUP(S59,'Tabela de Apoio'!$D:$E,2,FALSE),1)=1,"",S69)</f>
        <v>3357.5239765662586</v>
      </c>
      <c r="T68" s="107">
        <f>IF(IFERROR(VLOOKUP(T59,'Tabela de Apoio'!$D:$E,2,FALSE),1)=1,"",T69)</f>
        <v>3859.727462695746</v>
      </c>
      <c r="U68" s="107">
        <f>IF(IFERROR(VLOOKUP(U59,'Tabela de Apoio'!$D:$E,2,FALSE),1)=1,"",U69)</f>
        <v>3225.9670435711</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8"/>
      <c r="F69" s="93"/>
      <c r="G69" s="200"/>
      <c r="H69" s="134">
        <f t="shared" ref="H69" si="135">COUNT($P69:$XX69)</f>
        <v>6</v>
      </c>
      <c r="I69" s="132">
        <f t="shared" ref="I69" si="136">_xlfn.STDEV.P($P68:$XX69)/AVERAGE($P68:$XX69)</f>
        <v>0.21817850036010425</v>
      </c>
      <c r="J69" s="7">
        <f t="shared" ref="J69" si="137">IF(AND(H69&gt;2,
OR(L57="MÉDIA SANEADA",L57="MEDIANA SANEADA",
AND(L57="PREÇO ESTIMADO",NOT(AND(P59="Orçamento",COUNTA(P57:XX57)=COUNTIF(P59:XX59,"Orçamento")))))),
ROW(),0)</f>
        <v>69</v>
      </c>
      <c r="K69" s="66"/>
      <c r="L69" s="29" t="s">
        <v>41</v>
      </c>
      <c r="M69" s="30">
        <f t="shared" ref="M69" si="138">IFERROR(_xlfn.QUARTILE.EXC($P63:$XX63,1),"")</f>
        <v>2277.8032631008032</v>
      </c>
      <c r="N69" s="71"/>
      <c r="O69" s="27" t="str">
        <f t="shared" ref="O69" si="139">"3 RODADA"</f>
        <v>3 RODADA</v>
      </c>
      <c r="P69" s="107">
        <f t="shared" ref="P69:AI69" si="140">IF(P67="","",IF((_xlfn.STDEV.P($P66:$XX67)/AVERAGE($P66:$XX67))&lt;=25%,P67,IF(OR(P67&gt;(AVERAGE($P66:$XX67)+_xlfn.STDEV.P($P66:$XX67)),P67&lt;(AVERAGE($P66:$XX67)-_xlfn.STDEV.P($P66:$XX67))),"DESCARTADO",P67)))</f>
        <v>3552.0440578726743</v>
      </c>
      <c r="Q69" s="107">
        <f t="shared" si="140"/>
        <v>1958.33</v>
      </c>
      <c r="R69" s="107">
        <f t="shared" si="140"/>
        <v>2384.2943508010708</v>
      </c>
      <c r="S69" s="107">
        <f t="shared" si="140"/>
        <v>3357.5239765662586</v>
      </c>
      <c r="T69" s="107">
        <f t="shared" si="140"/>
        <v>3859.727462695746</v>
      </c>
      <c r="U69" s="107">
        <f t="shared" si="140"/>
        <v>3225.9670435711</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8"/>
      <c r="F70" s="93"/>
      <c r="G70" s="200"/>
      <c r="H70"/>
      <c r="I70"/>
      <c r="J70"/>
      <c r="K70" s="66"/>
      <c r="L70" s="29" t="s">
        <v>39</v>
      </c>
      <c r="M70" s="30">
        <f t="shared" ref="M70" si="141">IFERROR(_xlfn.QUARTILE.EXC($P63:$XX63,3),"")</f>
        <v>3628.9649090784424</v>
      </c>
      <c r="N70" s="71"/>
      <c r="O70" s="27" t="str">
        <f t="shared" ref="O70" si="142">"4 POND"</f>
        <v>4 POND</v>
      </c>
      <c r="P70" s="107">
        <f>IF(IFERROR(VLOOKUP(P59,'Tabela de Apoio'!$D:$E,2,FALSE),1)=1,"",P71)</f>
        <v>3552.0440578726743</v>
      </c>
      <c r="Q70" s="107">
        <f>IF(IFERROR(VLOOKUP(Q59,'Tabela de Apoio'!$D:$E,2,FALSE),1)=1,"",Q71)</f>
        <v>1958.33</v>
      </c>
      <c r="R70" s="107">
        <f>IF(IFERROR(VLOOKUP(R59,'Tabela de Apoio'!$D:$E,2,FALSE),1)=1,"",R71)</f>
        <v>2384.2943508010708</v>
      </c>
      <c r="S70" s="107">
        <f>IF(IFERROR(VLOOKUP(S59,'Tabela de Apoio'!$D:$E,2,FALSE),1)=1,"",S71)</f>
        <v>3357.5239765662586</v>
      </c>
      <c r="T70" s="107">
        <f>IF(IFERROR(VLOOKUP(T59,'Tabela de Apoio'!$D:$E,2,FALSE),1)=1,"",T71)</f>
        <v>3859.727462695746</v>
      </c>
      <c r="U70" s="107">
        <f>IF(IFERROR(VLOOKUP(U59,'Tabela de Apoio'!$D:$E,2,FALSE),1)=1,"",U71)</f>
        <v>3225.9670435711</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8"/>
      <c r="F71" s="93"/>
      <c r="G71" s="200"/>
      <c r="H71" s="134">
        <f t="shared" ref="H71" si="143">COUNT($P71:$XX71)</f>
        <v>6</v>
      </c>
      <c r="I71" s="132">
        <f t="shared" ref="I71" si="144">_xlfn.STDEV.P($P70:$XX71)/AVERAGE($P70:$XX71)</f>
        <v>0.21817850036010425</v>
      </c>
      <c r="J71" s="7">
        <f t="shared" ref="J71" si="145">IF(AND(H71&gt;2,
OR(L57="MÉDIA SANEADA",L57="MEDIANA SANEADA",
AND(L57="PREÇO ESTIMADO",NOT(AND(P59="Orçamento",COUNTA(P57:XX57)=COUNTIF(P59:XX59,"Orçamento")))))),
ROW(),0)</f>
        <v>71</v>
      </c>
      <c r="K71" s="66"/>
      <c r="L71" s="29" t="s">
        <v>42</v>
      </c>
      <c r="M71" s="30">
        <f t="shared" ref="M71" si="146">MIN($P63:$XX63)</f>
        <v>1958.33</v>
      </c>
      <c r="N71" s="71"/>
      <c r="O71" s="27" t="str">
        <f t="shared" ref="O71" si="147">"4 RODADA"</f>
        <v>4 RODADA</v>
      </c>
      <c r="P71" s="107">
        <f t="shared" ref="P71:AI71" si="148">IF(P69="","",IF((_xlfn.STDEV.P($P68:$XX69)/AVERAGE($P68:$XX69))&lt;=25%,P69,IF(OR(P69&gt;(AVERAGE($P68:$XX69)+_xlfn.STDEV.P($P68:$XX69)),P69&lt;(AVERAGE($P68:$XX69)-_xlfn.STDEV.P($P68:$XX69))),"DESCARTADO",P69)))</f>
        <v>3552.0440578726743</v>
      </c>
      <c r="Q71" s="107">
        <f t="shared" si="148"/>
        <v>1958.33</v>
      </c>
      <c r="R71" s="107">
        <f t="shared" si="148"/>
        <v>2384.2943508010708</v>
      </c>
      <c r="S71" s="107">
        <f t="shared" si="148"/>
        <v>3357.5239765662586</v>
      </c>
      <c r="T71" s="107">
        <f t="shared" si="148"/>
        <v>3859.727462695746</v>
      </c>
      <c r="U71" s="107">
        <f t="shared" si="148"/>
        <v>3225.9670435711</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8"/>
      <c r="F72" s="93"/>
      <c r="G72" s="200"/>
      <c r="H72"/>
      <c r="I72"/>
      <c r="J72"/>
      <c r="K72" s="66"/>
      <c r="L72" s="29" t="s">
        <v>40</v>
      </c>
      <c r="M72" s="30">
        <f t="shared" ref="M72" si="149">MAX($P63:$XX63)</f>
        <v>3859.727462695746</v>
      </c>
      <c r="N72" s="71"/>
      <c r="O72" s="27" t="str">
        <f t="shared" ref="O72" si="150">"5 POND"</f>
        <v>5 POND</v>
      </c>
      <c r="P72" s="107">
        <f>IF(IFERROR(VLOOKUP(P59,'Tabela de Apoio'!$D:$E,2,FALSE),1)=1,"",P73)</f>
        <v>3552.0440578726743</v>
      </c>
      <c r="Q72" s="107">
        <f>IF(IFERROR(VLOOKUP(Q59,'Tabela de Apoio'!$D:$E,2,FALSE),1)=1,"",Q73)</f>
        <v>1958.33</v>
      </c>
      <c r="R72" s="107">
        <f>IF(IFERROR(VLOOKUP(R59,'Tabela de Apoio'!$D:$E,2,FALSE),1)=1,"",R73)</f>
        <v>2384.2943508010708</v>
      </c>
      <c r="S72" s="107">
        <f>IF(IFERROR(VLOOKUP(S59,'Tabela de Apoio'!$D:$E,2,FALSE),1)=1,"",S73)</f>
        <v>3357.5239765662586</v>
      </c>
      <c r="T72" s="107">
        <f>IF(IFERROR(VLOOKUP(T59,'Tabela de Apoio'!$D:$E,2,FALSE),1)=1,"",T73)</f>
        <v>3859.727462695746</v>
      </c>
      <c r="U72" s="107">
        <f>IF(IFERROR(VLOOKUP(U59,'Tabela de Apoio'!$D:$E,2,FALSE),1)=1,"",U73)</f>
        <v>3225.9670435711</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8"/>
      <c r="F73" s="93"/>
      <c r="G73" s="200"/>
      <c r="H73" s="134">
        <f t="shared" ref="H73" si="151">COUNT($P73:$XX73)</f>
        <v>6</v>
      </c>
      <c r="I73" s="132">
        <f t="shared" ref="I73" si="152">_xlfn.STDEV.P($P72:$XX73)/AVERAGE($P72:$XX73)</f>
        <v>0.21817850036010425</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3552.0440578726743</v>
      </c>
      <c r="Q73" s="107">
        <f t="shared" si="155"/>
        <v>1958.33</v>
      </c>
      <c r="R73" s="107">
        <f t="shared" si="155"/>
        <v>2384.2943508010708</v>
      </c>
      <c r="S73" s="107">
        <f t="shared" si="155"/>
        <v>3357.5239765662586</v>
      </c>
      <c r="T73" s="107">
        <f t="shared" si="155"/>
        <v>3859.727462695746</v>
      </c>
      <c r="U73" s="107">
        <f t="shared" si="155"/>
        <v>3225.9670435711</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8"/>
      <c r="F74" s="93"/>
      <c r="G74" s="200"/>
      <c r="H74"/>
      <c r="I74"/>
      <c r="J74"/>
      <c r="K74" s="66"/>
      <c r="L74" s="22"/>
      <c r="M74" s="22"/>
      <c r="N74" s="71"/>
      <c r="O74" s="27" t="str">
        <f t="shared" ref="O74" si="156">"6 POND"</f>
        <v>6 POND</v>
      </c>
      <c r="P74" s="107">
        <f>IF(IFERROR(VLOOKUP(P59,'Tabela de Apoio'!$D:$E,2,FALSE),1)=1,"",P75)</f>
        <v>3552.0440578726743</v>
      </c>
      <c r="Q74" s="107">
        <f>IF(IFERROR(VLOOKUP(Q59,'Tabela de Apoio'!$D:$E,2,FALSE),1)=1,"",Q75)</f>
        <v>1958.33</v>
      </c>
      <c r="R74" s="107">
        <f>IF(IFERROR(VLOOKUP(R59,'Tabela de Apoio'!$D:$E,2,FALSE),1)=1,"",R75)</f>
        <v>2384.2943508010708</v>
      </c>
      <c r="S74" s="107">
        <f>IF(IFERROR(VLOOKUP(S59,'Tabela de Apoio'!$D:$E,2,FALSE),1)=1,"",S75)</f>
        <v>3357.5239765662586</v>
      </c>
      <c r="T74" s="107">
        <f>IF(IFERROR(VLOOKUP(T59,'Tabela de Apoio'!$D:$E,2,FALSE),1)=1,"",T75)</f>
        <v>3859.727462695746</v>
      </c>
      <c r="U74" s="107">
        <f>IF(IFERROR(VLOOKUP(U59,'Tabela de Apoio'!$D:$E,2,FALSE),1)=1,"",U75)</f>
        <v>3225.9670435711</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8"/>
      <c r="F75" s="93"/>
      <c r="G75" s="200"/>
      <c r="H75" s="134">
        <f t="shared" ref="H75" si="157">COUNT($P75:$XX75)</f>
        <v>6</v>
      </c>
      <c r="I75" s="132">
        <f t="shared" ref="I75" si="158">_xlfn.STDEV.P($P74:$XX75)/AVERAGE($P74:$XX75)</f>
        <v>0.21817850036010425</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3552.0440578726743</v>
      </c>
      <c r="Q75" s="107">
        <f t="shared" si="161"/>
        <v>1958.33</v>
      </c>
      <c r="R75" s="107">
        <f t="shared" si="161"/>
        <v>2384.2943508010708</v>
      </c>
      <c r="S75" s="107">
        <f t="shared" si="161"/>
        <v>3357.5239765662586</v>
      </c>
      <c r="T75" s="107">
        <f t="shared" si="161"/>
        <v>3859.727462695746</v>
      </c>
      <c r="U75" s="107">
        <f t="shared" si="161"/>
        <v>3225.9670435711</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8"/>
      <c r="F76" s="136"/>
      <c r="G76" s="200"/>
      <c r="H76" s="203"/>
      <c r="I76" s="203"/>
      <c r="J76" s="204"/>
      <c r="K76" s="67"/>
      <c r="L76" s="1" t="s">
        <v>43</v>
      </c>
      <c r="M76" s="143">
        <f t="shared" ref="M76" si="162">IFERROR(ROUND(M57*M59,2),"")</f>
        <v>18337.86</v>
      </c>
      <c r="O76" s="27" t="s">
        <v>363</v>
      </c>
      <c r="P76" s="107">
        <f t="shared" ref="P76:R76" si="163">INDEX(P63:P75,MATCH(MAX($J63:$J75),$J63:$J75,0))</f>
        <v>3552.0440578726743</v>
      </c>
      <c r="Q76" s="107">
        <f t="shared" si="163"/>
        <v>1958.33</v>
      </c>
      <c r="R76" s="107">
        <f t="shared" si="163"/>
        <v>2384.2943508010708</v>
      </c>
      <c r="S76" s="107">
        <f t="shared" si="97"/>
        <v>3357.5239765662586</v>
      </c>
      <c r="T76" s="107">
        <f t="shared" si="97"/>
        <v>3859.727462695746</v>
      </c>
      <c r="U76" s="107">
        <f t="shared" si="97"/>
        <v>3225.9670435711</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v>1226</v>
      </c>
      <c r="I78" s="181" t="s">
        <v>16</v>
      </c>
      <c r="J78" s="6">
        <f>INDEX('BASE FORMAÇÃO'!K:K,B78+1)</f>
        <v>0</v>
      </c>
      <c r="K78" s="65"/>
      <c r="L78" s="182" t="s">
        <v>10</v>
      </c>
      <c r="M78" s="184">
        <f t="shared" ref="M78" si="166">IF(OR(ISBLANK($O$8),ISBLANK($O$7),ISBLANK($H$8),ISBLANK($O$6),ISBLANK($O$5),ISBLANK($H$5)),"",IFERROR(IF(VLOOKUP(L78,L84:M93,2,FALSE)&lt;1,ROUND(VLOOKUP(L78,L84:M93,2,FALSE),4),ROUND(VLOOKUP(L78,L84:M93,2,FALSE),2)),""))</f>
        <v>3056.31</v>
      </c>
      <c r="N78" s="69"/>
      <c r="O78" s="27" t="s">
        <v>17</v>
      </c>
      <c r="P78" s="113">
        <v>3500</v>
      </c>
      <c r="Q78" s="113">
        <v>1958.33</v>
      </c>
      <c r="R78" s="113">
        <v>2349.36</v>
      </c>
      <c r="S78" s="113">
        <v>3308.33</v>
      </c>
      <c r="T78" s="113">
        <v>3770</v>
      </c>
      <c r="U78" s="105">
        <v>3200</v>
      </c>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6">
        <f t="shared" ref="E79" si="168">D78</f>
        <v>4</v>
      </c>
      <c r="F79" s="92"/>
      <c r="G79" s="188" t="s">
        <v>1</v>
      </c>
      <c r="H79" s="191" t="s">
        <v>437</v>
      </c>
      <c r="I79" s="191"/>
      <c r="J79" s="192"/>
      <c r="K79" s="66"/>
      <c r="L79" s="183"/>
      <c r="M79" s="185"/>
      <c r="N79" s="70"/>
      <c r="O79" s="27" t="s">
        <v>13</v>
      </c>
      <c r="P79" s="122">
        <v>46128</v>
      </c>
      <c r="Q79" s="122">
        <v>46220</v>
      </c>
      <c r="R79" s="122">
        <v>46122</v>
      </c>
      <c r="S79" s="122">
        <v>46114</v>
      </c>
      <c r="T79" s="122">
        <v>46090</v>
      </c>
      <c r="U79" s="122">
        <v>46171</v>
      </c>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7"/>
      <c r="F80" s="93"/>
      <c r="G80" s="189"/>
      <c r="H80" s="193"/>
      <c r="I80" s="193"/>
      <c r="J80" s="194"/>
      <c r="K80" s="64"/>
      <c r="L80" s="130" t="s">
        <v>44</v>
      </c>
      <c r="M80" s="131">
        <v>8</v>
      </c>
      <c r="N80" s="71"/>
      <c r="O80" s="27" t="s">
        <v>380</v>
      </c>
      <c r="P80" s="114" t="s">
        <v>12</v>
      </c>
      <c r="Q80" s="114" t="s">
        <v>12</v>
      </c>
      <c r="R80" s="114" t="s">
        <v>12</v>
      </c>
      <c r="S80" s="114" t="s">
        <v>12</v>
      </c>
      <c r="T80" s="114" t="s">
        <v>12</v>
      </c>
      <c r="U80" s="114" t="s">
        <v>12</v>
      </c>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0"/>
      <c r="H81" s="195"/>
      <c r="I81" s="195"/>
      <c r="J81" s="196"/>
      <c r="K81" s="64"/>
      <c r="L81" s="1" t="s">
        <v>2</v>
      </c>
      <c r="M81" s="6" t="s">
        <v>206</v>
      </c>
      <c r="N81" s="71"/>
      <c r="O81" s="27" t="s">
        <v>381</v>
      </c>
      <c r="P81" s="115" t="s">
        <v>440</v>
      </c>
      <c r="Q81" s="115" t="s">
        <v>441</v>
      </c>
      <c r="R81" s="115" t="s">
        <v>441</v>
      </c>
      <c r="S81" s="115" t="s">
        <v>441</v>
      </c>
      <c r="T81" s="115" t="s">
        <v>441</v>
      </c>
      <c r="U81" s="118" t="s">
        <v>442</v>
      </c>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7">
        <f t="shared" ref="E82" si="172">C78</f>
        <v>1</v>
      </c>
      <c r="F82" s="93"/>
      <c r="G82" s="199" t="s">
        <v>304</v>
      </c>
      <c r="H82" s="201" t="s">
        <v>443</v>
      </c>
      <c r="I82" s="202"/>
      <c r="J82" s="202"/>
      <c r="K82" s="67"/>
      <c r="L82" s="28" t="s">
        <v>303</v>
      </c>
      <c r="M82" s="133">
        <f t="shared" ref="M82" si="173">IFERROR(INDEX(I84:I96,MATCH(MAX(J84:J96),J84:J96,0)),"")</f>
        <v>0.21817850036010425</v>
      </c>
      <c r="N82" s="71"/>
      <c r="O82" s="27" t="s">
        <v>18</v>
      </c>
      <c r="P82" s="106">
        <f>IF(P78="","",
IF(OR(P80="Orçamento",P79="",MAX('Tabela de Apoio'!$A:$A)&lt;=P79),
P78,
(INDEX('Tabela de Apoio'!$B:$B,MATCH('MAPA DE PREÇOS'!$O$8,'Tabela de Apoio'!$A:$A,1))/INDEX('Tabela de Apoio'!$B:$B,MATCH('MAPA DE PREÇOS'!P79,'Tabela de Apoio'!$A:$A,1)-1))*P78))</f>
        <v>3552.0440578726743</v>
      </c>
      <c r="Q82" s="106">
        <f>IF(Q78="","",
IF(OR(Q80="Orçamento",Q79="",MAX('Tabela de Apoio'!$A:$A)&lt;=Q79),
Q78,
(INDEX('Tabela de Apoio'!$B:$B,MATCH('MAPA DE PREÇOS'!$O$8,'Tabela de Apoio'!$A:$A,1))/INDEX('Tabela de Apoio'!$B:$B,MATCH('MAPA DE PREÇOS'!Q79,'Tabela de Apoio'!$A:$A,1)-1))*Q78))</f>
        <v>1958.33</v>
      </c>
      <c r="R82" s="106">
        <f>IF(R78="","",
IF(OR(R80="Orçamento",R79="",MAX('Tabela de Apoio'!$A:$A)&lt;=R79),
R78,
(INDEX('Tabela de Apoio'!$B:$B,MATCH('MAPA DE PREÇOS'!$O$8,'Tabela de Apoio'!$A:$A,1))/INDEX('Tabela de Apoio'!$B:$B,MATCH('MAPA DE PREÇOS'!R79,'Tabela de Apoio'!$A:$A,1)-1))*R78))</f>
        <v>2384.2943508010708</v>
      </c>
      <c r="S82" s="106">
        <f>IF(S78="","",
IF(OR(S80="Orçamento",S79="",MAX('Tabela de Apoio'!$A:$A)&lt;=S79),
S78,
(INDEX('Tabela de Apoio'!$B:$B,MATCH('MAPA DE PREÇOS'!$O$8,'Tabela de Apoio'!$A:$A,1))/INDEX('Tabela de Apoio'!$B:$B,MATCH('MAPA DE PREÇOS'!S79,'Tabela de Apoio'!$A:$A,1)-1))*S78))</f>
        <v>3357.5239765662586</v>
      </c>
      <c r="T82" s="106">
        <f>IF(T78="","",
IF(OR(T80="Orçamento",T79="",MAX('Tabela de Apoio'!$A:$A)&lt;=T79),
T78,
(INDEX('Tabela de Apoio'!$B:$B,MATCH('MAPA DE PREÇOS'!$O$8,'Tabela de Apoio'!$A:$A,1))/INDEX('Tabela de Apoio'!$B:$B,MATCH('MAPA DE PREÇOS'!T79,'Tabela de Apoio'!$A:$A,1)-1))*T78))</f>
        <v>3859.727462695746</v>
      </c>
      <c r="U82" s="106">
        <f>IF(U78="","",
IF(OR(U80="Orçamento",U79="",MAX('Tabela de Apoio'!$A:$A)&lt;=U79),
U78,
(INDEX('Tabela de Apoio'!$B:$B,MATCH('MAPA DE PREÇOS'!$O$8,'Tabela de Apoio'!$A:$A,1))/INDEX('Tabela de Apoio'!$B:$B,MATCH('MAPA DE PREÇOS'!U79,'Tabela de Apoio'!$A:$A,1)-1))*U78))</f>
        <v>3225.9670435711</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8"/>
      <c r="F83" s="93"/>
      <c r="G83" s="200"/>
      <c r="H83"/>
      <c r="I83"/>
      <c r="J83"/>
      <c r="N83" s="71"/>
      <c r="O83" s="27" t="s">
        <v>375</v>
      </c>
      <c r="P83" s="107">
        <f>IF(IFERROR(VLOOKUP(P80,'Tabela de Apoio'!$D:$E,2,FALSE),1)=1,"",P84)</f>
        <v>3552.0440578726743</v>
      </c>
      <c r="Q83" s="107">
        <f>IF(IFERROR(VLOOKUP(Q80,'Tabela de Apoio'!$D:$E,2,FALSE),1)=1,"",Q84)</f>
        <v>1958.33</v>
      </c>
      <c r="R83" s="107">
        <f>IF(IFERROR(VLOOKUP(R80,'Tabela de Apoio'!$D:$E,2,FALSE),1)=1,"",R84)</f>
        <v>2384.2943508010708</v>
      </c>
      <c r="S83" s="107">
        <f>IF(IFERROR(VLOOKUP(S80,'Tabela de Apoio'!$D:$E,2,FALSE),1)=1,"",S84)</f>
        <v>3357.5239765662586</v>
      </c>
      <c r="T83" s="107">
        <f>IF(IFERROR(VLOOKUP(T80,'Tabela de Apoio'!$D:$E,2,FALSE),1)=1,"",T84)</f>
        <v>3859.727462695746</v>
      </c>
      <c r="U83" s="107">
        <f>IF(IFERROR(VLOOKUP(U80,'Tabela de Apoio'!$D:$E,2,FALSE),1)=1,"",U84)</f>
        <v>3225.9670435711</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8"/>
      <c r="F84" s="93"/>
      <c r="G84" s="200"/>
      <c r="H84" s="134">
        <f t="shared" ref="H84" si="177">COUNT($P84:$XX84)</f>
        <v>6</v>
      </c>
      <c r="I84" s="132">
        <f t="shared" ref="I84" si="178">_xlfn.STDEV.P($P83:$XX84)/AVERAGE($P83:$XX84)</f>
        <v>0.21817850036010425</v>
      </c>
      <c r="J84" s="7">
        <f>ROW()</f>
        <v>84</v>
      </c>
      <c r="K84" s="67"/>
      <c r="L84" s="29" t="s">
        <v>10</v>
      </c>
      <c r="M84" s="30">
        <f t="shared" ref="M84" si="179">IFERROR(
IF(COUNTA(P78:AI78)=COUNTIF(P80:XX80,"Orçamento"),MIN(M89,M86),
IF(M87&lt;&gt;"",M87,
IF(M88&lt;&gt;"",M88,
M86
))),"")</f>
        <v>3056.3144819178087</v>
      </c>
      <c r="N84" s="71"/>
      <c r="O84" s="27" t="s">
        <v>376</v>
      </c>
      <c r="P84" s="106">
        <f t="shared" ref="P84:AI84" si="180">IFERROR(IF(P82="",
            "",
            IF(COUNT($P82:$XX82)&lt;=4,
               P82,
               IF(OR(P82&gt;(QUARTILE($P82:$XX82,3)+(QUARTILE($P82:$XX82,3)-QUARTILE($P82:$XX82,1))),
                     P82&lt;(QUARTILE($P82:$XX82,1)-(QUARTILE($P82:$XX82,3)-QUARTILE($P82:$XX82,1)))
                  ),
               "DESCARTADO",P82)
             )
  ),P82)</f>
        <v>3552.0440578726743</v>
      </c>
      <c r="Q84" s="106">
        <f t="shared" si="180"/>
        <v>1958.33</v>
      </c>
      <c r="R84" s="106">
        <f t="shared" si="180"/>
        <v>2384.2943508010708</v>
      </c>
      <c r="S84" s="106">
        <f t="shared" si="180"/>
        <v>3357.5239765662586</v>
      </c>
      <c r="T84" s="106">
        <f t="shared" si="180"/>
        <v>3859.727462695746</v>
      </c>
      <c r="U84" s="106">
        <f t="shared" si="180"/>
        <v>3225.9670435711</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8"/>
      <c r="F85" s="93"/>
      <c r="G85" s="200"/>
      <c r="H85"/>
      <c r="I85"/>
      <c r="J85"/>
      <c r="K85" s="66"/>
      <c r="L85" s="29" t="s">
        <v>360</v>
      </c>
      <c r="M85" s="30">
        <f t="shared" ref="M85" si="183">AVERAGE($P84:$XX84)</f>
        <v>3056.3144819178083</v>
      </c>
      <c r="N85" s="71"/>
      <c r="O85" s="27" t="str">
        <f t="shared" ref="O85" si="184">"1 POND"</f>
        <v>1 POND</v>
      </c>
      <c r="P85" s="107">
        <f>IF(IFERROR(VLOOKUP(P80,'Tabela de Apoio'!$D:$E,2,FALSE),1)=1,"",P86)</f>
        <v>3552.0440578726743</v>
      </c>
      <c r="Q85" s="107">
        <f>IF(IFERROR(VLOOKUP(Q80,'Tabela de Apoio'!$D:$E,2,FALSE),1)=1,"",Q86)</f>
        <v>1958.33</v>
      </c>
      <c r="R85" s="107">
        <f>IF(IFERROR(VLOOKUP(R80,'Tabela de Apoio'!$D:$E,2,FALSE),1)=1,"",R86)</f>
        <v>2384.2943508010708</v>
      </c>
      <c r="S85" s="107">
        <f>IF(IFERROR(VLOOKUP(S80,'Tabela de Apoio'!$D:$E,2,FALSE),1)=1,"",S86)</f>
        <v>3357.5239765662586</v>
      </c>
      <c r="T85" s="107">
        <f>IF(IFERROR(VLOOKUP(T80,'Tabela de Apoio'!$D:$E,2,FALSE),1)=1,"",T86)</f>
        <v>3859.727462695746</v>
      </c>
      <c r="U85" s="107">
        <f>IF(IFERROR(VLOOKUP(U80,'Tabela de Apoio'!$D:$E,2,FALSE),1)=1,"",U86)</f>
        <v>3225.9670435711</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8"/>
      <c r="F86" s="93"/>
      <c r="G86" s="200"/>
      <c r="H86" s="134">
        <f t="shared" ref="H86" si="185">COUNT($P86:$XX86)</f>
        <v>6</v>
      </c>
      <c r="I86" s="132">
        <f t="shared" ref="I86" si="186">_xlfn.STDEV.P($P85:$XX86)/AVERAGE($P85:$XX86)</f>
        <v>0.21817850036010425</v>
      </c>
      <c r="J86" s="7">
        <f t="shared" ref="J86" si="187">IF(AND(H86&gt;2,
OR(L78="MÉDIA SANEADA",L78="MEDIANA SANEADA",
AND(L78="PREÇO ESTIMADO",NOT(AND(P80="Orçamento",COUNTA(P78:XX78)=COUNTIF(P80:XX80,"Orçamento")))))),
ROW(),0)</f>
        <v>86</v>
      </c>
      <c r="K86" s="66"/>
      <c r="L86" s="29" t="s">
        <v>361</v>
      </c>
      <c r="M86" s="30">
        <f t="shared" ref="M86" si="188">MEDIAN($P84:$XX84)</f>
        <v>3291.7455100686793</v>
      </c>
      <c r="N86" s="71"/>
      <c r="O86" s="27" t="str">
        <f t="shared" ref="O86" si="189">"1 RODADA"</f>
        <v>1 RODADA</v>
      </c>
      <c r="P86" s="107">
        <f t="shared" ref="P86:AI86" si="190">IF(P84="","",IF((_xlfn.STDEV.P($P83:$XX84)/AVERAGE($P83:$XX84))&lt;=25%,P84,IF(OR(P84&gt;(AVERAGE($P83:$XX84)+_xlfn.STDEV.P($P83:$XX84)),P84&lt;(AVERAGE($P83:$XX84)-_xlfn.STDEV.P($P83:$XX84))),"DESCARTADO",P84)))</f>
        <v>3552.0440578726743</v>
      </c>
      <c r="Q86" s="107">
        <f t="shared" si="190"/>
        <v>1958.33</v>
      </c>
      <c r="R86" s="107">
        <f t="shared" si="190"/>
        <v>2384.2943508010708</v>
      </c>
      <c r="S86" s="107">
        <f t="shared" si="190"/>
        <v>3357.5239765662586</v>
      </c>
      <c r="T86" s="107">
        <f t="shared" si="190"/>
        <v>3859.727462695746</v>
      </c>
      <c r="U86" s="107">
        <f t="shared" si="190"/>
        <v>3225.9670435711</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8"/>
      <c r="F87" s="93"/>
      <c r="G87" s="200"/>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3056.3144819178087</v>
      </c>
      <c r="N87" s="71"/>
      <c r="O87" s="27" t="str">
        <f t="shared" ref="O87" si="192">"2 POND"</f>
        <v>2 POND</v>
      </c>
      <c r="P87" s="107">
        <f>IF(IFERROR(VLOOKUP(P80,'Tabela de Apoio'!$D:$E,2,FALSE),1)=1,"",P88)</f>
        <v>3552.0440578726743</v>
      </c>
      <c r="Q87" s="107">
        <f>IF(IFERROR(VLOOKUP(Q80,'Tabela de Apoio'!$D:$E,2,FALSE),1)=1,"",Q88)</f>
        <v>1958.33</v>
      </c>
      <c r="R87" s="107">
        <f>IF(IFERROR(VLOOKUP(R80,'Tabela de Apoio'!$D:$E,2,FALSE),1)=1,"",R88)</f>
        <v>2384.2943508010708</v>
      </c>
      <c r="S87" s="107">
        <f>IF(IFERROR(VLOOKUP(S80,'Tabela de Apoio'!$D:$E,2,FALSE),1)=1,"",S88)</f>
        <v>3357.5239765662586</v>
      </c>
      <c r="T87" s="107">
        <f>IF(IFERROR(VLOOKUP(T80,'Tabela de Apoio'!$D:$E,2,FALSE),1)=1,"",T88)</f>
        <v>3859.727462695746</v>
      </c>
      <c r="U87" s="107">
        <f>IF(IFERROR(VLOOKUP(U80,'Tabela de Apoio'!$D:$E,2,FALSE),1)=1,"",U88)</f>
        <v>3225.9670435711</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8"/>
      <c r="F88" s="93"/>
      <c r="G88" s="200"/>
      <c r="H88" s="134">
        <f t="shared" ref="H88" si="193">COUNT($P88:$XX88)</f>
        <v>6</v>
      </c>
      <c r="I88" s="132">
        <f t="shared" ref="I88" si="194">_xlfn.STDEV.P($P87:$XX88)/AVERAGE($P87:$XX88)</f>
        <v>0.21817850036010425</v>
      </c>
      <c r="J88" s="7">
        <f t="shared" ref="J88" si="195">IF(AND(H88&gt;2,
OR(L78="MÉDIA SANEADA",L78="MEDIANA SANEADA",
AND(L78="PREÇO ESTIMADO",NOT(AND(P80="Orçamento",COUNTA(P78:XX78)=COUNTIF(P80:XX80,"Orçamento")))))),
ROW(),0)</f>
        <v>88</v>
      </c>
      <c r="K88" s="66"/>
      <c r="L88" s="29" t="s">
        <v>362</v>
      </c>
      <c r="M88" s="30">
        <f t="shared" ref="M88" si="196" xml:space="preserve">
IF(H86&gt;2,MEDIAN(P85:XX86),
IF(H88&gt;2,MEDIAN(P87:XX88),
IF(H90&gt;2,MEDIAN(P89:XX90),
IF(H92&gt;2,MEDIAN(P91:XX92),
IF(H94&gt;2,MEDIAN(P93:XX94),
IF(H96&gt;2,MEDIAN(P95:XX96),
MEDIAN(P83:XX84)))))))</f>
        <v>3291.7455100686793</v>
      </c>
      <c r="N88" s="71"/>
      <c r="O88" s="27" t="str">
        <f t="shared" ref="O88" si="197">"2 RODADA"</f>
        <v>2 RODADA</v>
      </c>
      <c r="P88" s="107">
        <f t="shared" ref="P88:AI88" si="198">IF(P86="","",IF((_xlfn.STDEV.P($P85:$XX86)/AVERAGE($P85:$XX86))&lt;=25%,P86,IF(OR(P86&gt;(AVERAGE($P85:$XX86)+_xlfn.STDEV.P($P85:$XX86)),P86&lt;(AVERAGE($P85:$XX86)-_xlfn.STDEV.P($P85:$XX86))),"DESCARTADO",P86)))</f>
        <v>3552.0440578726743</v>
      </c>
      <c r="Q88" s="107">
        <f t="shared" si="198"/>
        <v>1958.33</v>
      </c>
      <c r="R88" s="107">
        <f t="shared" si="198"/>
        <v>2384.2943508010708</v>
      </c>
      <c r="S88" s="107">
        <f t="shared" si="198"/>
        <v>3357.5239765662586</v>
      </c>
      <c r="T88" s="107">
        <f t="shared" si="198"/>
        <v>3859.727462695746</v>
      </c>
      <c r="U88" s="107">
        <f t="shared" si="198"/>
        <v>3225.9670435711</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8"/>
      <c r="F89" s="93"/>
      <c r="G89" s="200"/>
      <c r="H89"/>
      <c r="I89"/>
      <c r="J89"/>
      <c r="K89" s="66"/>
      <c r="L89" s="29" t="s">
        <v>359</v>
      </c>
      <c r="M89" s="30">
        <f t="shared" ref="M89" si="199">HARMEAN($P83:$XX84)</f>
        <v>2886.7148367743648</v>
      </c>
      <c r="N89" s="71"/>
      <c r="O89" s="27" t="str">
        <f t="shared" ref="O89" si="200">"3 POND"</f>
        <v>3 POND</v>
      </c>
      <c r="P89" s="107">
        <f>IF(IFERROR(VLOOKUP(P80,'Tabela de Apoio'!$D:$E,2,FALSE),1)=1,"",P90)</f>
        <v>3552.0440578726743</v>
      </c>
      <c r="Q89" s="107">
        <f>IF(IFERROR(VLOOKUP(Q80,'Tabela de Apoio'!$D:$E,2,FALSE),1)=1,"",Q90)</f>
        <v>1958.33</v>
      </c>
      <c r="R89" s="107">
        <f>IF(IFERROR(VLOOKUP(R80,'Tabela de Apoio'!$D:$E,2,FALSE),1)=1,"",R90)</f>
        <v>2384.2943508010708</v>
      </c>
      <c r="S89" s="107">
        <f>IF(IFERROR(VLOOKUP(S80,'Tabela de Apoio'!$D:$E,2,FALSE),1)=1,"",S90)</f>
        <v>3357.5239765662586</v>
      </c>
      <c r="T89" s="107">
        <f>IF(IFERROR(VLOOKUP(T80,'Tabela de Apoio'!$D:$E,2,FALSE),1)=1,"",T90)</f>
        <v>3859.727462695746</v>
      </c>
      <c r="U89" s="107">
        <f>IF(IFERROR(VLOOKUP(U80,'Tabela de Apoio'!$D:$E,2,FALSE),1)=1,"",U90)</f>
        <v>3225.9670435711</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8"/>
      <c r="F90" s="93"/>
      <c r="G90" s="200"/>
      <c r="H90" s="134">
        <f t="shared" ref="H90" si="201">COUNT($P90:$XX90)</f>
        <v>6</v>
      </c>
      <c r="I90" s="132">
        <f t="shared" ref="I90" si="202">_xlfn.STDEV.P($P89:$XX90)/AVERAGE($P89:$XX90)</f>
        <v>0.21817850036010425</v>
      </c>
      <c r="J90" s="7">
        <f t="shared" ref="J90" si="203">IF(AND(H90&gt;2,
OR(L78="MÉDIA SANEADA",L78="MEDIANA SANEADA",
AND(L78="PREÇO ESTIMADO",NOT(AND(P80="Orçamento",COUNTA(P78:XX78)=COUNTIF(P80:XX80,"Orçamento")))))),
ROW(),0)</f>
        <v>90</v>
      </c>
      <c r="K90" s="66"/>
      <c r="L90" s="29" t="s">
        <v>41</v>
      </c>
      <c r="M90" s="30">
        <f t="shared" ref="M90" si="204">IFERROR(_xlfn.QUARTILE.EXC($P84:$XX84,1),"")</f>
        <v>2277.8032631008032</v>
      </c>
      <c r="N90" s="71"/>
      <c r="O90" s="27" t="str">
        <f t="shared" ref="O90" si="205">"3 RODADA"</f>
        <v>3 RODADA</v>
      </c>
      <c r="P90" s="107">
        <f t="shared" ref="P90:AI90" si="206">IF(P88="","",IF((_xlfn.STDEV.P($P87:$XX88)/AVERAGE($P87:$XX88))&lt;=25%,P88,IF(OR(P88&gt;(AVERAGE($P87:$XX88)+_xlfn.STDEV.P($P87:$XX88)),P88&lt;(AVERAGE($P87:$XX88)-_xlfn.STDEV.P($P87:$XX88))),"DESCARTADO",P88)))</f>
        <v>3552.0440578726743</v>
      </c>
      <c r="Q90" s="107">
        <f t="shared" si="206"/>
        <v>1958.33</v>
      </c>
      <c r="R90" s="107">
        <f t="shared" si="206"/>
        <v>2384.2943508010708</v>
      </c>
      <c r="S90" s="107">
        <f t="shared" si="206"/>
        <v>3357.5239765662586</v>
      </c>
      <c r="T90" s="107">
        <f t="shared" si="206"/>
        <v>3859.727462695746</v>
      </c>
      <c r="U90" s="107">
        <f t="shared" si="206"/>
        <v>3225.9670435711</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8"/>
      <c r="F91" s="93"/>
      <c r="G91" s="200"/>
      <c r="H91"/>
      <c r="I91"/>
      <c r="J91"/>
      <c r="K91" s="66"/>
      <c r="L91" s="29" t="s">
        <v>39</v>
      </c>
      <c r="M91" s="30">
        <f t="shared" ref="M91" si="207">IFERROR(_xlfn.QUARTILE.EXC($P84:$XX84,3),"")</f>
        <v>3628.9649090784424</v>
      </c>
      <c r="N91" s="71"/>
      <c r="O91" s="27" t="str">
        <f t="shared" ref="O91" si="208">"4 POND"</f>
        <v>4 POND</v>
      </c>
      <c r="P91" s="107">
        <f>IF(IFERROR(VLOOKUP(P80,'Tabela de Apoio'!$D:$E,2,FALSE),1)=1,"",P92)</f>
        <v>3552.0440578726743</v>
      </c>
      <c r="Q91" s="107">
        <f>IF(IFERROR(VLOOKUP(Q80,'Tabela de Apoio'!$D:$E,2,FALSE),1)=1,"",Q92)</f>
        <v>1958.33</v>
      </c>
      <c r="R91" s="107">
        <f>IF(IFERROR(VLOOKUP(R80,'Tabela de Apoio'!$D:$E,2,FALSE),1)=1,"",R92)</f>
        <v>2384.2943508010708</v>
      </c>
      <c r="S91" s="107">
        <f>IF(IFERROR(VLOOKUP(S80,'Tabela de Apoio'!$D:$E,2,FALSE),1)=1,"",S92)</f>
        <v>3357.5239765662586</v>
      </c>
      <c r="T91" s="107">
        <f>IF(IFERROR(VLOOKUP(T80,'Tabela de Apoio'!$D:$E,2,FALSE),1)=1,"",T92)</f>
        <v>3859.727462695746</v>
      </c>
      <c r="U91" s="107">
        <f>IF(IFERROR(VLOOKUP(U80,'Tabela de Apoio'!$D:$E,2,FALSE),1)=1,"",U92)</f>
        <v>3225.9670435711</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8"/>
      <c r="F92" s="93"/>
      <c r="G92" s="200"/>
      <c r="H92" s="134">
        <f t="shared" ref="H92" si="209">COUNT($P92:$XX92)</f>
        <v>6</v>
      </c>
      <c r="I92" s="132">
        <f t="shared" ref="I92" si="210">_xlfn.STDEV.P($P91:$XX92)/AVERAGE($P91:$XX92)</f>
        <v>0.21817850036010425</v>
      </c>
      <c r="J92" s="7">
        <f t="shared" ref="J92" si="211">IF(AND(H92&gt;2,
OR(L78="MÉDIA SANEADA",L78="MEDIANA SANEADA",
AND(L78="PREÇO ESTIMADO",NOT(AND(P80="Orçamento",COUNTA(P78:XX78)=COUNTIF(P80:XX80,"Orçamento")))))),
ROW(),0)</f>
        <v>92</v>
      </c>
      <c r="K92" s="66"/>
      <c r="L92" s="29" t="s">
        <v>42</v>
      </c>
      <c r="M92" s="30">
        <f t="shared" ref="M92" si="212">MIN($P84:$XX84)</f>
        <v>1958.33</v>
      </c>
      <c r="N92" s="71"/>
      <c r="O92" s="27" t="str">
        <f t="shared" ref="O92" si="213">"4 RODADA"</f>
        <v>4 RODADA</v>
      </c>
      <c r="P92" s="107">
        <f t="shared" ref="P92:AI92" si="214">IF(P90="","",IF((_xlfn.STDEV.P($P89:$XX90)/AVERAGE($P89:$XX90))&lt;=25%,P90,IF(OR(P90&gt;(AVERAGE($P89:$XX90)+_xlfn.STDEV.P($P89:$XX90)),P90&lt;(AVERAGE($P89:$XX90)-_xlfn.STDEV.P($P89:$XX90))),"DESCARTADO",P90)))</f>
        <v>3552.0440578726743</v>
      </c>
      <c r="Q92" s="107">
        <f t="shared" si="214"/>
        <v>1958.33</v>
      </c>
      <c r="R92" s="107">
        <f t="shared" si="214"/>
        <v>2384.2943508010708</v>
      </c>
      <c r="S92" s="107">
        <f t="shared" si="214"/>
        <v>3357.5239765662586</v>
      </c>
      <c r="T92" s="107">
        <f t="shared" si="214"/>
        <v>3859.727462695746</v>
      </c>
      <c r="U92" s="107">
        <f t="shared" si="214"/>
        <v>3225.9670435711</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8"/>
      <c r="F93" s="93"/>
      <c r="G93" s="200"/>
      <c r="H93"/>
      <c r="I93"/>
      <c r="J93"/>
      <c r="K93" s="66"/>
      <c r="L93" s="29" t="s">
        <v>40</v>
      </c>
      <c r="M93" s="30">
        <f t="shared" ref="M93" si="215">MAX($P84:$XX84)</f>
        <v>3859.727462695746</v>
      </c>
      <c r="N93" s="71"/>
      <c r="O93" s="27" t="str">
        <f t="shared" ref="O93" si="216">"5 POND"</f>
        <v>5 POND</v>
      </c>
      <c r="P93" s="107">
        <f>IF(IFERROR(VLOOKUP(P80,'Tabela de Apoio'!$D:$E,2,FALSE),1)=1,"",P94)</f>
        <v>3552.0440578726743</v>
      </c>
      <c r="Q93" s="107">
        <f>IF(IFERROR(VLOOKUP(Q80,'Tabela de Apoio'!$D:$E,2,FALSE),1)=1,"",Q94)</f>
        <v>1958.33</v>
      </c>
      <c r="R93" s="107">
        <f>IF(IFERROR(VLOOKUP(R80,'Tabela de Apoio'!$D:$E,2,FALSE),1)=1,"",R94)</f>
        <v>2384.2943508010708</v>
      </c>
      <c r="S93" s="107">
        <f>IF(IFERROR(VLOOKUP(S80,'Tabela de Apoio'!$D:$E,2,FALSE),1)=1,"",S94)</f>
        <v>3357.5239765662586</v>
      </c>
      <c r="T93" s="107">
        <f>IF(IFERROR(VLOOKUP(T80,'Tabela de Apoio'!$D:$E,2,FALSE),1)=1,"",T94)</f>
        <v>3859.727462695746</v>
      </c>
      <c r="U93" s="107">
        <f>IF(IFERROR(VLOOKUP(U80,'Tabela de Apoio'!$D:$E,2,FALSE),1)=1,"",U94)</f>
        <v>3225.9670435711</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8"/>
      <c r="F94" s="93"/>
      <c r="G94" s="200"/>
      <c r="H94" s="134">
        <f t="shared" ref="H94" si="217">COUNT($P94:$XX94)</f>
        <v>6</v>
      </c>
      <c r="I94" s="132">
        <f t="shared" ref="I94" si="218">_xlfn.STDEV.P($P93:$XX94)/AVERAGE($P93:$XX94)</f>
        <v>0.21817850036010425</v>
      </c>
      <c r="J94" s="7">
        <f t="shared" ref="J94" si="219">IF(AND(H94&gt;2,
OR(L78="MÉDIA SANEADA",L78="MEDIANA SANEADA",
AND(L78="PREÇO ESTIMADO",NOT(AND(P80="Orçamento",COUNTA(P78:XX78)=COUNTIF(P80:XX80,"Orçamento")))))),
ROW(),0)</f>
        <v>94</v>
      </c>
      <c r="K94" s="66"/>
      <c r="N94" s="71"/>
      <c r="O94" s="27" t="str">
        <f t="shared" ref="O94" si="220">"5 RODADA"</f>
        <v>5 RODADA</v>
      </c>
      <c r="P94" s="107">
        <f t="shared" ref="P94:AI94" si="221">IF(P92="","",IF((_xlfn.STDEV.P($P91:$XX92)/AVERAGE($P91:$XX92))&lt;=25%,P92,IF(OR(P92&gt;(AVERAGE($P91:$XX92)+_xlfn.STDEV.P($P91:$XX92)),P92&lt;(AVERAGE($P91:$XX92)-_xlfn.STDEV.P($P91:$XX92))),"DESCARTADO",P92)))</f>
        <v>3552.0440578726743</v>
      </c>
      <c r="Q94" s="107">
        <f t="shared" si="221"/>
        <v>1958.33</v>
      </c>
      <c r="R94" s="107">
        <f t="shared" si="221"/>
        <v>2384.2943508010708</v>
      </c>
      <c r="S94" s="107">
        <f t="shared" si="221"/>
        <v>3357.5239765662586</v>
      </c>
      <c r="T94" s="107">
        <f t="shared" si="221"/>
        <v>3859.727462695746</v>
      </c>
      <c r="U94" s="107">
        <f t="shared" si="221"/>
        <v>3225.9670435711</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8"/>
      <c r="F95" s="93"/>
      <c r="G95" s="200"/>
      <c r="H95"/>
      <c r="I95"/>
      <c r="J95"/>
      <c r="K95" s="66"/>
      <c r="L95" s="22"/>
      <c r="M95" s="22"/>
      <c r="N95" s="71"/>
      <c r="O95" s="27" t="str">
        <f t="shared" ref="O95" si="222">"6 POND"</f>
        <v>6 POND</v>
      </c>
      <c r="P95" s="107">
        <f>IF(IFERROR(VLOOKUP(P80,'Tabela de Apoio'!$D:$E,2,FALSE),1)=1,"",P96)</f>
        <v>3552.0440578726743</v>
      </c>
      <c r="Q95" s="107">
        <f>IF(IFERROR(VLOOKUP(Q80,'Tabela de Apoio'!$D:$E,2,FALSE),1)=1,"",Q96)</f>
        <v>1958.33</v>
      </c>
      <c r="R95" s="107">
        <f>IF(IFERROR(VLOOKUP(R80,'Tabela de Apoio'!$D:$E,2,FALSE),1)=1,"",R96)</f>
        <v>2384.2943508010708</v>
      </c>
      <c r="S95" s="107">
        <f>IF(IFERROR(VLOOKUP(S80,'Tabela de Apoio'!$D:$E,2,FALSE),1)=1,"",S96)</f>
        <v>3357.5239765662586</v>
      </c>
      <c r="T95" s="107">
        <f>IF(IFERROR(VLOOKUP(T80,'Tabela de Apoio'!$D:$E,2,FALSE),1)=1,"",T96)</f>
        <v>3859.727462695746</v>
      </c>
      <c r="U95" s="107">
        <f>IF(IFERROR(VLOOKUP(U80,'Tabela de Apoio'!$D:$E,2,FALSE),1)=1,"",U96)</f>
        <v>3225.9670435711</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8"/>
      <c r="F96" s="93"/>
      <c r="G96" s="200"/>
      <c r="H96" s="134">
        <f t="shared" ref="H96" si="223">COUNT($P96:$XX96)</f>
        <v>6</v>
      </c>
      <c r="I96" s="132">
        <f t="shared" ref="I96" si="224">_xlfn.STDEV.P($P95:$XX96)/AVERAGE($P95:$XX96)</f>
        <v>0.21817850036010425</v>
      </c>
      <c r="J96" s="7">
        <f t="shared" ref="J96" si="225">IF(AND(H96&gt;2,
OR(L78="MÉDIA SANEADA",L78="MEDIANA SANEADA",
AND(L78="PREÇO ESTIMADO",NOT(AND(P80="Orçamento",COUNTA(P78:XX78)=COUNTIF(P80:XX80,"Orçamento")))))),
ROW(),0)</f>
        <v>96</v>
      </c>
      <c r="N96" s="71"/>
      <c r="O96" s="27" t="str">
        <f t="shared" ref="O96" si="226">"6 RODADA"</f>
        <v>6 RODADA</v>
      </c>
      <c r="P96" s="107">
        <f t="shared" ref="P96:AI96" si="227">IFERROR(IF(P94="","",IF((_xlfn.STDEV.P($P93:$XX94)/AVERAGE($P93:$XX94))&lt;=25%,P94,IF(OR(P94&gt;(AVERAGE($P93:$XX94)+_xlfn.STDEV.P($P93:$XX94)),P94&lt;(AVERAGE($P93:$XX94)-_xlfn.STDEV.P($P93:$XX94))),"DESCARTADO",P94))),)</f>
        <v>3552.0440578726743</v>
      </c>
      <c r="Q96" s="107">
        <f t="shared" si="227"/>
        <v>1958.33</v>
      </c>
      <c r="R96" s="107">
        <f t="shared" si="227"/>
        <v>2384.2943508010708</v>
      </c>
      <c r="S96" s="107">
        <f t="shared" si="227"/>
        <v>3357.5239765662586</v>
      </c>
      <c r="T96" s="107">
        <f t="shared" si="227"/>
        <v>3859.727462695746</v>
      </c>
      <c r="U96" s="107">
        <f t="shared" si="227"/>
        <v>3225.9670435711</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8"/>
      <c r="F97" s="136"/>
      <c r="G97" s="200"/>
      <c r="H97" s="203"/>
      <c r="I97" s="203"/>
      <c r="J97" s="204"/>
      <c r="K97" s="67"/>
      <c r="L97" s="1" t="s">
        <v>43</v>
      </c>
      <c r="M97" s="143">
        <f t="shared" ref="M97" si="228">IFERROR(ROUND(M78*M80,2),"")</f>
        <v>24450.48</v>
      </c>
      <c r="O97" s="27" t="s">
        <v>363</v>
      </c>
      <c r="P97" s="107">
        <f t="shared" ref="P97:AI118" si="229">INDEX(P84:P96,MATCH(MAX($J84:$J96),$J84:$J96,0))</f>
        <v>3552.0440578726743</v>
      </c>
      <c r="Q97" s="107">
        <f t="shared" si="229"/>
        <v>1958.33</v>
      </c>
      <c r="R97" s="107">
        <f t="shared" si="229"/>
        <v>2384.2943508010708</v>
      </c>
      <c r="S97" s="107">
        <f t="shared" si="229"/>
        <v>3357.5239765662586</v>
      </c>
      <c r="T97" s="107">
        <f t="shared" si="229"/>
        <v>3859.727462695746</v>
      </c>
      <c r="U97" s="107">
        <f t="shared" si="229"/>
        <v>3225.9670435711</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v>1226</v>
      </c>
      <c r="I99" s="181" t="s">
        <v>16</v>
      </c>
      <c r="J99" s="6">
        <f>INDEX('BASE FORMAÇÃO'!K:K,B99+1)</f>
        <v>0</v>
      </c>
      <c r="K99" s="65"/>
      <c r="L99" s="182" t="s">
        <v>10</v>
      </c>
      <c r="M99" s="184">
        <f t="shared" ref="M99" si="232">IF(OR(ISBLANK($O$8),ISBLANK($O$7),ISBLANK($H$8),ISBLANK($O$6),ISBLANK($O$5),ISBLANK($H$5)),"",IFERROR(IF(VLOOKUP(L99,L105:M114,2,FALSE)&lt;1,ROUND(VLOOKUP(L99,L105:M114,2,FALSE),4),ROUND(VLOOKUP(L99,L105:M114,2,FALSE),2)),""))</f>
        <v>1740.56</v>
      </c>
      <c r="N99" s="69"/>
      <c r="O99" s="27" t="s">
        <v>17</v>
      </c>
      <c r="P99" s="113">
        <f>1000*2</f>
        <v>2000</v>
      </c>
      <c r="Q99" s="113">
        <v>1499</v>
      </c>
      <c r="R99" s="113">
        <v>1800</v>
      </c>
      <c r="S99" s="113">
        <v>1500</v>
      </c>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6">
        <f t="shared" ref="E100" si="234">D99</f>
        <v>5</v>
      </c>
      <c r="F100" s="92"/>
      <c r="G100" s="188" t="s">
        <v>1</v>
      </c>
      <c r="H100" s="191" t="s">
        <v>438</v>
      </c>
      <c r="I100" s="191"/>
      <c r="J100" s="192"/>
      <c r="K100" s="66"/>
      <c r="L100" s="183"/>
      <c r="M100" s="185"/>
      <c r="N100" s="70"/>
      <c r="O100" s="27" t="s">
        <v>13</v>
      </c>
      <c r="P100" s="122">
        <v>46134</v>
      </c>
      <c r="Q100" s="122">
        <v>46169</v>
      </c>
      <c r="R100" s="122">
        <v>46050</v>
      </c>
      <c r="S100" s="122">
        <v>45967</v>
      </c>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7"/>
      <c r="F101" s="93"/>
      <c r="G101" s="189"/>
      <c r="H101" s="193"/>
      <c r="I101" s="193"/>
      <c r="J101" s="194"/>
      <c r="K101" s="64"/>
      <c r="L101" s="130" t="s">
        <v>44</v>
      </c>
      <c r="M101" s="131">
        <v>6</v>
      </c>
      <c r="N101" s="71"/>
      <c r="O101" s="27" t="s">
        <v>380</v>
      </c>
      <c r="P101" s="114" t="s">
        <v>12</v>
      </c>
      <c r="Q101" s="114" t="s">
        <v>12</v>
      </c>
      <c r="R101" s="114" t="s">
        <v>12</v>
      </c>
      <c r="S101" s="114" t="s">
        <v>12</v>
      </c>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0"/>
      <c r="H102" s="195"/>
      <c r="I102" s="195"/>
      <c r="J102" s="196"/>
      <c r="K102" s="64"/>
      <c r="L102" s="1" t="s">
        <v>2</v>
      </c>
      <c r="M102" s="6" t="s">
        <v>206</v>
      </c>
      <c r="N102" s="71"/>
      <c r="O102" s="27" t="s">
        <v>381</v>
      </c>
      <c r="P102" s="115" t="s">
        <v>442</v>
      </c>
      <c r="Q102" s="115" t="s">
        <v>441</v>
      </c>
      <c r="R102" s="115" t="s">
        <v>441</v>
      </c>
      <c r="S102" s="115" t="s">
        <v>441</v>
      </c>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7">
        <f t="shared" ref="E103" si="238">C99</f>
        <v>1</v>
      </c>
      <c r="F103" s="93"/>
      <c r="G103" s="199" t="s">
        <v>304</v>
      </c>
      <c r="H103" s="201" t="s">
        <v>20</v>
      </c>
      <c r="I103" s="202"/>
      <c r="J103" s="202"/>
      <c r="K103" s="67"/>
      <c r="L103" s="28" t="s">
        <v>303</v>
      </c>
      <c r="M103" s="133">
        <f t="shared" ref="M103" si="239">IFERROR(INDEX(I105:I117,MATCH(MAX(J105:J117),J105:J117,0)),"")</f>
        <v>0.1231398811328354</v>
      </c>
      <c r="N103" s="71"/>
      <c r="O103" s="27" t="s">
        <v>18</v>
      </c>
      <c r="P103" s="106">
        <f>IF(P99="","",
IF(OR(P101="Orçamento",P100="",MAX('Tabela de Apoio'!$A:$A)&lt;=P100),
P99,
(INDEX('Tabela de Apoio'!$B:$B,MATCH('MAPA DE PREÇOS'!$O$8,'Tabela de Apoio'!$A:$A,1))/INDEX('Tabela de Apoio'!$B:$B,MATCH('MAPA DE PREÇOS'!P100,'Tabela de Apoio'!$A:$A,1)-1))*P99))</f>
        <v>2029.7394616415284</v>
      </c>
      <c r="Q103" s="106">
        <f>IF(Q99="","",
IF(OR(Q101="Orçamento",Q100="",MAX('Tabela de Apoio'!$A:$A)&lt;=Q100),
Q99,
(INDEX('Tabela de Apoio'!$B:$B,MATCH('MAPA DE PREÇOS'!$O$8,'Tabela de Apoio'!$A:$A,1))/INDEX('Tabela de Apoio'!$B:$B,MATCH('MAPA DE PREÇOS'!Q100,'Tabela de Apoio'!$A:$A,1)-1))*Q99))</f>
        <v>1511.1639369728373</v>
      </c>
      <c r="R103" s="106">
        <f>IF(R99="","",
IF(OR(R101="Orçamento",R100="",MAX('Tabela de Apoio'!$A:$A)&lt;=R100),
R99,
(INDEX('Tabela de Apoio'!$B:$B,MATCH('MAPA DE PREÇOS'!$O$8,'Tabela de Apoio'!$A:$A,1))/INDEX('Tabela de Apoio'!$B:$B,MATCH('MAPA DE PREÇOS'!R100,'Tabela de Apoio'!$A:$A,1)-1))*R99))</f>
        <v>1861.8633067190397</v>
      </c>
      <c r="S103" s="106">
        <f>IF(S99="","",
IF(OR(S101="Orçamento",S100="",MAX('Tabela de Apoio'!$A:$A)&lt;=S100),
S99,
(INDEX('Tabela de Apoio'!$B:$B,MATCH('MAPA DE PREÇOS'!$O$8,'Tabela de Apoio'!$A:$A,1))/INDEX('Tabela de Apoio'!$B:$B,MATCH('MAPA DE PREÇOS'!S100,'Tabela de Apoio'!$A:$A,1)-1))*S99))</f>
        <v>1559.475160473982</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8"/>
      <c r="F104" s="93"/>
      <c r="G104" s="200"/>
      <c r="H104"/>
      <c r="I104"/>
      <c r="J104"/>
      <c r="N104" s="71"/>
      <c r="O104" s="27" t="s">
        <v>375</v>
      </c>
      <c r="P104" s="107">
        <f>IF(IFERROR(VLOOKUP(P101,'Tabela de Apoio'!$D:$E,2,FALSE),1)=1,"",P105)</f>
        <v>2029.7394616415284</v>
      </c>
      <c r="Q104" s="107">
        <f>IF(IFERROR(VLOOKUP(Q101,'Tabela de Apoio'!$D:$E,2,FALSE),1)=1,"",Q105)</f>
        <v>1511.1639369728373</v>
      </c>
      <c r="R104" s="107">
        <f>IF(IFERROR(VLOOKUP(R101,'Tabela de Apoio'!$D:$E,2,FALSE),1)=1,"",R105)</f>
        <v>1861.8633067190397</v>
      </c>
      <c r="S104" s="107">
        <f>IF(IFERROR(VLOOKUP(S101,'Tabela de Apoio'!$D:$E,2,FALSE),1)=1,"",S105)</f>
        <v>1559.475160473982</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8"/>
      <c r="F105" s="93"/>
      <c r="G105" s="200"/>
      <c r="H105" s="134">
        <f t="shared" ref="H105" si="243">COUNT($P105:$XX105)</f>
        <v>4</v>
      </c>
      <c r="I105" s="132">
        <f t="shared" ref="I105" si="244">_xlfn.STDEV.P($P104:$XX105)/AVERAGE($P104:$XX105)</f>
        <v>0.1231398811328354</v>
      </c>
      <c r="J105" s="7">
        <f>ROW()</f>
        <v>105</v>
      </c>
      <c r="K105" s="67"/>
      <c r="L105" s="29" t="s">
        <v>10</v>
      </c>
      <c r="M105" s="30">
        <f t="shared" ref="M105" si="245">IFERROR(
IF(COUNTA(P99:AI99)=COUNTIF(P101:XX101,"Orçamento"),MIN(M110,M107),
IF(M108&lt;&gt;"",M108,
IF(M109&lt;&gt;"",M109,
M107
))),"")</f>
        <v>1740.5604664518469</v>
      </c>
      <c r="N105" s="71"/>
      <c r="O105" s="27" t="s">
        <v>376</v>
      </c>
      <c r="P105" s="106">
        <f t="shared" ref="P105:AI105" si="246">IFERROR(IF(P103="",
            "",
            IF(COUNT($P103:$XX103)&lt;=4,
               P103,
               IF(OR(P103&gt;(QUARTILE($P103:$XX103,3)+(QUARTILE($P103:$XX103,3)-QUARTILE($P103:$XX103,1))),
                     P103&lt;(QUARTILE($P103:$XX103,1)-(QUARTILE($P103:$XX103,3)-QUARTILE($P103:$XX103,1)))
                  ),
               "DESCARTADO",P103)
             )
  ),P103)</f>
        <v>2029.7394616415284</v>
      </c>
      <c r="Q105" s="106">
        <f t="shared" si="246"/>
        <v>1511.1639369728373</v>
      </c>
      <c r="R105" s="106">
        <f t="shared" si="246"/>
        <v>1861.8633067190397</v>
      </c>
      <c r="S105" s="106">
        <f t="shared" si="246"/>
        <v>1559.475160473982</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8"/>
      <c r="F106" s="93"/>
      <c r="G106" s="200"/>
      <c r="H106"/>
      <c r="I106"/>
      <c r="J106"/>
      <c r="K106" s="66"/>
      <c r="L106" s="29" t="s">
        <v>360</v>
      </c>
      <c r="M106" s="30">
        <f t="shared" ref="M106" si="249">AVERAGE($P105:$XX105)</f>
        <v>1740.5604664518469</v>
      </c>
      <c r="N106" s="71"/>
      <c r="O106" s="27" t="str">
        <f t="shared" ref="O106" si="250">"1 POND"</f>
        <v>1 POND</v>
      </c>
      <c r="P106" s="107">
        <f>IF(IFERROR(VLOOKUP(P101,'Tabela de Apoio'!$D:$E,2,FALSE),1)=1,"",P107)</f>
        <v>2029.7394616415284</v>
      </c>
      <c r="Q106" s="107">
        <f>IF(IFERROR(VLOOKUP(Q101,'Tabela de Apoio'!$D:$E,2,FALSE),1)=1,"",Q107)</f>
        <v>1511.1639369728373</v>
      </c>
      <c r="R106" s="107">
        <f>IF(IFERROR(VLOOKUP(R101,'Tabela de Apoio'!$D:$E,2,FALSE),1)=1,"",R107)</f>
        <v>1861.8633067190397</v>
      </c>
      <c r="S106" s="107">
        <f>IF(IFERROR(VLOOKUP(S101,'Tabela de Apoio'!$D:$E,2,FALSE),1)=1,"",S107)</f>
        <v>1559.475160473982</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8"/>
      <c r="F107" s="93"/>
      <c r="G107" s="200"/>
      <c r="H107" s="134">
        <f t="shared" ref="H107" si="251">COUNT($P107:$XX107)</f>
        <v>4</v>
      </c>
      <c r="I107" s="132">
        <f t="shared" ref="I107" si="252">_xlfn.STDEV.P($P106:$XX107)/AVERAGE($P106:$XX107)</f>
        <v>0.1231398811328354</v>
      </c>
      <c r="J107" s="7">
        <f t="shared" ref="J107" si="253">IF(AND(H107&gt;2,
OR(L99="MÉDIA SANEADA",L99="MEDIANA SANEADA",
AND(L99="PREÇO ESTIMADO",NOT(AND(P101="Orçamento",COUNTA(P99:XX99)=COUNTIF(P101:XX101,"Orçamento")))))),
ROW(),0)</f>
        <v>107</v>
      </c>
      <c r="K107" s="66"/>
      <c r="L107" s="29" t="s">
        <v>361</v>
      </c>
      <c r="M107" s="30">
        <f t="shared" ref="M107" si="254">MEDIAN($P105:$XX105)</f>
        <v>1710.6692335965108</v>
      </c>
      <c r="N107" s="71"/>
      <c r="O107" s="27" t="str">
        <f t="shared" ref="O107" si="255">"1 RODADA"</f>
        <v>1 RODADA</v>
      </c>
      <c r="P107" s="107">
        <f t="shared" ref="P107:AI107" si="256">IF(P105="","",IF((_xlfn.STDEV.P($P104:$XX105)/AVERAGE($P104:$XX105))&lt;=25%,P105,IF(OR(P105&gt;(AVERAGE($P104:$XX105)+_xlfn.STDEV.P($P104:$XX105)),P105&lt;(AVERAGE($P104:$XX105)-_xlfn.STDEV.P($P104:$XX105))),"DESCARTADO",P105)))</f>
        <v>2029.7394616415284</v>
      </c>
      <c r="Q107" s="107">
        <f t="shared" si="256"/>
        <v>1511.1639369728373</v>
      </c>
      <c r="R107" s="107">
        <f t="shared" si="256"/>
        <v>1861.8633067190397</v>
      </c>
      <c r="S107" s="107">
        <f t="shared" si="256"/>
        <v>1559.475160473982</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8"/>
      <c r="F108" s="93"/>
      <c r="G108" s="200"/>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1740.5604664518469</v>
      </c>
      <c r="N108" s="71"/>
      <c r="O108" s="27" t="str">
        <f t="shared" ref="O108" si="258">"2 POND"</f>
        <v>2 POND</v>
      </c>
      <c r="P108" s="107">
        <f>IF(IFERROR(VLOOKUP(P101,'Tabela de Apoio'!$D:$E,2,FALSE),1)=1,"",P109)</f>
        <v>2029.7394616415284</v>
      </c>
      <c r="Q108" s="107">
        <f>IF(IFERROR(VLOOKUP(Q101,'Tabela de Apoio'!$D:$E,2,FALSE),1)=1,"",Q109)</f>
        <v>1511.1639369728373</v>
      </c>
      <c r="R108" s="107">
        <f>IF(IFERROR(VLOOKUP(R101,'Tabela de Apoio'!$D:$E,2,FALSE),1)=1,"",R109)</f>
        <v>1861.8633067190397</v>
      </c>
      <c r="S108" s="107">
        <f>IF(IFERROR(VLOOKUP(S101,'Tabela de Apoio'!$D:$E,2,FALSE),1)=1,"",S109)</f>
        <v>1559.475160473982</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8"/>
      <c r="F109" s="93"/>
      <c r="G109" s="200"/>
      <c r="H109" s="134">
        <f t="shared" ref="H109" si="259">COUNT($P109:$XX109)</f>
        <v>4</v>
      </c>
      <c r="I109" s="132">
        <f t="shared" ref="I109" si="260">_xlfn.STDEV.P($P108:$XX109)/AVERAGE($P108:$XX109)</f>
        <v>0.1231398811328354</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1710.6692335965108</v>
      </c>
      <c r="N109" s="71"/>
      <c r="O109" s="27" t="str">
        <f t="shared" ref="O109" si="263">"2 RODADA"</f>
        <v>2 RODADA</v>
      </c>
      <c r="P109" s="107">
        <f t="shared" ref="P109:AI109" si="264">IF(P107="","",IF((_xlfn.STDEV.P($P106:$XX107)/AVERAGE($P106:$XX107))&lt;=25%,P107,IF(OR(P107&gt;(AVERAGE($P106:$XX107)+_xlfn.STDEV.P($P106:$XX107)),P107&lt;(AVERAGE($P106:$XX107)-_xlfn.STDEV.P($P106:$XX107))),"DESCARTADO",P107)))</f>
        <v>2029.7394616415284</v>
      </c>
      <c r="Q109" s="107">
        <f t="shared" si="264"/>
        <v>1511.1639369728373</v>
      </c>
      <c r="R109" s="107">
        <f t="shared" si="264"/>
        <v>1861.8633067190397</v>
      </c>
      <c r="S109" s="107">
        <f t="shared" si="264"/>
        <v>1559.475160473982</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8"/>
      <c r="F110" s="93"/>
      <c r="G110" s="200"/>
      <c r="H110"/>
      <c r="I110"/>
      <c r="J110"/>
      <c r="K110" s="66"/>
      <c r="L110" s="29" t="s">
        <v>359</v>
      </c>
      <c r="M110" s="30">
        <f t="shared" ref="M110" si="265">HARMEAN($P104:$XX105)</f>
        <v>1714.7119108960437</v>
      </c>
      <c r="N110" s="71"/>
      <c r="O110" s="27" t="str">
        <f t="shared" ref="O110" si="266">"3 POND"</f>
        <v>3 POND</v>
      </c>
      <c r="P110" s="107">
        <f>IF(IFERROR(VLOOKUP(P101,'Tabela de Apoio'!$D:$E,2,FALSE),1)=1,"",P111)</f>
        <v>2029.7394616415284</v>
      </c>
      <c r="Q110" s="107">
        <f>IF(IFERROR(VLOOKUP(Q101,'Tabela de Apoio'!$D:$E,2,FALSE),1)=1,"",Q111)</f>
        <v>1511.1639369728373</v>
      </c>
      <c r="R110" s="107">
        <f>IF(IFERROR(VLOOKUP(R101,'Tabela de Apoio'!$D:$E,2,FALSE),1)=1,"",R111)</f>
        <v>1861.8633067190397</v>
      </c>
      <c r="S110" s="107">
        <f>IF(IFERROR(VLOOKUP(S101,'Tabela de Apoio'!$D:$E,2,FALSE),1)=1,"",S111)</f>
        <v>1559.475160473982</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8"/>
      <c r="F111" s="93"/>
      <c r="G111" s="200"/>
      <c r="H111" s="134">
        <f t="shared" ref="H111" si="267">COUNT($P111:$XX111)</f>
        <v>4</v>
      </c>
      <c r="I111" s="132">
        <f t="shared" ref="I111" si="268">_xlfn.STDEV.P($P110:$XX111)/AVERAGE($P110:$XX111)</f>
        <v>0.1231398811328354</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1523.2417428481235</v>
      </c>
      <c r="N111" s="71"/>
      <c r="O111" s="27" t="str">
        <f t="shared" ref="O111" si="271">"3 RODADA"</f>
        <v>3 RODADA</v>
      </c>
      <c r="P111" s="107">
        <f t="shared" ref="P111:AI111" si="272">IF(P109="","",IF((_xlfn.STDEV.P($P108:$XX109)/AVERAGE($P108:$XX109))&lt;=25%,P109,IF(OR(P109&gt;(AVERAGE($P108:$XX109)+_xlfn.STDEV.P($P108:$XX109)),P109&lt;(AVERAGE($P108:$XX109)-_xlfn.STDEV.P($P108:$XX109))),"DESCARTADO",P109)))</f>
        <v>2029.7394616415284</v>
      </c>
      <c r="Q111" s="107">
        <f t="shared" si="272"/>
        <v>1511.1639369728373</v>
      </c>
      <c r="R111" s="107">
        <f t="shared" si="272"/>
        <v>1861.8633067190397</v>
      </c>
      <c r="S111" s="107">
        <f t="shared" si="272"/>
        <v>1559.475160473982</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8"/>
      <c r="F112" s="93"/>
      <c r="G112" s="200"/>
      <c r="H112"/>
      <c r="I112"/>
      <c r="J112"/>
      <c r="K112" s="66"/>
      <c r="L112" s="29" t="s">
        <v>39</v>
      </c>
      <c r="M112" s="30">
        <f t="shared" ref="M112" si="273">IFERROR(_xlfn.QUARTILE.EXC($P105:$XX105,3),"")</f>
        <v>1987.7704229109063</v>
      </c>
      <c r="N112" s="71"/>
      <c r="O112" s="27" t="str">
        <f t="shared" ref="O112" si="274">"4 POND"</f>
        <v>4 POND</v>
      </c>
      <c r="P112" s="107">
        <f>IF(IFERROR(VLOOKUP(P101,'Tabela de Apoio'!$D:$E,2,FALSE),1)=1,"",P113)</f>
        <v>2029.7394616415284</v>
      </c>
      <c r="Q112" s="107">
        <f>IF(IFERROR(VLOOKUP(Q101,'Tabela de Apoio'!$D:$E,2,FALSE),1)=1,"",Q113)</f>
        <v>1511.1639369728373</v>
      </c>
      <c r="R112" s="107">
        <f>IF(IFERROR(VLOOKUP(R101,'Tabela de Apoio'!$D:$E,2,FALSE),1)=1,"",R113)</f>
        <v>1861.8633067190397</v>
      </c>
      <c r="S112" s="107">
        <f>IF(IFERROR(VLOOKUP(S101,'Tabela de Apoio'!$D:$E,2,FALSE),1)=1,"",S113)</f>
        <v>1559.475160473982</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8"/>
      <c r="F113" s="93"/>
      <c r="G113" s="200"/>
      <c r="H113" s="134">
        <f t="shared" ref="H113" si="275">COUNT($P113:$XX113)</f>
        <v>4</v>
      </c>
      <c r="I113" s="132">
        <f t="shared" ref="I113" si="276">_xlfn.STDEV.P($P112:$XX113)/AVERAGE($P112:$XX113)</f>
        <v>0.1231398811328354</v>
      </c>
      <c r="J113" s="7">
        <f t="shared" ref="J113" si="277">IF(AND(H113&gt;2,
OR(L99="MÉDIA SANEADA",L99="MEDIANA SANEADA",
AND(L99="PREÇO ESTIMADO",NOT(AND(P101="Orçamento",COUNTA(P99:XX99)=COUNTIF(P101:XX101,"Orçamento")))))),
ROW(),0)</f>
        <v>113</v>
      </c>
      <c r="K113" s="66"/>
      <c r="L113" s="29" t="s">
        <v>42</v>
      </c>
      <c r="M113" s="30">
        <f t="shared" ref="M113" si="278">MIN($P105:$XX105)</f>
        <v>1511.1639369728373</v>
      </c>
      <c r="N113" s="71"/>
      <c r="O113" s="27" t="str">
        <f t="shared" ref="O113" si="279">"4 RODADA"</f>
        <v>4 RODADA</v>
      </c>
      <c r="P113" s="107">
        <f t="shared" ref="P113:AI113" si="280">IF(P111="","",IF((_xlfn.STDEV.P($P110:$XX111)/AVERAGE($P110:$XX111))&lt;=25%,P111,IF(OR(P111&gt;(AVERAGE($P110:$XX111)+_xlfn.STDEV.P($P110:$XX111)),P111&lt;(AVERAGE($P110:$XX111)-_xlfn.STDEV.P($P110:$XX111))),"DESCARTADO",P111)))</f>
        <v>2029.7394616415284</v>
      </c>
      <c r="Q113" s="107">
        <f t="shared" si="280"/>
        <v>1511.1639369728373</v>
      </c>
      <c r="R113" s="107">
        <f t="shared" si="280"/>
        <v>1861.8633067190397</v>
      </c>
      <c r="S113" s="107">
        <f t="shared" si="280"/>
        <v>1559.475160473982</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8"/>
      <c r="F114" s="93"/>
      <c r="G114" s="200"/>
      <c r="H114"/>
      <c r="I114"/>
      <c r="J114"/>
      <c r="K114" s="66"/>
      <c r="L114" s="29" t="s">
        <v>40</v>
      </c>
      <c r="M114" s="30">
        <f t="shared" ref="M114" si="281">MAX($P105:$XX105)</f>
        <v>2029.7394616415284</v>
      </c>
      <c r="N114" s="71"/>
      <c r="O114" s="27" t="str">
        <f t="shared" ref="O114" si="282">"5 POND"</f>
        <v>5 POND</v>
      </c>
      <c r="P114" s="107">
        <f>IF(IFERROR(VLOOKUP(P101,'Tabela de Apoio'!$D:$E,2,FALSE),1)=1,"",P115)</f>
        <v>2029.7394616415284</v>
      </c>
      <c r="Q114" s="107">
        <f>IF(IFERROR(VLOOKUP(Q101,'Tabela de Apoio'!$D:$E,2,FALSE),1)=1,"",Q115)</f>
        <v>1511.1639369728373</v>
      </c>
      <c r="R114" s="107">
        <f>IF(IFERROR(VLOOKUP(R101,'Tabela de Apoio'!$D:$E,2,FALSE),1)=1,"",R115)</f>
        <v>1861.8633067190397</v>
      </c>
      <c r="S114" s="107">
        <f>IF(IFERROR(VLOOKUP(S101,'Tabela de Apoio'!$D:$E,2,FALSE),1)=1,"",S115)</f>
        <v>1559.475160473982</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8"/>
      <c r="F115" s="93"/>
      <c r="G115" s="200"/>
      <c r="H115" s="134">
        <f t="shared" ref="H115" si="283">COUNT($P115:$XX115)</f>
        <v>4</v>
      </c>
      <c r="I115" s="132">
        <f t="shared" ref="I115" si="284">_xlfn.STDEV.P($P114:$XX115)/AVERAGE($P114:$XX115)</f>
        <v>0.1231398811328354</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2029.7394616415284</v>
      </c>
      <c r="Q115" s="107">
        <f t="shared" si="287"/>
        <v>1511.1639369728373</v>
      </c>
      <c r="R115" s="107">
        <f t="shared" si="287"/>
        <v>1861.8633067190397</v>
      </c>
      <c r="S115" s="107">
        <f t="shared" si="287"/>
        <v>1559.475160473982</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8"/>
      <c r="F116" s="93"/>
      <c r="G116" s="200"/>
      <c r="H116"/>
      <c r="I116"/>
      <c r="J116"/>
      <c r="K116" s="66"/>
      <c r="L116" s="22"/>
      <c r="M116" s="22"/>
      <c r="N116" s="71"/>
      <c r="O116" s="27" t="str">
        <f t="shared" ref="O116" si="288">"6 POND"</f>
        <v>6 POND</v>
      </c>
      <c r="P116" s="107">
        <f>IF(IFERROR(VLOOKUP(P101,'Tabela de Apoio'!$D:$E,2,FALSE),1)=1,"",P117)</f>
        <v>2029.7394616415284</v>
      </c>
      <c r="Q116" s="107">
        <f>IF(IFERROR(VLOOKUP(Q101,'Tabela de Apoio'!$D:$E,2,FALSE),1)=1,"",Q117)</f>
        <v>1511.1639369728373</v>
      </c>
      <c r="R116" s="107">
        <f>IF(IFERROR(VLOOKUP(R101,'Tabela de Apoio'!$D:$E,2,FALSE),1)=1,"",R117)</f>
        <v>1861.8633067190397</v>
      </c>
      <c r="S116" s="107">
        <f>IF(IFERROR(VLOOKUP(S101,'Tabela de Apoio'!$D:$E,2,FALSE),1)=1,"",S117)</f>
        <v>1559.475160473982</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8"/>
      <c r="F117" s="93"/>
      <c r="G117" s="200"/>
      <c r="H117" s="134">
        <f t="shared" ref="H117" si="289">COUNT($P117:$XX117)</f>
        <v>4</v>
      </c>
      <c r="I117" s="132">
        <f t="shared" ref="I117" si="290">_xlfn.STDEV.P($P116:$XX117)/AVERAGE($P116:$XX117)</f>
        <v>0.1231398811328354</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2029.7394616415284</v>
      </c>
      <c r="Q117" s="107">
        <f t="shared" si="293"/>
        <v>1511.1639369728373</v>
      </c>
      <c r="R117" s="107">
        <f t="shared" si="293"/>
        <v>1861.8633067190397</v>
      </c>
      <c r="S117" s="107">
        <f t="shared" si="293"/>
        <v>1559.475160473982</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8"/>
      <c r="F118" s="136"/>
      <c r="G118" s="200"/>
      <c r="H118" s="203"/>
      <c r="I118" s="203"/>
      <c r="J118" s="204"/>
      <c r="K118" s="67"/>
      <c r="L118" s="1" t="s">
        <v>43</v>
      </c>
      <c r="M118" s="143">
        <f t="shared" ref="M118" si="294">IFERROR(ROUND(M99*M101,2),"")</f>
        <v>10443.36</v>
      </c>
      <c r="O118" s="27" t="s">
        <v>363</v>
      </c>
      <c r="P118" s="107">
        <f t="shared" ref="P118:R118" si="295">INDEX(P105:P117,MATCH(MAX($J105:$J117),$J105:$J117,0))</f>
        <v>2029.7394616415284</v>
      </c>
      <c r="Q118" s="107">
        <f t="shared" si="295"/>
        <v>1511.1639369728373</v>
      </c>
      <c r="R118" s="107">
        <f t="shared" si="295"/>
        <v>1861.8633067190397</v>
      </c>
      <c r="S118" s="107">
        <f t="shared" si="229"/>
        <v>1559.475160473982</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v>1226</v>
      </c>
      <c r="I120" s="181" t="s">
        <v>16</v>
      </c>
      <c r="J120" s="6">
        <f>INDEX('BASE FORMAÇÃO'!K:K,B120+1)</f>
        <v>0</v>
      </c>
      <c r="K120" s="65"/>
      <c r="L120" s="182" t="s">
        <v>10</v>
      </c>
      <c r="M120" s="184">
        <f t="shared" ref="M120" si="298">IF(OR(ISBLANK($O$8),ISBLANK($O$7),ISBLANK($H$8),ISBLANK($O$6),ISBLANK($O$5),ISBLANK($H$5)),"",IFERROR(IF(VLOOKUP(L120,L126:M135,2,FALSE)&lt;1,ROUND(VLOOKUP(L120,L126:M135,2,FALSE),4),ROUND(VLOOKUP(L120,L126:M135,2,FALSE),2)),""))</f>
        <v>4774.53</v>
      </c>
      <c r="N120" s="69"/>
      <c r="O120" s="27" t="s">
        <v>17</v>
      </c>
      <c r="P120" s="113">
        <f>2599*2</f>
        <v>5198</v>
      </c>
      <c r="Q120" s="113">
        <f>4700*2</f>
        <v>9400</v>
      </c>
      <c r="R120" s="113">
        <f>3360*2</f>
        <v>6720</v>
      </c>
      <c r="S120" s="113">
        <f>2950*2</f>
        <v>5900</v>
      </c>
      <c r="T120" s="113">
        <v>4500</v>
      </c>
      <c r="U120" s="105">
        <v>5300</v>
      </c>
      <c r="V120" s="105">
        <f>3900*2</f>
        <v>7800</v>
      </c>
      <c r="W120" s="105">
        <v>2490</v>
      </c>
      <c r="X120" s="105">
        <v>4880</v>
      </c>
      <c r="Y120" s="105">
        <v>3500</v>
      </c>
      <c r="Z120" s="105">
        <f>10500/3</f>
        <v>3500</v>
      </c>
      <c r="AA120" s="105">
        <v>1330</v>
      </c>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6">
        <f t="shared" ref="E121" si="300">D120</f>
        <v>6</v>
      </c>
      <c r="F121" s="92"/>
      <c r="G121" s="188" t="s">
        <v>1</v>
      </c>
      <c r="H121" s="191" t="s">
        <v>439</v>
      </c>
      <c r="I121" s="191"/>
      <c r="J121" s="192"/>
      <c r="K121" s="66"/>
      <c r="L121" s="183"/>
      <c r="M121" s="185"/>
      <c r="N121" s="70"/>
      <c r="O121" s="27" t="s">
        <v>13</v>
      </c>
      <c r="P121" s="122">
        <v>46134</v>
      </c>
      <c r="Q121" s="122">
        <v>46240</v>
      </c>
      <c r="R121" s="122">
        <v>46154</v>
      </c>
      <c r="S121" s="122">
        <v>46134</v>
      </c>
      <c r="T121" s="122">
        <v>46024</v>
      </c>
      <c r="U121" s="122">
        <v>46056</v>
      </c>
      <c r="V121" s="122">
        <v>46185</v>
      </c>
      <c r="W121" s="122">
        <v>46169</v>
      </c>
      <c r="X121" s="122">
        <v>46149</v>
      </c>
      <c r="Y121" s="122">
        <v>46052</v>
      </c>
      <c r="Z121" s="122">
        <v>46234</v>
      </c>
      <c r="AA121" s="122">
        <v>46113</v>
      </c>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7"/>
      <c r="F122" s="93"/>
      <c r="G122" s="189"/>
      <c r="H122" s="193"/>
      <c r="I122" s="193"/>
      <c r="J122" s="194"/>
      <c r="K122" s="64"/>
      <c r="L122" s="130" t="s">
        <v>44</v>
      </c>
      <c r="M122" s="131">
        <v>6</v>
      </c>
      <c r="N122" s="71"/>
      <c r="O122" s="27" t="s">
        <v>380</v>
      </c>
      <c r="P122" s="114" t="s">
        <v>12</v>
      </c>
      <c r="Q122" s="114" t="s">
        <v>12</v>
      </c>
      <c r="R122" s="114" t="s">
        <v>12</v>
      </c>
      <c r="S122" s="114" t="s">
        <v>12</v>
      </c>
      <c r="T122" s="114" t="s">
        <v>12</v>
      </c>
      <c r="U122" s="114" t="s">
        <v>12</v>
      </c>
      <c r="V122" s="114" t="s">
        <v>12</v>
      </c>
      <c r="W122" s="114" t="s">
        <v>12</v>
      </c>
      <c r="X122" s="114" t="s">
        <v>12</v>
      </c>
      <c r="Y122" s="114" t="s">
        <v>12</v>
      </c>
      <c r="Z122" s="114" t="s">
        <v>12</v>
      </c>
      <c r="AA122" s="118" t="s">
        <v>12</v>
      </c>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0"/>
      <c r="H123" s="195"/>
      <c r="I123" s="195"/>
      <c r="J123" s="196"/>
      <c r="K123" s="64"/>
      <c r="L123" s="1" t="s">
        <v>2</v>
      </c>
      <c r="M123" s="6" t="s">
        <v>206</v>
      </c>
      <c r="N123" s="71"/>
      <c r="O123" s="27" t="s">
        <v>381</v>
      </c>
      <c r="P123" s="115" t="s">
        <v>442</v>
      </c>
      <c r="Q123" s="115" t="s">
        <v>440</v>
      </c>
      <c r="R123" s="115" t="s">
        <v>440</v>
      </c>
      <c r="S123" s="115" t="s">
        <v>440</v>
      </c>
      <c r="T123" s="115" t="s">
        <v>440</v>
      </c>
      <c r="U123" s="118" t="s">
        <v>444</v>
      </c>
      <c r="V123" s="118" t="s">
        <v>442</v>
      </c>
      <c r="W123" s="118" t="s">
        <v>442</v>
      </c>
      <c r="X123" s="118" t="s">
        <v>442</v>
      </c>
      <c r="Y123" s="118" t="s">
        <v>442</v>
      </c>
      <c r="Z123" s="118" t="s">
        <v>440</v>
      </c>
      <c r="AA123" s="118" t="s">
        <v>440</v>
      </c>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7">
        <f t="shared" ref="E124" si="304">C120</f>
        <v>1</v>
      </c>
      <c r="F124" s="93"/>
      <c r="G124" s="199" t="s">
        <v>304</v>
      </c>
      <c r="H124" s="201" t="s">
        <v>20</v>
      </c>
      <c r="I124" s="202"/>
      <c r="J124" s="202"/>
      <c r="K124" s="67"/>
      <c r="L124" s="28" t="s">
        <v>303</v>
      </c>
      <c r="M124" s="133">
        <f t="shared" ref="M124" si="305">IFERROR(INDEX(I126:I138,MATCH(MAX(J126:J138),J126:J138,0)),"")</f>
        <v>0.18034974731727962</v>
      </c>
      <c r="N124" s="71"/>
      <c r="O124" s="27" t="s">
        <v>18</v>
      </c>
      <c r="P124" s="106">
        <f>IF(P120="","",
IF(OR(P122="Orçamento",P121="",MAX('Tabela de Apoio'!$A:$A)&lt;=P121),
P120,
(INDEX('Tabela de Apoio'!$B:$B,MATCH('MAPA DE PREÇOS'!$O$8,'Tabela de Apoio'!$A:$A,1))/INDEX('Tabela de Apoio'!$B:$B,MATCH('MAPA DE PREÇOS'!P121,'Tabela de Apoio'!$A:$A,1)-1))*P120))</f>
        <v>5275.2928608063321</v>
      </c>
      <c r="Q124" s="106">
        <f>IF(Q120="","",
IF(OR(Q122="Orçamento",Q121="",MAX('Tabela de Apoio'!$A:$A)&lt;=Q121),
Q120,
(INDEX('Tabela de Apoio'!$B:$B,MATCH('MAPA DE PREÇOS'!$O$8,'Tabela de Apoio'!$A:$A,1))/INDEX('Tabela de Apoio'!$B:$B,MATCH('MAPA DE PREÇOS'!Q121,'Tabela de Apoio'!$A:$A,1)-1))*Q120))</f>
        <v>9400</v>
      </c>
      <c r="R124" s="106">
        <f>IF(R120="","",
IF(OR(R122="Orçamento",R121="",MAX('Tabela de Apoio'!$A:$A)&lt;=R121),
R120,
(INDEX('Tabela de Apoio'!$B:$B,MATCH('MAPA DE PREÇOS'!$O$8,'Tabela de Apoio'!$A:$A,1))/INDEX('Tabela de Apoio'!$B:$B,MATCH('MAPA DE PREÇOS'!R121,'Tabela de Apoio'!$A:$A,1)-1))*R120))</f>
        <v>6774.53079149931</v>
      </c>
      <c r="S124" s="106">
        <f>IF(S120="","",
IF(OR(S122="Orçamento",S121="",MAX('Tabela de Apoio'!$A:$A)&lt;=S121),
S120,
(INDEX('Tabela de Apoio'!$B:$B,MATCH('MAPA DE PREÇOS'!$O$8,'Tabela de Apoio'!$A:$A,1))/INDEX('Tabela de Apoio'!$B:$B,MATCH('MAPA DE PREÇOS'!S121,'Tabela de Apoio'!$A:$A,1)-1))*S120))</f>
        <v>5987.7314118425084</v>
      </c>
      <c r="T124" s="106">
        <f>IF(T120="","",
IF(OR(T122="Orçamento",T121="",MAX('Tabela de Apoio'!$A:$A)&lt;=T121),
T120,
(INDEX('Tabela de Apoio'!$B:$B,MATCH('MAPA DE PREÇOS'!$O$8,'Tabela de Apoio'!$A:$A,1))/INDEX('Tabela de Apoio'!$B:$B,MATCH('MAPA DE PREÇOS'!T121,'Tabela de Apoio'!$A:$A,1)-1))*T120))</f>
        <v>4654.658266797599</v>
      </c>
      <c r="U124" s="106">
        <f>IF(U120="","",
IF(OR(U122="Orçamento",U121="",MAX('Tabela de Apoio'!$A:$A)&lt;=U121),
U120,
(INDEX('Tabela de Apoio'!$B:$B,MATCH('MAPA DE PREÇOS'!$O$8,'Tabela de Apoio'!$A:$A,1))/INDEX('Tabela de Apoio'!$B:$B,MATCH('MAPA DE PREÇOS'!U121,'Tabela de Apoio'!$A:$A,1)-1))*U120))</f>
        <v>5464.1220993790821</v>
      </c>
      <c r="V124" s="106">
        <f>IF(V120="","",
IF(OR(V122="Orçamento",V121="",MAX('Tabela de Apoio'!$A:$A)&lt;=V121),
V120,
(INDEX('Tabela de Apoio'!$B:$B,MATCH('MAPA DE PREÇOS'!$O$8,'Tabela de Apoio'!$A:$A,1))/INDEX('Tabela de Apoio'!$B:$B,MATCH('MAPA DE PREÇOS'!V121,'Tabela de Apoio'!$A:$A,1)-1))*V120))</f>
        <v>7817.9478151606972</v>
      </c>
      <c r="W124" s="106">
        <f>IF(W120="","",
IF(OR(W122="Orçamento",W121="",MAX('Tabela de Apoio'!$A:$A)&lt;=W121),
W120,
(INDEX('Tabela de Apoio'!$B:$B,MATCH('MAPA DE PREÇOS'!$O$8,'Tabela de Apoio'!$A:$A,1))/INDEX('Tabela de Apoio'!$B:$B,MATCH('MAPA DE PREÇOS'!W121,'Tabela de Apoio'!$A:$A,1)-1))*W120))</f>
        <v>2510.2056057787622</v>
      </c>
      <c r="X124" s="106">
        <f>IF(X120="","",
IF(OR(X122="Orçamento",X121="",MAX('Tabela de Apoio'!$A:$A)&lt;=X121),
X120,
(INDEX('Tabela de Apoio'!$B:$B,MATCH('MAPA DE PREÇOS'!$O$8,'Tabela de Apoio'!$A:$A,1))/INDEX('Tabela de Apoio'!$B:$B,MATCH('MAPA DE PREÇOS'!X121,'Tabela de Apoio'!$A:$A,1)-1))*X120))</f>
        <v>4919.599741445928</v>
      </c>
      <c r="Y124" s="106">
        <f>IF(Y120="","",
IF(OR(Y122="Orçamento",Y121="",MAX('Tabela de Apoio'!$A:$A)&lt;=Y121),
Y120,
(INDEX('Tabela de Apoio'!$B:$B,MATCH('MAPA DE PREÇOS'!$O$8,'Tabela de Apoio'!$A:$A,1))/INDEX('Tabela de Apoio'!$B:$B,MATCH('MAPA DE PREÇOS'!Y121,'Tabela de Apoio'!$A:$A,1)-1))*Y120))</f>
        <v>3620.2897630647994</v>
      </c>
      <c r="Z124" s="106">
        <f>IF(Z120="","",
IF(OR(Z122="Orçamento",Z121="",MAX('Tabela de Apoio'!$A:$A)&lt;=Z121),
Z120,
(INDEX('Tabela de Apoio'!$B:$B,MATCH('MAPA DE PREÇOS'!$O$8,'Tabela de Apoio'!$A:$A,1))/INDEX('Tabela de Apoio'!$B:$B,MATCH('MAPA DE PREÇOS'!Z121,'Tabela de Apoio'!$A:$A,1)-1))*Z120))</f>
        <v>3500</v>
      </c>
      <c r="AA124" s="106">
        <f>IF(AA120="","",
IF(OR(AA122="Orçamento",AA121="",MAX('Tabela de Apoio'!$A:$A)&lt;=AA121),
AA120,
(INDEX('Tabela de Apoio'!$B:$B,MATCH('MAPA DE PREÇOS'!$O$8,'Tabela de Apoio'!$A:$A,1))/INDEX('Tabela de Apoio'!$B:$B,MATCH('MAPA DE PREÇOS'!AA121,'Tabela de Apoio'!$A:$A,1)-1))*AA120))</f>
        <v>1349.7767419916163</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8"/>
      <c r="F125" s="93"/>
      <c r="G125" s="200"/>
      <c r="H125"/>
      <c r="I125"/>
      <c r="J125"/>
      <c r="N125" s="71"/>
      <c r="O125" s="27" t="s">
        <v>375</v>
      </c>
      <c r="P125" s="107">
        <f>IF(IFERROR(VLOOKUP(P122,'Tabela de Apoio'!$D:$E,2,FALSE),1)=1,"",P126)</f>
        <v>5275.2928608063321</v>
      </c>
      <c r="Q125" s="107" t="str">
        <f>IF(IFERROR(VLOOKUP(Q122,'Tabela de Apoio'!$D:$E,2,FALSE),1)=1,"",Q126)</f>
        <v>DESCARTADO</v>
      </c>
      <c r="R125" s="107">
        <f>IF(IFERROR(VLOOKUP(R122,'Tabela de Apoio'!$D:$E,2,FALSE),1)=1,"",R126)</f>
        <v>6774.53079149931</v>
      </c>
      <c r="S125" s="107">
        <f>IF(IFERROR(VLOOKUP(S122,'Tabela de Apoio'!$D:$E,2,FALSE),1)=1,"",S126)</f>
        <v>5987.7314118425084</v>
      </c>
      <c r="T125" s="107">
        <f>IF(IFERROR(VLOOKUP(T122,'Tabela de Apoio'!$D:$E,2,FALSE),1)=1,"",T126)</f>
        <v>4654.658266797599</v>
      </c>
      <c r="U125" s="107">
        <f>IF(IFERROR(VLOOKUP(U122,'Tabela de Apoio'!$D:$E,2,FALSE),1)=1,"",U126)</f>
        <v>5464.1220993790821</v>
      </c>
      <c r="V125" s="107">
        <f>IF(IFERROR(VLOOKUP(V122,'Tabela de Apoio'!$D:$E,2,FALSE),1)=1,"",V126)</f>
        <v>7817.9478151606972</v>
      </c>
      <c r="W125" s="107">
        <f>IF(IFERROR(VLOOKUP(W122,'Tabela de Apoio'!$D:$E,2,FALSE),1)=1,"",W126)</f>
        <v>2510.2056057787622</v>
      </c>
      <c r="X125" s="107">
        <f>IF(IFERROR(VLOOKUP(X122,'Tabela de Apoio'!$D:$E,2,FALSE),1)=1,"",X126)</f>
        <v>4919.599741445928</v>
      </c>
      <c r="Y125" s="107">
        <f>IF(IFERROR(VLOOKUP(Y122,'Tabela de Apoio'!$D:$E,2,FALSE),1)=1,"",Y126)</f>
        <v>3620.2897630647994</v>
      </c>
      <c r="Z125" s="107">
        <f>IF(IFERROR(VLOOKUP(Z122,'Tabela de Apoio'!$D:$E,2,FALSE),1)=1,"",Z126)</f>
        <v>3500</v>
      </c>
      <c r="AA125" s="107">
        <f>IF(IFERROR(VLOOKUP(AA122,'Tabela de Apoio'!$D:$E,2,FALSE),1)=1,"",AA126)</f>
        <v>1349.7767419916163</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8"/>
      <c r="F126" s="93"/>
      <c r="G126" s="200"/>
      <c r="H126" s="134">
        <f t="shared" ref="H126" si="309">COUNT($P126:$XX126)</f>
        <v>11</v>
      </c>
      <c r="I126" s="132">
        <f t="shared" ref="I126" si="310">_xlfn.STDEV.P($P125:$XX126)/AVERAGE($P125:$XX126)</f>
        <v>0.37971116249310671</v>
      </c>
      <c r="J126" s="7">
        <f>ROW()</f>
        <v>126</v>
      </c>
      <c r="K126" s="67"/>
      <c r="L126" s="29" t="s">
        <v>10</v>
      </c>
      <c r="M126" s="30">
        <f t="shared" ref="M126" si="311">IFERROR(
IF(COUNTA(P120:AI120)=COUNTIF(P122:XX122,"Orçamento"),MIN(M131,M128),
IF(M129&lt;&gt;"",M129,
IF(M130&lt;&gt;"",M130,
M128
))),"")</f>
        <v>4774.5277347623214</v>
      </c>
      <c r="N126" s="71"/>
      <c r="O126" s="27" t="s">
        <v>376</v>
      </c>
      <c r="P126" s="106">
        <f t="shared" ref="P126:AI126" si="312">IFERROR(IF(P124="",
            "",
            IF(COUNT($P124:$XX124)&lt;=4,
               P124,
               IF(OR(P124&gt;(QUARTILE($P124:$XX124,3)+(QUARTILE($P124:$XX124,3)-QUARTILE($P124:$XX124,1))),
                     P124&lt;(QUARTILE($P124:$XX124,1)-(QUARTILE($P124:$XX124,3)-QUARTILE($P124:$XX124,1)))
                  ),
               "DESCARTADO",P124)
             )
  ),P124)</f>
        <v>5275.2928608063321</v>
      </c>
      <c r="Q126" s="106" t="str">
        <f t="shared" si="312"/>
        <v>DESCARTADO</v>
      </c>
      <c r="R126" s="106">
        <f t="shared" si="312"/>
        <v>6774.53079149931</v>
      </c>
      <c r="S126" s="106">
        <f t="shared" si="312"/>
        <v>5987.7314118425084</v>
      </c>
      <c r="T126" s="106">
        <f t="shared" si="312"/>
        <v>4654.658266797599</v>
      </c>
      <c r="U126" s="106">
        <f t="shared" si="312"/>
        <v>5464.1220993790821</v>
      </c>
      <c r="V126" s="106">
        <f t="shared" si="312"/>
        <v>7817.9478151606972</v>
      </c>
      <c r="W126" s="106">
        <f t="shared" si="312"/>
        <v>2510.2056057787622</v>
      </c>
      <c r="X126" s="106">
        <f t="shared" si="312"/>
        <v>4919.599741445928</v>
      </c>
      <c r="Y126" s="106">
        <f t="shared" si="312"/>
        <v>3620.2897630647994</v>
      </c>
      <c r="Z126" s="106">
        <f t="shared" si="312"/>
        <v>3500</v>
      </c>
      <c r="AA126" s="106">
        <f t="shared" si="312"/>
        <v>1349.7767419916163</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8"/>
      <c r="F127" s="93"/>
      <c r="G127" s="200"/>
      <c r="H127"/>
      <c r="I127"/>
      <c r="J127"/>
      <c r="K127" s="66"/>
      <c r="L127" s="29" t="s">
        <v>360</v>
      </c>
      <c r="M127" s="30">
        <f t="shared" ref="M127" si="315">AVERAGE($P126:$XX126)</f>
        <v>4715.8322816151485</v>
      </c>
      <c r="N127" s="71"/>
      <c r="O127" s="27" t="str">
        <f t="shared" ref="O127" si="316">"1 POND"</f>
        <v>1 POND</v>
      </c>
      <c r="P127" s="107">
        <f>IF(IFERROR(VLOOKUP(P122,'Tabela de Apoio'!$D:$E,2,FALSE),1)=1,"",P128)</f>
        <v>5275.2928608063321</v>
      </c>
      <c r="Q127" s="107" t="str">
        <f>IF(IFERROR(VLOOKUP(Q122,'Tabela de Apoio'!$D:$E,2,FALSE),1)=1,"",Q128)</f>
        <v>DESCARTADO</v>
      </c>
      <c r="R127" s="107" t="str">
        <f>IF(IFERROR(VLOOKUP(R122,'Tabela de Apoio'!$D:$E,2,FALSE),1)=1,"",R128)</f>
        <v>DESCARTADO</v>
      </c>
      <c r="S127" s="107">
        <f>IF(IFERROR(VLOOKUP(S122,'Tabela de Apoio'!$D:$E,2,FALSE),1)=1,"",S128)</f>
        <v>5987.7314118425084</v>
      </c>
      <c r="T127" s="107">
        <f>IF(IFERROR(VLOOKUP(T122,'Tabela de Apoio'!$D:$E,2,FALSE),1)=1,"",T128)</f>
        <v>4654.658266797599</v>
      </c>
      <c r="U127" s="107">
        <f>IF(IFERROR(VLOOKUP(U122,'Tabela de Apoio'!$D:$E,2,FALSE),1)=1,"",U128)</f>
        <v>5464.1220993790821</v>
      </c>
      <c r="V127" s="107" t="str">
        <f>IF(IFERROR(VLOOKUP(V122,'Tabela de Apoio'!$D:$E,2,FALSE),1)=1,"",V128)</f>
        <v>DESCARTADO</v>
      </c>
      <c r="W127" s="107" t="str">
        <f>IF(IFERROR(VLOOKUP(W122,'Tabela de Apoio'!$D:$E,2,FALSE),1)=1,"",W128)</f>
        <v>DESCARTADO</v>
      </c>
      <c r="X127" s="107">
        <f>IF(IFERROR(VLOOKUP(X122,'Tabela de Apoio'!$D:$E,2,FALSE),1)=1,"",X128)</f>
        <v>4919.599741445928</v>
      </c>
      <c r="Y127" s="107">
        <f>IF(IFERROR(VLOOKUP(Y122,'Tabela de Apoio'!$D:$E,2,FALSE),1)=1,"",Y128)</f>
        <v>3620.2897630647994</v>
      </c>
      <c r="Z127" s="107">
        <f>IF(IFERROR(VLOOKUP(Z122,'Tabela de Apoio'!$D:$E,2,FALSE),1)=1,"",Z128)</f>
        <v>3500</v>
      </c>
      <c r="AA127" s="107" t="str">
        <f>IF(IFERROR(VLOOKUP(AA122,'Tabela de Apoio'!$D:$E,2,FALSE),1)=1,"",AA128)</f>
        <v>DESCARTADO</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8"/>
      <c r="F128" s="93"/>
      <c r="G128" s="200"/>
      <c r="H128" s="134">
        <f t="shared" ref="H128" si="317">COUNT($P128:$XX128)</f>
        <v>7</v>
      </c>
      <c r="I128" s="132">
        <f t="shared" ref="I128" si="318">_xlfn.STDEV.P($P127:$XX128)/AVERAGE($P127:$XX128)</f>
        <v>0.18034974731727962</v>
      </c>
      <c r="J128" s="7">
        <f t="shared" ref="J128" si="319">IF(AND(H128&gt;2,
OR(L120="MÉDIA SANEADA",L120="MEDIANA SANEADA",
AND(L120="PREÇO ESTIMADO",NOT(AND(P122="Orçamento",COUNTA(P120:XX120)=COUNTIF(P122:XX122,"Orçamento")))))),
ROW(),0)</f>
        <v>128</v>
      </c>
      <c r="K128" s="66"/>
      <c r="L128" s="29" t="s">
        <v>361</v>
      </c>
      <c r="M128" s="30">
        <f t="shared" ref="M128" si="320">MEDIAN($P126:$XX126)</f>
        <v>4919.599741445928</v>
      </c>
      <c r="N128" s="71"/>
      <c r="O128" s="27" t="str">
        <f t="shared" ref="O128" si="321">"1 RODADA"</f>
        <v>1 RODADA</v>
      </c>
      <c r="P128" s="107">
        <f t="shared" ref="P128:AI128" si="322">IF(P126="","",IF((_xlfn.STDEV.P($P125:$XX126)/AVERAGE($P125:$XX126))&lt;=25%,P126,IF(OR(P126&gt;(AVERAGE($P125:$XX126)+_xlfn.STDEV.P($P125:$XX126)),P126&lt;(AVERAGE($P125:$XX126)-_xlfn.STDEV.P($P125:$XX126))),"DESCARTADO",P126)))</f>
        <v>5275.2928608063321</v>
      </c>
      <c r="Q128" s="107" t="str">
        <f t="shared" si="322"/>
        <v>DESCARTADO</v>
      </c>
      <c r="R128" s="107" t="str">
        <f t="shared" si="322"/>
        <v>DESCARTADO</v>
      </c>
      <c r="S128" s="107">
        <f t="shared" si="322"/>
        <v>5987.7314118425084</v>
      </c>
      <c r="T128" s="107">
        <f t="shared" si="322"/>
        <v>4654.658266797599</v>
      </c>
      <c r="U128" s="107">
        <f t="shared" si="322"/>
        <v>5464.1220993790821</v>
      </c>
      <c r="V128" s="107" t="str">
        <f t="shared" si="322"/>
        <v>DESCARTADO</v>
      </c>
      <c r="W128" s="107" t="str">
        <f t="shared" si="322"/>
        <v>DESCARTADO</v>
      </c>
      <c r="X128" s="107">
        <f t="shared" si="322"/>
        <v>4919.599741445928</v>
      </c>
      <c r="Y128" s="107">
        <f t="shared" si="322"/>
        <v>3620.2897630647994</v>
      </c>
      <c r="Z128" s="107">
        <f t="shared" si="322"/>
        <v>3500</v>
      </c>
      <c r="AA128" s="107" t="str">
        <f t="shared" si="322"/>
        <v>DESCARTADO</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8"/>
      <c r="F129" s="93"/>
      <c r="G129" s="200"/>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4774.5277347623214</v>
      </c>
      <c r="N129" s="71"/>
      <c r="O129" s="27" t="str">
        <f t="shared" ref="O129" si="324">"2 POND"</f>
        <v>2 POND</v>
      </c>
      <c r="P129" s="107">
        <f>IF(IFERROR(VLOOKUP(P122,'Tabela de Apoio'!$D:$E,2,FALSE),1)=1,"",P130)</f>
        <v>5275.2928608063321</v>
      </c>
      <c r="Q129" s="107" t="str">
        <f>IF(IFERROR(VLOOKUP(Q122,'Tabela de Apoio'!$D:$E,2,FALSE),1)=1,"",Q130)</f>
        <v>DESCARTADO</v>
      </c>
      <c r="R129" s="107" t="str">
        <f>IF(IFERROR(VLOOKUP(R122,'Tabela de Apoio'!$D:$E,2,FALSE),1)=1,"",R130)</f>
        <v>DESCARTADO</v>
      </c>
      <c r="S129" s="107">
        <f>IF(IFERROR(VLOOKUP(S122,'Tabela de Apoio'!$D:$E,2,FALSE),1)=1,"",S130)</f>
        <v>5987.7314118425084</v>
      </c>
      <c r="T129" s="107">
        <f>IF(IFERROR(VLOOKUP(T122,'Tabela de Apoio'!$D:$E,2,FALSE),1)=1,"",T130)</f>
        <v>4654.658266797599</v>
      </c>
      <c r="U129" s="107">
        <f>IF(IFERROR(VLOOKUP(U122,'Tabela de Apoio'!$D:$E,2,FALSE),1)=1,"",U130)</f>
        <v>5464.1220993790821</v>
      </c>
      <c r="V129" s="107" t="str">
        <f>IF(IFERROR(VLOOKUP(V122,'Tabela de Apoio'!$D:$E,2,FALSE),1)=1,"",V130)</f>
        <v>DESCARTADO</v>
      </c>
      <c r="W129" s="107" t="str">
        <f>IF(IFERROR(VLOOKUP(W122,'Tabela de Apoio'!$D:$E,2,FALSE),1)=1,"",W130)</f>
        <v>DESCARTADO</v>
      </c>
      <c r="X129" s="107">
        <f>IF(IFERROR(VLOOKUP(X122,'Tabela de Apoio'!$D:$E,2,FALSE),1)=1,"",X130)</f>
        <v>4919.599741445928</v>
      </c>
      <c r="Y129" s="107">
        <f>IF(IFERROR(VLOOKUP(Y122,'Tabela de Apoio'!$D:$E,2,FALSE),1)=1,"",Y130)</f>
        <v>3620.2897630647994</v>
      </c>
      <c r="Z129" s="107">
        <f>IF(IFERROR(VLOOKUP(Z122,'Tabela de Apoio'!$D:$E,2,FALSE),1)=1,"",Z130)</f>
        <v>3500</v>
      </c>
      <c r="AA129" s="107" t="str">
        <f>IF(IFERROR(VLOOKUP(AA122,'Tabela de Apoio'!$D:$E,2,FALSE),1)=1,"",AA130)</f>
        <v>DESCARTADO</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8"/>
      <c r="F130" s="93"/>
      <c r="G130" s="200"/>
      <c r="H130" s="134">
        <f t="shared" ref="H130" si="325">COUNT($P130:$XX130)</f>
        <v>7</v>
      </c>
      <c r="I130" s="132">
        <f t="shared" ref="I130" si="326">_xlfn.STDEV.P($P129:$XX130)/AVERAGE($P129:$XX130)</f>
        <v>0.18034974731727962</v>
      </c>
      <c r="J130" s="7">
        <f t="shared" ref="J130" si="327">IF(AND(H130&gt;2,
OR(L120="MÉDIA SANEADA",L120="MEDIANA SANEADA",
AND(L120="PREÇO ESTIMADO",NOT(AND(P122="Orçamento",COUNTA(P120:XX120)=COUNTIF(P122:XX122,"Orçamento")))))),
ROW(),0)</f>
        <v>130</v>
      </c>
      <c r="K130" s="66"/>
      <c r="L130" s="29" t="s">
        <v>362</v>
      </c>
      <c r="M130" s="30">
        <f t="shared" ref="M130" si="328" xml:space="preserve">
IF(H128&gt;2,MEDIAN(P127:XX128),
IF(H130&gt;2,MEDIAN(P129:XX130),
IF(H132&gt;2,MEDIAN(P131:XX132),
IF(H134&gt;2,MEDIAN(P133:XX134),
IF(H136&gt;2,MEDIAN(P135:XX136),
IF(H138&gt;2,MEDIAN(P137:XX138),
MEDIAN(P125:XX126)))))))</f>
        <v>4919.599741445928</v>
      </c>
      <c r="N130" s="71"/>
      <c r="O130" s="27" t="str">
        <f t="shared" ref="O130" si="329">"2 RODADA"</f>
        <v>2 RODADA</v>
      </c>
      <c r="P130" s="107">
        <f t="shared" ref="P130:AI130" si="330">IF(P128="","",IF((_xlfn.STDEV.P($P127:$XX128)/AVERAGE($P127:$XX128))&lt;=25%,P128,IF(OR(P128&gt;(AVERAGE($P127:$XX128)+_xlfn.STDEV.P($P127:$XX128)),P128&lt;(AVERAGE($P127:$XX128)-_xlfn.STDEV.P($P127:$XX128))),"DESCARTADO",P128)))</f>
        <v>5275.2928608063321</v>
      </c>
      <c r="Q130" s="107" t="str">
        <f t="shared" si="330"/>
        <v>DESCARTADO</v>
      </c>
      <c r="R130" s="107" t="str">
        <f t="shared" si="330"/>
        <v>DESCARTADO</v>
      </c>
      <c r="S130" s="107">
        <f t="shared" si="330"/>
        <v>5987.7314118425084</v>
      </c>
      <c r="T130" s="107">
        <f t="shared" si="330"/>
        <v>4654.658266797599</v>
      </c>
      <c r="U130" s="107">
        <f t="shared" si="330"/>
        <v>5464.1220993790821</v>
      </c>
      <c r="V130" s="107" t="str">
        <f t="shared" si="330"/>
        <v>DESCARTADO</v>
      </c>
      <c r="W130" s="107" t="str">
        <f t="shared" si="330"/>
        <v>DESCARTADO</v>
      </c>
      <c r="X130" s="107">
        <f t="shared" si="330"/>
        <v>4919.599741445928</v>
      </c>
      <c r="Y130" s="107">
        <f t="shared" si="330"/>
        <v>3620.2897630647994</v>
      </c>
      <c r="Z130" s="107">
        <f t="shared" si="330"/>
        <v>3500</v>
      </c>
      <c r="AA130" s="107" t="str">
        <f t="shared" si="330"/>
        <v>DESCARTADO</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8"/>
      <c r="F131" s="93"/>
      <c r="G131" s="200"/>
      <c r="H131"/>
      <c r="I131"/>
      <c r="J131"/>
      <c r="K131" s="66"/>
      <c r="L131" s="29" t="s">
        <v>359</v>
      </c>
      <c r="M131" s="30">
        <f t="shared" ref="M131" si="331">HARMEAN($P125:$XX126)</f>
        <v>3748.6560217742744</v>
      </c>
      <c r="N131" s="71"/>
      <c r="O131" s="27" t="str">
        <f t="shared" ref="O131" si="332">"3 POND"</f>
        <v>3 POND</v>
      </c>
      <c r="P131" s="107">
        <f>IF(IFERROR(VLOOKUP(P122,'Tabela de Apoio'!$D:$E,2,FALSE),1)=1,"",P132)</f>
        <v>5275.2928608063321</v>
      </c>
      <c r="Q131" s="107" t="str">
        <f>IF(IFERROR(VLOOKUP(Q122,'Tabela de Apoio'!$D:$E,2,FALSE),1)=1,"",Q132)</f>
        <v>DESCARTADO</v>
      </c>
      <c r="R131" s="107" t="str">
        <f>IF(IFERROR(VLOOKUP(R122,'Tabela de Apoio'!$D:$E,2,FALSE),1)=1,"",R132)</f>
        <v>DESCARTADO</v>
      </c>
      <c r="S131" s="107">
        <f>IF(IFERROR(VLOOKUP(S122,'Tabela de Apoio'!$D:$E,2,FALSE),1)=1,"",S132)</f>
        <v>5987.7314118425084</v>
      </c>
      <c r="T131" s="107">
        <f>IF(IFERROR(VLOOKUP(T122,'Tabela de Apoio'!$D:$E,2,FALSE),1)=1,"",T132)</f>
        <v>4654.658266797599</v>
      </c>
      <c r="U131" s="107">
        <f>IF(IFERROR(VLOOKUP(U122,'Tabela de Apoio'!$D:$E,2,FALSE),1)=1,"",U132)</f>
        <v>5464.1220993790821</v>
      </c>
      <c r="V131" s="107" t="str">
        <f>IF(IFERROR(VLOOKUP(V122,'Tabela de Apoio'!$D:$E,2,FALSE),1)=1,"",V132)</f>
        <v>DESCARTADO</v>
      </c>
      <c r="W131" s="107" t="str">
        <f>IF(IFERROR(VLOOKUP(W122,'Tabela de Apoio'!$D:$E,2,FALSE),1)=1,"",W132)</f>
        <v>DESCARTADO</v>
      </c>
      <c r="X131" s="107">
        <f>IF(IFERROR(VLOOKUP(X122,'Tabela de Apoio'!$D:$E,2,FALSE),1)=1,"",X132)</f>
        <v>4919.599741445928</v>
      </c>
      <c r="Y131" s="107">
        <f>IF(IFERROR(VLOOKUP(Y122,'Tabela de Apoio'!$D:$E,2,FALSE),1)=1,"",Y132)</f>
        <v>3620.2897630647994</v>
      </c>
      <c r="Z131" s="107">
        <f>IF(IFERROR(VLOOKUP(Z122,'Tabela de Apoio'!$D:$E,2,FALSE),1)=1,"",Z132)</f>
        <v>3500</v>
      </c>
      <c r="AA131" s="107" t="str">
        <f>IF(IFERROR(VLOOKUP(AA122,'Tabela de Apoio'!$D:$E,2,FALSE),1)=1,"",AA132)</f>
        <v>DESCARTADO</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8"/>
      <c r="F132" s="93"/>
      <c r="G132" s="200"/>
      <c r="H132" s="134">
        <f t="shared" ref="H132" si="333">COUNT($P132:$XX132)</f>
        <v>7</v>
      </c>
      <c r="I132" s="132">
        <f t="shared" ref="I132" si="334">_xlfn.STDEV.P($P131:$XX132)/AVERAGE($P131:$XX132)</f>
        <v>0.18034974731727962</v>
      </c>
      <c r="J132" s="7">
        <f t="shared" ref="J132" si="335">IF(AND(H132&gt;2,
OR(L120="MÉDIA SANEADA",L120="MEDIANA SANEADA",
AND(L120="PREÇO ESTIMADO",NOT(AND(P122="Orçamento",COUNTA(P120:XX120)=COUNTIF(P122:XX122,"Orçamento")))))),
ROW(),0)</f>
        <v>132</v>
      </c>
      <c r="K132" s="66"/>
      <c r="L132" s="29" t="s">
        <v>41</v>
      </c>
      <c r="M132" s="30">
        <f t="shared" ref="M132" si="336">IFERROR(_xlfn.QUARTILE.EXC($P126:$XX126,1),"")</f>
        <v>3500</v>
      </c>
      <c r="N132" s="71"/>
      <c r="O132" s="27" t="str">
        <f t="shared" ref="O132" si="337">"3 RODADA"</f>
        <v>3 RODADA</v>
      </c>
      <c r="P132" s="107">
        <f t="shared" ref="P132:AI132" si="338">IF(P130="","",IF((_xlfn.STDEV.P($P129:$XX130)/AVERAGE($P129:$XX130))&lt;=25%,P130,IF(OR(P130&gt;(AVERAGE($P129:$XX130)+_xlfn.STDEV.P($P129:$XX130)),P130&lt;(AVERAGE($P129:$XX130)-_xlfn.STDEV.P($P129:$XX130))),"DESCARTADO",P130)))</f>
        <v>5275.2928608063321</v>
      </c>
      <c r="Q132" s="107" t="str">
        <f t="shared" si="338"/>
        <v>DESCARTADO</v>
      </c>
      <c r="R132" s="107" t="str">
        <f t="shared" si="338"/>
        <v>DESCARTADO</v>
      </c>
      <c r="S132" s="107">
        <f t="shared" si="338"/>
        <v>5987.7314118425084</v>
      </c>
      <c r="T132" s="107">
        <f t="shared" si="338"/>
        <v>4654.658266797599</v>
      </c>
      <c r="U132" s="107">
        <f t="shared" si="338"/>
        <v>5464.1220993790821</v>
      </c>
      <c r="V132" s="107" t="str">
        <f t="shared" si="338"/>
        <v>DESCARTADO</v>
      </c>
      <c r="W132" s="107" t="str">
        <f t="shared" si="338"/>
        <v>DESCARTADO</v>
      </c>
      <c r="X132" s="107">
        <f t="shared" si="338"/>
        <v>4919.599741445928</v>
      </c>
      <c r="Y132" s="107">
        <f t="shared" si="338"/>
        <v>3620.2897630647994</v>
      </c>
      <c r="Z132" s="107">
        <f t="shared" si="338"/>
        <v>3500</v>
      </c>
      <c r="AA132" s="107" t="str">
        <f t="shared" si="338"/>
        <v>DESCARTADO</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8"/>
      <c r="F133" s="93"/>
      <c r="G133" s="200"/>
      <c r="H133"/>
      <c r="I133"/>
      <c r="J133"/>
      <c r="K133" s="66"/>
      <c r="L133" s="29" t="s">
        <v>39</v>
      </c>
      <c r="M133" s="30">
        <f t="shared" ref="M133" si="339">IFERROR(_xlfn.QUARTILE.EXC($P126:$XX126,3),"")</f>
        <v>5987.7314118425084</v>
      </c>
      <c r="N133" s="71"/>
      <c r="O133" s="27" t="str">
        <f t="shared" ref="O133" si="340">"4 POND"</f>
        <v>4 POND</v>
      </c>
      <c r="P133" s="107">
        <f>IF(IFERROR(VLOOKUP(P122,'Tabela de Apoio'!$D:$E,2,FALSE),1)=1,"",P134)</f>
        <v>5275.2928608063321</v>
      </c>
      <c r="Q133" s="107" t="str">
        <f>IF(IFERROR(VLOOKUP(Q122,'Tabela de Apoio'!$D:$E,2,FALSE),1)=1,"",Q134)</f>
        <v>DESCARTADO</v>
      </c>
      <c r="R133" s="107" t="str">
        <f>IF(IFERROR(VLOOKUP(R122,'Tabela de Apoio'!$D:$E,2,FALSE),1)=1,"",R134)</f>
        <v>DESCARTADO</v>
      </c>
      <c r="S133" s="107">
        <f>IF(IFERROR(VLOOKUP(S122,'Tabela de Apoio'!$D:$E,2,FALSE),1)=1,"",S134)</f>
        <v>5987.7314118425084</v>
      </c>
      <c r="T133" s="107">
        <f>IF(IFERROR(VLOOKUP(T122,'Tabela de Apoio'!$D:$E,2,FALSE),1)=1,"",T134)</f>
        <v>4654.658266797599</v>
      </c>
      <c r="U133" s="107">
        <f>IF(IFERROR(VLOOKUP(U122,'Tabela de Apoio'!$D:$E,2,FALSE),1)=1,"",U134)</f>
        <v>5464.1220993790821</v>
      </c>
      <c r="V133" s="107" t="str">
        <f>IF(IFERROR(VLOOKUP(V122,'Tabela de Apoio'!$D:$E,2,FALSE),1)=1,"",V134)</f>
        <v>DESCARTADO</v>
      </c>
      <c r="W133" s="107" t="str">
        <f>IF(IFERROR(VLOOKUP(W122,'Tabela de Apoio'!$D:$E,2,FALSE),1)=1,"",W134)</f>
        <v>DESCARTADO</v>
      </c>
      <c r="X133" s="107">
        <f>IF(IFERROR(VLOOKUP(X122,'Tabela de Apoio'!$D:$E,2,FALSE),1)=1,"",X134)</f>
        <v>4919.599741445928</v>
      </c>
      <c r="Y133" s="107">
        <f>IF(IFERROR(VLOOKUP(Y122,'Tabela de Apoio'!$D:$E,2,FALSE),1)=1,"",Y134)</f>
        <v>3620.2897630647994</v>
      </c>
      <c r="Z133" s="107">
        <f>IF(IFERROR(VLOOKUP(Z122,'Tabela de Apoio'!$D:$E,2,FALSE),1)=1,"",Z134)</f>
        <v>3500</v>
      </c>
      <c r="AA133" s="107" t="str">
        <f>IF(IFERROR(VLOOKUP(AA122,'Tabela de Apoio'!$D:$E,2,FALSE),1)=1,"",AA134)</f>
        <v>DESCARTADO</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8"/>
      <c r="F134" s="93"/>
      <c r="G134" s="200"/>
      <c r="H134" s="134">
        <f t="shared" ref="H134" si="341">COUNT($P134:$XX134)</f>
        <v>7</v>
      </c>
      <c r="I134" s="132">
        <f t="shared" ref="I134" si="342">_xlfn.STDEV.P($P133:$XX134)/AVERAGE($P133:$XX134)</f>
        <v>0.18034974731727962</v>
      </c>
      <c r="J134" s="7">
        <f t="shared" ref="J134" si="343">IF(AND(H134&gt;2,
OR(L120="MÉDIA SANEADA",L120="MEDIANA SANEADA",
AND(L120="PREÇO ESTIMADO",NOT(AND(P122="Orçamento",COUNTA(P120:XX120)=COUNTIF(P122:XX122,"Orçamento")))))),
ROW(),0)</f>
        <v>134</v>
      </c>
      <c r="K134" s="66"/>
      <c r="L134" s="29" t="s">
        <v>42</v>
      </c>
      <c r="M134" s="30">
        <f t="shared" ref="M134" si="344">MIN($P126:$XX126)</f>
        <v>1349.7767419916163</v>
      </c>
      <c r="N134" s="71"/>
      <c r="O134" s="27" t="str">
        <f t="shared" ref="O134" si="345">"4 RODADA"</f>
        <v>4 RODADA</v>
      </c>
      <c r="P134" s="107">
        <f t="shared" ref="P134:AI134" si="346">IF(P132="","",IF((_xlfn.STDEV.P($P131:$XX132)/AVERAGE($P131:$XX132))&lt;=25%,P132,IF(OR(P132&gt;(AVERAGE($P131:$XX132)+_xlfn.STDEV.P($P131:$XX132)),P132&lt;(AVERAGE($P131:$XX132)-_xlfn.STDEV.P($P131:$XX132))),"DESCARTADO",P132)))</f>
        <v>5275.2928608063321</v>
      </c>
      <c r="Q134" s="107" t="str">
        <f t="shared" si="346"/>
        <v>DESCARTADO</v>
      </c>
      <c r="R134" s="107" t="str">
        <f t="shared" si="346"/>
        <v>DESCARTADO</v>
      </c>
      <c r="S134" s="107">
        <f t="shared" si="346"/>
        <v>5987.7314118425084</v>
      </c>
      <c r="T134" s="107">
        <f t="shared" si="346"/>
        <v>4654.658266797599</v>
      </c>
      <c r="U134" s="107">
        <f t="shared" si="346"/>
        <v>5464.1220993790821</v>
      </c>
      <c r="V134" s="107" t="str">
        <f t="shared" si="346"/>
        <v>DESCARTADO</v>
      </c>
      <c r="W134" s="107" t="str">
        <f t="shared" si="346"/>
        <v>DESCARTADO</v>
      </c>
      <c r="X134" s="107">
        <f t="shared" si="346"/>
        <v>4919.599741445928</v>
      </c>
      <c r="Y134" s="107">
        <f t="shared" si="346"/>
        <v>3620.2897630647994</v>
      </c>
      <c r="Z134" s="107">
        <f t="shared" si="346"/>
        <v>3500</v>
      </c>
      <c r="AA134" s="107" t="str">
        <f t="shared" si="346"/>
        <v>DESCARTADO</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8"/>
      <c r="F135" s="93"/>
      <c r="G135" s="200"/>
      <c r="H135"/>
      <c r="I135"/>
      <c r="J135"/>
      <c r="K135" s="66"/>
      <c r="L135" s="29" t="s">
        <v>40</v>
      </c>
      <c r="M135" s="30">
        <f t="shared" ref="M135" si="347">MAX($P126:$XX126)</f>
        <v>7817.9478151606972</v>
      </c>
      <c r="N135" s="71"/>
      <c r="O135" s="27" t="str">
        <f t="shared" ref="O135" si="348">"5 POND"</f>
        <v>5 POND</v>
      </c>
      <c r="P135" s="107">
        <f>IF(IFERROR(VLOOKUP(P122,'Tabela de Apoio'!$D:$E,2,FALSE),1)=1,"",P136)</f>
        <v>5275.2928608063321</v>
      </c>
      <c r="Q135" s="107" t="str">
        <f>IF(IFERROR(VLOOKUP(Q122,'Tabela de Apoio'!$D:$E,2,FALSE),1)=1,"",Q136)</f>
        <v>DESCARTADO</v>
      </c>
      <c r="R135" s="107" t="str">
        <f>IF(IFERROR(VLOOKUP(R122,'Tabela de Apoio'!$D:$E,2,FALSE),1)=1,"",R136)</f>
        <v>DESCARTADO</v>
      </c>
      <c r="S135" s="107">
        <f>IF(IFERROR(VLOOKUP(S122,'Tabela de Apoio'!$D:$E,2,FALSE),1)=1,"",S136)</f>
        <v>5987.7314118425084</v>
      </c>
      <c r="T135" s="107">
        <f>IF(IFERROR(VLOOKUP(T122,'Tabela de Apoio'!$D:$E,2,FALSE),1)=1,"",T136)</f>
        <v>4654.658266797599</v>
      </c>
      <c r="U135" s="107">
        <f>IF(IFERROR(VLOOKUP(U122,'Tabela de Apoio'!$D:$E,2,FALSE),1)=1,"",U136)</f>
        <v>5464.1220993790821</v>
      </c>
      <c r="V135" s="107" t="str">
        <f>IF(IFERROR(VLOOKUP(V122,'Tabela de Apoio'!$D:$E,2,FALSE),1)=1,"",V136)</f>
        <v>DESCARTADO</v>
      </c>
      <c r="W135" s="107" t="str">
        <f>IF(IFERROR(VLOOKUP(W122,'Tabela de Apoio'!$D:$E,2,FALSE),1)=1,"",W136)</f>
        <v>DESCARTADO</v>
      </c>
      <c r="X135" s="107">
        <f>IF(IFERROR(VLOOKUP(X122,'Tabela de Apoio'!$D:$E,2,FALSE),1)=1,"",X136)</f>
        <v>4919.599741445928</v>
      </c>
      <c r="Y135" s="107">
        <f>IF(IFERROR(VLOOKUP(Y122,'Tabela de Apoio'!$D:$E,2,FALSE),1)=1,"",Y136)</f>
        <v>3620.2897630647994</v>
      </c>
      <c r="Z135" s="107">
        <f>IF(IFERROR(VLOOKUP(Z122,'Tabela de Apoio'!$D:$E,2,FALSE),1)=1,"",Z136)</f>
        <v>3500</v>
      </c>
      <c r="AA135" s="107" t="str">
        <f>IF(IFERROR(VLOOKUP(AA122,'Tabela de Apoio'!$D:$E,2,FALSE),1)=1,"",AA136)</f>
        <v>DESCARTADO</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8"/>
      <c r="F136" s="93"/>
      <c r="G136" s="200"/>
      <c r="H136" s="134">
        <f t="shared" ref="H136" si="349">COUNT($P136:$XX136)</f>
        <v>7</v>
      </c>
      <c r="I136" s="132">
        <f t="shared" ref="I136" si="350">_xlfn.STDEV.P($P135:$XX136)/AVERAGE($P135:$XX136)</f>
        <v>0.18034974731727962</v>
      </c>
      <c r="J136" s="7">
        <f t="shared" ref="J136" si="351">IF(AND(H136&gt;2,
OR(L120="MÉDIA SANEADA",L120="MEDIANA SANEADA",
AND(L120="PREÇO ESTIMADO",NOT(AND(P122="Orçamento",COUNTA(P120:XX120)=COUNTIF(P122:XX122,"Orçamento")))))),
ROW(),0)</f>
        <v>136</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5275.2928608063321</v>
      </c>
      <c r="Q136" s="107" t="str">
        <f t="shared" si="353"/>
        <v>DESCARTADO</v>
      </c>
      <c r="R136" s="107" t="str">
        <f t="shared" si="353"/>
        <v>DESCARTADO</v>
      </c>
      <c r="S136" s="107">
        <f t="shared" si="353"/>
        <v>5987.7314118425084</v>
      </c>
      <c r="T136" s="107">
        <f t="shared" si="353"/>
        <v>4654.658266797599</v>
      </c>
      <c r="U136" s="107">
        <f t="shared" si="353"/>
        <v>5464.1220993790821</v>
      </c>
      <c r="V136" s="107" t="str">
        <f t="shared" si="353"/>
        <v>DESCARTADO</v>
      </c>
      <c r="W136" s="107" t="str">
        <f t="shared" si="353"/>
        <v>DESCARTADO</v>
      </c>
      <c r="X136" s="107">
        <f t="shared" si="353"/>
        <v>4919.599741445928</v>
      </c>
      <c r="Y136" s="107">
        <f t="shared" si="353"/>
        <v>3620.2897630647994</v>
      </c>
      <c r="Z136" s="107">
        <f t="shared" si="353"/>
        <v>3500</v>
      </c>
      <c r="AA136" s="107" t="str">
        <f t="shared" si="353"/>
        <v>DESCARTADO</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8"/>
      <c r="F137" s="93"/>
      <c r="G137" s="200"/>
      <c r="H137"/>
      <c r="I137"/>
      <c r="J137"/>
      <c r="K137" s="66"/>
      <c r="L137" s="22"/>
      <c r="M137" s="22"/>
      <c r="N137" s="71"/>
      <c r="O137" s="27" t="str">
        <f t="shared" ref="O137" si="354">"6 POND"</f>
        <v>6 POND</v>
      </c>
      <c r="P137" s="107">
        <f>IF(IFERROR(VLOOKUP(P122,'Tabela de Apoio'!$D:$E,2,FALSE),1)=1,"",P138)</f>
        <v>5275.2928608063321</v>
      </c>
      <c r="Q137" s="107" t="str">
        <f>IF(IFERROR(VLOOKUP(Q122,'Tabela de Apoio'!$D:$E,2,FALSE),1)=1,"",Q138)</f>
        <v>DESCARTADO</v>
      </c>
      <c r="R137" s="107" t="str">
        <f>IF(IFERROR(VLOOKUP(R122,'Tabela de Apoio'!$D:$E,2,FALSE),1)=1,"",R138)</f>
        <v>DESCARTADO</v>
      </c>
      <c r="S137" s="107">
        <f>IF(IFERROR(VLOOKUP(S122,'Tabela de Apoio'!$D:$E,2,FALSE),1)=1,"",S138)</f>
        <v>5987.7314118425084</v>
      </c>
      <c r="T137" s="107">
        <f>IF(IFERROR(VLOOKUP(T122,'Tabela de Apoio'!$D:$E,2,FALSE),1)=1,"",T138)</f>
        <v>4654.658266797599</v>
      </c>
      <c r="U137" s="107">
        <f>IF(IFERROR(VLOOKUP(U122,'Tabela de Apoio'!$D:$E,2,FALSE),1)=1,"",U138)</f>
        <v>5464.1220993790821</v>
      </c>
      <c r="V137" s="107" t="str">
        <f>IF(IFERROR(VLOOKUP(V122,'Tabela de Apoio'!$D:$E,2,FALSE),1)=1,"",V138)</f>
        <v>DESCARTADO</v>
      </c>
      <c r="W137" s="107" t="str">
        <f>IF(IFERROR(VLOOKUP(W122,'Tabela de Apoio'!$D:$E,2,FALSE),1)=1,"",W138)</f>
        <v>DESCARTADO</v>
      </c>
      <c r="X137" s="107">
        <f>IF(IFERROR(VLOOKUP(X122,'Tabela de Apoio'!$D:$E,2,FALSE),1)=1,"",X138)</f>
        <v>4919.599741445928</v>
      </c>
      <c r="Y137" s="107">
        <f>IF(IFERROR(VLOOKUP(Y122,'Tabela de Apoio'!$D:$E,2,FALSE),1)=1,"",Y138)</f>
        <v>3620.2897630647994</v>
      </c>
      <c r="Z137" s="107">
        <f>IF(IFERROR(VLOOKUP(Z122,'Tabela de Apoio'!$D:$E,2,FALSE),1)=1,"",Z138)</f>
        <v>3500</v>
      </c>
      <c r="AA137" s="107" t="str">
        <f>IF(IFERROR(VLOOKUP(AA122,'Tabela de Apoio'!$D:$E,2,FALSE),1)=1,"",AA138)</f>
        <v>DESCARTADO</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8"/>
      <c r="F138" s="93"/>
      <c r="G138" s="200"/>
      <c r="H138" s="134">
        <f t="shared" ref="H138" si="355">COUNT($P138:$XX138)</f>
        <v>7</v>
      </c>
      <c r="I138" s="132">
        <f t="shared" ref="I138" si="356">_xlfn.STDEV.P($P137:$XX138)/AVERAGE($P137:$XX138)</f>
        <v>0.18034974731727962</v>
      </c>
      <c r="J138" s="7">
        <f t="shared" ref="J138" si="357">IF(AND(H138&gt;2,
OR(L120="MÉDIA SANEADA",L120="MEDIANA SANEADA",
AND(L120="PREÇO ESTIMADO",NOT(AND(P122="Orçamento",COUNTA(P120:XX120)=COUNTIF(P122:XX122,"Orçamento")))))),
ROW(),0)</f>
        <v>138</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5275.2928608063321</v>
      </c>
      <c r="Q138" s="107" t="str">
        <f t="shared" si="359"/>
        <v>DESCARTADO</v>
      </c>
      <c r="R138" s="107" t="str">
        <f t="shared" si="359"/>
        <v>DESCARTADO</v>
      </c>
      <c r="S138" s="107">
        <f t="shared" si="359"/>
        <v>5987.7314118425084</v>
      </c>
      <c r="T138" s="107">
        <f t="shared" si="359"/>
        <v>4654.658266797599</v>
      </c>
      <c r="U138" s="107">
        <f t="shared" si="359"/>
        <v>5464.1220993790821</v>
      </c>
      <c r="V138" s="107" t="str">
        <f t="shared" si="359"/>
        <v>DESCARTADO</v>
      </c>
      <c r="W138" s="107" t="str">
        <f t="shared" si="359"/>
        <v>DESCARTADO</v>
      </c>
      <c r="X138" s="107">
        <f t="shared" si="359"/>
        <v>4919.599741445928</v>
      </c>
      <c r="Y138" s="107">
        <f t="shared" si="359"/>
        <v>3620.2897630647994</v>
      </c>
      <c r="Z138" s="107">
        <f t="shared" si="359"/>
        <v>3500</v>
      </c>
      <c r="AA138" s="107" t="str">
        <f t="shared" si="359"/>
        <v>DESCARTADO</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8"/>
      <c r="F139" s="136"/>
      <c r="G139" s="200"/>
      <c r="H139" s="203"/>
      <c r="I139" s="203"/>
      <c r="J139" s="204"/>
      <c r="K139" s="67"/>
      <c r="L139" s="1" t="s">
        <v>43</v>
      </c>
      <c r="M139" s="143">
        <f t="shared" ref="M139" si="360">IFERROR(ROUND(M120*M122,2),"")</f>
        <v>28647.18</v>
      </c>
      <c r="O139" s="27" t="s">
        <v>363</v>
      </c>
      <c r="P139" s="107">
        <f t="shared" ref="P139:AI160" si="361">INDEX(P126:P138,MATCH(MAX($J126:$J138),$J126:$J138,0))</f>
        <v>5275.2928608063321</v>
      </c>
      <c r="Q139" s="107" t="str">
        <f t="shared" si="361"/>
        <v>DESCARTADO</v>
      </c>
      <c r="R139" s="107" t="str">
        <f t="shared" si="361"/>
        <v>DESCARTADO</v>
      </c>
      <c r="S139" s="107">
        <f t="shared" si="361"/>
        <v>5987.7314118425084</v>
      </c>
      <c r="T139" s="107">
        <f t="shared" si="361"/>
        <v>4654.658266797599</v>
      </c>
      <c r="U139" s="107">
        <f t="shared" si="361"/>
        <v>5464.1220993790821</v>
      </c>
      <c r="V139" s="107" t="str">
        <f t="shared" si="361"/>
        <v>DESCARTADO</v>
      </c>
      <c r="W139" s="107" t="str">
        <f t="shared" si="361"/>
        <v>DESCARTADO</v>
      </c>
      <c r="X139" s="107">
        <f t="shared" si="361"/>
        <v>4919.599741445928</v>
      </c>
      <c r="Y139" s="107">
        <f t="shared" si="361"/>
        <v>3620.2897630647994</v>
      </c>
      <c r="Z139" s="107">
        <f t="shared" si="361"/>
        <v>3500</v>
      </c>
      <c r="AA139" s="107" t="str">
        <f t="shared" si="361"/>
        <v>DESCARTADO</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K8" sqref="K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SECOPA2027-GP</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2333</v>
      </c>
      <c r="G8" s="145" t="str">
        <f>IF($B7="","",IF($C8=$C5,IF('BASE EDITAL'!$C$2="",INDEX('MAPA DE PREÇOS'!H:H,MATCH(EDITAL!B8,'MAPA DE PREÇOS'!B:B,0)+1),UPPER(INDEX('BASE EDITAL'!$C:$C,EDITAL!B8+1))),IF($C8=$C6,"Especificação do Objeto","")))</f>
        <v>ASSESSORIA CONTÁBIL</v>
      </c>
      <c r="H8" s="84" t="str">
        <f>IF($B7="","",IF($C8=$C5,INDEX('MAPA DE PREÇOS'!$M:$M,MATCH($B8,'MAPA DE PREÇOS'!$B:$B)-16),IF($C8=$C6,"Unidade","")))</f>
        <v>MES</v>
      </c>
      <c r="I8" s="84">
        <f>IF($B7="","",IF($C8=$C5,INDEX('MAPA DE PREÇOS'!$M:$M,MATCH($B8,'MAPA DE PREÇOS'!$B:$B)-17),IF($C8=$C6,"Quant.","")))</f>
        <v>6</v>
      </c>
      <c r="J8" s="60">
        <f>IF(AND(COUNTBLANK($B5:$B7)=2,$B7="",$B6="",MAX(C:C)&gt;1),"Total Estimado",IF($B7="","",IF($C8=$C5,INDEX('MAPA DE PREÇOS'!$M:$M,MATCH($B8,'MAPA DE PREÇOS'!$B:$B)-19),IF($C8=$C6,"Valor Unit. (R$)",IF(AND($C8&lt;&gt;$C7,$J7&lt;&gt;""),IF(MAX(C:C)=1,"Total Estimado","Subtotal"),"")))))</f>
        <v>3669.2</v>
      </c>
      <c r="K8" s="75">
        <f>IFERROR(IF(AND(COUNTBLANK($B5:$B7)=2,$B7="",$B6="",MAX($C:$C)&gt;1),SUM($K$3:K7)/2,IF($B7="","",IF($C8=$C5,ROUND(J8*I8,2),IF($C8=$C6,"Total Item (R$)",IF(AND($C8&lt;&gt;$C7,$J7&lt;&gt;""),SUMIFS(K:K,$C:$C,C7,J:J,"&lt;&gt;Subtotal"),""))))),"")</f>
        <v>22015.200000000001</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2333</v>
      </c>
      <c r="G9" s="145" t="str">
        <f>IF($B8="","",IF($C9=$C6,IF('BASE EDITAL'!$C$2="",INDEX('MAPA DE PREÇOS'!H:H,MATCH(EDITAL!B9,'MAPA DE PREÇOS'!B:B,0)+1),UPPER(INDEX('BASE EDITAL'!$C:$C,EDITAL!B9+1))),IF($C9=$C7,"Especificação do Objeto","")))</f>
        <v>ASSESSORIA DE COMUNICAÇÃO</v>
      </c>
      <c r="H9" s="84" t="str">
        <f>IF($B8="","",IF($C9=$C6,INDEX('MAPA DE PREÇOS'!$M:$M,MATCH($B9,'MAPA DE PREÇOS'!$B:$B)-16),IF($C9=$C7,"Unidade","")))</f>
        <v>MES</v>
      </c>
      <c r="I9" s="84">
        <f>IF($B8="","",IF($C9=$C6,INDEX('MAPA DE PREÇOS'!$M:$M,MATCH($B9,'MAPA DE PREÇOS'!$B:$B)-17),IF($C9=$C7,"Quant.","")))</f>
        <v>6</v>
      </c>
      <c r="J9" s="60">
        <f>IF(AND(COUNTBLANK($B6:$B8)=2,$B8="",$B7="",MAX(C:C)&gt;1),"Total Estimado",IF($B8="","",IF($C9=$C6,INDEX('MAPA DE PREÇOS'!$M:$M,MATCH($B9,'MAPA DE PREÇOS'!$B:$B)-19),IF($C9=$C7,"Valor Unit. (R$)",IF(AND($C9&lt;&gt;$C8,$J8&lt;&gt;""),IF(MAX(C:C)=1,"Total Estimado","Subtotal"),"")))))</f>
        <v>4206.9799999999996</v>
      </c>
      <c r="K9" s="75">
        <f>IFERROR(IF(AND(COUNTBLANK($B6:$B8)=2,$B8="",$B7="",MAX(C:C)&gt;1),SUM($K$3:K8)/2,IF($B8="","",IF($C9=$C6,ROUND(J9*I9,2),IF($C9=$C7,"Total Item (R$)",IF(AND($C9&lt;&gt;$C8,$J8&lt;&gt;""),SUMIFS(K:K,C:C,C8,J:J,"&lt;&gt;Subtotal"),""))))),"")</f>
        <v>25241.88</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1226</v>
      </c>
      <c r="G10" s="145" t="str">
        <f>IF($B9="","",IF($C10=$C7,IF('BASE EDITAL'!$C$2="",INDEX('MAPA DE PREÇOS'!H:H,MATCH(EDITAL!B10,'MAPA DE PREÇOS'!B:B,0)+1),UPPER(INDEX('BASE EDITAL'!$C:$C,EDITAL!B10+1))),IF($C10=$C8,"Especificação do Objeto","")))</f>
        <v>COORDENADOR  DE NÚCLEO</v>
      </c>
      <c r="H10" s="84" t="str">
        <f>IF($B9="","",IF($C10=$C7,INDEX('MAPA DE PREÇOS'!$M:$M,MATCH($B10,'MAPA DE PREÇOS'!$B:$B)-16),IF($C10=$C8,"Unidade","")))</f>
        <v>MES</v>
      </c>
      <c r="I10" s="84">
        <f>IF($B9="","",IF($C10=$C7,INDEX('MAPA DE PREÇOS'!$M:$M,MATCH($B10,'MAPA DE PREÇOS'!$B:$B)-17),IF($C10=$C8,"Quant.","")))</f>
        <v>6</v>
      </c>
      <c r="J10" s="60">
        <f>IF(AND(COUNTBLANK($B7:$B9)=2,$B9="",$B8="",MAX(C:C)&gt;1),"Total Estimado",IF($B9="","",IF($C10=$C7,INDEX('MAPA DE PREÇOS'!$M:$M,MATCH($B10,'MAPA DE PREÇOS'!$B:$B)-19),IF($C10=$C8,"Valor Unit. (R$)",IF(AND($C10&lt;&gt;$C9,$J9&lt;&gt;""),IF(MAX(C:C)=1,"Total Estimado","Subtotal"),"")))))</f>
        <v>3056.31</v>
      </c>
      <c r="K10" s="75">
        <f>IFERROR(IF(AND(COUNTBLANK($B7:$B9)=2,$B9="",$B8="",MAX(C:C)&gt;1),SUM($K$3:K9)/2,IF($B9="","",IF($C10=$C7,ROUND(J10*I10,2),IF($C10=$C8,"Total Item (R$)",IF(AND($C10&lt;&gt;$C9,$J9&lt;&gt;""),SUMIFS(K:K,C:C,C9,J:J,"&lt;&gt;Subtotal"),""))))),"")</f>
        <v>18337.86</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1226</v>
      </c>
      <c r="G11" s="145" t="str">
        <f>IF($B10="","",IF($C11=$C8,IF('BASE EDITAL'!$C$2="",INDEX('MAPA DE PREÇOS'!H:H,MATCH(EDITAL!B11,'MAPA DE PREÇOS'!B:B,0)+1),UPPER(INDEX('BASE EDITAL'!$C:$C,EDITAL!B11+1))),IF($C11=$C9,"Especificação do Objeto","")))</f>
        <v>COORDENADOR GERAL</v>
      </c>
      <c r="H11" s="84" t="str">
        <f>IF($B10="","",IF($C11=$C8,INDEX('MAPA DE PREÇOS'!$M:$M,MATCH($B11,'MAPA DE PREÇOS'!$B:$B)-16),IF($C11=$C9,"Unidade","")))</f>
        <v>MES</v>
      </c>
      <c r="I11" s="84">
        <f>IF($B10="","",IF($C11=$C8,INDEX('MAPA DE PREÇOS'!$M:$M,MATCH($B11,'MAPA DE PREÇOS'!$B:$B)-17),IF($C11=$C9,"Quant.","")))</f>
        <v>8</v>
      </c>
      <c r="J11" s="60">
        <f>IF(AND(COUNTBLANK($B8:$B10)=2,$B10="",$B9="",MAX(C:C)&gt;1),"Total Estimado",IF($B10="","",IF($C11=$C8,INDEX('MAPA DE PREÇOS'!$M:$M,MATCH($B11,'MAPA DE PREÇOS'!$B:$B)-19),IF($C11=$C9,"Valor Unit. (R$)",IF(AND($C11&lt;&gt;$C10,$J10&lt;&gt;""),IF(MAX(C:C)=1,"Total Estimado","Subtotal"),"")))))</f>
        <v>3056.31</v>
      </c>
      <c r="K11" s="75">
        <f>IFERROR(IF(AND(COUNTBLANK($B8:$B10)=2,$B10="",$B9="",MAX(C:C)&gt;1),SUM($K$3:K10)/2,IF($B10="","",IF($C11=$C8,ROUND(J11*I11,2),IF($C11=$C9,"Total Item (R$)",IF(AND($C11&lt;&gt;$C10,$J10&lt;&gt;""),SUMIFS(K:K,C:C,C10,J:J,"&lt;&gt;Subtotal"),""))))),"")</f>
        <v>24450.48</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1226</v>
      </c>
      <c r="G12" s="145" t="str">
        <f>IF($B11="","",IF($C12=$C9,IF('BASE EDITAL'!$C$2="",INDEX('MAPA DE PREÇOS'!H:H,MATCH(EDITAL!B12,'MAPA DE PREÇOS'!B:B,0)+1),UPPER(INDEX('BASE EDITAL'!$C:$C,EDITAL!B12+1))),IF($C12=$C10,"Especificação do Objeto","")))</f>
        <v>MONITOR</v>
      </c>
      <c r="H12" s="84" t="str">
        <f>IF($B11="","",IF($C12=$C9,INDEX('MAPA DE PREÇOS'!$M:$M,MATCH($B12,'MAPA DE PREÇOS'!$B:$B)-16),IF($C12=$C10,"Unidade","")))</f>
        <v>MES</v>
      </c>
      <c r="I12" s="84">
        <f>IF($B11="","",IF($C12=$C9,INDEX('MAPA DE PREÇOS'!$M:$M,MATCH($B12,'MAPA DE PREÇOS'!$B:$B)-17),IF($C12=$C10,"Quant.","")))</f>
        <v>6</v>
      </c>
      <c r="J12" s="60">
        <f>IF(AND(COUNTBLANK($B9:$B11)=2,$B11="",$B10="",MAX(C:C)&gt;1),"Total Estimado",IF($B11="","",IF($C12=$C9,INDEX('MAPA DE PREÇOS'!$M:$M,MATCH($B12,'MAPA DE PREÇOS'!$B:$B)-19),IF($C12=$C10,"Valor Unit. (R$)",IF(AND($C12&lt;&gt;$C11,$J11&lt;&gt;""),IF(MAX(C:C)=1,"Total Estimado","Subtotal"),"")))))</f>
        <v>1740.56</v>
      </c>
      <c r="K12" s="75">
        <f>IFERROR(IF(AND(COUNTBLANK($B9:$B11)=2,$B11="",$B10="",MAX(C:C)&gt;1),SUM($K$3:K11)/2,IF($B11="","",IF($C12=$C9,ROUND(J12*I12,2),IF($C12=$C10,"Total Item (R$)",IF(AND($C12&lt;&gt;$C11,$J11&lt;&gt;""),SUMIFS(K:K,C:C,C11,J:J,"&lt;&gt;Subtotal"),""))))),"")</f>
        <v>10443.36</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1226</v>
      </c>
      <c r="G13" s="145" t="str">
        <f>IF($B12="","",IF($C13=$C10,IF('BASE EDITAL'!$C$2="",INDEX('MAPA DE PREÇOS'!H:H,MATCH(EDITAL!B13,'MAPA DE PREÇOS'!B:B,0)+1),UPPER(INDEX('BASE EDITAL'!$C:$C,EDITAL!B13+1))),IF($C13=$C11,"Especificação do Objeto","")))</f>
        <v>PROFESSOR DE EDUCAÇÃO FÍSICA</v>
      </c>
      <c r="H13" s="84" t="str">
        <f>IF($B12="","",IF($C13=$C10,INDEX('MAPA DE PREÇOS'!$M:$M,MATCH($B13,'MAPA DE PREÇOS'!$B:$B)-16),IF($C13=$C11,"Unidade","")))</f>
        <v>MES</v>
      </c>
      <c r="I13" s="84">
        <f>IF($B12="","",IF($C13=$C10,INDEX('MAPA DE PREÇOS'!$M:$M,MATCH($B13,'MAPA DE PREÇOS'!$B:$B)-17),IF($C13=$C11,"Quant.","")))</f>
        <v>6</v>
      </c>
      <c r="J13" s="60">
        <f>IF(AND(COUNTBLANK($B10:$B12)=2,$B12="",$B11="",MAX(C:C)&gt;1),"Total Estimado",IF($B12="","",IF($C13=$C10,INDEX('MAPA DE PREÇOS'!$M:$M,MATCH($B13,'MAPA DE PREÇOS'!$B:$B)-19),IF($C13=$C11,"Valor Unit. (R$)",IF(AND($C13&lt;&gt;$C12,$J12&lt;&gt;""),IF(MAX(C:C)=1,"Total Estimado","Subtotal"),"")))))</f>
        <v>4774.53</v>
      </c>
      <c r="K13" s="75">
        <f>IFERROR(IF(AND(COUNTBLANK($B10:$B12)=2,$B12="",$B11="",MAX(C:C)&gt;1),SUM($K$3:K12)/2,IF($B12="","",IF($C13=$C10,ROUND(J13*I13,2),IF($C13=$C11,"Total Item (R$)",IF(AND($C13&lt;&gt;$C12,$J12&lt;&gt;""),SUMIFS(K:K,C:C,C12,J:J,"&lt;&gt;Subtotal"),""))))),"")</f>
        <v>28647.18</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Total Estimado</v>
      </c>
      <c r="K14" s="75">
        <f>IFERROR(IF(AND(COUNTBLANK($B11:$B13)=2,$B13="",$B12="",MAX(C:C)&gt;1),SUM($K$3:K13)/2,IF($B13="","",IF($C14=$C11,ROUND(J14*I14,2),IF($C14=$C12,"Total Item (R$)",IF(AND($C14&lt;&gt;$C13,$J13&lt;&gt;""),SUMIFS(K:K,C:C,C13,J:J,"&lt;&gt;Subtotal"),""))))),"")</f>
        <v>129135.95999999999</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SECOPA2027-GP</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2333</v>
      </c>
      <c r="G8" s="83" t="str">
        <f>IF($B7="","",IF($C8=$C5,IF('BASE EDITAL'!$C$2="",INDEX('MAPA DE PREÇOS'!H:H,MATCH(EDITAL!B8,'MAPA DE PREÇOS'!B:B,0)+1),UPPER(INDEX('BASE EDITAL'!$C:$C,EDITAL!B8+1))),IF($C8=$C6,"Especificação do Objeto","")))</f>
        <v>ASSESSORIA CONTÁBIL</v>
      </c>
      <c r="H8" s="84" t="str">
        <f>IF($B7="","",IF($C8=$C5,INDEX('MAPA DE PREÇOS'!$M:$M,MATCH($B8,'MAPA DE PREÇOS'!$B:$B)-16),IF($C8=$C6,"Unidade","")))</f>
        <v>MES</v>
      </c>
      <c r="I8" s="84">
        <f>IF($B7="","",IF($C8=$C5,INDEX('MAPA DE PREÇOS'!$M:$M,MATCH($B8,'MAPA DE PREÇOS'!$B:$B)-17),IF($C8=$C6,"Quant.","")))</f>
        <v>6</v>
      </c>
      <c r="J8" s="60">
        <f>IF(J7="Total Mensal","Total Acumulado",IF($B7="","",IF($C8=$C5,INDEX('MAPA DE PREÇOS'!$M:$M,MATCH($B8,'MAPA DE PREÇOS'!$B:$B)-19),IF($C8=$C6,"Valor Unit. (R$)",IF(AND($C8&lt;&gt;$C7,$J7&lt;&gt;""),"Total Mensal","")))))</f>
        <v>3669.2</v>
      </c>
      <c r="K8" s="75">
        <f>IF(J8="","",IF(J8="Total Mensal","-",IF(J8="Total Acumulado",SUM(K$7:K7),I8*J8)))</f>
        <v>22015.199999999997</v>
      </c>
      <c r="L8" s="112">
        <f>IF(J8="","",IF(J8="Total Mensal","-",IF(J8="Total Acumulado",SUM(L$7:L7),K8/SUMIF(J:J,"Total Acumulado",K:K))))</f>
        <v>0.17048078629686106</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2333</v>
      </c>
      <c r="G9" s="83" t="str">
        <f>IF($B8="","",IF($C9=$C6,IF('BASE EDITAL'!$C$2="",INDEX('MAPA DE PREÇOS'!H:H,MATCH(EDITAL!B9,'MAPA DE PREÇOS'!B:B,0)+1),UPPER(INDEX('BASE EDITAL'!$C:$C,EDITAL!B9+1))),IF($C9=$C7,"Especificação do Objeto","")))</f>
        <v>ASSESSORIA DE COMUNICAÇÃO</v>
      </c>
      <c r="H9" s="84" t="str">
        <f>IF($B8="","",IF($C9=$C6,INDEX('MAPA DE PREÇOS'!$M:$M,MATCH($B9,'MAPA DE PREÇOS'!$B:$B)-16),IF($C9=$C7,"Unidade","")))</f>
        <v>MES</v>
      </c>
      <c r="I9" s="84">
        <f>IF($B8="","",IF($C9=$C6,INDEX('MAPA DE PREÇOS'!$M:$M,MATCH($B9,'MAPA DE PREÇOS'!$B:$B)-17),IF($C9=$C7,"Quant.","")))</f>
        <v>6</v>
      </c>
      <c r="J9" s="60">
        <f>IF(J8="Total Mensal","Total Acumulado",IF($B8="","",IF($C9=$C6,INDEX('MAPA DE PREÇOS'!$M:$M,MATCH($B9,'MAPA DE PREÇOS'!$B:$B)-19),IF($C9=$C7,"Valor Unit. (R$)",IF(AND($C9&lt;&gt;$C8,$J8&lt;&gt;""),"Total Mensal","")))))</f>
        <v>4206.9799999999996</v>
      </c>
      <c r="K9" s="75">
        <f>IF(J9="","",IF(J9="Total Mensal","-",IF(J9="Total Acumulado",SUM(K$7:K8),I9*J9)))</f>
        <v>25241.879999999997</v>
      </c>
      <c r="L9" s="112">
        <f>IF(J9="","",IF(J9="Total Mensal","-",IF(J9="Total Acumulado",SUM(L$7:L8),K9/SUMIF(J:J,"Total Acumulado",K:K))))</f>
        <v>0.195467474745222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1226</v>
      </c>
      <c r="G10" s="83" t="str">
        <f>IF($B9="","",IF($C10=$C7,IF('BASE EDITAL'!$C$2="",INDEX('MAPA DE PREÇOS'!H:H,MATCH(EDITAL!B10,'MAPA DE PREÇOS'!B:B,0)+1),UPPER(INDEX('BASE EDITAL'!$C:$C,EDITAL!B10+1))),IF($C10=$C8,"Especificação do Objeto","")))</f>
        <v>COORDENADOR  DE NÚCLEO</v>
      </c>
      <c r="H10" s="84" t="str">
        <f>IF($B9="","",IF($C10=$C7,INDEX('MAPA DE PREÇOS'!$M:$M,MATCH($B10,'MAPA DE PREÇOS'!$B:$B)-16),IF($C10=$C8,"Unidade","")))</f>
        <v>MES</v>
      </c>
      <c r="I10" s="84">
        <f>IF($B9="","",IF($C10=$C7,INDEX('MAPA DE PREÇOS'!$M:$M,MATCH($B10,'MAPA DE PREÇOS'!$B:$B)-17),IF($C10=$C8,"Quant.","")))</f>
        <v>6</v>
      </c>
      <c r="J10" s="60">
        <f>IF(J9="Total Mensal","Total Acumulado",IF($B9="","",IF($C10=$C7,INDEX('MAPA DE PREÇOS'!$M:$M,MATCH($B10,'MAPA DE PREÇOS'!$B:$B)-19),IF($C10=$C8,"Valor Unit. (R$)",IF(AND($C10&lt;&gt;$C9,$J9&lt;&gt;""),"Total Mensal","")))))</f>
        <v>3056.31</v>
      </c>
      <c r="K10" s="75">
        <f>IF(J10="","",IF(J10="Total Mensal","-",IF(J10="Total Acumulado",SUM(K$7:K9),I10*J10)))</f>
        <v>18337.86</v>
      </c>
      <c r="L10" s="112">
        <f>IF(J10="","",IF(J10="Total Mensal","-",IF(J10="Total Acumulado",SUM(L$7:L9),K10/SUMIF(J:J,"Total Acumulado",K:K))))</f>
        <v>0.14200428757411956</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1226</v>
      </c>
      <c r="G11" s="83" t="str">
        <f>IF($B10="","",IF($C11=$C8,IF('BASE EDITAL'!$C$2="",INDEX('MAPA DE PREÇOS'!H:H,MATCH(EDITAL!B11,'MAPA DE PREÇOS'!B:B,0)+1),UPPER(INDEX('BASE EDITAL'!$C:$C,EDITAL!B11+1))),IF($C11=$C9,"Especificação do Objeto","")))</f>
        <v>COORDENADOR GERAL</v>
      </c>
      <c r="H11" s="84" t="str">
        <f>IF($B10="","",IF($C11=$C8,INDEX('MAPA DE PREÇOS'!$M:$M,MATCH($B11,'MAPA DE PREÇOS'!$B:$B)-16),IF($C11=$C9,"Unidade","")))</f>
        <v>MES</v>
      </c>
      <c r="I11" s="84">
        <f>IF($B10="","",IF($C11=$C8,INDEX('MAPA DE PREÇOS'!$M:$M,MATCH($B11,'MAPA DE PREÇOS'!$B:$B)-17),IF($C11=$C9,"Quant.","")))</f>
        <v>8</v>
      </c>
      <c r="J11" s="60">
        <f>IF(J10="Total Mensal","Total Acumulado",IF($B10="","",IF($C11=$C8,INDEX('MAPA DE PREÇOS'!$M:$M,MATCH($B11,'MAPA DE PREÇOS'!$B:$B)-19),IF($C11=$C9,"Valor Unit. (R$)",IF(AND($C11&lt;&gt;$C10,$J10&lt;&gt;""),"Total Mensal","")))))</f>
        <v>3056.31</v>
      </c>
      <c r="K11" s="75">
        <f>IF(J11="","",IF(J11="Total Mensal","-",IF(J11="Total Acumulado",SUM(K$7:K10),I11*J11)))</f>
        <v>24450.48</v>
      </c>
      <c r="L11" s="112">
        <f>IF(J11="","",IF(J11="Total Mensal","-",IF(J11="Total Acumulado",SUM(L$7:L10),K11/SUMIF(J:J,"Total Acumulado",K:K))))</f>
        <v>0.18933905009882609</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1226</v>
      </c>
      <c r="G12" s="83" t="str">
        <f>IF($B11="","",IF($C12=$C9,IF('BASE EDITAL'!$C$2="",INDEX('MAPA DE PREÇOS'!H:H,MATCH(EDITAL!B12,'MAPA DE PREÇOS'!B:B,0)+1),UPPER(INDEX('BASE EDITAL'!$C:$C,EDITAL!B12+1))),IF($C12=$C10,"Especificação do Objeto","")))</f>
        <v>MONITOR</v>
      </c>
      <c r="H12" s="84" t="str">
        <f>IF($B11="","",IF($C12=$C9,INDEX('MAPA DE PREÇOS'!$M:$M,MATCH($B12,'MAPA DE PREÇOS'!$B:$B)-16),IF($C12=$C10,"Unidade","")))</f>
        <v>MES</v>
      </c>
      <c r="I12" s="84">
        <f>IF($B11="","",IF($C12=$C9,INDEX('MAPA DE PREÇOS'!$M:$M,MATCH($B12,'MAPA DE PREÇOS'!$B:$B)-17),IF($C12=$C10,"Quant.","")))</f>
        <v>6</v>
      </c>
      <c r="J12" s="60">
        <f>IF(J11="Total Mensal","Total Acumulado",IF($B11="","",IF($C12=$C9,INDEX('MAPA DE PREÇOS'!$M:$M,MATCH($B12,'MAPA DE PREÇOS'!$B:$B)-19),IF($C12=$C10,"Valor Unit. (R$)",IF(AND($C12&lt;&gt;$C11,$J11&lt;&gt;""),"Total Mensal","")))))</f>
        <v>1740.56</v>
      </c>
      <c r="K12" s="75">
        <f>IF(J12="","",IF(J12="Total Mensal","-",IF(J12="Total Acumulado",SUM(K$7:K11),I12*J12)))</f>
        <v>10443.36</v>
      </c>
      <c r="L12" s="112">
        <f>IF(J12="","",IF(J12="Total Mensal","-",IF(J12="Total Acumulado",SUM(L$7:L11),K12/SUMIF(J:J,"Total Acumulado",K:K))))</f>
        <v>8.0871044750044849E-2</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1226</v>
      </c>
      <c r="G13" s="83" t="str">
        <f>IF($B12="","",IF($C13=$C10,IF('BASE EDITAL'!$C$2="",INDEX('MAPA DE PREÇOS'!H:H,MATCH(EDITAL!B13,'MAPA DE PREÇOS'!B:B,0)+1),UPPER(INDEX('BASE EDITAL'!$C:$C,EDITAL!B13+1))),IF($C13=$C11,"Especificação do Objeto","")))</f>
        <v>PROFESSOR DE EDUCAÇÃO FÍSICA</v>
      </c>
      <c r="H13" s="84" t="str">
        <f>IF($B12="","",IF($C13=$C10,INDEX('MAPA DE PREÇOS'!$M:$M,MATCH($B13,'MAPA DE PREÇOS'!$B:$B)-16),IF($C13=$C11,"Unidade","")))</f>
        <v>MES</v>
      </c>
      <c r="I13" s="84">
        <f>IF($B12="","",IF($C13=$C10,INDEX('MAPA DE PREÇOS'!$M:$M,MATCH($B13,'MAPA DE PREÇOS'!$B:$B)-17),IF($C13=$C11,"Quant.","")))</f>
        <v>6</v>
      </c>
      <c r="J13" s="60">
        <f>IF(J12="Total Mensal","Total Acumulado",IF($B12="","",IF($C13=$C10,INDEX('MAPA DE PREÇOS'!$M:$M,MATCH($B13,'MAPA DE PREÇOS'!$B:$B)-19),IF($C13=$C11,"Valor Unit. (R$)",IF(AND($C13&lt;&gt;$C12,$J12&lt;&gt;""),"Total Mensal","")))))</f>
        <v>4774.53</v>
      </c>
      <c r="K13" s="75">
        <f>IF(J13="","",IF(J13="Total Mensal","-",IF(J13="Total Acumulado",SUM(K$7:K12),I13*J13)))</f>
        <v>28647.18</v>
      </c>
      <c r="L13" s="112">
        <f>IF(J13="","",IF(J13="Total Mensal","-",IF(J13="Total Acumulado",SUM(L$7:L12),K13/SUMIF(J:J,"Total Acumulado",K:K))))</f>
        <v>0.22183735653492645</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Total Mensal</v>
      </c>
      <c r="K14" s="75" t="str">
        <f>IF(J14="","",IF(J14="Total Mensal","-",IF(J14="Total Acumulado",SUM(K$7:K13),I14*J14)))</f>
        <v>-</v>
      </c>
      <c r="L14" s="112" t="str">
        <f>IF(J14="","",IF(J14="Total Mensal","-",IF(J14="Total Acumulado",SUM(L$7:L13),K14/SUMIF(J:J,"Total Acumulado",K:K))))</f>
        <v>-</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Total Acumulado</v>
      </c>
      <c r="K15" s="75">
        <f>IF(J15="","",IF(J15="Total Mensal","-",IF(J15="Total Acumulado",SUM(K$7:K14),I15*J15)))</f>
        <v>129135.95999999999</v>
      </c>
      <c r="L15" s="112">
        <f>IF(J15="","",IF(J15="Total Mensal","-",IF(J15="Total Acumulado",SUM(L$7:L14),K15/SUMIF(J:J,"Total Acumulado",K:K))))</f>
        <v>1</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0.17048078629686109</v>
      </c>
      <c r="D6" s="42">
        <f>IFERROR(IF(C6=C5,IF(D5="","",D5+0.000000001),C6),"")</f>
        <v>0.17048078629686109</v>
      </c>
      <c r="E6" s="41">
        <f t="shared" ref="E6:E37" si="0">IFERROR(INDEX(B:B,MATCH(LARGE(D:D,ROW()-5),D:D,0)),"")</f>
        <v>6</v>
      </c>
      <c r="F6" s="41">
        <f>IFERROR(VLOOKUP($E6,'MAPA DE PREÇOS'!$B:$D,2,FALSE),"")</f>
        <v>1</v>
      </c>
      <c r="G6" s="41">
        <f>IFERROR(VLOOKUP($E6,'MAPA DE PREÇOS'!$B:$D,3,FALSE),"")</f>
        <v>6</v>
      </c>
      <c r="H6" s="41">
        <f t="array" ref="H6">IFERROR(IF(E6="","",INDEX('MAPA DE PREÇOS'!H:H,0+MATCH(ABC!E6,'MAPA DE PREÇOS'!B:B,0))),"")</f>
        <v>1226</v>
      </c>
      <c r="I6" t="str">
        <f>IF(E6="","",INDEX('MAPA DE PREÇOS'!H:H,MATCH(ABC!E6,'MAPA DE PREÇOS'!B:B,0)+1))</f>
        <v>PROFESSOR DE EDUCAÇÃO FÍSICA</v>
      </c>
      <c r="J6" s="41" t="str">
        <f>IFERROR(IF(E6="","",INDEX('MAPA DE PREÇOS'!M:M,3+MATCH(ABC!E6,'MAPA DE PREÇOS'!B:B,0))),"")</f>
        <v>MES</v>
      </c>
      <c r="K6" s="52">
        <f t="array" ref="K6">IFERROR(IF(E6="","",INDEX('MAPA DE PREÇOS'!M:M,2+MATCH(ABC!E6,'MAPA DE PREÇOS'!B:B,0))),"")</f>
        <v>6</v>
      </c>
      <c r="L6" s="53">
        <f t="array" ref="L6">IFERROR(IF(AND(E5&lt;&gt;"",E6=""),"TOTAL ESTIMADO",INDEX('MAPA DE PREÇOS'!M:M,0+MATCH(ABC!E6,'MAPA DE PREÇOS'!B:B,0))),"")</f>
        <v>4774.53</v>
      </c>
      <c r="M6" s="54">
        <f>IFERROR(IF(AND(E5&lt;&gt;"",E6=""),SUM($M$5:M5),INDEX('MAPA DE PREÇOS'!M:M,19+MATCH(ABC!E6,'MAPA DE PREÇOS'!B:B,0))),"")</f>
        <v>28647.18</v>
      </c>
      <c r="N6" s="90">
        <f t="shared" ref="N6:N37" si="1">IFERROR(VLOOKUP(E6,$B:$C,2),"")</f>
        <v>0.22183735653492645</v>
      </c>
      <c r="O6" s="90">
        <f>N6</f>
        <v>0.22183735653492645</v>
      </c>
      <c r="P6" s="54" t="str">
        <f>IF(O6="","",IF(OR(N6&gt;=$S$6,O6&lt;=$S$6),"A",IF(O6&lt;=SUM($S$6:$S$7),"B","C")))</f>
        <v>A</v>
      </c>
      <c r="R6" s="156" t="s">
        <v>310</v>
      </c>
      <c r="S6" s="157">
        <v>0.8</v>
      </c>
      <c r="T6" s="156">
        <f>COUNTIF($P$6:$P$107,$R6)</f>
        <v>4</v>
      </c>
      <c r="U6" s="158">
        <f>SUMIFS($M$6:$M$107,$P$6:$P$107,$R6)</f>
        <v>100354.73999999999</v>
      </c>
    </row>
    <row r="7" spans="1:21" x14ac:dyDescent="0.25">
      <c r="B7" s="41">
        <v>2</v>
      </c>
      <c r="C7" s="42">
        <f>IFERROR(INDEX('MAPA DE PREÇOS'!M:M,MATCH(B7,'MAPA DE PREÇOS'!B:B,0)+19)/(SUMPRODUCT(EDITAL!I:I,EDITAL!J:J)),"")</f>
        <v>0.19546747474522203</v>
      </c>
      <c r="D7" s="42">
        <f t="shared" ref="D7:D70" si="2">IFERROR(IF(C7=C6,IF(D6="","",D6+0.000000001),C7),"")</f>
        <v>0.19546747474522203</v>
      </c>
      <c r="E7" s="41">
        <f t="shared" si="0"/>
        <v>2</v>
      </c>
      <c r="F7" s="41">
        <f>IFERROR(VLOOKUP($E7,'MAPA DE PREÇOS'!$B:$D,2,FALSE),"")</f>
        <v>1</v>
      </c>
      <c r="G7" s="41">
        <f>IFERROR(VLOOKUP($E7,'MAPA DE PREÇOS'!$B:$D,3,FALSE),"")</f>
        <v>2</v>
      </c>
      <c r="H7" s="41">
        <f t="array" ref="H7">IFERROR(IF(E7="","",INDEX('MAPA DE PREÇOS'!H:H,0+MATCH(ABC!E7,'MAPA DE PREÇOS'!B:B,0))),"")</f>
        <v>2333</v>
      </c>
      <c r="I7" t="str">
        <f>IF(E7="","",INDEX('MAPA DE PREÇOS'!H:H,MATCH(ABC!E7,'MAPA DE PREÇOS'!B:B,0)+1))</f>
        <v>ASSESSORIA DE COMUNICAÇÃO</v>
      </c>
      <c r="J7" s="41" t="str">
        <f>IFERROR(IF(E7="","",INDEX('MAPA DE PREÇOS'!M:M,3+MATCH(ABC!E7,'MAPA DE PREÇOS'!B:B,0))),"")</f>
        <v>MES</v>
      </c>
      <c r="K7" s="52">
        <f t="array" ref="K7">IFERROR(IF(E7="","",INDEX('MAPA DE PREÇOS'!M:M,2+MATCH(ABC!E7,'MAPA DE PREÇOS'!B:B,0))),"")</f>
        <v>6</v>
      </c>
      <c r="L7" s="53">
        <f t="array" ref="L7">IFERROR(IF(AND(E6&lt;&gt;"",E7=""),"TOTAL ESTIMADO",INDEX('MAPA DE PREÇOS'!M:M,0+MATCH(ABC!E7,'MAPA DE PREÇOS'!B:B,0))),"")</f>
        <v>4206.9799999999996</v>
      </c>
      <c r="M7" s="54">
        <f>IFERROR(IF(AND(E6&lt;&gt;"",E7=""),SUM($M$5:M6),INDEX('MAPA DE PREÇOS'!M:M,19+MATCH(ABC!E7,'MAPA DE PREÇOS'!B:B,0))),"")</f>
        <v>25241.88</v>
      </c>
      <c r="N7" s="90">
        <f t="shared" si="1"/>
        <v>0.19546747474522203</v>
      </c>
      <c r="O7" s="90">
        <f>IFERROR(N7+O6,"")</f>
        <v>0.4173048312801485</v>
      </c>
      <c r="P7" s="54" t="str">
        <f t="shared" ref="P7:P70" si="3">IF(O7="","",IF(OR(N7&gt;=$S$6,O7&lt;=$S$6),"A",IF(O7&lt;=SUM($S$6:$S$7),"B","C")))</f>
        <v>A</v>
      </c>
      <c r="R7" s="159" t="s">
        <v>311</v>
      </c>
      <c r="S7" s="160">
        <v>0.15</v>
      </c>
      <c r="T7" s="159">
        <f>COUNTIF($P$6:$P$107,$R7)</f>
        <v>1</v>
      </c>
      <c r="U7" s="161">
        <f>SUMIFS($M$6:$M$107,$P$6:$P$107,$R7)</f>
        <v>18337.86</v>
      </c>
    </row>
    <row r="8" spans="1:21" x14ac:dyDescent="0.25">
      <c r="B8" s="41">
        <v>3</v>
      </c>
      <c r="C8" s="42">
        <f>IFERROR(INDEX('MAPA DE PREÇOS'!M:M,MATCH(B8,'MAPA DE PREÇOS'!B:B,0)+19)/(SUMPRODUCT(EDITAL!I:I,EDITAL!J:J)),"")</f>
        <v>0.14200428757411956</v>
      </c>
      <c r="D8" s="42">
        <f t="shared" si="2"/>
        <v>0.14200428757411956</v>
      </c>
      <c r="E8" s="41">
        <f t="shared" si="0"/>
        <v>4</v>
      </c>
      <c r="F8" s="41">
        <f>IFERROR(VLOOKUP($E8,'MAPA DE PREÇOS'!$B:$D,2,FALSE),"")</f>
        <v>1</v>
      </c>
      <c r="G8" s="41">
        <f>IFERROR(VLOOKUP($E8,'MAPA DE PREÇOS'!$B:$D,3,FALSE),"")</f>
        <v>4</v>
      </c>
      <c r="H8" s="41">
        <f t="array" ref="H8">IFERROR(IF(E8="","",INDEX('MAPA DE PREÇOS'!H:H,0+MATCH(ABC!E8,'MAPA DE PREÇOS'!B:B,0))),"")</f>
        <v>1226</v>
      </c>
      <c r="I8" t="str">
        <f>IF(E8="","",INDEX('MAPA DE PREÇOS'!H:H,MATCH(ABC!E8,'MAPA DE PREÇOS'!B:B,0)+1))</f>
        <v>COORDENADOR GERAL</v>
      </c>
      <c r="J8" s="41" t="str">
        <f>IFERROR(IF(E8="","",INDEX('MAPA DE PREÇOS'!M:M,3+MATCH(ABC!E8,'MAPA DE PREÇOS'!B:B,0))),"")</f>
        <v>MES</v>
      </c>
      <c r="K8" s="52">
        <f t="array" ref="K8">IFERROR(IF(E8="","",INDEX('MAPA DE PREÇOS'!M:M,2+MATCH(ABC!E8,'MAPA DE PREÇOS'!B:B,0))),"")</f>
        <v>8</v>
      </c>
      <c r="L8" s="53">
        <f t="array" ref="L8">IFERROR(IF(AND(E7&lt;&gt;"",E8=""),"TOTAL ESTIMADO",INDEX('MAPA DE PREÇOS'!M:M,0+MATCH(ABC!E8,'MAPA DE PREÇOS'!B:B,0))),"")</f>
        <v>3056.31</v>
      </c>
      <c r="M8" s="54">
        <f>IFERROR(IF(AND(E7&lt;&gt;"",E8=""),SUM($M$5:M7),INDEX('MAPA DE PREÇOS'!M:M,19+MATCH(ABC!E8,'MAPA DE PREÇOS'!B:B,0))),"")</f>
        <v>24450.48</v>
      </c>
      <c r="N8" s="90">
        <f t="shared" si="1"/>
        <v>0.18933905009882609</v>
      </c>
      <c r="O8" s="90">
        <f t="shared" ref="O8:O71" si="4">IFERROR(N8+O7,"")</f>
        <v>0.60664388137897463</v>
      </c>
      <c r="P8" s="54" t="str">
        <f t="shared" si="3"/>
        <v>A</v>
      </c>
      <c r="R8" s="153" t="s">
        <v>312</v>
      </c>
      <c r="S8" s="154">
        <v>0.05</v>
      </c>
      <c r="T8" s="153">
        <f>COUNTIF($P$6:$P$107,$R8)</f>
        <v>1</v>
      </c>
      <c r="U8" s="155">
        <f>SUMIFS($M$6:$M$107,$P$6:$P$107,$R8)</f>
        <v>10443.36</v>
      </c>
    </row>
    <row r="9" spans="1:21" x14ac:dyDescent="0.25">
      <c r="B9" s="41">
        <v>4</v>
      </c>
      <c r="C9" s="42">
        <f>IFERROR(INDEX('MAPA DE PREÇOS'!M:M,MATCH(B9,'MAPA DE PREÇOS'!B:B,0)+19)/(SUMPRODUCT(EDITAL!I:I,EDITAL!J:J)),"")</f>
        <v>0.18933905009882609</v>
      </c>
      <c r="D9" s="42">
        <f t="shared" si="2"/>
        <v>0.18933905009882609</v>
      </c>
      <c r="E9" s="41">
        <f t="shared" si="0"/>
        <v>1</v>
      </c>
      <c r="F9" s="41">
        <f>IFERROR(VLOOKUP($E9,'MAPA DE PREÇOS'!$B:$D,2,FALSE),"")</f>
        <v>1</v>
      </c>
      <c r="G9" s="41">
        <f>IFERROR(VLOOKUP($E9,'MAPA DE PREÇOS'!$B:$D,3,FALSE),"")</f>
        <v>1</v>
      </c>
      <c r="H9" s="41">
        <f t="array" ref="H9">IFERROR(IF(E9="","",INDEX('MAPA DE PREÇOS'!H:H,0+MATCH(ABC!E9,'MAPA DE PREÇOS'!B:B,0))),"")</f>
        <v>2333</v>
      </c>
      <c r="I9" t="str">
        <f>IF(E9="","",INDEX('MAPA DE PREÇOS'!H:H,MATCH(ABC!E9,'MAPA DE PREÇOS'!B:B,0)+1))</f>
        <v>ASSESSORIA CONTÁBIL</v>
      </c>
      <c r="J9" s="41" t="str">
        <f>IFERROR(IF(E9="","",INDEX('MAPA DE PREÇOS'!M:M,3+MATCH(ABC!E9,'MAPA DE PREÇOS'!B:B,0))),"")</f>
        <v>MES</v>
      </c>
      <c r="K9" s="52">
        <f t="array" ref="K9">IFERROR(IF(E9="","",INDEX('MAPA DE PREÇOS'!M:M,2+MATCH(ABC!E9,'MAPA DE PREÇOS'!B:B,0))),"")</f>
        <v>6</v>
      </c>
      <c r="L9" s="53">
        <f t="array" ref="L9">IFERROR(IF(AND(E8&lt;&gt;"",E9=""),"TOTAL ESTIMADO",INDEX('MAPA DE PREÇOS'!M:M,0+MATCH(ABC!E9,'MAPA DE PREÇOS'!B:B,0))),"")</f>
        <v>3669.2</v>
      </c>
      <c r="M9" s="54">
        <f>IFERROR(IF(AND(E8&lt;&gt;"",E9=""),SUM($M$5:M8),INDEX('MAPA DE PREÇOS'!M:M,19+MATCH(ABC!E9,'MAPA DE PREÇOS'!B:B,0))),"")</f>
        <v>22015.200000000001</v>
      </c>
      <c r="N9" s="90">
        <f t="shared" si="1"/>
        <v>0.17048078629686109</v>
      </c>
      <c r="O9" s="90">
        <f t="shared" si="4"/>
        <v>0.77712466767583566</v>
      </c>
      <c r="P9" s="54" t="str">
        <f t="shared" si="3"/>
        <v>A</v>
      </c>
    </row>
    <row r="10" spans="1:21" x14ac:dyDescent="0.25">
      <c r="B10" s="41">
        <v>5</v>
      </c>
      <c r="C10" s="42">
        <f>IFERROR(INDEX('MAPA DE PREÇOS'!M:M,MATCH(B10,'MAPA DE PREÇOS'!B:B,0)+19)/(SUMPRODUCT(EDITAL!I:I,EDITAL!J:J)),"")</f>
        <v>8.0871044750044849E-2</v>
      </c>
      <c r="D10" s="42">
        <f t="shared" si="2"/>
        <v>8.0871044750044849E-2</v>
      </c>
      <c r="E10" s="41">
        <f t="shared" si="0"/>
        <v>3</v>
      </c>
      <c r="F10" s="41">
        <f>IFERROR(VLOOKUP($E10,'MAPA DE PREÇOS'!$B:$D,2,FALSE),"")</f>
        <v>1</v>
      </c>
      <c r="G10" s="41">
        <f>IFERROR(VLOOKUP($E10,'MAPA DE PREÇOS'!$B:$D,3,FALSE),"")</f>
        <v>3</v>
      </c>
      <c r="H10" s="41">
        <f t="array" ref="H10">IFERROR(IF(E10="","",INDEX('MAPA DE PREÇOS'!H:H,0+MATCH(ABC!E10,'MAPA DE PREÇOS'!B:B,0))),"")</f>
        <v>1226</v>
      </c>
      <c r="I10" t="str">
        <f>IF(E10="","",INDEX('MAPA DE PREÇOS'!H:H,MATCH(ABC!E10,'MAPA DE PREÇOS'!B:B,0)+1))</f>
        <v>COORDENADOR  DE NÚCLEO</v>
      </c>
      <c r="J10" s="41" t="str">
        <f>IFERROR(IF(E10="","",INDEX('MAPA DE PREÇOS'!M:M,3+MATCH(ABC!E10,'MAPA DE PREÇOS'!B:B,0))),"")</f>
        <v>MES</v>
      </c>
      <c r="K10" s="52">
        <f t="array" ref="K10">IFERROR(IF(E10="","",INDEX('MAPA DE PREÇOS'!M:M,2+MATCH(ABC!E10,'MAPA DE PREÇOS'!B:B,0))),"")</f>
        <v>6</v>
      </c>
      <c r="L10" s="53">
        <f t="array" ref="L10">IFERROR(IF(AND(E9&lt;&gt;"",E10=""),"TOTAL ESTIMADO",INDEX('MAPA DE PREÇOS'!M:M,0+MATCH(ABC!E10,'MAPA DE PREÇOS'!B:B,0))),"")</f>
        <v>3056.31</v>
      </c>
      <c r="M10" s="54">
        <f>IFERROR(IF(AND(E9&lt;&gt;"",E10=""),SUM($M$5:M9),INDEX('MAPA DE PREÇOS'!M:M,19+MATCH(ABC!E10,'MAPA DE PREÇOS'!B:B,0))),"")</f>
        <v>18337.86</v>
      </c>
      <c r="N10" s="90">
        <f t="shared" si="1"/>
        <v>0.14200428757411956</v>
      </c>
      <c r="O10" s="90">
        <f t="shared" si="4"/>
        <v>0.91912895524995519</v>
      </c>
      <c r="P10" s="54" t="str">
        <f t="shared" si="3"/>
        <v>B</v>
      </c>
    </row>
    <row r="11" spans="1:21" x14ac:dyDescent="0.25">
      <c r="B11" s="41">
        <v>6</v>
      </c>
      <c r="C11" s="42">
        <f>IFERROR(INDEX('MAPA DE PREÇOS'!M:M,MATCH(B11,'MAPA DE PREÇOS'!B:B,0)+19)/(SUMPRODUCT(EDITAL!I:I,EDITAL!J:J)),"")</f>
        <v>0.22183735653492645</v>
      </c>
      <c r="D11" s="42">
        <f t="shared" si="2"/>
        <v>0.22183735653492645</v>
      </c>
      <c r="E11" s="41">
        <f t="shared" si="0"/>
        <v>5</v>
      </c>
      <c r="F11" s="41">
        <f>IFERROR(VLOOKUP($E11,'MAPA DE PREÇOS'!$B:$D,2,FALSE),"")</f>
        <v>1</v>
      </c>
      <c r="G11" s="41">
        <f>IFERROR(VLOOKUP($E11,'MAPA DE PREÇOS'!$B:$D,3,FALSE),"")</f>
        <v>5</v>
      </c>
      <c r="H11" s="41">
        <f t="array" ref="H11">IFERROR(IF(E11="","",INDEX('MAPA DE PREÇOS'!H:H,0+MATCH(ABC!E11,'MAPA DE PREÇOS'!B:B,0))),"")</f>
        <v>1226</v>
      </c>
      <c r="I11" t="str">
        <f>IF(E11="","",INDEX('MAPA DE PREÇOS'!H:H,MATCH(ABC!E11,'MAPA DE PREÇOS'!B:B,0)+1))</f>
        <v>MONITOR</v>
      </c>
      <c r="J11" s="41" t="str">
        <f>IFERROR(IF(E11="","",INDEX('MAPA DE PREÇOS'!M:M,3+MATCH(ABC!E11,'MAPA DE PREÇOS'!B:B,0))),"")</f>
        <v>MES</v>
      </c>
      <c r="K11" s="52">
        <f t="array" ref="K11">IFERROR(IF(E11="","",INDEX('MAPA DE PREÇOS'!M:M,2+MATCH(ABC!E11,'MAPA DE PREÇOS'!B:B,0))),"")</f>
        <v>6</v>
      </c>
      <c r="L11" s="53">
        <f t="array" ref="L11">IFERROR(IF(AND(E10&lt;&gt;"",E11=""),"TOTAL ESTIMADO",INDEX('MAPA DE PREÇOS'!M:M,0+MATCH(ABC!E11,'MAPA DE PREÇOS'!B:B,0))),"")</f>
        <v>1740.56</v>
      </c>
      <c r="M11" s="54">
        <f>IFERROR(IF(AND(E10&lt;&gt;"",E11=""),SUM($M$5:M10),INDEX('MAPA DE PREÇOS'!M:M,19+MATCH(ABC!E11,'MAPA DE PREÇOS'!B:B,0))),"")</f>
        <v>10443.36</v>
      </c>
      <c r="N11" s="90">
        <f t="shared" si="1"/>
        <v>8.0871044750044849E-2</v>
      </c>
      <c r="O11" s="90">
        <f t="shared" si="4"/>
        <v>1</v>
      </c>
      <c r="P11" s="54" t="str">
        <f t="shared" si="3"/>
        <v>C</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TOTAL ESTIMADO</v>
      </c>
      <c r="M12" s="54">
        <f>IFERROR(IF(AND(E11&lt;&gt;"",E12=""),SUM($M$5:M11),INDEX('MAPA DE PREÇOS'!M:M,19+MATCH(ABC!E12,'MAPA DE PREÇOS'!B:B,0))),"")</f>
        <v>129135.95999999999</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4" customFormat="1" ht="64.900000000000006" customHeight="1" x14ac:dyDescent="0.25">
      <c r="B40" s="278" t="s">
        <v>391</v>
      </c>
      <c r="C40" s="278"/>
      <c r="D40" s="278"/>
    </row>
    <row r="41" spans="2:4" s="164" customFormat="1" ht="64.900000000000006" customHeight="1" x14ac:dyDescent="0.25">
      <c r="B41" s="278"/>
      <c r="C41" s="278"/>
      <c r="D41" s="278"/>
    </row>
    <row r="42" spans="2:4" s="164" customFormat="1" ht="64.900000000000006" customHeight="1" x14ac:dyDescent="0.25">
      <c r="B42" s="278"/>
      <c r="C42" s="278"/>
      <c r="D42" s="278"/>
    </row>
    <row r="43" spans="2:4" s="164" customFormat="1" ht="64.900000000000006" customHeight="1" x14ac:dyDescent="0.25">
      <c r="B43" s="278"/>
      <c r="C43" s="278"/>
      <c r="D43" s="278"/>
    </row>
    <row r="44" spans="2:4" s="164" customFormat="1" ht="64.900000000000006" customHeight="1" x14ac:dyDescent="0.25">
      <c r="B44" s="278"/>
      <c r="C44" s="278"/>
      <c r="D44" s="278"/>
    </row>
    <row r="45" spans="2:4" s="164"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A393" sqref="A393"/>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2026-09-14T12:58:44Z</dcterms:modified>
</cp:coreProperties>
</file>