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EstaPasta_de_trabalho" defaultThemeVersion="124226"/>
  <xr:revisionPtr revIDLastSave="0" documentId="13_ncr:1_{30850A32-8121-4319-9A1B-FD50ECF7D878}" xr6:coauthVersionLast="47" xr6:coauthVersionMax="47" xr10:uidLastSave="{00000000-0000-0000-0000-000000000000}"/>
  <bookViews>
    <workbookView xWindow="2868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externalReferences>
    <externalReference r:id="rId10"/>
    <externalReference r:id="rId11"/>
  </externalReference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83" i="2" l="1"/>
  <c r="P183" i="2"/>
  <c r="R162" i="2"/>
  <c r="T141" i="2"/>
  <c r="Q120" i="2"/>
  <c r="P120" i="2"/>
  <c r="R99" i="2"/>
  <c r="Q99" i="2"/>
  <c r="P99" i="2"/>
  <c r="Q78" i="2"/>
  <c r="P78" i="2"/>
  <c r="R57" i="2"/>
  <c r="Q57" i="2"/>
  <c r="P57" i="2"/>
  <c r="R39" i="2"/>
  <c r="R36" i="2"/>
  <c r="Q36" i="2"/>
  <c r="R15" i="2"/>
  <c r="Q15" i="2"/>
  <c r="P15" i="2"/>
  <c r="S204" i="2"/>
  <c r="R204" i="2"/>
  <c r="Q204" i="2"/>
  <c r="P204" i="2"/>
  <c r="T225" i="2"/>
  <c r="P225" i="2"/>
  <c r="R267" i="2"/>
  <c r="Q267" i="2"/>
  <c r="P267" i="2"/>
  <c r="R330" i="2"/>
  <c r="P40" i="2"/>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R41" i="2"/>
  <c r="S41" i="2"/>
  <c r="T41" i="2"/>
  <c r="U41" i="2"/>
  <c r="V41" i="2"/>
  <c r="W41" i="2"/>
  <c r="X41" i="2"/>
  <c r="Y41" i="2"/>
  <c r="Z41" i="2"/>
  <c r="AA41" i="2"/>
  <c r="AB41" i="2"/>
  <c r="AC41" i="2"/>
  <c r="AD41" i="2"/>
  <c r="AE41" i="2"/>
  <c r="AF41" i="2"/>
  <c r="AG41" i="2"/>
  <c r="AH41" i="2"/>
  <c r="AI41" i="2"/>
  <c r="J42" i="2"/>
  <c r="O43" i="2"/>
  <c r="R43" i="2"/>
  <c r="S43" i="2"/>
  <c r="T43" i="2"/>
  <c r="U43" i="2"/>
  <c r="V43" i="2"/>
  <c r="W43" i="2"/>
  <c r="X43" i="2"/>
  <c r="Y43" i="2"/>
  <c r="Z43" i="2"/>
  <c r="AA43" i="2"/>
  <c r="AB43" i="2"/>
  <c r="AC43" i="2"/>
  <c r="AD43" i="2"/>
  <c r="AE43" i="2"/>
  <c r="AF43" i="2"/>
  <c r="AG43" i="2"/>
  <c r="AH43" i="2"/>
  <c r="AI43" i="2"/>
  <c r="O44" i="2"/>
  <c r="O45" i="2"/>
  <c r="R45" i="2"/>
  <c r="S45" i="2"/>
  <c r="T45" i="2"/>
  <c r="U45" i="2"/>
  <c r="V45" i="2"/>
  <c r="W45" i="2"/>
  <c r="X45" i="2"/>
  <c r="Y45" i="2"/>
  <c r="Z45" i="2"/>
  <c r="AA45" i="2"/>
  <c r="AB45" i="2"/>
  <c r="AC45" i="2"/>
  <c r="AD45" i="2"/>
  <c r="AE45" i="2"/>
  <c r="AF45" i="2"/>
  <c r="AG45" i="2"/>
  <c r="AH45" i="2"/>
  <c r="AI45" i="2"/>
  <c r="O46" i="2"/>
  <c r="O47" i="2"/>
  <c r="R47" i="2"/>
  <c r="S47" i="2"/>
  <c r="T47" i="2"/>
  <c r="U47" i="2"/>
  <c r="V47" i="2"/>
  <c r="W47" i="2"/>
  <c r="X47" i="2"/>
  <c r="Y47" i="2"/>
  <c r="Z47" i="2"/>
  <c r="AA47" i="2"/>
  <c r="AB47" i="2"/>
  <c r="AC47" i="2"/>
  <c r="AD47" i="2"/>
  <c r="AE47" i="2"/>
  <c r="AF47" i="2"/>
  <c r="AG47" i="2"/>
  <c r="AH47" i="2"/>
  <c r="AI47" i="2"/>
  <c r="O48" i="2"/>
  <c r="O49" i="2"/>
  <c r="R49" i="2"/>
  <c r="S49" i="2"/>
  <c r="T49" i="2"/>
  <c r="U49" i="2"/>
  <c r="V49" i="2"/>
  <c r="W49" i="2"/>
  <c r="X49" i="2"/>
  <c r="Y49" i="2"/>
  <c r="Z49" i="2"/>
  <c r="AA49" i="2"/>
  <c r="AB49" i="2"/>
  <c r="AC49" i="2"/>
  <c r="AD49" i="2"/>
  <c r="AE49" i="2"/>
  <c r="AF49" i="2"/>
  <c r="AG49" i="2"/>
  <c r="AH49" i="2"/>
  <c r="AI49" i="2"/>
  <c r="O50" i="2"/>
  <c r="O51" i="2"/>
  <c r="R51" i="2"/>
  <c r="S51" i="2"/>
  <c r="T51" i="2"/>
  <c r="U51" i="2"/>
  <c r="V51" i="2"/>
  <c r="W51" i="2"/>
  <c r="X51" i="2"/>
  <c r="Y51" i="2"/>
  <c r="Z51" i="2"/>
  <c r="AA51" i="2"/>
  <c r="AB51" i="2"/>
  <c r="AC51" i="2"/>
  <c r="AD51" i="2"/>
  <c r="AE51" i="2"/>
  <c r="AF51" i="2"/>
  <c r="AG51" i="2"/>
  <c r="AH51" i="2"/>
  <c r="AI51" i="2"/>
  <c r="O52" i="2"/>
  <c r="O53" i="2"/>
  <c r="R53" i="2"/>
  <c r="S53" i="2"/>
  <c r="T53" i="2"/>
  <c r="U53" i="2"/>
  <c r="V53" i="2"/>
  <c r="W53" i="2"/>
  <c r="X53" i="2"/>
  <c r="Y53" i="2"/>
  <c r="Z53" i="2"/>
  <c r="AA53" i="2"/>
  <c r="AB53" i="2"/>
  <c r="AC53" i="2"/>
  <c r="AD53" i="2"/>
  <c r="AE53" i="2"/>
  <c r="AF53" i="2"/>
  <c r="AG53" i="2"/>
  <c r="AH53" i="2"/>
  <c r="AI53" i="2"/>
  <c r="O54" i="2"/>
  <c r="P61" i="2"/>
  <c r="Q61" i="2"/>
  <c r="R61" i="2"/>
  <c r="S61" i="2"/>
  <c r="T61" i="2"/>
  <c r="T63" i="2" s="1"/>
  <c r="T65" i="2" s="1"/>
  <c r="T67" i="2" s="1"/>
  <c r="T69" i="2" s="1"/>
  <c r="T71" i="2" s="1"/>
  <c r="T73" i="2" s="1"/>
  <c r="T75" i="2" s="1"/>
  <c r="U61" i="2"/>
  <c r="U63" i="2" s="1"/>
  <c r="U65" i="2" s="1"/>
  <c r="U67" i="2" s="1"/>
  <c r="U69" i="2" s="1"/>
  <c r="U71" i="2" s="1"/>
  <c r="U73" i="2" s="1"/>
  <c r="U75" i="2" s="1"/>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T62" i="2"/>
  <c r="U62" i="2"/>
  <c r="V62" i="2"/>
  <c r="W62" i="2"/>
  <c r="X62" i="2"/>
  <c r="Y62" i="2"/>
  <c r="Z62" i="2"/>
  <c r="AA62" i="2"/>
  <c r="AB62" i="2"/>
  <c r="AC62" i="2"/>
  <c r="AD62" i="2"/>
  <c r="AE62" i="2"/>
  <c r="AF62" i="2"/>
  <c r="AG62" i="2"/>
  <c r="AH62" i="2"/>
  <c r="AI62" i="2"/>
  <c r="J63" i="2"/>
  <c r="V63" i="2"/>
  <c r="V65" i="2" s="1"/>
  <c r="V67" i="2" s="1"/>
  <c r="V69" i="2" s="1"/>
  <c r="V71" i="2" s="1"/>
  <c r="V73" i="2" s="1"/>
  <c r="V75" i="2" s="1"/>
  <c r="O64" i="2"/>
  <c r="T64" i="2"/>
  <c r="U64" i="2"/>
  <c r="V64" i="2"/>
  <c r="W64" i="2"/>
  <c r="X64" i="2"/>
  <c r="Y64" i="2"/>
  <c r="Z64" i="2"/>
  <c r="AA64" i="2"/>
  <c r="AB64" i="2"/>
  <c r="AC64" i="2"/>
  <c r="AD64" i="2"/>
  <c r="AE64" i="2"/>
  <c r="AF64" i="2"/>
  <c r="AG64" i="2"/>
  <c r="AH64" i="2"/>
  <c r="AI64" i="2"/>
  <c r="O65" i="2"/>
  <c r="O66" i="2"/>
  <c r="T66" i="2"/>
  <c r="U66" i="2"/>
  <c r="V66" i="2"/>
  <c r="W66" i="2"/>
  <c r="X66" i="2"/>
  <c r="Y66" i="2"/>
  <c r="Z66" i="2"/>
  <c r="AA66" i="2"/>
  <c r="AB66" i="2"/>
  <c r="AC66" i="2"/>
  <c r="AD66" i="2"/>
  <c r="AE66" i="2"/>
  <c r="AF66" i="2"/>
  <c r="AG66" i="2"/>
  <c r="AH66" i="2"/>
  <c r="AI66" i="2"/>
  <c r="O67" i="2"/>
  <c r="AE67" i="2"/>
  <c r="AE69" i="2" s="1"/>
  <c r="AE71" i="2" s="1"/>
  <c r="AE73" i="2" s="1"/>
  <c r="AE75" i="2" s="1"/>
  <c r="O68" i="2"/>
  <c r="T68" i="2"/>
  <c r="U68" i="2"/>
  <c r="V68" i="2"/>
  <c r="W68" i="2"/>
  <c r="X68" i="2"/>
  <c r="Y68" i="2"/>
  <c r="Z68" i="2"/>
  <c r="AA68" i="2"/>
  <c r="AB68" i="2"/>
  <c r="AC68" i="2"/>
  <c r="AD68" i="2"/>
  <c r="AE68" i="2"/>
  <c r="AF68" i="2"/>
  <c r="AG68" i="2"/>
  <c r="AH68" i="2"/>
  <c r="AI68" i="2"/>
  <c r="O69" i="2"/>
  <c r="O70" i="2"/>
  <c r="T70" i="2"/>
  <c r="U70" i="2"/>
  <c r="V70" i="2"/>
  <c r="W70" i="2"/>
  <c r="X70" i="2"/>
  <c r="Y70" i="2"/>
  <c r="Z70" i="2"/>
  <c r="AA70" i="2"/>
  <c r="AB70" i="2"/>
  <c r="AC70" i="2"/>
  <c r="AD70" i="2"/>
  <c r="AE70" i="2"/>
  <c r="AF70" i="2"/>
  <c r="AG70" i="2"/>
  <c r="AH70" i="2"/>
  <c r="AI70" i="2"/>
  <c r="O71" i="2"/>
  <c r="O72" i="2"/>
  <c r="T72" i="2"/>
  <c r="U72" i="2"/>
  <c r="V72" i="2"/>
  <c r="W72" i="2"/>
  <c r="X72" i="2"/>
  <c r="Y72" i="2"/>
  <c r="Z72" i="2"/>
  <c r="AA72" i="2"/>
  <c r="AB72" i="2"/>
  <c r="AC72" i="2"/>
  <c r="AD72" i="2"/>
  <c r="AE72" i="2"/>
  <c r="AF72" i="2"/>
  <c r="AG72" i="2"/>
  <c r="AH72" i="2"/>
  <c r="AI72" i="2"/>
  <c r="O73" i="2"/>
  <c r="O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S83" i="2"/>
  <c r="T83" i="2"/>
  <c r="U83" i="2"/>
  <c r="V83" i="2"/>
  <c r="W83" i="2"/>
  <c r="X83" i="2"/>
  <c r="Y83" i="2"/>
  <c r="Z83" i="2"/>
  <c r="AA83" i="2"/>
  <c r="AB83" i="2"/>
  <c r="AC83" i="2"/>
  <c r="AD83" i="2"/>
  <c r="AE83" i="2"/>
  <c r="AF83" i="2"/>
  <c r="AG83" i="2"/>
  <c r="AH83" i="2"/>
  <c r="AI83" i="2"/>
  <c r="J84" i="2"/>
  <c r="O85" i="2"/>
  <c r="S85" i="2"/>
  <c r="T85" i="2"/>
  <c r="U85" i="2"/>
  <c r="V85" i="2"/>
  <c r="W85" i="2"/>
  <c r="X85" i="2"/>
  <c r="Y85" i="2"/>
  <c r="Z85" i="2"/>
  <c r="AA85" i="2"/>
  <c r="AB85" i="2"/>
  <c r="AC85" i="2"/>
  <c r="AD85" i="2"/>
  <c r="AE85" i="2"/>
  <c r="AF85" i="2"/>
  <c r="AG85" i="2"/>
  <c r="AH85" i="2"/>
  <c r="AI85" i="2"/>
  <c r="O86" i="2"/>
  <c r="O87" i="2"/>
  <c r="S87" i="2"/>
  <c r="T87" i="2"/>
  <c r="U87" i="2"/>
  <c r="V87" i="2"/>
  <c r="W87" i="2"/>
  <c r="X87" i="2"/>
  <c r="Y87" i="2"/>
  <c r="Z87" i="2"/>
  <c r="AA87" i="2"/>
  <c r="AB87" i="2"/>
  <c r="AC87" i="2"/>
  <c r="AD87" i="2"/>
  <c r="AE87" i="2"/>
  <c r="AF87" i="2"/>
  <c r="AG87" i="2"/>
  <c r="AH87" i="2"/>
  <c r="AI87" i="2"/>
  <c r="O88" i="2"/>
  <c r="O89" i="2"/>
  <c r="S89" i="2"/>
  <c r="T89" i="2"/>
  <c r="U89" i="2"/>
  <c r="V89" i="2"/>
  <c r="W89" i="2"/>
  <c r="X89" i="2"/>
  <c r="Y89" i="2"/>
  <c r="Z89" i="2"/>
  <c r="AA89" i="2"/>
  <c r="AB89" i="2"/>
  <c r="AC89" i="2"/>
  <c r="AD89" i="2"/>
  <c r="AE89" i="2"/>
  <c r="AF89" i="2"/>
  <c r="AG89" i="2"/>
  <c r="AH89" i="2"/>
  <c r="AI89" i="2"/>
  <c r="O90" i="2"/>
  <c r="O91" i="2"/>
  <c r="S91" i="2"/>
  <c r="T91" i="2"/>
  <c r="U91" i="2"/>
  <c r="V91" i="2"/>
  <c r="W91" i="2"/>
  <c r="X91" i="2"/>
  <c r="Y91" i="2"/>
  <c r="Z91" i="2"/>
  <c r="AA91" i="2"/>
  <c r="AB91" i="2"/>
  <c r="AC91" i="2"/>
  <c r="AD91" i="2"/>
  <c r="AE91" i="2"/>
  <c r="AF91" i="2"/>
  <c r="AG91" i="2"/>
  <c r="AH91" i="2"/>
  <c r="AI91" i="2"/>
  <c r="O92" i="2"/>
  <c r="O93" i="2"/>
  <c r="S93" i="2"/>
  <c r="T93" i="2"/>
  <c r="U93" i="2"/>
  <c r="V93" i="2"/>
  <c r="W93" i="2"/>
  <c r="X93" i="2"/>
  <c r="Y93" i="2"/>
  <c r="Z93" i="2"/>
  <c r="AA93" i="2"/>
  <c r="AB93" i="2"/>
  <c r="AC93" i="2"/>
  <c r="AD93" i="2"/>
  <c r="AE93" i="2"/>
  <c r="AF93" i="2"/>
  <c r="AG93" i="2"/>
  <c r="AH93" i="2"/>
  <c r="AI93" i="2"/>
  <c r="O94" i="2"/>
  <c r="O95" i="2"/>
  <c r="S95" i="2"/>
  <c r="T95" i="2"/>
  <c r="U95" i="2"/>
  <c r="V95" i="2"/>
  <c r="W95" i="2"/>
  <c r="X95" i="2"/>
  <c r="Y95" i="2"/>
  <c r="Z95" i="2"/>
  <c r="AA95" i="2"/>
  <c r="AB95" i="2"/>
  <c r="AC95" i="2"/>
  <c r="AD95" i="2"/>
  <c r="AE95" i="2"/>
  <c r="AF95" i="2"/>
  <c r="AG95" i="2"/>
  <c r="AH95" i="2"/>
  <c r="AI95" i="2"/>
  <c r="O96" i="2"/>
  <c r="P103" i="2"/>
  <c r="Q103" i="2"/>
  <c r="R103" i="2"/>
  <c r="R105" i="2" s="1"/>
  <c r="S103" i="2"/>
  <c r="T103" i="2"/>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U104" i="2"/>
  <c r="V104" i="2"/>
  <c r="W104" i="2"/>
  <c r="X104" i="2"/>
  <c r="Y104" i="2"/>
  <c r="Z104" i="2"/>
  <c r="AA104" i="2"/>
  <c r="AB104" i="2"/>
  <c r="AC104" i="2"/>
  <c r="AD104" i="2"/>
  <c r="AE104" i="2"/>
  <c r="AF104" i="2"/>
  <c r="AG104" i="2"/>
  <c r="AH104" i="2"/>
  <c r="AI104" i="2"/>
  <c r="J105" i="2"/>
  <c r="O106" i="2"/>
  <c r="U106" i="2"/>
  <c r="V106" i="2"/>
  <c r="W106" i="2"/>
  <c r="X106" i="2"/>
  <c r="Y106" i="2"/>
  <c r="Z106" i="2"/>
  <c r="AA106" i="2"/>
  <c r="AB106" i="2"/>
  <c r="AC106" i="2"/>
  <c r="AD106" i="2"/>
  <c r="AE106" i="2"/>
  <c r="AF106" i="2"/>
  <c r="AG106" i="2"/>
  <c r="AH106" i="2"/>
  <c r="AI106" i="2"/>
  <c r="O107" i="2"/>
  <c r="O108" i="2"/>
  <c r="U108" i="2"/>
  <c r="V108" i="2"/>
  <c r="W108" i="2"/>
  <c r="X108" i="2"/>
  <c r="Y108" i="2"/>
  <c r="Z108" i="2"/>
  <c r="AA108" i="2"/>
  <c r="AB108" i="2"/>
  <c r="AC108" i="2"/>
  <c r="AD108" i="2"/>
  <c r="AE108" i="2"/>
  <c r="AF108" i="2"/>
  <c r="AG108" i="2"/>
  <c r="AH108" i="2"/>
  <c r="AI108" i="2"/>
  <c r="O109" i="2"/>
  <c r="O110" i="2"/>
  <c r="U110" i="2"/>
  <c r="V110" i="2"/>
  <c r="W110" i="2"/>
  <c r="X110" i="2"/>
  <c r="Y110" i="2"/>
  <c r="Z110" i="2"/>
  <c r="AA110" i="2"/>
  <c r="AB110" i="2"/>
  <c r="AC110" i="2"/>
  <c r="AD110" i="2"/>
  <c r="AE110" i="2"/>
  <c r="AF110" i="2"/>
  <c r="AG110" i="2"/>
  <c r="AH110" i="2"/>
  <c r="AI110" i="2"/>
  <c r="O111" i="2"/>
  <c r="O112" i="2"/>
  <c r="U112" i="2"/>
  <c r="V112" i="2"/>
  <c r="W112" i="2"/>
  <c r="X112" i="2"/>
  <c r="Y112" i="2"/>
  <c r="Z112" i="2"/>
  <c r="AA112" i="2"/>
  <c r="AB112" i="2"/>
  <c r="AC112" i="2"/>
  <c r="AD112" i="2"/>
  <c r="AE112" i="2"/>
  <c r="AF112" i="2"/>
  <c r="AG112" i="2"/>
  <c r="AH112" i="2"/>
  <c r="AI112" i="2"/>
  <c r="O113" i="2"/>
  <c r="O114" i="2"/>
  <c r="U114" i="2"/>
  <c r="V114" i="2"/>
  <c r="W114" i="2"/>
  <c r="X114" i="2"/>
  <c r="Y114" i="2"/>
  <c r="Z114" i="2"/>
  <c r="AA114" i="2"/>
  <c r="AB114" i="2"/>
  <c r="AC114" i="2"/>
  <c r="AD114" i="2"/>
  <c r="AE114" i="2"/>
  <c r="AF114" i="2"/>
  <c r="AG114" i="2"/>
  <c r="AH114" i="2"/>
  <c r="AI114" i="2"/>
  <c r="O115" i="2"/>
  <c r="O116" i="2"/>
  <c r="U116" i="2"/>
  <c r="V116" i="2"/>
  <c r="W116" i="2"/>
  <c r="X116" i="2"/>
  <c r="Y116" i="2"/>
  <c r="Z116" i="2"/>
  <c r="AA116" i="2"/>
  <c r="AB116" i="2"/>
  <c r="AC116" i="2"/>
  <c r="AD116" i="2"/>
  <c r="AE116" i="2"/>
  <c r="AF116" i="2"/>
  <c r="AG116" i="2"/>
  <c r="AH116" i="2"/>
  <c r="AI116" i="2"/>
  <c r="O117" i="2"/>
  <c r="P124" i="2"/>
  <c r="Q124" i="2"/>
  <c r="R124" i="2"/>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S125" i="2"/>
  <c r="T125" i="2"/>
  <c r="U125" i="2"/>
  <c r="V125" i="2"/>
  <c r="W125" i="2"/>
  <c r="X125" i="2"/>
  <c r="Y125" i="2"/>
  <c r="Z125" i="2"/>
  <c r="AA125" i="2"/>
  <c r="AB125" i="2"/>
  <c r="AC125" i="2"/>
  <c r="AD125" i="2"/>
  <c r="AE125" i="2"/>
  <c r="AF125" i="2"/>
  <c r="AG125" i="2"/>
  <c r="AH125" i="2"/>
  <c r="AI125" i="2"/>
  <c r="J126" i="2"/>
  <c r="O127" i="2"/>
  <c r="S127" i="2"/>
  <c r="T127" i="2"/>
  <c r="U127" i="2"/>
  <c r="V127" i="2"/>
  <c r="W127" i="2"/>
  <c r="X127" i="2"/>
  <c r="Y127" i="2"/>
  <c r="Z127" i="2"/>
  <c r="AA127" i="2"/>
  <c r="AB127" i="2"/>
  <c r="AC127" i="2"/>
  <c r="AD127" i="2"/>
  <c r="AE127" i="2"/>
  <c r="AF127" i="2"/>
  <c r="AG127" i="2"/>
  <c r="AH127" i="2"/>
  <c r="AI127" i="2"/>
  <c r="O128" i="2"/>
  <c r="O129" i="2"/>
  <c r="S129" i="2"/>
  <c r="T129" i="2"/>
  <c r="U129" i="2"/>
  <c r="V129" i="2"/>
  <c r="W129" i="2"/>
  <c r="X129" i="2"/>
  <c r="Y129" i="2"/>
  <c r="Z129" i="2"/>
  <c r="AA129" i="2"/>
  <c r="AB129" i="2"/>
  <c r="AC129" i="2"/>
  <c r="AD129" i="2"/>
  <c r="AE129" i="2"/>
  <c r="AF129" i="2"/>
  <c r="AG129" i="2"/>
  <c r="AH129" i="2"/>
  <c r="AI129" i="2"/>
  <c r="O130" i="2"/>
  <c r="O131" i="2"/>
  <c r="S131" i="2"/>
  <c r="T131" i="2"/>
  <c r="U131" i="2"/>
  <c r="V131" i="2"/>
  <c r="W131" i="2"/>
  <c r="X131" i="2"/>
  <c r="Y131" i="2"/>
  <c r="Z131" i="2"/>
  <c r="AA131" i="2"/>
  <c r="AB131" i="2"/>
  <c r="AC131" i="2"/>
  <c r="AD131" i="2"/>
  <c r="AE131" i="2"/>
  <c r="AF131" i="2"/>
  <c r="AG131" i="2"/>
  <c r="AH131" i="2"/>
  <c r="AI131" i="2"/>
  <c r="O132" i="2"/>
  <c r="O133" i="2"/>
  <c r="S133" i="2"/>
  <c r="T133" i="2"/>
  <c r="U133" i="2"/>
  <c r="V133" i="2"/>
  <c r="W133" i="2"/>
  <c r="X133" i="2"/>
  <c r="Y133" i="2"/>
  <c r="Z133" i="2"/>
  <c r="AA133" i="2"/>
  <c r="AB133" i="2"/>
  <c r="AC133" i="2"/>
  <c r="AD133" i="2"/>
  <c r="AE133" i="2"/>
  <c r="AF133" i="2"/>
  <c r="AG133" i="2"/>
  <c r="AH133" i="2"/>
  <c r="AI133" i="2"/>
  <c r="O134" i="2"/>
  <c r="O135" i="2"/>
  <c r="S135" i="2"/>
  <c r="T135" i="2"/>
  <c r="U135" i="2"/>
  <c r="V135" i="2"/>
  <c r="W135" i="2"/>
  <c r="X135" i="2"/>
  <c r="Y135" i="2"/>
  <c r="Z135" i="2"/>
  <c r="AA135" i="2"/>
  <c r="AB135" i="2"/>
  <c r="AC135" i="2"/>
  <c r="AD135" i="2"/>
  <c r="AE135" i="2"/>
  <c r="AF135" i="2"/>
  <c r="AG135" i="2"/>
  <c r="AH135" i="2"/>
  <c r="AI135" i="2"/>
  <c r="O136" i="2"/>
  <c r="O137" i="2"/>
  <c r="S137" i="2"/>
  <c r="T137" i="2"/>
  <c r="U137" i="2"/>
  <c r="V137" i="2"/>
  <c r="W137" i="2"/>
  <c r="X137" i="2"/>
  <c r="Y137" i="2"/>
  <c r="Z137" i="2"/>
  <c r="AA137" i="2"/>
  <c r="AB137" i="2"/>
  <c r="AC137" i="2"/>
  <c r="AD137" i="2"/>
  <c r="AE137" i="2"/>
  <c r="AF137" i="2"/>
  <c r="AG137" i="2"/>
  <c r="AH137" i="2"/>
  <c r="AI137" i="2"/>
  <c r="O138" i="2"/>
  <c r="P145" i="2"/>
  <c r="Q145" i="2"/>
  <c r="R145" i="2"/>
  <c r="S145" i="2"/>
  <c r="T145" i="2"/>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Q146" i="2"/>
  <c r="R146" i="2"/>
  <c r="S146" i="2"/>
  <c r="T146" i="2"/>
  <c r="U146" i="2"/>
  <c r="V146" i="2"/>
  <c r="W146" i="2"/>
  <c r="X146" i="2"/>
  <c r="Y146" i="2"/>
  <c r="Z146" i="2"/>
  <c r="AA146" i="2"/>
  <c r="AB146" i="2"/>
  <c r="AC146" i="2"/>
  <c r="AD146" i="2"/>
  <c r="AE146" i="2"/>
  <c r="AF146" i="2"/>
  <c r="AG146" i="2"/>
  <c r="AH146" i="2"/>
  <c r="AI146" i="2"/>
  <c r="J147" i="2"/>
  <c r="O148" i="2"/>
  <c r="Q148" i="2"/>
  <c r="R148" i="2"/>
  <c r="S148" i="2"/>
  <c r="T148" i="2"/>
  <c r="U148" i="2"/>
  <c r="V148" i="2"/>
  <c r="W148" i="2"/>
  <c r="X148" i="2"/>
  <c r="Y148" i="2"/>
  <c r="Z148" i="2"/>
  <c r="AA148" i="2"/>
  <c r="AB148" i="2"/>
  <c r="AC148" i="2"/>
  <c r="AD148" i="2"/>
  <c r="AE148" i="2"/>
  <c r="AF148" i="2"/>
  <c r="AG148" i="2"/>
  <c r="AH148" i="2"/>
  <c r="AI148" i="2"/>
  <c r="O149" i="2"/>
  <c r="O150" i="2"/>
  <c r="Q150" i="2"/>
  <c r="R150" i="2"/>
  <c r="S150" i="2"/>
  <c r="T150" i="2"/>
  <c r="U150" i="2"/>
  <c r="V150" i="2"/>
  <c r="W150" i="2"/>
  <c r="X150" i="2"/>
  <c r="Y150" i="2"/>
  <c r="Z150" i="2"/>
  <c r="AA150" i="2"/>
  <c r="AB150" i="2"/>
  <c r="AC150" i="2"/>
  <c r="AD150" i="2"/>
  <c r="AE150" i="2"/>
  <c r="AF150" i="2"/>
  <c r="AG150" i="2"/>
  <c r="AH150" i="2"/>
  <c r="AI150" i="2"/>
  <c r="O151" i="2"/>
  <c r="O152" i="2"/>
  <c r="Q152" i="2"/>
  <c r="R152" i="2"/>
  <c r="S152" i="2"/>
  <c r="T152" i="2"/>
  <c r="U152" i="2"/>
  <c r="V152" i="2"/>
  <c r="W152" i="2"/>
  <c r="X152" i="2"/>
  <c r="Y152" i="2"/>
  <c r="Z152" i="2"/>
  <c r="AA152" i="2"/>
  <c r="AB152" i="2"/>
  <c r="AC152" i="2"/>
  <c r="AD152" i="2"/>
  <c r="AE152" i="2"/>
  <c r="AF152" i="2"/>
  <c r="AG152" i="2"/>
  <c r="AH152" i="2"/>
  <c r="AI152" i="2"/>
  <c r="O153" i="2"/>
  <c r="O154" i="2"/>
  <c r="Q154" i="2"/>
  <c r="R154" i="2"/>
  <c r="S154" i="2"/>
  <c r="T154" i="2"/>
  <c r="U154" i="2"/>
  <c r="V154" i="2"/>
  <c r="W154" i="2"/>
  <c r="X154" i="2"/>
  <c r="Y154" i="2"/>
  <c r="Z154" i="2"/>
  <c r="AA154" i="2"/>
  <c r="AB154" i="2"/>
  <c r="AC154" i="2"/>
  <c r="AD154" i="2"/>
  <c r="AE154" i="2"/>
  <c r="AF154" i="2"/>
  <c r="AG154" i="2"/>
  <c r="AH154" i="2"/>
  <c r="AI154" i="2"/>
  <c r="O155" i="2"/>
  <c r="O156" i="2"/>
  <c r="Q156" i="2"/>
  <c r="R156" i="2"/>
  <c r="S156" i="2"/>
  <c r="T156" i="2"/>
  <c r="U156" i="2"/>
  <c r="V156" i="2"/>
  <c r="W156" i="2"/>
  <c r="X156" i="2"/>
  <c r="Y156" i="2"/>
  <c r="Z156" i="2"/>
  <c r="AA156" i="2"/>
  <c r="AB156" i="2"/>
  <c r="AC156" i="2"/>
  <c r="AD156" i="2"/>
  <c r="AE156" i="2"/>
  <c r="AF156" i="2"/>
  <c r="AG156" i="2"/>
  <c r="AH156" i="2"/>
  <c r="AI156" i="2"/>
  <c r="O157" i="2"/>
  <c r="O158" i="2"/>
  <c r="Q158" i="2"/>
  <c r="R158" i="2"/>
  <c r="S158" i="2"/>
  <c r="T158" i="2"/>
  <c r="U158" i="2"/>
  <c r="V158" i="2"/>
  <c r="W158" i="2"/>
  <c r="X158" i="2"/>
  <c r="Y158" i="2"/>
  <c r="Z158" i="2"/>
  <c r="AA158" i="2"/>
  <c r="AB158" i="2"/>
  <c r="AC158" i="2"/>
  <c r="AD158" i="2"/>
  <c r="AE158" i="2"/>
  <c r="AF158" i="2"/>
  <c r="AG158" i="2"/>
  <c r="AH158" i="2"/>
  <c r="AI158" i="2"/>
  <c r="O159" i="2"/>
  <c r="P166" i="2"/>
  <c r="Q166" i="2"/>
  <c r="Q168" i="2" s="1"/>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R187" i="2"/>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S188" i="2"/>
  <c r="T188" i="2"/>
  <c r="U188" i="2"/>
  <c r="V188" i="2"/>
  <c r="W188" i="2"/>
  <c r="X188" i="2"/>
  <c r="Y188" i="2"/>
  <c r="Z188" i="2"/>
  <c r="AA188" i="2"/>
  <c r="AB188" i="2"/>
  <c r="AC188" i="2"/>
  <c r="AD188" i="2"/>
  <c r="AE188" i="2"/>
  <c r="AF188" i="2"/>
  <c r="AG188" i="2"/>
  <c r="AH188" i="2"/>
  <c r="AI188" i="2"/>
  <c r="J189" i="2"/>
  <c r="O190" i="2"/>
  <c r="S190" i="2"/>
  <c r="T190" i="2"/>
  <c r="U190" i="2"/>
  <c r="V190" i="2"/>
  <c r="W190" i="2"/>
  <c r="X190" i="2"/>
  <c r="Y190" i="2"/>
  <c r="Z190" i="2"/>
  <c r="AA190" i="2"/>
  <c r="AB190" i="2"/>
  <c r="AC190" i="2"/>
  <c r="AD190" i="2"/>
  <c r="AE190" i="2"/>
  <c r="AF190" i="2"/>
  <c r="AG190" i="2"/>
  <c r="AH190" i="2"/>
  <c r="AI190" i="2"/>
  <c r="O191" i="2"/>
  <c r="O192" i="2"/>
  <c r="S192" i="2"/>
  <c r="T192" i="2"/>
  <c r="U192" i="2"/>
  <c r="V192" i="2"/>
  <c r="W192" i="2"/>
  <c r="X192" i="2"/>
  <c r="Y192" i="2"/>
  <c r="Z192" i="2"/>
  <c r="AA192" i="2"/>
  <c r="AB192" i="2"/>
  <c r="AC192" i="2"/>
  <c r="AD192" i="2"/>
  <c r="AE192" i="2"/>
  <c r="AF192" i="2"/>
  <c r="AG192" i="2"/>
  <c r="AH192" i="2"/>
  <c r="AI192" i="2"/>
  <c r="O193" i="2"/>
  <c r="O194" i="2"/>
  <c r="S194" i="2"/>
  <c r="T194" i="2"/>
  <c r="U194" i="2"/>
  <c r="V194" i="2"/>
  <c r="W194" i="2"/>
  <c r="X194" i="2"/>
  <c r="Y194" i="2"/>
  <c r="Z194" i="2"/>
  <c r="AA194" i="2"/>
  <c r="AB194" i="2"/>
  <c r="AC194" i="2"/>
  <c r="AD194" i="2"/>
  <c r="AE194" i="2"/>
  <c r="AF194" i="2"/>
  <c r="AG194" i="2"/>
  <c r="AH194" i="2"/>
  <c r="AI194" i="2"/>
  <c r="O195" i="2"/>
  <c r="O196" i="2"/>
  <c r="S196" i="2"/>
  <c r="T196" i="2"/>
  <c r="U196" i="2"/>
  <c r="V196" i="2"/>
  <c r="W196" i="2"/>
  <c r="X196" i="2"/>
  <c r="Y196" i="2"/>
  <c r="Z196" i="2"/>
  <c r="AA196" i="2"/>
  <c r="AB196" i="2"/>
  <c r="AC196" i="2"/>
  <c r="AD196" i="2"/>
  <c r="AE196" i="2"/>
  <c r="AF196" i="2"/>
  <c r="AG196" i="2"/>
  <c r="AH196" i="2"/>
  <c r="AI196" i="2"/>
  <c r="O197" i="2"/>
  <c r="O198" i="2"/>
  <c r="S198" i="2"/>
  <c r="T198" i="2"/>
  <c r="U198" i="2"/>
  <c r="V198" i="2"/>
  <c r="W198" i="2"/>
  <c r="X198" i="2"/>
  <c r="Y198" i="2"/>
  <c r="Z198" i="2"/>
  <c r="AA198" i="2"/>
  <c r="AB198" i="2"/>
  <c r="AC198" i="2"/>
  <c r="AD198" i="2"/>
  <c r="AE198" i="2"/>
  <c r="AF198" i="2"/>
  <c r="AG198" i="2"/>
  <c r="AH198" i="2"/>
  <c r="AI198" i="2"/>
  <c r="O199" i="2"/>
  <c r="O200" i="2"/>
  <c r="S200" i="2"/>
  <c r="T200" i="2"/>
  <c r="U200" i="2"/>
  <c r="V200" i="2"/>
  <c r="W200" i="2"/>
  <c r="X200" i="2"/>
  <c r="Y200" i="2"/>
  <c r="Z200" i="2"/>
  <c r="AA200" i="2"/>
  <c r="AB200" i="2"/>
  <c r="AC200" i="2"/>
  <c r="AD200" i="2"/>
  <c r="AE200" i="2"/>
  <c r="AF200" i="2"/>
  <c r="AG200" i="2"/>
  <c r="AH200" i="2"/>
  <c r="AI200" i="2"/>
  <c r="O201" i="2"/>
  <c r="P208" i="2"/>
  <c r="Q208" i="2"/>
  <c r="R208" i="2"/>
  <c r="S208" i="2"/>
  <c r="T208" i="2"/>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U209" i="2"/>
  <c r="V209" i="2"/>
  <c r="W209" i="2"/>
  <c r="X209" i="2"/>
  <c r="Y209" i="2"/>
  <c r="Z209" i="2"/>
  <c r="AA209" i="2"/>
  <c r="AB209" i="2"/>
  <c r="AC209" i="2"/>
  <c r="AD209" i="2"/>
  <c r="AE209" i="2"/>
  <c r="AF209" i="2"/>
  <c r="AG209" i="2"/>
  <c r="AH209" i="2"/>
  <c r="AI209" i="2"/>
  <c r="J210" i="2"/>
  <c r="O211" i="2"/>
  <c r="U211" i="2"/>
  <c r="V211" i="2"/>
  <c r="W211" i="2"/>
  <c r="X211" i="2"/>
  <c r="Y211" i="2"/>
  <c r="Z211" i="2"/>
  <c r="AA211" i="2"/>
  <c r="AB211" i="2"/>
  <c r="AC211" i="2"/>
  <c r="AD211" i="2"/>
  <c r="AE211" i="2"/>
  <c r="AF211" i="2"/>
  <c r="AG211" i="2"/>
  <c r="AH211" i="2"/>
  <c r="AI211" i="2"/>
  <c r="O212" i="2"/>
  <c r="O213" i="2"/>
  <c r="U213" i="2"/>
  <c r="V213" i="2"/>
  <c r="W213" i="2"/>
  <c r="X213" i="2"/>
  <c r="Y213" i="2"/>
  <c r="Z213" i="2"/>
  <c r="AA213" i="2"/>
  <c r="AB213" i="2"/>
  <c r="AC213" i="2"/>
  <c r="AD213" i="2"/>
  <c r="AE213" i="2"/>
  <c r="AF213" i="2"/>
  <c r="AG213" i="2"/>
  <c r="AH213" i="2"/>
  <c r="AI213" i="2"/>
  <c r="O214" i="2"/>
  <c r="O215" i="2"/>
  <c r="U215" i="2"/>
  <c r="V215" i="2"/>
  <c r="W215" i="2"/>
  <c r="X215" i="2"/>
  <c r="Y215" i="2"/>
  <c r="Z215" i="2"/>
  <c r="AA215" i="2"/>
  <c r="AB215" i="2"/>
  <c r="AC215" i="2"/>
  <c r="AD215" i="2"/>
  <c r="AE215" i="2"/>
  <c r="AF215" i="2"/>
  <c r="AG215" i="2"/>
  <c r="AH215" i="2"/>
  <c r="AI215" i="2"/>
  <c r="O216" i="2"/>
  <c r="O217" i="2"/>
  <c r="U217" i="2"/>
  <c r="V217" i="2"/>
  <c r="W217" i="2"/>
  <c r="X217" i="2"/>
  <c r="Y217" i="2"/>
  <c r="Z217" i="2"/>
  <c r="AA217" i="2"/>
  <c r="AB217" i="2"/>
  <c r="AC217" i="2"/>
  <c r="AD217" i="2"/>
  <c r="AE217" i="2"/>
  <c r="AF217" i="2"/>
  <c r="AG217" i="2"/>
  <c r="AH217" i="2"/>
  <c r="AI217" i="2"/>
  <c r="O218" i="2"/>
  <c r="O219" i="2"/>
  <c r="U219" i="2"/>
  <c r="V219" i="2"/>
  <c r="W219" i="2"/>
  <c r="X219" i="2"/>
  <c r="Y219" i="2"/>
  <c r="Z219" i="2"/>
  <c r="AA219" i="2"/>
  <c r="AB219" i="2"/>
  <c r="AC219" i="2"/>
  <c r="AD219" i="2"/>
  <c r="AE219" i="2"/>
  <c r="AF219" i="2"/>
  <c r="AG219" i="2"/>
  <c r="AH219" i="2"/>
  <c r="AI219" i="2"/>
  <c r="O220" i="2"/>
  <c r="O221" i="2"/>
  <c r="U221" i="2"/>
  <c r="V221" i="2"/>
  <c r="W221" i="2"/>
  <c r="X221" i="2"/>
  <c r="Y221" i="2"/>
  <c r="Z221" i="2"/>
  <c r="AA221" i="2"/>
  <c r="AB221" i="2"/>
  <c r="AC221" i="2"/>
  <c r="AD221" i="2"/>
  <c r="AE221" i="2"/>
  <c r="AF221" i="2"/>
  <c r="AG221" i="2"/>
  <c r="AH221" i="2"/>
  <c r="AI221" i="2"/>
  <c r="O222" i="2"/>
  <c r="P229" i="2"/>
  <c r="Q229" i="2"/>
  <c r="R229" i="2"/>
  <c r="S229" i="2"/>
  <c r="T229" i="2"/>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U230" i="2"/>
  <c r="V230" i="2"/>
  <c r="W230" i="2"/>
  <c r="X230" i="2"/>
  <c r="Y230" i="2"/>
  <c r="Z230" i="2"/>
  <c r="AA230" i="2"/>
  <c r="AB230" i="2"/>
  <c r="AC230" i="2"/>
  <c r="AD230" i="2"/>
  <c r="AE230" i="2"/>
  <c r="AF230" i="2"/>
  <c r="AG230" i="2"/>
  <c r="AH230" i="2"/>
  <c r="AI230" i="2"/>
  <c r="J231" i="2"/>
  <c r="O232" i="2"/>
  <c r="U232" i="2"/>
  <c r="V232" i="2"/>
  <c r="W232" i="2"/>
  <c r="X232" i="2"/>
  <c r="Y232" i="2"/>
  <c r="Z232" i="2"/>
  <c r="AA232" i="2"/>
  <c r="AB232" i="2"/>
  <c r="AC232" i="2"/>
  <c r="AD232" i="2"/>
  <c r="AE232" i="2"/>
  <c r="AF232" i="2"/>
  <c r="AG232" i="2"/>
  <c r="AH232" i="2"/>
  <c r="AI232" i="2"/>
  <c r="O233" i="2"/>
  <c r="O234" i="2"/>
  <c r="U234" i="2"/>
  <c r="V234" i="2"/>
  <c r="W234" i="2"/>
  <c r="X234" i="2"/>
  <c r="Y234" i="2"/>
  <c r="Z234" i="2"/>
  <c r="AA234" i="2"/>
  <c r="AB234" i="2"/>
  <c r="AC234" i="2"/>
  <c r="AD234" i="2"/>
  <c r="AE234" i="2"/>
  <c r="AF234" i="2"/>
  <c r="AG234" i="2"/>
  <c r="AH234" i="2"/>
  <c r="AI234" i="2"/>
  <c r="O235" i="2"/>
  <c r="O236" i="2"/>
  <c r="U236" i="2"/>
  <c r="V236" i="2"/>
  <c r="W236" i="2"/>
  <c r="X236" i="2"/>
  <c r="Y236" i="2"/>
  <c r="Z236" i="2"/>
  <c r="AA236" i="2"/>
  <c r="AB236" i="2"/>
  <c r="AC236" i="2"/>
  <c r="AD236" i="2"/>
  <c r="AE236" i="2"/>
  <c r="AF236" i="2"/>
  <c r="AG236" i="2"/>
  <c r="AH236" i="2"/>
  <c r="AI236" i="2"/>
  <c r="O237" i="2"/>
  <c r="O238" i="2"/>
  <c r="U238" i="2"/>
  <c r="V238" i="2"/>
  <c r="W238" i="2"/>
  <c r="X238" i="2"/>
  <c r="Y238" i="2"/>
  <c r="Z238" i="2"/>
  <c r="AA238" i="2"/>
  <c r="AB238" i="2"/>
  <c r="AC238" i="2"/>
  <c r="AD238" i="2"/>
  <c r="AE238" i="2"/>
  <c r="AF238" i="2"/>
  <c r="AG238" i="2"/>
  <c r="AH238" i="2"/>
  <c r="AI238" i="2"/>
  <c r="O239" i="2"/>
  <c r="O240" i="2"/>
  <c r="U240" i="2"/>
  <c r="V240" i="2"/>
  <c r="W240" i="2"/>
  <c r="X240" i="2"/>
  <c r="Y240" i="2"/>
  <c r="Z240" i="2"/>
  <c r="AA240" i="2"/>
  <c r="AB240" i="2"/>
  <c r="AC240" i="2"/>
  <c r="AD240" i="2"/>
  <c r="AE240" i="2"/>
  <c r="AF240" i="2"/>
  <c r="AG240" i="2"/>
  <c r="AH240" i="2"/>
  <c r="AI240" i="2"/>
  <c r="O241" i="2"/>
  <c r="O242" i="2"/>
  <c r="U242" i="2"/>
  <c r="V242" i="2"/>
  <c r="W242" i="2"/>
  <c r="X242" i="2"/>
  <c r="Y242" i="2"/>
  <c r="Z242" i="2"/>
  <c r="AA242" i="2"/>
  <c r="AB242" i="2"/>
  <c r="AC242" i="2"/>
  <c r="AD242" i="2"/>
  <c r="AE242" i="2"/>
  <c r="AF242" i="2"/>
  <c r="AG242" i="2"/>
  <c r="AH242" i="2"/>
  <c r="AI242" i="2"/>
  <c r="O243" i="2"/>
  <c r="P250" i="2"/>
  <c r="Q250" i="2"/>
  <c r="R250" i="2"/>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S251" i="2"/>
  <c r="T251" i="2"/>
  <c r="U251" i="2"/>
  <c r="V251" i="2"/>
  <c r="W251" i="2"/>
  <c r="X251" i="2"/>
  <c r="Y251" i="2"/>
  <c r="Z251" i="2"/>
  <c r="AA251" i="2"/>
  <c r="AB251" i="2"/>
  <c r="AC251" i="2"/>
  <c r="AD251" i="2"/>
  <c r="AE251" i="2"/>
  <c r="AF251" i="2"/>
  <c r="AG251" i="2"/>
  <c r="AH251" i="2"/>
  <c r="AI251" i="2"/>
  <c r="J252" i="2"/>
  <c r="O253" i="2"/>
  <c r="S253" i="2"/>
  <c r="T253" i="2"/>
  <c r="U253" i="2"/>
  <c r="V253" i="2"/>
  <c r="W253" i="2"/>
  <c r="X253" i="2"/>
  <c r="Y253" i="2"/>
  <c r="Z253" i="2"/>
  <c r="AA253" i="2"/>
  <c r="AB253" i="2"/>
  <c r="AC253" i="2"/>
  <c r="AD253" i="2"/>
  <c r="AE253" i="2"/>
  <c r="AF253" i="2"/>
  <c r="AG253" i="2"/>
  <c r="AH253" i="2"/>
  <c r="AI253" i="2"/>
  <c r="O254" i="2"/>
  <c r="O255" i="2"/>
  <c r="S255" i="2"/>
  <c r="T255" i="2"/>
  <c r="U255" i="2"/>
  <c r="V255" i="2"/>
  <c r="W255" i="2"/>
  <c r="X255" i="2"/>
  <c r="Y255" i="2"/>
  <c r="Z255" i="2"/>
  <c r="AA255" i="2"/>
  <c r="AB255" i="2"/>
  <c r="AC255" i="2"/>
  <c r="AD255" i="2"/>
  <c r="AE255" i="2"/>
  <c r="AF255" i="2"/>
  <c r="AG255" i="2"/>
  <c r="AH255" i="2"/>
  <c r="AI255" i="2"/>
  <c r="O256" i="2"/>
  <c r="O257" i="2"/>
  <c r="S257" i="2"/>
  <c r="T257" i="2"/>
  <c r="U257" i="2"/>
  <c r="V257" i="2"/>
  <c r="W257" i="2"/>
  <c r="X257" i="2"/>
  <c r="Y257" i="2"/>
  <c r="Z257" i="2"/>
  <c r="AA257" i="2"/>
  <c r="AB257" i="2"/>
  <c r="AC257" i="2"/>
  <c r="AD257" i="2"/>
  <c r="AE257" i="2"/>
  <c r="AF257" i="2"/>
  <c r="AG257" i="2"/>
  <c r="AH257" i="2"/>
  <c r="AI257" i="2"/>
  <c r="O258" i="2"/>
  <c r="O259" i="2"/>
  <c r="S259" i="2"/>
  <c r="T259" i="2"/>
  <c r="U259" i="2"/>
  <c r="V259" i="2"/>
  <c r="W259" i="2"/>
  <c r="X259" i="2"/>
  <c r="Y259" i="2"/>
  <c r="Z259" i="2"/>
  <c r="AA259" i="2"/>
  <c r="AB259" i="2"/>
  <c r="AC259" i="2"/>
  <c r="AD259" i="2"/>
  <c r="AE259" i="2"/>
  <c r="AF259" i="2"/>
  <c r="AG259" i="2"/>
  <c r="AH259" i="2"/>
  <c r="AI259" i="2"/>
  <c r="O260" i="2"/>
  <c r="O261" i="2"/>
  <c r="S261" i="2"/>
  <c r="T261" i="2"/>
  <c r="U261" i="2"/>
  <c r="V261" i="2"/>
  <c r="W261" i="2"/>
  <c r="X261" i="2"/>
  <c r="Y261" i="2"/>
  <c r="Z261" i="2"/>
  <c r="AA261" i="2"/>
  <c r="AB261" i="2"/>
  <c r="AC261" i="2"/>
  <c r="AD261" i="2"/>
  <c r="AE261" i="2"/>
  <c r="AF261" i="2"/>
  <c r="AG261" i="2"/>
  <c r="AH261" i="2"/>
  <c r="AI261" i="2"/>
  <c r="O262" i="2"/>
  <c r="O263" i="2"/>
  <c r="S263" i="2"/>
  <c r="T263" i="2"/>
  <c r="U263" i="2"/>
  <c r="V263" i="2"/>
  <c r="W263" i="2"/>
  <c r="X263" i="2"/>
  <c r="Y263" i="2"/>
  <c r="Z263" i="2"/>
  <c r="AA263" i="2"/>
  <c r="AB263" i="2"/>
  <c r="AC263" i="2"/>
  <c r="AD263" i="2"/>
  <c r="AE263" i="2"/>
  <c r="AF263" i="2"/>
  <c r="AG263" i="2"/>
  <c r="AH263" i="2"/>
  <c r="AI263" i="2"/>
  <c r="O264" i="2"/>
  <c r="P271" i="2"/>
  <c r="Q271" i="2"/>
  <c r="R271" i="2"/>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S272" i="2"/>
  <c r="T272" i="2"/>
  <c r="U272" i="2"/>
  <c r="V272" i="2"/>
  <c r="W272" i="2"/>
  <c r="X272" i="2"/>
  <c r="Y272" i="2"/>
  <c r="Z272" i="2"/>
  <c r="AA272" i="2"/>
  <c r="AB272" i="2"/>
  <c r="AC272" i="2"/>
  <c r="AD272" i="2"/>
  <c r="AE272" i="2"/>
  <c r="AF272" i="2"/>
  <c r="AG272" i="2"/>
  <c r="AH272" i="2"/>
  <c r="AI272" i="2"/>
  <c r="J273" i="2"/>
  <c r="O274" i="2"/>
  <c r="S274" i="2"/>
  <c r="T274" i="2"/>
  <c r="U274" i="2"/>
  <c r="V274" i="2"/>
  <c r="W274" i="2"/>
  <c r="X274" i="2"/>
  <c r="Y274" i="2"/>
  <c r="Z274" i="2"/>
  <c r="AA274" i="2"/>
  <c r="AB274" i="2"/>
  <c r="AC274" i="2"/>
  <c r="AD274" i="2"/>
  <c r="AE274" i="2"/>
  <c r="AF274" i="2"/>
  <c r="AG274" i="2"/>
  <c r="AH274" i="2"/>
  <c r="AI274" i="2"/>
  <c r="O275" i="2"/>
  <c r="O276" i="2"/>
  <c r="S276" i="2"/>
  <c r="T276" i="2"/>
  <c r="U276" i="2"/>
  <c r="V276" i="2"/>
  <c r="W276" i="2"/>
  <c r="X276" i="2"/>
  <c r="Y276" i="2"/>
  <c r="Z276" i="2"/>
  <c r="AA276" i="2"/>
  <c r="AB276" i="2"/>
  <c r="AC276" i="2"/>
  <c r="AD276" i="2"/>
  <c r="AE276" i="2"/>
  <c r="AF276" i="2"/>
  <c r="AG276" i="2"/>
  <c r="AH276" i="2"/>
  <c r="AI276" i="2"/>
  <c r="O277" i="2"/>
  <c r="O278" i="2"/>
  <c r="S278" i="2"/>
  <c r="T278" i="2"/>
  <c r="U278" i="2"/>
  <c r="V278" i="2"/>
  <c r="W278" i="2"/>
  <c r="X278" i="2"/>
  <c r="Y278" i="2"/>
  <c r="Z278" i="2"/>
  <c r="AA278" i="2"/>
  <c r="AB278" i="2"/>
  <c r="AC278" i="2"/>
  <c r="AD278" i="2"/>
  <c r="AE278" i="2"/>
  <c r="AF278" i="2"/>
  <c r="AG278" i="2"/>
  <c r="AH278" i="2"/>
  <c r="AI278" i="2"/>
  <c r="O279" i="2"/>
  <c r="O280" i="2"/>
  <c r="S280" i="2"/>
  <c r="T280" i="2"/>
  <c r="U280" i="2"/>
  <c r="V280" i="2"/>
  <c r="W280" i="2"/>
  <c r="X280" i="2"/>
  <c r="Y280" i="2"/>
  <c r="Z280" i="2"/>
  <c r="AA280" i="2"/>
  <c r="AB280" i="2"/>
  <c r="AC280" i="2"/>
  <c r="AD280" i="2"/>
  <c r="AE280" i="2"/>
  <c r="AF280" i="2"/>
  <c r="AG280" i="2"/>
  <c r="AH280" i="2"/>
  <c r="AI280" i="2"/>
  <c r="O281" i="2"/>
  <c r="O282" i="2"/>
  <c r="S282" i="2"/>
  <c r="T282" i="2"/>
  <c r="U282" i="2"/>
  <c r="V282" i="2"/>
  <c r="W282" i="2"/>
  <c r="X282" i="2"/>
  <c r="Y282" i="2"/>
  <c r="Z282" i="2"/>
  <c r="AA282" i="2"/>
  <c r="AB282" i="2"/>
  <c r="AC282" i="2"/>
  <c r="AD282" i="2"/>
  <c r="AE282" i="2"/>
  <c r="AF282" i="2"/>
  <c r="AG282" i="2"/>
  <c r="AH282" i="2"/>
  <c r="AI282" i="2"/>
  <c r="O283" i="2"/>
  <c r="O284" i="2"/>
  <c r="S284" i="2"/>
  <c r="T284" i="2"/>
  <c r="U284" i="2"/>
  <c r="V284" i="2"/>
  <c r="W284" i="2"/>
  <c r="X284" i="2"/>
  <c r="Y284" i="2"/>
  <c r="Z284" i="2"/>
  <c r="AA284" i="2"/>
  <c r="AB284" i="2"/>
  <c r="AC284" i="2"/>
  <c r="AD284" i="2"/>
  <c r="AE284" i="2"/>
  <c r="AF284" i="2"/>
  <c r="AG284" i="2"/>
  <c r="AH284" i="2"/>
  <c r="AI284" i="2"/>
  <c r="O285" i="2"/>
  <c r="P292" i="2"/>
  <c r="Q292" i="2"/>
  <c r="R292" i="2"/>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S293" i="2"/>
  <c r="T293" i="2"/>
  <c r="U293" i="2"/>
  <c r="V293" i="2"/>
  <c r="W293" i="2"/>
  <c r="X293" i="2"/>
  <c r="Y293" i="2"/>
  <c r="Z293" i="2"/>
  <c r="AA293" i="2"/>
  <c r="AB293" i="2"/>
  <c r="AC293" i="2"/>
  <c r="AD293" i="2"/>
  <c r="AE293" i="2"/>
  <c r="AF293" i="2"/>
  <c r="AG293" i="2"/>
  <c r="AH293" i="2"/>
  <c r="AI293" i="2"/>
  <c r="J294" i="2"/>
  <c r="O295" i="2"/>
  <c r="S295" i="2"/>
  <c r="T295" i="2"/>
  <c r="U295" i="2"/>
  <c r="V295" i="2"/>
  <c r="W295" i="2"/>
  <c r="X295" i="2"/>
  <c r="Y295" i="2"/>
  <c r="Z295" i="2"/>
  <c r="AA295" i="2"/>
  <c r="AB295" i="2"/>
  <c r="AC295" i="2"/>
  <c r="AD295" i="2"/>
  <c r="AE295" i="2"/>
  <c r="AF295" i="2"/>
  <c r="AG295" i="2"/>
  <c r="AH295" i="2"/>
  <c r="AI295" i="2"/>
  <c r="O296" i="2"/>
  <c r="O297" i="2"/>
  <c r="S297" i="2"/>
  <c r="T297" i="2"/>
  <c r="U297" i="2"/>
  <c r="V297" i="2"/>
  <c r="W297" i="2"/>
  <c r="X297" i="2"/>
  <c r="Y297" i="2"/>
  <c r="Z297" i="2"/>
  <c r="AA297" i="2"/>
  <c r="AB297" i="2"/>
  <c r="AC297" i="2"/>
  <c r="AD297" i="2"/>
  <c r="AE297" i="2"/>
  <c r="AF297" i="2"/>
  <c r="AG297" i="2"/>
  <c r="AH297" i="2"/>
  <c r="AI297" i="2"/>
  <c r="O298" i="2"/>
  <c r="O299" i="2"/>
  <c r="S299" i="2"/>
  <c r="T299" i="2"/>
  <c r="U299" i="2"/>
  <c r="V299" i="2"/>
  <c r="W299" i="2"/>
  <c r="X299" i="2"/>
  <c r="Y299" i="2"/>
  <c r="Z299" i="2"/>
  <c r="AA299" i="2"/>
  <c r="AB299" i="2"/>
  <c r="AC299" i="2"/>
  <c r="AD299" i="2"/>
  <c r="AE299" i="2"/>
  <c r="AF299" i="2"/>
  <c r="AG299" i="2"/>
  <c r="AH299" i="2"/>
  <c r="AI299" i="2"/>
  <c r="O300" i="2"/>
  <c r="O301" i="2"/>
  <c r="S301" i="2"/>
  <c r="T301" i="2"/>
  <c r="U301" i="2"/>
  <c r="V301" i="2"/>
  <c r="W301" i="2"/>
  <c r="X301" i="2"/>
  <c r="Y301" i="2"/>
  <c r="Z301" i="2"/>
  <c r="AA301" i="2"/>
  <c r="AB301" i="2"/>
  <c r="AC301" i="2"/>
  <c r="AD301" i="2"/>
  <c r="AE301" i="2"/>
  <c r="AF301" i="2"/>
  <c r="AG301" i="2"/>
  <c r="AH301" i="2"/>
  <c r="AI301" i="2"/>
  <c r="O302" i="2"/>
  <c r="O303" i="2"/>
  <c r="S303" i="2"/>
  <c r="T303" i="2"/>
  <c r="U303" i="2"/>
  <c r="V303" i="2"/>
  <c r="W303" i="2"/>
  <c r="X303" i="2"/>
  <c r="Y303" i="2"/>
  <c r="Z303" i="2"/>
  <c r="AA303" i="2"/>
  <c r="AB303" i="2"/>
  <c r="AC303" i="2"/>
  <c r="AD303" i="2"/>
  <c r="AE303" i="2"/>
  <c r="AF303" i="2"/>
  <c r="AG303" i="2"/>
  <c r="AH303" i="2"/>
  <c r="AI303" i="2"/>
  <c r="O304" i="2"/>
  <c r="O305" i="2"/>
  <c r="S305" i="2"/>
  <c r="T305" i="2"/>
  <c r="U305" i="2"/>
  <c r="V305" i="2"/>
  <c r="W305" i="2"/>
  <c r="X305" i="2"/>
  <c r="Y305" i="2"/>
  <c r="Z305" i="2"/>
  <c r="AA305" i="2"/>
  <c r="AB305" i="2"/>
  <c r="AC305" i="2"/>
  <c r="AD305" i="2"/>
  <c r="AE305" i="2"/>
  <c r="AF305" i="2"/>
  <c r="AG305" i="2"/>
  <c r="AH305" i="2"/>
  <c r="AI305" i="2"/>
  <c r="O306" i="2"/>
  <c r="P313" i="2"/>
  <c r="Q313" i="2"/>
  <c r="R313" i="2"/>
  <c r="S313" i="2"/>
  <c r="T313" i="2"/>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U314" i="2"/>
  <c r="V314" i="2"/>
  <c r="W314" i="2"/>
  <c r="X314" i="2"/>
  <c r="Y314" i="2"/>
  <c r="Z314" i="2"/>
  <c r="AA314" i="2"/>
  <c r="AB314" i="2"/>
  <c r="AC314" i="2"/>
  <c r="AD314" i="2"/>
  <c r="AE314" i="2"/>
  <c r="AF314" i="2"/>
  <c r="AG314" i="2"/>
  <c r="AH314" i="2"/>
  <c r="AI314" i="2"/>
  <c r="J315" i="2"/>
  <c r="O316" i="2"/>
  <c r="U316" i="2"/>
  <c r="V316" i="2"/>
  <c r="W316" i="2"/>
  <c r="X316" i="2"/>
  <c r="Y316" i="2"/>
  <c r="Z316" i="2"/>
  <c r="AA316" i="2"/>
  <c r="AB316" i="2"/>
  <c r="AC316" i="2"/>
  <c r="AD316" i="2"/>
  <c r="AE316" i="2"/>
  <c r="AF316" i="2"/>
  <c r="AG316" i="2"/>
  <c r="AH316" i="2"/>
  <c r="AI316" i="2"/>
  <c r="O317" i="2"/>
  <c r="O318" i="2"/>
  <c r="U318" i="2"/>
  <c r="V318" i="2"/>
  <c r="W318" i="2"/>
  <c r="X318" i="2"/>
  <c r="Y318" i="2"/>
  <c r="Z318" i="2"/>
  <c r="AA318" i="2"/>
  <c r="AB318" i="2"/>
  <c r="AC318" i="2"/>
  <c r="AD318" i="2"/>
  <c r="AE318" i="2"/>
  <c r="AF318" i="2"/>
  <c r="AG318" i="2"/>
  <c r="AH318" i="2"/>
  <c r="AI318" i="2"/>
  <c r="O319" i="2"/>
  <c r="O320" i="2"/>
  <c r="U320" i="2"/>
  <c r="V320" i="2"/>
  <c r="W320" i="2"/>
  <c r="X320" i="2"/>
  <c r="Y320" i="2"/>
  <c r="Z320" i="2"/>
  <c r="AA320" i="2"/>
  <c r="AB320" i="2"/>
  <c r="AC320" i="2"/>
  <c r="AD320" i="2"/>
  <c r="AE320" i="2"/>
  <c r="AF320" i="2"/>
  <c r="AG320" i="2"/>
  <c r="AH320" i="2"/>
  <c r="AI320" i="2"/>
  <c r="O321" i="2"/>
  <c r="O322" i="2"/>
  <c r="U322" i="2"/>
  <c r="V322" i="2"/>
  <c r="W322" i="2"/>
  <c r="X322" i="2"/>
  <c r="Y322" i="2"/>
  <c r="Z322" i="2"/>
  <c r="AA322" i="2"/>
  <c r="AB322" i="2"/>
  <c r="AC322" i="2"/>
  <c r="AD322" i="2"/>
  <c r="AE322" i="2"/>
  <c r="AF322" i="2"/>
  <c r="AG322" i="2"/>
  <c r="AH322" i="2"/>
  <c r="AI322" i="2"/>
  <c r="O323" i="2"/>
  <c r="O324" i="2"/>
  <c r="U324" i="2"/>
  <c r="V324" i="2"/>
  <c r="W324" i="2"/>
  <c r="X324" i="2"/>
  <c r="Y324" i="2"/>
  <c r="Z324" i="2"/>
  <c r="AA324" i="2"/>
  <c r="AB324" i="2"/>
  <c r="AC324" i="2"/>
  <c r="AD324" i="2"/>
  <c r="AE324" i="2"/>
  <c r="AF324" i="2"/>
  <c r="AG324" i="2"/>
  <c r="AH324" i="2"/>
  <c r="AI324" i="2"/>
  <c r="O325" i="2"/>
  <c r="O326" i="2"/>
  <c r="U326" i="2"/>
  <c r="V326" i="2"/>
  <c r="W326" i="2"/>
  <c r="X326" i="2"/>
  <c r="Y326" i="2"/>
  <c r="Z326" i="2"/>
  <c r="AA326" i="2"/>
  <c r="AB326" i="2"/>
  <c r="AC326" i="2"/>
  <c r="AD326" i="2"/>
  <c r="AE326" i="2"/>
  <c r="AF326" i="2"/>
  <c r="AG326" i="2"/>
  <c r="AH326" i="2"/>
  <c r="AI326" i="2"/>
  <c r="O327" i="2"/>
  <c r="P334" i="2"/>
  <c r="Q334" i="2"/>
  <c r="R334" i="2"/>
  <c r="S334" i="2"/>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T335" i="2"/>
  <c r="U335" i="2"/>
  <c r="V335" i="2"/>
  <c r="W335" i="2"/>
  <c r="X335" i="2"/>
  <c r="Y335" i="2"/>
  <c r="Z335" i="2"/>
  <c r="AA335" i="2"/>
  <c r="AB335" i="2"/>
  <c r="AC335" i="2"/>
  <c r="AD335" i="2"/>
  <c r="AE335" i="2"/>
  <c r="AF335" i="2"/>
  <c r="AG335" i="2"/>
  <c r="AH335" i="2"/>
  <c r="AI335" i="2"/>
  <c r="J336" i="2"/>
  <c r="O337" i="2"/>
  <c r="T337" i="2"/>
  <c r="U337" i="2"/>
  <c r="V337" i="2"/>
  <c r="W337" i="2"/>
  <c r="X337" i="2"/>
  <c r="Y337" i="2"/>
  <c r="Z337" i="2"/>
  <c r="AA337" i="2"/>
  <c r="AB337" i="2"/>
  <c r="AC337" i="2"/>
  <c r="AD337" i="2"/>
  <c r="AE337" i="2"/>
  <c r="AF337" i="2"/>
  <c r="AG337" i="2"/>
  <c r="AH337" i="2"/>
  <c r="AI337" i="2"/>
  <c r="O338" i="2"/>
  <c r="O339" i="2"/>
  <c r="T339" i="2"/>
  <c r="U339" i="2"/>
  <c r="V339" i="2"/>
  <c r="W339" i="2"/>
  <c r="X339" i="2"/>
  <c r="Y339" i="2"/>
  <c r="Z339" i="2"/>
  <c r="AA339" i="2"/>
  <c r="AB339" i="2"/>
  <c r="AC339" i="2"/>
  <c r="AD339" i="2"/>
  <c r="AE339" i="2"/>
  <c r="AF339" i="2"/>
  <c r="AG339" i="2"/>
  <c r="AH339" i="2"/>
  <c r="AI339" i="2"/>
  <c r="O340" i="2"/>
  <c r="O341" i="2"/>
  <c r="T341" i="2"/>
  <c r="U341" i="2"/>
  <c r="V341" i="2"/>
  <c r="W341" i="2"/>
  <c r="X341" i="2"/>
  <c r="Y341" i="2"/>
  <c r="Z341" i="2"/>
  <c r="AA341" i="2"/>
  <c r="AB341" i="2"/>
  <c r="AC341" i="2"/>
  <c r="AD341" i="2"/>
  <c r="AE341" i="2"/>
  <c r="AF341" i="2"/>
  <c r="AG341" i="2"/>
  <c r="AH341" i="2"/>
  <c r="AI341" i="2"/>
  <c r="O342" i="2"/>
  <c r="O343" i="2"/>
  <c r="T343" i="2"/>
  <c r="U343" i="2"/>
  <c r="V343" i="2"/>
  <c r="W343" i="2"/>
  <c r="X343" i="2"/>
  <c r="Y343" i="2"/>
  <c r="Z343" i="2"/>
  <c r="AA343" i="2"/>
  <c r="AB343" i="2"/>
  <c r="AC343" i="2"/>
  <c r="AD343" i="2"/>
  <c r="AE343" i="2"/>
  <c r="AF343" i="2"/>
  <c r="AG343" i="2"/>
  <c r="AH343" i="2"/>
  <c r="AI343" i="2"/>
  <c r="O344" i="2"/>
  <c r="O345" i="2"/>
  <c r="T345" i="2"/>
  <c r="U345" i="2"/>
  <c r="V345" i="2"/>
  <c r="W345" i="2"/>
  <c r="X345" i="2"/>
  <c r="Y345" i="2"/>
  <c r="Z345" i="2"/>
  <c r="AA345" i="2"/>
  <c r="AB345" i="2"/>
  <c r="AC345" i="2"/>
  <c r="AD345" i="2"/>
  <c r="AE345" i="2"/>
  <c r="AF345" i="2"/>
  <c r="AG345" i="2"/>
  <c r="AH345" i="2"/>
  <c r="AI345" i="2"/>
  <c r="O346" i="2"/>
  <c r="O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Q63" i="2" l="1"/>
  <c r="R42" i="2"/>
  <c r="S231" i="2"/>
  <c r="S230" i="2" s="1"/>
  <c r="Q336" i="2"/>
  <c r="Q335" i="2" s="1"/>
  <c r="R294" i="2"/>
  <c r="R189" i="2"/>
  <c r="T210" i="2"/>
  <c r="T209" i="2" s="1"/>
  <c r="P126" i="2"/>
  <c r="P125" i="2" s="1"/>
  <c r="R84" i="2"/>
  <c r="R83" i="2" s="1"/>
  <c r="R315" i="2"/>
  <c r="R314" i="2" s="1"/>
  <c r="R252" i="2"/>
  <c r="R273" i="2"/>
  <c r="M279" i="2" s="1"/>
  <c r="P147" i="2"/>
  <c r="P146" i="2" s="1"/>
  <c r="Q189" i="2"/>
  <c r="P189" i="2"/>
  <c r="P188" i="2" s="1"/>
  <c r="R188" i="2"/>
  <c r="R168" i="2"/>
  <c r="R170" i="2" s="1"/>
  <c r="P168" i="2"/>
  <c r="R147" i="2"/>
  <c r="Q147" i="2"/>
  <c r="T147" i="2"/>
  <c r="S147" i="2"/>
  <c r="R126" i="2"/>
  <c r="Q126" i="2"/>
  <c r="M134" i="2" s="1"/>
  <c r="Q105" i="2"/>
  <c r="T105" i="2"/>
  <c r="S105" i="2"/>
  <c r="R104" i="2"/>
  <c r="P105" i="2"/>
  <c r="P104" i="2" s="1"/>
  <c r="Q84" i="2"/>
  <c r="P84" i="2"/>
  <c r="P83" i="2" s="1"/>
  <c r="P63" i="2"/>
  <c r="P62" i="2" s="1"/>
  <c r="Q62" i="2"/>
  <c r="S63" i="2"/>
  <c r="R63" i="2"/>
  <c r="P42" i="2"/>
  <c r="M50" i="2" s="1"/>
  <c r="Q42" i="2"/>
  <c r="P210" i="2"/>
  <c r="P209" i="2" s="1"/>
  <c r="Q210" i="2"/>
  <c r="S210" i="2"/>
  <c r="R210" i="2"/>
  <c r="T231" i="2"/>
  <c r="Q231" i="2"/>
  <c r="P231" i="2"/>
  <c r="P230" i="2" s="1"/>
  <c r="R231" i="2"/>
  <c r="R230" i="2" s="1"/>
  <c r="R251" i="2"/>
  <c r="P252" i="2"/>
  <c r="M254" i="2" s="1"/>
  <c r="Q252" i="2"/>
  <c r="Q273" i="2"/>
  <c r="P273" i="2"/>
  <c r="P272" i="2" s="1"/>
  <c r="Q294" i="2"/>
  <c r="P294" i="2"/>
  <c r="P293" i="2" s="1"/>
  <c r="R293" i="2"/>
  <c r="Q315" i="2"/>
  <c r="P315" i="2"/>
  <c r="P314" i="2" s="1"/>
  <c r="T315" i="2"/>
  <c r="S315" i="2"/>
  <c r="M323" i="2" s="1"/>
  <c r="S336" i="2"/>
  <c r="M338" i="2" s="1"/>
  <c r="R336" i="2"/>
  <c r="P336" i="2"/>
  <c r="M1643" i="2"/>
  <c r="M1638" i="2" s="1"/>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I1575" i="2"/>
  <c r="M1394" i="2"/>
  <c r="M1308" i="2"/>
  <c r="M170" i="2"/>
  <c r="M1556" i="2"/>
  <c r="T443" i="2"/>
  <c r="T445" i="2" s="1"/>
  <c r="T447" i="2" s="1"/>
  <c r="T449" i="2" s="1"/>
  <c r="T451" i="2" s="1"/>
  <c r="T453" i="2" s="1"/>
  <c r="M448" i="2"/>
  <c r="I1596" i="2"/>
  <c r="M1078" i="2"/>
  <c r="M1265" i="2"/>
  <c r="M1260" i="2" s="1"/>
  <c r="I1344" i="2"/>
  <c r="I483" i="2"/>
  <c r="M174" i="2"/>
  <c r="M446" i="2"/>
  <c r="M441" i="2" s="1"/>
  <c r="M44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M303" i="2"/>
  <c r="P464" i="2"/>
  <c r="I464" i="2" s="1"/>
  <c r="H462" i="2"/>
  <c r="M463" i="2"/>
  <c r="M470" i="2"/>
  <c r="M429" i="2"/>
  <c r="H420" i="2"/>
  <c r="M421" i="2"/>
  <c r="M426" i="2"/>
  <c r="M427" i="2"/>
  <c r="M422" i="2"/>
  <c r="M428" i="2"/>
  <c r="M468" i="2"/>
  <c r="M447" i="2"/>
  <c r="I420" i="2"/>
  <c r="M449" i="2"/>
  <c r="M450" i="2"/>
  <c r="H441" i="2"/>
  <c r="M442" i="2"/>
  <c r="P443" i="2"/>
  <c r="M379" i="2"/>
  <c r="M384" i="2"/>
  <c r="M385" i="2"/>
  <c r="M380" i="2"/>
  <c r="P380" i="2"/>
  <c r="H378" i="2"/>
  <c r="M302" i="2"/>
  <c r="M295" i="2"/>
  <c r="M301" i="2"/>
  <c r="M300" i="2"/>
  <c r="H294" i="2"/>
  <c r="M296" i="2"/>
  <c r="M363" i="2"/>
  <c r="M364" i="2"/>
  <c r="M359" i="2"/>
  <c r="P359" i="2"/>
  <c r="M365" i="2"/>
  <c r="M366" i="2"/>
  <c r="H357" i="2"/>
  <c r="I378" i="2"/>
  <c r="M383" i="2"/>
  <c r="M378" i="2" s="1"/>
  <c r="M358" i="2"/>
  <c r="M425" i="2"/>
  <c r="M420" i="2" s="1"/>
  <c r="M387" i="2"/>
  <c r="M386" i="2"/>
  <c r="M322" i="2"/>
  <c r="M317" i="2"/>
  <c r="U254" i="2"/>
  <c r="U256" i="2" s="1"/>
  <c r="U258" i="2" s="1"/>
  <c r="U260" i="2" s="1"/>
  <c r="U262" i="2" s="1"/>
  <c r="U264" i="2" s="1"/>
  <c r="M324" i="2"/>
  <c r="H315" i="2"/>
  <c r="M196" i="2"/>
  <c r="M191" i="2"/>
  <c r="M190" i="2"/>
  <c r="M197" i="2"/>
  <c r="H189" i="2"/>
  <c r="M198" i="2"/>
  <c r="M195" i="2"/>
  <c r="I168" i="2"/>
  <c r="W149" i="2"/>
  <c r="W151" i="2" s="1"/>
  <c r="W153" i="2" s="1"/>
  <c r="W155" i="2" s="1"/>
  <c r="W157" i="2" s="1"/>
  <c r="W159" i="2" s="1"/>
  <c r="M154" i="2"/>
  <c r="V212" i="2"/>
  <c r="V214" i="2" s="1"/>
  <c r="V216" i="2" s="1"/>
  <c r="V218" i="2" s="1"/>
  <c r="V220" i="2" s="1"/>
  <c r="V222" i="2" s="1"/>
  <c r="H147" i="2"/>
  <c r="M173" i="2"/>
  <c r="P149" i="2"/>
  <c r="P148" i="2" s="1"/>
  <c r="M148" i="2"/>
  <c r="V128" i="2"/>
  <c r="V130" i="2" s="1"/>
  <c r="V132" i="2" s="1"/>
  <c r="V134" i="2" s="1"/>
  <c r="V136" i="2" s="1"/>
  <c r="V138" i="2" s="1"/>
  <c r="M216" i="2"/>
  <c r="M212" i="2"/>
  <c r="M175" i="2"/>
  <c r="M177" i="2"/>
  <c r="M156" i="2"/>
  <c r="M155" i="2"/>
  <c r="M149" i="2"/>
  <c r="M153" i="2"/>
  <c r="M152" i="2"/>
  <c r="M219" i="2"/>
  <c r="M169" i="2"/>
  <c r="M176" i="2"/>
  <c r="H168" i="2"/>
  <c r="M111" i="2"/>
  <c r="M90" i="2"/>
  <c r="M86" i="2"/>
  <c r="M92" i="2"/>
  <c r="H84" i="2"/>
  <c r="M91" i="2"/>
  <c r="M93" i="2"/>
  <c r="I147" i="2"/>
  <c r="M113" i="2"/>
  <c r="M64" i="2"/>
  <c r="M70" i="2"/>
  <c r="M72" i="2"/>
  <c r="H63" i="2"/>
  <c r="M69" i="2"/>
  <c r="M71" i="2"/>
  <c r="M51" i="2"/>
  <c r="AA44" i="2"/>
  <c r="AA46" i="2" s="1"/>
  <c r="AA48" i="2" s="1"/>
  <c r="AA50" i="2" s="1"/>
  <c r="AA52" i="2" s="1"/>
  <c r="AA54" i="2" s="1"/>
  <c r="T46" i="2"/>
  <c r="T48" i="2" s="1"/>
  <c r="T50" i="2" s="1"/>
  <c r="T52" i="2" s="1"/>
  <c r="T54" i="2" s="1"/>
  <c r="M23" i="13"/>
  <c r="M132" i="2" l="1"/>
  <c r="M127" i="2"/>
  <c r="M65" i="2"/>
  <c r="S149" i="2"/>
  <c r="M133" i="2"/>
  <c r="M48" i="2"/>
  <c r="M282" i="2"/>
  <c r="H42" i="2"/>
  <c r="M281" i="2"/>
  <c r="M128" i="2"/>
  <c r="M135" i="2"/>
  <c r="H126" i="2"/>
  <c r="M85" i="2"/>
  <c r="P170" i="2"/>
  <c r="R172" i="2" s="1"/>
  <c r="M43" i="2"/>
  <c r="M211" i="2"/>
  <c r="M49" i="2"/>
  <c r="M261" i="2"/>
  <c r="M337" i="2"/>
  <c r="H336" i="2"/>
  <c r="R272" i="2"/>
  <c r="M44" i="2"/>
  <c r="M253" i="2"/>
  <c r="M275" i="2"/>
  <c r="M343" i="2"/>
  <c r="M259" i="2"/>
  <c r="Q188" i="2"/>
  <c r="Q170" i="2"/>
  <c r="T149" i="2"/>
  <c r="Q149" i="2"/>
  <c r="R149" i="2"/>
  <c r="R151" i="2" s="1"/>
  <c r="Q125" i="2"/>
  <c r="R125" i="2"/>
  <c r="R107" i="2"/>
  <c r="M106" i="2"/>
  <c r="M114" i="2"/>
  <c r="M107" i="2"/>
  <c r="H105" i="2"/>
  <c r="M112" i="2"/>
  <c r="T104" i="2"/>
  <c r="S104" i="2"/>
  <c r="Q104" i="2"/>
  <c r="Q107" i="2" s="1"/>
  <c r="Q83" i="2"/>
  <c r="R62" i="2"/>
  <c r="Q65" i="2" s="1"/>
  <c r="S62" i="2"/>
  <c r="Q41" i="2"/>
  <c r="P41" i="2"/>
  <c r="M217" i="2"/>
  <c r="R209" i="2"/>
  <c r="S209" i="2"/>
  <c r="Q209" i="2"/>
  <c r="H210" i="2"/>
  <c r="M218" i="2"/>
  <c r="M233" i="2"/>
  <c r="H231" i="2"/>
  <c r="M237" i="2"/>
  <c r="T230" i="2"/>
  <c r="T233" i="2" s="1"/>
  <c r="M238" i="2"/>
  <c r="M232" i="2"/>
  <c r="M239" i="2"/>
  <c r="M240" i="2"/>
  <c r="Q230" i="2"/>
  <c r="M260" i="2"/>
  <c r="H252" i="2"/>
  <c r="Q251" i="2"/>
  <c r="M258" i="2"/>
  <c r="P251" i="2"/>
  <c r="M274" i="2"/>
  <c r="M280" i="2"/>
  <c r="H273" i="2"/>
  <c r="Q272" i="2"/>
  <c r="Q293" i="2"/>
  <c r="S314" i="2"/>
  <c r="M321" i="2"/>
  <c r="Q314" i="2"/>
  <c r="T314" i="2"/>
  <c r="M316" i="2"/>
  <c r="S335" i="2"/>
  <c r="M345" i="2"/>
  <c r="M344" i="2"/>
  <c r="M342" i="2"/>
  <c r="P335" i="2"/>
  <c r="R335" i="2"/>
  <c r="R338" i="2" s="1"/>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149" i="2"/>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H613" i="2"/>
  <c r="J613" i="2" s="1"/>
  <c r="P804" i="2"/>
  <c r="H802" i="2"/>
  <c r="J802" i="2" s="1"/>
  <c r="P1224" i="2"/>
  <c r="H1222" i="2"/>
  <c r="J1222" i="2" s="1"/>
  <c r="I1222" i="2"/>
  <c r="P1432" i="2"/>
  <c r="H1430" i="2"/>
  <c r="P1671" i="2"/>
  <c r="H1669" i="2"/>
  <c r="J1669" i="2" s="1"/>
  <c r="P1978" i="2"/>
  <c r="H1976" i="2"/>
  <c r="H380" i="2"/>
  <c r="P382" i="2"/>
  <c r="J590" i="2"/>
  <c r="M591" i="2"/>
  <c r="H149" i="2"/>
  <c r="P151" i="2"/>
  <c r="P150" i="2" s="1"/>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487" i="2"/>
  <c r="H485" i="2"/>
  <c r="P1075" i="2"/>
  <c r="H1073" i="2"/>
  <c r="I1073" i="2"/>
  <c r="P1306" i="2"/>
  <c r="H1304" i="2"/>
  <c r="I1789" i="2"/>
  <c r="H1789" i="2"/>
  <c r="J1789" i="2" s="1"/>
  <c r="P1791" i="2"/>
  <c r="P1999" i="2"/>
  <c r="H1997" i="2"/>
  <c r="P2083" i="2"/>
  <c r="H2081" i="2"/>
  <c r="I485" i="2"/>
  <c r="H617" i="2"/>
  <c r="J617" i="2" s="1"/>
  <c r="H1157" i="2"/>
  <c r="P1159" i="2"/>
  <c r="P1356" i="2"/>
  <c r="H1262" i="2"/>
  <c r="H1367" i="2"/>
  <c r="P1369" i="2"/>
  <c r="H1409" i="2"/>
  <c r="P1411" i="2"/>
  <c r="P2024" i="2"/>
  <c r="H2022" i="2"/>
  <c r="J2022" i="2" s="1"/>
  <c r="P426" i="2"/>
  <c r="H424" i="2"/>
  <c r="J424"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380" i="2"/>
  <c r="P361" i="2"/>
  <c r="H359"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I359"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68" i="2" l="1"/>
  <c r="P254" i="2"/>
  <c r="P253" i="2" s="1"/>
  <c r="R128" i="2"/>
  <c r="I105" i="2"/>
  <c r="S212" i="2"/>
  <c r="T107" i="2"/>
  <c r="T106" i="2" s="1"/>
  <c r="P233" i="2"/>
  <c r="M194" i="2"/>
  <c r="P191" i="2"/>
  <c r="I189" i="2"/>
  <c r="Q191" i="2"/>
  <c r="R191" i="2"/>
  <c r="Q172" i="2"/>
  <c r="I170" i="2"/>
  <c r="H170" i="2"/>
  <c r="P172" i="2"/>
  <c r="Q151" i="2"/>
  <c r="T151" i="2"/>
  <c r="S151" i="2"/>
  <c r="R127" i="2"/>
  <c r="P128" i="2"/>
  <c r="M131" i="2"/>
  <c r="I126" i="2"/>
  <c r="Q128" i="2"/>
  <c r="Q106" i="2"/>
  <c r="S107" i="2"/>
  <c r="P107" i="2"/>
  <c r="R106" i="2"/>
  <c r="M110" i="2"/>
  <c r="P86" i="2"/>
  <c r="I84" i="2"/>
  <c r="M89" i="2"/>
  <c r="Q86" i="2"/>
  <c r="R86" i="2"/>
  <c r="Q64" i="2"/>
  <c r="S65" i="2"/>
  <c r="P65" i="2"/>
  <c r="I63" i="2"/>
  <c r="R65" i="2"/>
  <c r="R44" i="2"/>
  <c r="I42" i="2"/>
  <c r="M47" i="2"/>
  <c r="P44" i="2"/>
  <c r="Q44" i="2"/>
  <c r="S211" i="2"/>
  <c r="I210" i="2"/>
  <c r="M215" i="2"/>
  <c r="P212" i="2"/>
  <c r="R212" i="2"/>
  <c r="Q212" i="2"/>
  <c r="T212" i="2"/>
  <c r="T232" i="2"/>
  <c r="P232" i="2"/>
  <c r="I231" i="2"/>
  <c r="S233" i="2"/>
  <c r="R233" i="2"/>
  <c r="Q233" i="2"/>
  <c r="M236" i="2"/>
  <c r="R254" i="2"/>
  <c r="M257" i="2"/>
  <c r="I252" i="2"/>
  <c r="Q254" i="2"/>
  <c r="R275" i="2"/>
  <c r="M278" i="2"/>
  <c r="Q275" i="2"/>
  <c r="P275" i="2"/>
  <c r="I273" i="2"/>
  <c r="M299" i="2"/>
  <c r="P296" i="2"/>
  <c r="I294" i="2"/>
  <c r="Q296" i="2"/>
  <c r="R296" i="2"/>
  <c r="I315" i="2"/>
  <c r="M320" i="2"/>
  <c r="P317" i="2"/>
  <c r="Q317" i="2"/>
  <c r="T317" i="2"/>
  <c r="S317" i="2"/>
  <c r="R317" i="2"/>
  <c r="R337" i="2"/>
  <c r="I336" i="2"/>
  <c r="M341" i="2"/>
  <c r="Q338" i="2"/>
  <c r="P338" i="2"/>
  <c r="S338" i="2"/>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953" i="2"/>
  <c r="H951" i="2"/>
  <c r="J951" i="2" s="1"/>
  <c r="I951" i="2"/>
  <c r="P405" i="2"/>
  <c r="H403" i="2"/>
  <c r="J403" i="2" s="1"/>
  <c r="I403" i="2"/>
  <c r="J2039" i="2"/>
  <c r="M2040" i="2"/>
  <c r="P1917" i="2"/>
  <c r="H1915" i="2"/>
  <c r="J1915" i="2" s="1"/>
  <c r="I1915" i="2"/>
  <c r="J1892" i="2"/>
  <c r="M1893" i="2"/>
  <c r="J905" i="2"/>
  <c r="M906"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P1077" i="2"/>
  <c r="H1075" i="2"/>
  <c r="J1075" i="2" s="1"/>
  <c r="I1075" i="2"/>
  <c r="J1703" i="2"/>
  <c r="M1704" i="2"/>
  <c r="P1644" i="2"/>
  <c r="H1642" i="2"/>
  <c r="J1642" i="2" s="1"/>
  <c r="I1642" i="2"/>
  <c r="P869" i="2"/>
  <c r="H867" i="2"/>
  <c r="I867"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J1976" i="2"/>
  <c r="M1977" i="2"/>
  <c r="P1245" i="2"/>
  <c r="H1243" i="2"/>
  <c r="J1243" i="2" s="1"/>
  <c r="I1243" i="2"/>
  <c r="H2171" i="2"/>
  <c r="J2171" i="2" s="1"/>
  <c r="P2173" i="2"/>
  <c r="I2171" i="2"/>
  <c r="J1199" i="2"/>
  <c r="M1200" i="2"/>
  <c r="P1835" i="2"/>
  <c r="H1833" i="2"/>
  <c r="I1833" i="2"/>
  <c r="P2085" i="2"/>
  <c r="H2083" i="2"/>
  <c r="J2083" i="2" s="1"/>
  <c r="I2083" i="2"/>
  <c r="P489" i="2"/>
  <c r="H487" i="2"/>
  <c r="J487" i="2" s="1"/>
  <c r="I487" i="2"/>
  <c r="P153" i="2"/>
  <c r="P152" i="2" s="1"/>
  <c r="H1978" i="2"/>
  <c r="J1978" i="2" s="1"/>
  <c r="P1980" i="2"/>
  <c r="I1978"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P1942" i="2"/>
  <c r="H1940" i="2"/>
  <c r="I1940" i="2"/>
  <c r="H1039" i="2"/>
  <c r="J1039" i="2" s="1"/>
  <c r="P1041" i="2"/>
  <c r="I1039" i="2"/>
  <c r="R932" i="2"/>
  <c r="R934" i="2" s="1"/>
  <c r="R936" i="2" s="1"/>
  <c r="I930" i="2"/>
  <c r="J1577" i="2"/>
  <c r="M1578" i="2"/>
  <c r="J1367" i="2"/>
  <c r="M1368" i="2"/>
  <c r="M1998" i="2"/>
  <c r="J1997" i="2"/>
  <c r="J1619" i="2"/>
  <c r="M1620" i="2"/>
  <c r="J149"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M1053" i="2"/>
  <c r="J1052" i="2"/>
  <c r="J1535" i="2"/>
  <c r="M1536"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S153" i="2" l="1"/>
  <c r="I151" i="2"/>
  <c r="Q190" i="2"/>
  <c r="R190" i="2"/>
  <c r="P190" i="2"/>
  <c r="H191" i="2"/>
  <c r="P193" i="2"/>
  <c r="P174" i="2"/>
  <c r="H172" i="2"/>
  <c r="J172" i="2" s="1"/>
  <c r="I172" i="2"/>
  <c r="J170" i="2"/>
  <c r="Q174" i="2"/>
  <c r="R174" i="2"/>
  <c r="T153" i="2"/>
  <c r="Q153" i="2"/>
  <c r="H151" i="2"/>
  <c r="R153" i="2"/>
  <c r="Q127" i="2"/>
  <c r="P127" i="2"/>
  <c r="H128" i="2"/>
  <c r="P106" i="2"/>
  <c r="P109" i="2"/>
  <c r="H107" i="2"/>
  <c r="S109" i="2"/>
  <c r="S106" i="2"/>
  <c r="R85" i="2"/>
  <c r="Q85" i="2"/>
  <c r="P85" i="2"/>
  <c r="H86" i="2"/>
  <c r="S64" i="2"/>
  <c r="R67" i="2"/>
  <c r="R64" i="2"/>
  <c r="P64" i="2"/>
  <c r="S67" i="2" s="1"/>
  <c r="H65" i="2"/>
  <c r="Q43" i="2"/>
  <c r="P43" i="2"/>
  <c r="I44" i="2" s="1"/>
  <c r="H44" i="2"/>
  <c r="Q211" i="2"/>
  <c r="R211" i="2"/>
  <c r="P211" i="2"/>
  <c r="H212" i="2"/>
  <c r="T211" i="2"/>
  <c r="R232" i="2"/>
  <c r="T235" i="2" s="1"/>
  <c r="S232" i="2"/>
  <c r="Q232" i="2"/>
  <c r="H233" i="2"/>
  <c r="Q253" i="2"/>
  <c r="R253" i="2"/>
  <c r="Q256" i="2" s="1"/>
  <c r="H254" i="2"/>
  <c r="R274" i="2"/>
  <c r="P274" i="2"/>
  <c r="R277" i="2" s="1"/>
  <c r="H275" i="2"/>
  <c r="Q274" i="2"/>
  <c r="P277" i="2" s="1"/>
  <c r="Q295" i="2"/>
  <c r="R295" i="2"/>
  <c r="P295" i="2"/>
  <c r="Q298" i="2" s="1"/>
  <c r="H296" i="2"/>
  <c r="R316" i="2"/>
  <c r="S316" i="2"/>
  <c r="Q316" i="2"/>
  <c r="T316" i="2"/>
  <c r="P316" i="2"/>
  <c r="P319" i="2"/>
  <c r="H317" i="2"/>
  <c r="S340" i="2"/>
  <c r="S337" i="2"/>
  <c r="P337" i="2"/>
  <c r="H338" i="2"/>
  <c r="Q337" i="2"/>
  <c r="P340" i="2" s="1"/>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51" i="2"/>
  <c r="M372"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M1663" i="2"/>
  <c r="P155" i="2"/>
  <c r="P154" i="2" s="1"/>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850" i="2"/>
  <c r="H848" i="2"/>
  <c r="J848" i="2" s="1"/>
  <c r="I848" i="2"/>
  <c r="P1499" i="2"/>
  <c r="H1497" i="2"/>
  <c r="J1497" i="2" s="1"/>
  <c r="I1497" i="2"/>
  <c r="P1270" i="2"/>
  <c r="H1268" i="2"/>
  <c r="I1268" i="2"/>
  <c r="P556" i="2"/>
  <c r="H554" i="2"/>
  <c r="J554" i="2" s="1"/>
  <c r="I554" i="2"/>
  <c r="P955" i="2"/>
  <c r="H953" i="2"/>
  <c r="J953" i="2" s="1"/>
  <c r="I953"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Q277" i="2" l="1"/>
  <c r="P235" i="2"/>
  <c r="P234" i="2" s="1"/>
  <c r="T319" i="2"/>
  <c r="R235" i="2"/>
  <c r="P67" i="2"/>
  <c r="T214" i="2"/>
  <c r="R155" i="2"/>
  <c r="R157" i="2" s="1"/>
  <c r="I191" i="2"/>
  <c r="P256" i="2"/>
  <c r="Q214" i="2"/>
  <c r="P88" i="2"/>
  <c r="Q340" i="2"/>
  <c r="Q339" i="2" s="1"/>
  <c r="R46" i="2"/>
  <c r="P298" i="2"/>
  <c r="P297" i="2" s="1"/>
  <c r="I233" i="2"/>
  <c r="R176" i="2"/>
  <c r="P192" i="2"/>
  <c r="J191" i="2"/>
  <c r="R193" i="2"/>
  <c r="Q193" i="2"/>
  <c r="Q176" i="2"/>
  <c r="P176" i="2"/>
  <c r="I174" i="2"/>
  <c r="H174" i="2"/>
  <c r="J151" i="2"/>
  <c r="Q155" i="2"/>
  <c r="T155" i="2"/>
  <c r="S155" i="2"/>
  <c r="J128" i="2"/>
  <c r="I128" i="2"/>
  <c r="R130" i="2"/>
  <c r="P130" i="2"/>
  <c r="Q130" i="2"/>
  <c r="J107" i="2"/>
  <c r="S108" i="2"/>
  <c r="P108" i="2"/>
  <c r="I107" i="2"/>
  <c r="T109" i="2"/>
  <c r="Q109" i="2"/>
  <c r="R109" i="2"/>
  <c r="P87" i="2"/>
  <c r="I86" i="2"/>
  <c r="J86" i="2"/>
  <c r="Q88" i="2"/>
  <c r="R88" i="2"/>
  <c r="S66" i="2"/>
  <c r="P66" i="2"/>
  <c r="R66" i="2"/>
  <c r="J65" i="2"/>
  <c r="Q67" i="2"/>
  <c r="I65" i="2"/>
  <c r="M45" i="2"/>
  <c r="M42" i="2" s="1"/>
  <c r="M36" i="2" s="1"/>
  <c r="J44" i="2"/>
  <c r="P46" i="2"/>
  <c r="Q46" i="2"/>
  <c r="T213" i="2"/>
  <c r="Q213" i="2"/>
  <c r="J212" i="2"/>
  <c r="P214" i="2"/>
  <c r="I212" i="2"/>
  <c r="S214" i="2"/>
  <c r="R214" i="2"/>
  <c r="R234" i="2"/>
  <c r="T234" i="2"/>
  <c r="J233" i="2"/>
  <c r="M234" i="2"/>
  <c r="M231" i="2" s="1"/>
  <c r="M225" i="2" s="1"/>
  <c r="Q235" i="2"/>
  <c r="S235" i="2"/>
  <c r="Q255" i="2"/>
  <c r="P255" i="2"/>
  <c r="R256" i="2"/>
  <c r="J254" i="2"/>
  <c r="I254" i="2"/>
  <c r="M255" i="2" s="1"/>
  <c r="M252" i="2" s="1"/>
  <c r="M246" i="2" s="1"/>
  <c r="Q276" i="2"/>
  <c r="Q279" i="2" s="1"/>
  <c r="J275" i="2"/>
  <c r="P276" i="2"/>
  <c r="H277" i="2"/>
  <c r="J277" i="2" s="1"/>
  <c r="I275" i="2"/>
  <c r="R276" i="2"/>
  <c r="Q297" i="2"/>
  <c r="I296" i="2"/>
  <c r="J296" i="2"/>
  <c r="R298" i="2"/>
  <c r="H298" i="2" s="1"/>
  <c r="T318" i="2"/>
  <c r="J317" i="2"/>
  <c r="P318" i="2"/>
  <c r="I317" i="2"/>
  <c r="S319" i="2"/>
  <c r="Q319" i="2"/>
  <c r="R319" i="2"/>
  <c r="P339" i="2"/>
  <c r="J338" i="2"/>
  <c r="I338" i="2"/>
  <c r="M339" i="2" s="1"/>
  <c r="M336" i="2" s="1"/>
  <c r="M330" i="2" s="1"/>
  <c r="R340" i="2"/>
  <c r="S339" i="2"/>
  <c r="AE601" i="2"/>
  <c r="AA601" i="2"/>
  <c r="T601" i="2"/>
  <c r="AD601" i="2"/>
  <c r="Z601" i="2"/>
  <c r="U601" i="2"/>
  <c r="AC601" i="2"/>
  <c r="AH601" i="2"/>
  <c r="Y601" i="2"/>
  <c r="AB601" i="2"/>
  <c r="AG601" i="2"/>
  <c r="AF601" i="2"/>
  <c r="V601" i="2"/>
  <c r="AA1042" i="2"/>
  <c r="J995" i="2"/>
  <c r="P451" i="2"/>
  <c r="H449" i="2"/>
  <c r="J449" i="2" s="1"/>
  <c r="I449" i="2"/>
  <c r="J405"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P156" i="2" s="1"/>
  <c r="H1331" i="2"/>
  <c r="J1331" i="2" s="1"/>
  <c r="P1333" i="2"/>
  <c r="I1331" i="2"/>
  <c r="P1438" i="2"/>
  <c r="H1436" i="2"/>
  <c r="I1436" i="2"/>
  <c r="H512" i="2"/>
  <c r="P514" i="2"/>
  <c r="I512" i="2"/>
  <c r="J1350" i="2"/>
  <c r="J531"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363"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V1042" i="2"/>
  <c r="J657"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I155" i="2" l="1"/>
  <c r="H235" i="2"/>
  <c r="J235" i="2" s="1"/>
  <c r="H155" i="2"/>
  <c r="J155" i="2" s="1"/>
  <c r="H319" i="2"/>
  <c r="J319" i="2" s="1"/>
  <c r="P279" i="2"/>
  <c r="R21" i="2"/>
  <c r="S157" i="2"/>
  <c r="H340" i="2"/>
  <c r="J340" i="2" s="1"/>
  <c r="Q192" i="2"/>
  <c r="H193" i="2"/>
  <c r="R192" i="2"/>
  <c r="Q195" i="2" s="1"/>
  <c r="H176" i="2"/>
  <c r="J176" i="2" s="1"/>
  <c r="P178" i="2"/>
  <c r="I176" i="2"/>
  <c r="J174" i="2"/>
  <c r="R178" i="2"/>
  <c r="Q178" i="2"/>
  <c r="T157" i="2"/>
  <c r="Q157" i="2"/>
  <c r="Q129" i="2"/>
  <c r="R129" i="2"/>
  <c r="P129" i="2"/>
  <c r="I130" i="2" s="1"/>
  <c r="H130" i="2"/>
  <c r="J130" i="2" s="1"/>
  <c r="Q108" i="2"/>
  <c r="I109" i="2" s="1"/>
  <c r="R108" i="2"/>
  <c r="H109" i="2"/>
  <c r="J109" i="2" s="1"/>
  <c r="T108" i="2"/>
  <c r="R87" i="2"/>
  <c r="Q87" i="2"/>
  <c r="H88" i="2"/>
  <c r="J88" i="2" s="1"/>
  <c r="Q66" i="2"/>
  <c r="R69" i="2" s="1"/>
  <c r="H67" i="2"/>
  <c r="J67" i="2" s="1"/>
  <c r="Q45" i="2"/>
  <c r="P45" i="2"/>
  <c r="Q48" i="2" s="1"/>
  <c r="H46" i="2"/>
  <c r="J46" i="2" s="1"/>
  <c r="P213" i="2"/>
  <c r="H214" i="2"/>
  <c r="J214" i="2" s="1"/>
  <c r="S213" i="2"/>
  <c r="R213" i="2"/>
  <c r="R216" i="2" s="1"/>
  <c r="S234" i="2"/>
  <c r="Q234" i="2"/>
  <c r="I235" i="2" s="1"/>
  <c r="R255" i="2"/>
  <c r="P258" i="2" s="1"/>
  <c r="H256" i="2"/>
  <c r="J256" i="2" s="1"/>
  <c r="I256" i="2"/>
  <c r="Q258" i="2"/>
  <c r="P278" i="2"/>
  <c r="Q278" i="2"/>
  <c r="R279" i="2"/>
  <c r="I277" i="2"/>
  <c r="J298" i="2"/>
  <c r="R297" i="2"/>
  <c r="P300" i="2" s="1"/>
  <c r="R318" i="2"/>
  <c r="S318" i="2"/>
  <c r="Q318" i="2"/>
  <c r="R339" i="2"/>
  <c r="S342" i="2" s="1"/>
  <c r="P342"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H1480" i="2"/>
  <c r="J1480" i="2" s="1"/>
  <c r="P1482" i="2"/>
  <c r="I1480" i="2"/>
  <c r="P474" i="2"/>
  <c r="H472" i="2"/>
  <c r="I472" i="2"/>
  <c r="J1228" i="2"/>
  <c r="Q1356" i="2"/>
  <c r="I1354" i="2"/>
  <c r="H1354" i="2"/>
  <c r="J1354" i="2" s="1"/>
  <c r="P705" i="2"/>
  <c r="H703" i="2"/>
  <c r="I703" i="2"/>
  <c r="H157" i="2"/>
  <c r="J157" i="2" s="1"/>
  <c r="P159" i="2"/>
  <c r="P158" i="2" s="1"/>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P369" i="2"/>
  <c r="H367" i="2"/>
  <c r="I367" i="2"/>
  <c r="H1230" i="2"/>
  <c r="J1230" i="2" s="1"/>
  <c r="I1230" i="2"/>
  <c r="J808" i="2"/>
  <c r="P768" i="2"/>
  <c r="H766" i="2"/>
  <c r="J766" i="2" s="1"/>
  <c r="I766" i="2"/>
  <c r="AB1945" i="2"/>
  <c r="W1945" i="2"/>
  <c r="H726" i="2"/>
  <c r="J726" i="2" s="1"/>
  <c r="AG727" i="2" s="1"/>
  <c r="I726" i="2"/>
  <c r="H409" i="2"/>
  <c r="J409" i="2" s="1"/>
  <c r="P411" i="2"/>
  <c r="I409" i="2"/>
  <c r="P1377" i="2"/>
  <c r="H1375" i="2"/>
  <c r="J1375" i="2" s="1"/>
  <c r="I1375" i="2"/>
  <c r="H1818" i="2"/>
  <c r="J1818" i="2" s="1"/>
  <c r="I1818" i="2"/>
  <c r="H1272" i="2"/>
  <c r="J1272" i="2" s="1"/>
  <c r="Q1273" i="2" s="1"/>
  <c r="I1272" i="2"/>
  <c r="H810" i="2"/>
  <c r="J810" i="2" s="1"/>
  <c r="I810" i="2"/>
  <c r="P516" i="2"/>
  <c r="H514" i="2"/>
  <c r="J514" i="2" s="1"/>
  <c r="I514" i="2"/>
  <c r="P1335" i="2"/>
  <c r="H1333" i="2"/>
  <c r="I1333" i="2"/>
  <c r="H558" i="2"/>
  <c r="I558" i="2"/>
  <c r="M1516" i="2"/>
  <c r="U1945" i="2"/>
  <c r="AD1945" i="2"/>
  <c r="H451" i="2"/>
  <c r="P453" i="2"/>
  <c r="I451"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P390" i="2"/>
  <c r="H388" i="2"/>
  <c r="J388" i="2" s="1"/>
  <c r="I388" i="2"/>
  <c r="H2131" i="2"/>
  <c r="P2133" i="2"/>
  <c r="I2131" i="2"/>
  <c r="H1249" i="2"/>
  <c r="J1249" i="2" s="1"/>
  <c r="P1251" i="2"/>
  <c r="I1249" i="2"/>
  <c r="AF1945" i="2"/>
  <c r="R194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J430" i="2"/>
  <c r="Z1945" i="2"/>
  <c r="M193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Y1945"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Q69" i="2" l="1"/>
  <c r="S69" i="2"/>
  <c r="P195" i="2"/>
  <c r="P194" i="2" s="1"/>
  <c r="P216" i="2"/>
  <c r="P90" i="2"/>
  <c r="P89" i="2" s="1"/>
  <c r="Q159" i="2"/>
  <c r="S111" i="2"/>
  <c r="R180" i="2"/>
  <c r="R342" i="2"/>
  <c r="R341" i="2" s="1"/>
  <c r="T111" i="2"/>
  <c r="P321" i="2"/>
  <c r="P320" i="2" s="1"/>
  <c r="P69" i="2"/>
  <c r="P68" i="2" s="1"/>
  <c r="I157" i="2"/>
  <c r="T237" i="2"/>
  <c r="I67" i="2"/>
  <c r="R111" i="2"/>
  <c r="Q194" i="2"/>
  <c r="R195" i="2"/>
  <c r="I193" i="2"/>
  <c r="J193" i="2"/>
  <c r="Q180" i="2"/>
  <c r="I178" i="2"/>
  <c r="P180" i="2"/>
  <c r="H178" i="2"/>
  <c r="T159" i="2"/>
  <c r="H159" i="2" s="1"/>
  <c r="S159" i="2"/>
  <c r="R159" i="2"/>
  <c r="R132" i="2"/>
  <c r="P132" i="2"/>
  <c r="Q132" i="2"/>
  <c r="R110" i="2"/>
  <c r="T110" i="2"/>
  <c r="S110" i="2"/>
  <c r="P111" i="2"/>
  <c r="Q111" i="2"/>
  <c r="I88" i="2"/>
  <c r="Q90" i="2"/>
  <c r="R90" i="2"/>
  <c r="R68" i="2"/>
  <c r="S68" i="2"/>
  <c r="Q68" i="2"/>
  <c r="H69" i="2"/>
  <c r="J69" i="2" s="1"/>
  <c r="I46" i="2"/>
  <c r="R48" i="2"/>
  <c r="P48" i="2"/>
  <c r="Q47" i="2"/>
  <c r="R215" i="2"/>
  <c r="P215" i="2"/>
  <c r="S216" i="2"/>
  <c r="I214" i="2"/>
  <c r="T216" i="2"/>
  <c r="Q216" i="2"/>
  <c r="T236" i="2"/>
  <c r="P237" i="2"/>
  <c r="R237" i="2"/>
  <c r="Q237" i="2"/>
  <c r="S237" i="2"/>
  <c r="P257" i="2"/>
  <c r="Q257" i="2"/>
  <c r="R258" i="2"/>
  <c r="R278" i="2"/>
  <c r="P281" i="2" s="1"/>
  <c r="H279" i="2"/>
  <c r="J279" i="2" s="1"/>
  <c r="I279" i="2"/>
  <c r="P299" i="2"/>
  <c r="Q300" i="2"/>
  <c r="R300" i="2"/>
  <c r="I298" i="2"/>
  <c r="T321" i="2"/>
  <c r="S321" i="2"/>
  <c r="I319" i="2"/>
  <c r="Q321" i="2"/>
  <c r="R321" i="2"/>
  <c r="S341" i="2"/>
  <c r="I340" i="2"/>
  <c r="P341" i="2"/>
  <c r="Q342" i="2"/>
  <c r="H342" i="2" s="1"/>
  <c r="J342" i="2" s="1"/>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472"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H1083" i="2"/>
  <c r="I1083" i="2"/>
  <c r="H915" i="2"/>
  <c r="I915" i="2"/>
  <c r="H1461" i="2"/>
  <c r="J1461" i="2" s="1"/>
  <c r="AE1462" i="2" s="1"/>
  <c r="I1461" i="2"/>
  <c r="H2154" i="2"/>
  <c r="I2154" i="2"/>
  <c r="P1798" i="2"/>
  <c r="H1776" i="2"/>
  <c r="J1776" i="2" s="1"/>
  <c r="I1776"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H1125" i="2"/>
  <c r="I1125"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M424"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I69" i="2" l="1"/>
  <c r="Q71" i="2"/>
  <c r="P71" i="2"/>
  <c r="H216" i="2"/>
  <c r="H195" i="2"/>
  <c r="J195" i="2" s="1"/>
  <c r="H321" i="2"/>
  <c r="J321" i="2" s="1"/>
  <c r="R197" i="2"/>
  <c r="R194" i="2"/>
  <c r="P197" i="2" s="1"/>
  <c r="I195" i="2"/>
  <c r="Q197" i="2"/>
  <c r="J178" i="2"/>
  <c r="H180" i="2"/>
  <c r="J180" i="2" s="1"/>
  <c r="AE181" i="2" s="1"/>
  <c r="I180" i="2"/>
  <c r="I159" i="2"/>
  <c r="M150" i="2" s="1"/>
  <c r="Q131" i="2"/>
  <c r="P131" i="2"/>
  <c r="H132" i="2"/>
  <c r="R131" i="2"/>
  <c r="P134" i="2" s="1"/>
  <c r="Q110" i="2"/>
  <c r="P113" i="2" s="1"/>
  <c r="P110" i="2"/>
  <c r="H111" i="2"/>
  <c r="R89" i="2"/>
  <c r="Q89" i="2"/>
  <c r="H90" i="2"/>
  <c r="J90" i="2" s="1"/>
  <c r="P70" i="2"/>
  <c r="Q70" i="2"/>
  <c r="S71" i="2"/>
  <c r="R71" i="2"/>
  <c r="P47" i="2"/>
  <c r="P50" i="2" s="1"/>
  <c r="H48" i="2"/>
  <c r="J48" i="2" s="1"/>
  <c r="J216" i="2"/>
  <c r="T215" i="2"/>
  <c r="S215" i="2"/>
  <c r="Q215" i="2"/>
  <c r="S236" i="2"/>
  <c r="Q236" i="2"/>
  <c r="R236" i="2"/>
  <c r="P236" i="2"/>
  <c r="H237" i="2"/>
  <c r="J237" i="2" s="1"/>
  <c r="R257" i="2"/>
  <c r="Q260" i="2" s="1"/>
  <c r="H258" i="2"/>
  <c r="J258" i="2" s="1"/>
  <c r="I258" i="2"/>
  <c r="P280" i="2"/>
  <c r="Q281" i="2"/>
  <c r="R281" i="2"/>
  <c r="R299" i="2"/>
  <c r="Q299" i="2"/>
  <c r="P302" i="2" s="1"/>
  <c r="H300" i="2"/>
  <c r="J300" i="2" s="1"/>
  <c r="T320" i="2"/>
  <c r="R320" i="2"/>
  <c r="Q320" i="2"/>
  <c r="S320" i="2"/>
  <c r="Q341" i="2"/>
  <c r="R344" i="2" s="1"/>
  <c r="Q344"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M1306" i="2"/>
  <c r="AC1315" i="2"/>
  <c r="M1699" i="2"/>
  <c r="AA1882" i="2"/>
  <c r="Y1882" i="2"/>
  <c r="Q1882" i="2"/>
  <c r="W1735" i="2"/>
  <c r="AG1735" i="2"/>
  <c r="AB1735" i="2"/>
  <c r="AI1063" i="2"/>
  <c r="AE2071"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Z1063" i="2"/>
  <c r="AD1735" i="2"/>
  <c r="AA1063" i="2"/>
  <c r="Q1021" i="2"/>
  <c r="AD1021" i="2"/>
  <c r="X1735" i="2"/>
  <c r="AA1420" i="2"/>
  <c r="T1063" i="2"/>
  <c r="P1021" i="2"/>
  <c r="Q1063" i="2"/>
  <c r="V1168" i="2"/>
  <c r="Y1063" i="2"/>
  <c r="P1882" i="2"/>
  <c r="AD685" i="2"/>
  <c r="AB769" i="2"/>
  <c r="U769" i="2"/>
  <c r="S1882" i="2"/>
  <c r="Y1462" i="2"/>
  <c r="S1462" i="2"/>
  <c r="AI1168" i="2"/>
  <c r="M361" i="2"/>
  <c r="W685" i="2"/>
  <c r="P769" i="2"/>
  <c r="R769" i="2"/>
  <c r="Q1462" i="2"/>
  <c r="W1462" i="2"/>
  <c r="V1063" i="2"/>
  <c r="AG685" i="2"/>
  <c r="T685" i="2"/>
  <c r="AE1168" i="2"/>
  <c r="M754" i="2"/>
  <c r="AD769" i="2"/>
  <c r="P1462" i="2"/>
  <c r="AH1462" i="2"/>
  <c r="M760" i="2"/>
  <c r="AC1882" i="2"/>
  <c r="AI1021" i="2"/>
  <c r="X1420" i="2"/>
  <c r="S1063" i="2"/>
  <c r="AD1882" i="2"/>
  <c r="W769" i="2"/>
  <c r="AB1063" i="2"/>
  <c r="U1462" i="2"/>
  <c r="M1447" i="2"/>
  <c r="AG1882" i="2"/>
  <c r="P685" i="2"/>
  <c r="S1021" i="2"/>
  <c r="Q769" i="2"/>
  <c r="AF1168" i="2"/>
  <c r="M2125" i="2"/>
  <c r="U1567" i="2"/>
  <c r="T1315" i="2"/>
  <c r="X1063" i="2"/>
  <c r="Z1567" i="2"/>
  <c r="U1420" i="2"/>
  <c r="AC1168" i="2"/>
  <c r="M1054" i="2"/>
  <c r="AF1063" i="2"/>
  <c r="AF1567" i="2"/>
  <c r="W1567" i="2"/>
  <c r="AD1567" i="2"/>
  <c r="M1978" i="2"/>
  <c r="M235" i="2"/>
  <c r="AH1567" i="2"/>
  <c r="W1168" i="2"/>
  <c r="R1063" i="2"/>
  <c r="W979" i="2"/>
  <c r="P1063" i="2"/>
  <c r="U1882" i="2"/>
  <c r="AH1063" i="2"/>
  <c r="T979" i="2"/>
  <c r="AC1063" i="2"/>
  <c r="V1987" i="2"/>
  <c r="AE1987" i="2"/>
  <c r="V1882" i="2"/>
  <c r="AG1420" i="2"/>
  <c r="W1420" i="2"/>
  <c r="M1999" i="2"/>
  <c r="AA1021"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AH979" i="2"/>
  <c r="Z979" i="2"/>
  <c r="M1972" i="2"/>
  <c r="S1987" i="2"/>
  <c r="AB1294" i="2"/>
  <c r="Y1294" i="2"/>
  <c r="Y1735" i="2"/>
  <c r="X2071" i="2"/>
  <c r="M1285" i="2"/>
  <c r="S1777" i="2"/>
  <c r="R1735" i="2"/>
  <c r="AF475" i="2"/>
  <c r="M460" i="2"/>
  <c r="V475" i="2"/>
  <c r="J516" i="2"/>
  <c r="M508" i="2"/>
  <c r="R370" i="2"/>
  <c r="AG370" i="2"/>
  <c r="X370" i="2"/>
  <c r="Z370" i="2"/>
  <c r="AD370" i="2"/>
  <c r="V370" i="2"/>
  <c r="Y370" i="2"/>
  <c r="AA370" i="2"/>
  <c r="S370" i="2"/>
  <c r="AH370" i="2"/>
  <c r="P370" i="2"/>
  <c r="AE370" i="2"/>
  <c r="AB370" i="2"/>
  <c r="U370" i="2"/>
  <c r="Q370" i="2"/>
  <c r="T370" i="2"/>
  <c r="AI370" i="2"/>
  <c r="W370" i="2"/>
  <c r="M355" i="2"/>
  <c r="AC370" i="2"/>
  <c r="AF370"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979" i="2"/>
  <c r="AG979" i="2"/>
  <c r="U2071" i="2"/>
  <c r="U1987" i="2"/>
  <c r="R1987" i="2"/>
  <c r="U1294" i="2"/>
  <c r="AA1294" i="2"/>
  <c r="M1327" i="2"/>
  <c r="W1882" i="2"/>
  <c r="M1405" i="2"/>
  <c r="J915" i="2"/>
  <c r="M907"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Y1714" i="2"/>
  <c r="R1714" i="2"/>
  <c r="AI1714" i="2"/>
  <c r="T1714" i="2"/>
  <c r="Z1714" i="2"/>
  <c r="U1714" i="2"/>
  <c r="P1714" i="2"/>
  <c r="AB1714" i="2"/>
  <c r="AG1714" i="2"/>
  <c r="V1714" i="2"/>
  <c r="AD1714" i="2"/>
  <c r="Q1714" i="2"/>
  <c r="AC1714" i="2"/>
  <c r="X1714" i="2"/>
  <c r="W1714" i="2"/>
  <c r="AE1714" i="2"/>
  <c r="AA1714" i="2"/>
  <c r="AF1714" i="2"/>
  <c r="S1714" i="2"/>
  <c r="AH1714"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J1503" i="2"/>
  <c r="M1495" i="2"/>
  <c r="X979" i="2"/>
  <c r="U979" i="2"/>
  <c r="AI1882" i="2"/>
  <c r="AH1882" i="2"/>
  <c r="X1882" i="2"/>
  <c r="AF1987" i="2"/>
  <c r="AH1987" i="2"/>
  <c r="AG1294" i="2"/>
  <c r="Z1294" i="2"/>
  <c r="U1021" i="2"/>
  <c r="P1420" i="2"/>
  <c r="T1882" i="2"/>
  <c r="AE1567" i="2"/>
  <c r="J1083" i="2"/>
  <c r="M1075" i="2"/>
  <c r="R1168" i="2"/>
  <c r="AA1567" i="2"/>
  <c r="J2112" i="2"/>
  <c r="M2104" i="2"/>
  <c r="J1587" i="2"/>
  <c r="M1579" i="2"/>
  <c r="M655" i="2"/>
  <c r="AB1420" i="2"/>
  <c r="AE979" i="2"/>
  <c r="AB979" i="2"/>
  <c r="AF1882" i="2"/>
  <c r="AA1987" i="2"/>
  <c r="V1294" i="2"/>
  <c r="AG1567" i="2"/>
  <c r="M529" i="2"/>
  <c r="M340"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M1768" i="2"/>
  <c r="M466" i="2"/>
  <c r="V2071" i="2"/>
  <c r="E3" i="10"/>
  <c r="P218" i="2" l="1"/>
  <c r="Q92" i="2"/>
  <c r="S344" i="2"/>
  <c r="I342" i="2"/>
  <c r="P323" i="2"/>
  <c r="P239" i="2"/>
  <c r="M147" i="2"/>
  <c r="M141" i="2" s="1"/>
  <c r="Q196" i="2"/>
  <c r="R199" i="2" s="1"/>
  <c r="P196" i="2"/>
  <c r="H197" i="2"/>
  <c r="R196" i="2"/>
  <c r="M171" i="2"/>
  <c r="M172" i="2"/>
  <c r="U181" i="2"/>
  <c r="AC181" i="2"/>
  <c r="AA181" i="2"/>
  <c r="AB181" i="2"/>
  <c r="AD181" i="2"/>
  <c r="V181" i="2"/>
  <c r="P181" i="2"/>
  <c r="R181" i="2"/>
  <c r="AI181" i="2"/>
  <c r="W181" i="2"/>
  <c r="M166" i="2"/>
  <c r="Y181" i="2"/>
  <c r="Z181" i="2"/>
  <c r="AG181" i="2"/>
  <c r="X181" i="2"/>
  <c r="T181" i="2"/>
  <c r="AF181" i="2"/>
  <c r="AH181" i="2"/>
  <c r="Q181" i="2"/>
  <c r="S181" i="2"/>
  <c r="P133" i="2"/>
  <c r="R134" i="2"/>
  <c r="J132" i="2"/>
  <c r="I132" i="2"/>
  <c r="Q134" i="2"/>
  <c r="J111" i="2"/>
  <c r="I111" i="2"/>
  <c r="R113" i="2"/>
  <c r="S113" i="2"/>
  <c r="T113" i="2"/>
  <c r="H113" i="2" s="1"/>
  <c r="J113" i="2" s="1"/>
  <c r="P112" i="2"/>
  <c r="Q113" i="2"/>
  <c r="Q91" i="2"/>
  <c r="I90" i="2"/>
  <c r="P92" i="2"/>
  <c r="R92" i="2"/>
  <c r="R70" i="2"/>
  <c r="S70" i="2"/>
  <c r="P73" i="2" s="1"/>
  <c r="H71" i="2"/>
  <c r="P49" i="2"/>
  <c r="R50" i="2"/>
  <c r="I48" i="2"/>
  <c r="Q50" i="2"/>
  <c r="P217" i="2"/>
  <c r="R218" i="2"/>
  <c r="Q218" i="2"/>
  <c r="I216" i="2"/>
  <c r="S218" i="2"/>
  <c r="T218" i="2"/>
  <c r="P238" i="2"/>
  <c r="I237" i="2"/>
  <c r="T239" i="2"/>
  <c r="R239" i="2"/>
  <c r="Q239" i="2"/>
  <c r="S239" i="2"/>
  <c r="Q259" i="2"/>
  <c r="R260" i="2"/>
  <c r="P260" i="2"/>
  <c r="R280" i="2"/>
  <c r="Q280" i="2"/>
  <c r="I281" i="2" s="1"/>
  <c r="H281" i="2"/>
  <c r="P301" i="2"/>
  <c r="I300" i="2"/>
  <c r="Q302" i="2"/>
  <c r="H302" i="2" s="1"/>
  <c r="R302" i="2"/>
  <c r="P322" i="2"/>
  <c r="S323" i="2"/>
  <c r="I321" i="2"/>
  <c r="R323" i="2"/>
  <c r="Q323" i="2"/>
  <c r="T323" i="2"/>
  <c r="S343" i="2"/>
  <c r="Q343" i="2"/>
  <c r="R343" i="2"/>
  <c r="P344"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P199" i="2" l="1"/>
  <c r="Q73" i="2"/>
  <c r="S73" i="2"/>
  <c r="H323" i="2"/>
  <c r="J323" i="2" s="1"/>
  <c r="M168" i="2"/>
  <c r="M162" i="2" s="1"/>
  <c r="P198" i="2"/>
  <c r="R198" i="2"/>
  <c r="J197" i="2"/>
  <c r="I197" i="2"/>
  <c r="Q199" i="2"/>
  <c r="Q133" i="2"/>
  <c r="R136" i="2" s="1"/>
  <c r="H134" i="2"/>
  <c r="R133" i="2"/>
  <c r="Q112" i="2"/>
  <c r="T112" i="2"/>
  <c r="R112" i="2"/>
  <c r="S112" i="2"/>
  <c r="R91" i="2"/>
  <c r="P91" i="2"/>
  <c r="P94" i="2" s="1"/>
  <c r="H92" i="2"/>
  <c r="P72" i="2"/>
  <c r="S72" i="2"/>
  <c r="I71" i="2"/>
  <c r="J71" i="2"/>
  <c r="Q72" i="2"/>
  <c r="R73" i="2"/>
  <c r="Q49" i="2"/>
  <c r="I50" i="2" s="1"/>
  <c r="H50" i="2"/>
  <c r="J50" i="2" s="1"/>
  <c r="S217" i="2"/>
  <c r="I218" i="2" s="1"/>
  <c r="T217" i="2"/>
  <c r="Q217" i="2"/>
  <c r="R217" i="2"/>
  <c r="H218" i="2"/>
  <c r="J218" i="2" s="1"/>
  <c r="S238" i="2"/>
  <c r="T238" i="2"/>
  <c r="Q238" i="2"/>
  <c r="H239" i="2"/>
  <c r="J239" i="2" s="1"/>
  <c r="R238" i="2"/>
  <c r="P259" i="2"/>
  <c r="P262" i="2" s="1"/>
  <c r="H260" i="2"/>
  <c r="J260" i="2" s="1"/>
  <c r="R259" i="2"/>
  <c r="J281" i="2"/>
  <c r="P283" i="2"/>
  <c r="Q283" i="2"/>
  <c r="R283" i="2"/>
  <c r="J302" i="2"/>
  <c r="Q301" i="2"/>
  <c r="P304" i="2" s="1"/>
  <c r="R301" i="2"/>
  <c r="T322" i="2"/>
  <c r="R322" i="2"/>
  <c r="S322" i="2"/>
  <c r="Q322" i="2"/>
  <c r="P343" i="2"/>
  <c r="H344" i="2"/>
  <c r="J344" i="2" s="1"/>
  <c r="U20" i="2"/>
  <c r="P20" i="2"/>
  <c r="Q20" i="2"/>
  <c r="R20" i="2"/>
  <c r="I323" i="2" l="1"/>
  <c r="R262" i="2"/>
  <c r="I113" i="2"/>
  <c r="P241" i="2"/>
  <c r="I134" i="2"/>
  <c r="T115" i="2"/>
  <c r="Q198" i="2"/>
  <c r="P201" i="2" s="1"/>
  <c r="H199" i="2"/>
  <c r="R135" i="2"/>
  <c r="Q136" i="2"/>
  <c r="J134" i="2"/>
  <c r="P136" i="2"/>
  <c r="T114" i="2"/>
  <c r="R115" i="2"/>
  <c r="S115" i="2"/>
  <c r="P115" i="2"/>
  <c r="Q115" i="2"/>
  <c r="P93" i="2"/>
  <c r="J92" i="2"/>
  <c r="I92" i="2"/>
  <c r="Q94" i="2"/>
  <c r="R94" i="2"/>
  <c r="R72" i="2"/>
  <c r="R75" i="2" s="1"/>
  <c r="R74" i="2" s="1"/>
  <c r="H73" i="2"/>
  <c r="P52" i="2"/>
  <c r="Q52" i="2"/>
  <c r="R52" i="2"/>
  <c r="P220" i="2"/>
  <c r="Q220" i="2"/>
  <c r="R220" i="2"/>
  <c r="T220" i="2"/>
  <c r="S220" i="2"/>
  <c r="P240" i="2"/>
  <c r="Q241" i="2"/>
  <c r="R241" i="2"/>
  <c r="T241" i="2"/>
  <c r="S241" i="2"/>
  <c r="I239" i="2"/>
  <c r="R261" i="2"/>
  <c r="P261" i="2"/>
  <c r="I260" i="2"/>
  <c r="Q262" i="2"/>
  <c r="H262" i="2" s="1"/>
  <c r="J262" i="2" s="1"/>
  <c r="P282" i="2"/>
  <c r="H283" i="2"/>
  <c r="R282" i="2"/>
  <c r="Q282" i="2"/>
  <c r="R285" i="2" s="1"/>
  <c r="R284" i="2" s="1"/>
  <c r="P303" i="2"/>
  <c r="Q304" i="2"/>
  <c r="R304" i="2"/>
  <c r="I302" i="2"/>
  <c r="Q325" i="2"/>
  <c r="R325" i="2"/>
  <c r="S325" i="2"/>
  <c r="T325" i="2"/>
  <c r="P325" i="2"/>
  <c r="I344" i="2"/>
  <c r="S346" i="2"/>
  <c r="Q346" i="2"/>
  <c r="R346" i="2"/>
  <c r="P346" i="2"/>
  <c r="V20" i="2"/>
  <c r="P285" i="2" l="1"/>
  <c r="P200" i="2"/>
  <c r="R201" i="2"/>
  <c r="R200" i="2" s="1"/>
  <c r="Q201" i="2"/>
  <c r="Q200" i="2" s="1"/>
  <c r="I199" i="2"/>
  <c r="J199" i="2"/>
  <c r="P135" i="2"/>
  <c r="P138" i="2" s="1"/>
  <c r="H136" i="2"/>
  <c r="Q135" i="2"/>
  <c r="S114" i="2"/>
  <c r="P114" i="2"/>
  <c r="P117" i="2" s="1"/>
  <c r="H115" i="2"/>
  <c r="Q114" i="2"/>
  <c r="R114" i="2"/>
  <c r="Q93" i="2"/>
  <c r="R96" i="2" s="1"/>
  <c r="R95" i="2" s="1"/>
  <c r="R93" i="2"/>
  <c r="H94" i="2"/>
  <c r="P75" i="2"/>
  <c r="Q75" i="2"/>
  <c r="Q74" i="2" s="1"/>
  <c r="J73" i="2"/>
  <c r="I73" i="2"/>
  <c r="S75" i="2"/>
  <c r="S74" i="2" s="1"/>
  <c r="Q51" i="2"/>
  <c r="P51" i="2"/>
  <c r="I52" i="2" s="1"/>
  <c r="H52" i="2"/>
  <c r="J52" i="2" s="1"/>
  <c r="S219" i="2"/>
  <c r="T219" i="2"/>
  <c r="Q219" i="2"/>
  <c r="R219" i="2"/>
  <c r="P219" i="2"/>
  <c r="H220" i="2"/>
  <c r="Q240" i="2"/>
  <c r="S240" i="2"/>
  <c r="H241" i="2"/>
  <c r="J241" i="2" s="1"/>
  <c r="T240" i="2"/>
  <c r="R240" i="2"/>
  <c r="R243" i="2" s="1"/>
  <c r="R242" i="2" s="1"/>
  <c r="Q261" i="2"/>
  <c r="R264" i="2" s="1"/>
  <c r="R263" i="2" s="1"/>
  <c r="P284" i="2"/>
  <c r="Q285" i="2"/>
  <c r="Q284" i="2" s="1"/>
  <c r="J283" i="2"/>
  <c r="I283" i="2"/>
  <c r="Q303" i="2"/>
  <c r="R303" i="2"/>
  <c r="I304" i="2" s="1"/>
  <c r="H304" i="2"/>
  <c r="P324" i="2"/>
  <c r="H325" i="2"/>
  <c r="S324" i="2"/>
  <c r="T324" i="2"/>
  <c r="R324" i="2"/>
  <c r="Q324" i="2"/>
  <c r="Q345" i="2"/>
  <c r="S345" i="2"/>
  <c r="R345" i="2"/>
  <c r="P345" i="2"/>
  <c r="H346" i="2"/>
  <c r="J346" i="2" s="1"/>
  <c r="B5" i="12"/>
  <c r="E3" i="12"/>
  <c r="P243" i="2" l="1"/>
  <c r="P306" i="2"/>
  <c r="Q348" i="2"/>
  <c r="Q347" i="2" s="1"/>
  <c r="I220" i="2"/>
  <c r="P348" i="2"/>
  <c r="P327" i="2"/>
  <c r="P326" i="2" s="1"/>
  <c r="Q117" i="2"/>
  <c r="Q116" i="2" s="1"/>
  <c r="H201" i="2"/>
  <c r="I201" i="2"/>
  <c r="P137" i="2"/>
  <c r="J136" i="2"/>
  <c r="I136" i="2"/>
  <c r="R138" i="2"/>
  <c r="R137" i="2" s="1"/>
  <c r="Q138" i="2"/>
  <c r="Q137" i="2" s="1"/>
  <c r="P116" i="2"/>
  <c r="R117" i="2"/>
  <c r="R116" i="2" s="1"/>
  <c r="J115" i="2"/>
  <c r="I115" i="2"/>
  <c r="T117" i="2"/>
  <c r="T116" i="2" s="1"/>
  <c r="S117" i="2"/>
  <c r="S116" i="2" s="1"/>
  <c r="Q96" i="2"/>
  <c r="Q95" i="2" s="1"/>
  <c r="I94" i="2"/>
  <c r="P96" i="2"/>
  <c r="J94" i="2"/>
  <c r="P74" i="2"/>
  <c r="I75" i="2" s="1"/>
  <c r="H75" i="2"/>
  <c r="P54" i="2"/>
  <c r="R54" i="2"/>
  <c r="Q54" i="2"/>
  <c r="Q53" i="2" s="1"/>
  <c r="J220" i="2"/>
  <c r="R222" i="2"/>
  <c r="R221" i="2" s="1"/>
  <c r="Q222" i="2"/>
  <c r="Q221" i="2" s="1"/>
  <c r="P222" i="2"/>
  <c r="T222" i="2"/>
  <c r="T221" i="2" s="1"/>
  <c r="S222" i="2"/>
  <c r="S221" i="2" s="1"/>
  <c r="P242" i="2"/>
  <c r="T243" i="2"/>
  <c r="T242" i="2" s="1"/>
  <c r="S243" i="2"/>
  <c r="S242" i="2" s="1"/>
  <c r="Q243" i="2"/>
  <c r="Q242" i="2" s="1"/>
  <c r="I241" i="2"/>
  <c r="I262" i="2"/>
  <c r="P264" i="2"/>
  <c r="Q264" i="2"/>
  <c r="Q263" i="2" s="1"/>
  <c r="H285" i="2"/>
  <c r="I285" i="2"/>
  <c r="P305" i="2"/>
  <c r="R306" i="2"/>
  <c r="R305" i="2" s="1"/>
  <c r="J304" i="2"/>
  <c r="Q306" i="2"/>
  <c r="Q305" i="2" s="1"/>
  <c r="Q327" i="2"/>
  <c r="Q326" i="2" s="1"/>
  <c r="R327" i="2"/>
  <c r="R326" i="2" s="1"/>
  <c r="T327" i="2"/>
  <c r="T326" i="2" s="1"/>
  <c r="S327" i="2"/>
  <c r="S326" i="2" s="1"/>
  <c r="J325" i="2"/>
  <c r="I325" i="2"/>
  <c r="P347" i="2"/>
  <c r="R348" i="2"/>
  <c r="R347" i="2" s="1"/>
  <c r="S348" i="2"/>
  <c r="S347" i="2" s="1"/>
  <c r="I346" i="2"/>
  <c r="S20" i="2"/>
  <c r="T20" i="2"/>
  <c r="Z20" i="2"/>
  <c r="AA20" i="2"/>
  <c r="AB20" i="2"/>
  <c r="AC20" i="2"/>
  <c r="AD20" i="2"/>
  <c r="AE20" i="2"/>
  <c r="AF20" i="2"/>
  <c r="AG20" i="2"/>
  <c r="AH20" i="2"/>
  <c r="AI20" i="2"/>
  <c r="J201" i="2" l="1"/>
  <c r="M193" i="2"/>
  <c r="M192" i="2"/>
  <c r="H138" i="2"/>
  <c r="I138" i="2"/>
  <c r="H117" i="2"/>
  <c r="I117" i="2"/>
  <c r="P95" i="2"/>
  <c r="I96" i="2" s="1"/>
  <c r="H96" i="2"/>
  <c r="J75" i="2"/>
  <c r="M67" i="2"/>
  <c r="M66" i="2"/>
  <c r="M63" i="2" s="1"/>
  <c r="M57" i="2" s="1"/>
  <c r="P53" i="2"/>
  <c r="I54" i="2" s="1"/>
  <c r="H54" i="2"/>
  <c r="J54" i="2" s="1"/>
  <c r="P221" i="2"/>
  <c r="I222" i="2" s="1"/>
  <c r="H222" i="2"/>
  <c r="H243" i="2"/>
  <c r="J243" i="2" s="1"/>
  <c r="I243" i="2"/>
  <c r="P263" i="2"/>
  <c r="I264" i="2" s="1"/>
  <c r="H264" i="2"/>
  <c r="J264" i="2" s="1"/>
  <c r="J285" i="2"/>
  <c r="M277" i="2"/>
  <c r="M276" i="2"/>
  <c r="M273" i="2" s="1"/>
  <c r="M267" i="2" s="1"/>
  <c r="H306" i="2"/>
  <c r="I306" i="2"/>
  <c r="H327" i="2"/>
  <c r="I327" i="2"/>
  <c r="H348" i="2"/>
  <c r="J348" i="2" s="1"/>
  <c r="I348" i="2"/>
  <c r="E3" i="11"/>
  <c r="B5" i="11"/>
  <c r="C5" i="11" s="1"/>
  <c r="P104" i="10"/>
  <c r="P105" i="10"/>
  <c r="M189" i="2" l="1"/>
  <c r="M183" i="2" s="1"/>
  <c r="AF202" i="2"/>
  <c r="M187" i="2"/>
  <c r="P202" i="2"/>
  <c r="U202" i="2"/>
  <c r="Y202" i="2"/>
  <c r="W202" i="2"/>
  <c r="V202" i="2"/>
  <c r="AD202" i="2"/>
  <c r="AE202" i="2"/>
  <c r="X202" i="2"/>
  <c r="T202" i="2"/>
  <c r="AB202" i="2"/>
  <c r="AH202" i="2"/>
  <c r="AI202" i="2"/>
  <c r="AA202" i="2"/>
  <c r="AC202" i="2"/>
  <c r="S202" i="2"/>
  <c r="AG202" i="2"/>
  <c r="Z202" i="2"/>
  <c r="Q202" i="2"/>
  <c r="R202" i="2"/>
  <c r="J138" i="2"/>
  <c r="M130" i="2"/>
  <c r="M129" i="2"/>
  <c r="J117" i="2"/>
  <c r="M109" i="2"/>
  <c r="M108" i="2"/>
  <c r="M105" i="2" s="1"/>
  <c r="M99" i="2" s="1"/>
  <c r="J96" i="2"/>
  <c r="M88" i="2"/>
  <c r="M87" i="2"/>
  <c r="M84" i="2" s="1"/>
  <c r="M78" i="2" s="1"/>
  <c r="AE76" i="2"/>
  <c r="AF76" i="2"/>
  <c r="AC76" i="2"/>
  <c r="R76" i="2"/>
  <c r="Y76" i="2"/>
  <c r="U76" i="2"/>
  <c r="P76" i="2"/>
  <c r="AG76" i="2"/>
  <c r="AD76" i="2"/>
  <c r="X76" i="2"/>
  <c r="AI76" i="2"/>
  <c r="M61" i="2"/>
  <c r="AH76" i="2"/>
  <c r="S76" i="2"/>
  <c r="T76" i="2"/>
  <c r="Z76" i="2"/>
  <c r="AA76" i="2"/>
  <c r="V76" i="2"/>
  <c r="AB76" i="2"/>
  <c r="W76" i="2"/>
  <c r="Q76" i="2"/>
  <c r="AA55" i="2"/>
  <c r="Q55" i="2"/>
  <c r="AD55" i="2"/>
  <c r="S55" i="2"/>
  <c r="AG55" i="2"/>
  <c r="Z55" i="2"/>
  <c r="T55" i="2"/>
  <c r="V55" i="2"/>
  <c r="U55" i="2"/>
  <c r="AI55" i="2"/>
  <c r="M40" i="2"/>
  <c r="AH55" i="2"/>
  <c r="AC55" i="2"/>
  <c r="Y55" i="2"/>
  <c r="AE55" i="2"/>
  <c r="P55" i="2"/>
  <c r="AF55" i="2"/>
  <c r="W55" i="2"/>
  <c r="AB55" i="2"/>
  <c r="X55" i="2"/>
  <c r="R55" i="2"/>
  <c r="J222" i="2"/>
  <c r="M213" i="2"/>
  <c r="M210" i="2" s="1"/>
  <c r="M204" i="2" s="1"/>
  <c r="Z244" i="2"/>
  <c r="AB244" i="2"/>
  <c r="Q244" i="2"/>
  <c r="S244" i="2"/>
  <c r="U244" i="2"/>
  <c r="AI244" i="2"/>
  <c r="AD244" i="2"/>
  <c r="AG244" i="2"/>
  <c r="T244" i="2"/>
  <c r="AA244" i="2"/>
  <c r="R244" i="2"/>
  <c r="Y244" i="2"/>
  <c r="AF244" i="2"/>
  <c r="AC244" i="2"/>
  <c r="AH244" i="2"/>
  <c r="AE244" i="2"/>
  <c r="M229" i="2"/>
  <c r="P244" i="2"/>
  <c r="V244" i="2"/>
  <c r="X244" i="2"/>
  <c r="W244" i="2"/>
  <c r="AD265" i="2"/>
  <c r="Q265" i="2"/>
  <c r="R265" i="2"/>
  <c r="Z265" i="2"/>
  <c r="U265" i="2"/>
  <c r="X265" i="2"/>
  <c r="AA265" i="2"/>
  <c r="AH265" i="2"/>
  <c r="AB265" i="2"/>
  <c r="AG265" i="2"/>
  <c r="P265" i="2"/>
  <c r="S265" i="2"/>
  <c r="AC265" i="2"/>
  <c r="AI265" i="2"/>
  <c r="V265" i="2"/>
  <c r="W265" i="2"/>
  <c r="M250" i="2"/>
  <c r="AE265" i="2"/>
  <c r="AF265" i="2"/>
  <c r="T265" i="2"/>
  <c r="Y265" i="2"/>
  <c r="X286" i="2"/>
  <c r="AA286" i="2"/>
  <c r="T286" i="2"/>
  <c r="V286" i="2"/>
  <c r="P286" i="2"/>
  <c r="AH286" i="2"/>
  <c r="R286" i="2"/>
  <c r="AC286" i="2"/>
  <c r="U286" i="2"/>
  <c r="AD286" i="2"/>
  <c r="AF286" i="2"/>
  <c r="Y286" i="2"/>
  <c r="AE286" i="2"/>
  <c r="Q286" i="2"/>
  <c r="M271" i="2"/>
  <c r="W286" i="2"/>
  <c r="AB286" i="2"/>
  <c r="AI286" i="2"/>
  <c r="S286" i="2"/>
  <c r="Z286" i="2"/>
  <c r="AG286" i="2"/>
  <c r="J306" i="2"/>
  <c r="M298" i="2"/>
  <c r="M297" i="2"/>
  <c r="M294" i="2" s="1"/>
  <c r="M288" i="2" s="1"/>
  <c r="J327" i="2"/>
  <c r="M319" i="2"/>
  <c r="M318" i="2"/>
  <c r="M315" i="2" s="1"/>
  <c r="M309" i="2" s="1"/>
  <c r="R349" i="2"/>
  <c r="P349" i="2"/>
  <c r="AG349" i="2"/>
  <c r="X349" i="2"/>
  <c r="W349" i="2"/>
  <c r="AF349" i="2"/>
  <c r="AD349" i="2"/>
  <c r="V349" i="2"/>
  <c r="Q349" i="2"/>
  <c r="U349" i="2"/>
  <c r="AE349" i="2"/>
  <c r="AC349" i="2"/>
  <c r="M334" i="2"/>
  <c r="AB349" i="2"/>
  <c r="AI349" i="2"/>
  <c r="Z349" i="2"/>
  <c r="AH349" i="2"/>
  <c r="T349" i="2"/>
  <c r="S349" i="2"/>
  <c r="Y349" i="2"/>
  <c r="AA349" i="2"/>
  <c r="D15" i="2"/>
  <c r="M126" i="2" l="1"/>
  <c r="M120" i="2" s="1"/>
  <c r="X139" i="2"/>
  <c r="AF139" i="2"/>
  <c r="AE139" i="2"/>
  <c r="P139" i="2"/>
  <c r="AD139" i="2"/>
  <c r="U139" i="2"/>
  <c r="V139" i="2"/>
  <c r="AH139" i="2"/>
  <c r="AI139" i="2"/>
  <c r="R139" i="2"/>
  <c r="AC139" i="2"/>
  <c r="AG139" i="2"/>
  <c r="Z139" i="2"/>
  <c r="Y139" i="2"/>
  <c r="M124" i="2"/>
  <c r="AB139" i="2"/>
  <c r="Q139" i="2"/>
  <c r="W139" i="2"/>
  <c r="T139" i="2"/>
  <c r="S139" i="2"/>
  <c r="AA139" i="2"/>
  <c r="W118" i="2"/>
  <c r="M103" i="2"/>
  <c r="Q118" i="2"/>
  <c r="Z118" i="2"/>
  <c r="T118" i="2"/>
  <c r="AF118" i="2"/>
  <c r="S118" i="2"/>
  <c r="AD118" i="2"/>
  <c r="AE118" i="2"/>
  <c r="U118" i="2"/>
  <c r="AA118" i="2"/>
  <c r="AC118" i="2"/>
  <c r="P118" i="2"/>
  <c r="AB118" i="2"/>
  <c r="Y118" i="2"/>
  <c r="AG118" i="2"/>
  <c r="X118" i="2"/>
  <c r="V118" i="2"/>
  <c r="AI118" i="2"/>
  <c r="R118" i="2"/>
  <c r="AH118" i="2"/>
  <c r="AH97" i="2"/>
  <c r="AG97" i="2"/>
  <c r="AD97" i="2"/>
  <c r="M82" i="2"/>
  <c r="AB97" i="2"/>
  <c r="AI97" i="2"/>
  <c r="R97" i="2"/>
  <c r="AC97" i="2"/>
  <c r="V97" i="2"/>
  <c r="S97" i="2"/>
  <c r="AF97" i="2"/>
  <c r="T97" i="2"/>
  <c r="AE97" i="2"/>
  <c r="W97" i="2"/>
  <c r="P97" i="2"/>
  <c r="Z97" i="2"/>
  <c r="AA97" i="2"/>
  <c r="X97" i="2"/>
  <c r="U97" i="2"/>
  <c r="Q97" i="2"/>
  <c r="Y97" i="2"/>
  <c r="AF223" i="2"/>
  <c r="P223" i="2"/>
  <c r="Q223" i="2"/>
  <c r="Y223" i="2"/>
  <c r="AH223" i="2"/>
  <c r="V223" i="2"/>
  <c r="AA223" i="2"/>
  <c r="AE223" i="2"/>
  <c r="U223" i="2"/>
  <c r="AI223" i="2"/>
  <c r="X223" i="2"/>
  <c r="T223" i="2"/>
  <c r="M208" i="2"/>
  <c r="Z223" i="2"/>
  <c r="AB223" i="2"/>
  <c r="AG223" i="2"/>
  <c r="AD223" i="2"/>
  <c r="S223" i="2"/>
  <c r="W223" i="2"/>
  <c r="AC223" i="2"/>
  <c r="R223" i="2"/>
  <c r="M292" i="2"/>
  <c r="Z307" i="2"/>
  <c r="AE307" i="2"/>
  <c r="S307" i="2"/>
  <c r="AB307" i="2"/>
  <c r="W307" i="2"/>
  <c r="R307" i="2"/>
  <c r="X307" i="2"/>
  <c r="AI307" i="2"/>
  <c r="AF307" i="2"/>
  <c r="U307" i="2"/>
  <c r="V307" i="2"/>
  <c r="AG307" i="2"/>
  <c r="Q307" i="2"/>
  <c r="Y307" i="2"/>
  <c r="P307" i="2"/>
  <c r="AC307" i="2"/>
  <c r="T307" i="2"/>
  <c r="AD307" i="2"/>
  <c r="AA307" i="2"/>
  <c r="AH307" i="2"/>
  <c r="X328" i="2"/>
  <c r="AI328" i="2"/>
  <c r="P328" i="2"/>
  <c r="AF328" i="2"/>
  <c r="R328" i="2"/>
  <c r="Y328" i="2"/>
  <c r="V328" i="2"/>
  <c r="T328" i="2"/>
  <c r="M313" i="2"/>
  <c r="AG328" i="2"/>
  <c r="AC328" i="2"/>
  <c r="W328" i="2"/>
  <c r="U328" i="2"/>
  <c r="AD328" i="2"/>
  <c r="AA328" i="2"/>
  <c r="Q328" i="2"/>
  <c r="S328" i="2"/>
  <c r="AE328" i="2"/>
  <c r="Z328" i="2"/>
  <c r="AH328" i="2"/>
  <c r="AB328"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39" i="2" l="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202" i="2" l="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23" i="2"/>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44" i="2" l="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65" i="2" l="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86" i="2"/>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307" i="2"/>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28" i="2"/>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49" i="2"/>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I8" i="12" s="1"/>
  <c r="AJ8" i="12"/>
  <c r="AK8" i="12" s="1"/>
  <c r="Y8" i="12"/>
  <c r="AD8" i="12"/>
  <c r="Z8" i="12"/>
  <c r="N8" i="12"/>
  <c r="AB8" i="12"/>
  <c r="AF8" i="12"/>
  <c r="F9" i="11"/>
  <c r="H9" i="11"/>
  <c r="L9" i="11"/>
  <c r="I9" i="11"/>
  <c r="B10" i="11"/>
  <c r="G9" i="11"/>
  <c r="I9" i="12"/>
  <c r="G9" i="12"/>
  <c r="H9" i="12"/>
  <c r="B10" i="12"/>
  <c r="F9" i="12"/>
  <c r="AE8" i="12" l="1"/>
  <c r="W8" i="12"/>
  <c r="Q8" i="12"/>
  <c r="AG8" i="12"/>
  <c r="AC8" i="12"/>
  <c r="S8" i="12"/>
  <c r="O8" i="12"/>
  <c r="U8" i="12"/>
  <c r="AA8" i="12"/>
  <c r="D10" i="12"/>
  <c r="C10" i="12"/>
  <c r="D10" i="11"/>
  <c r="C10" i="11"/>
  <c r="AH9" i="12"/>
  <c r="P9" i="12"/>
  <c r="AB9" i="12"/>
  <c r="AD9" i="12"/>
  <c r="T9" i="12"/>
  <c r="K9" i="12"/>
  <c r="Z9" i="12"/>
  <c r="AA9" i="12" s="1"/>
  <c r="N9" i="12"/>
  <c r="O9" i="12" s="1"/>
  <c r="X9" i="12"/>
  <c r="Y9" i="12" s="1"/>
  <c r="AF9" i="12"/>
  <c r="AG9" i="12" s="1"/>
  <c r="R9" i="12"/>
  <c r="S9" i="12" s="1"/>
  <c r="AJ9" i="12"/>
  <c r="AK9" i="12" l="1"/>
  <c r="AC9" i="12"/>
  <c r="AE9" i="12"/>
  <c r="Q9" i="12"/>
  <c r="U9" i="12"/>
  <c r="AI9" i="12"/>
  <c r="B11" i="12"/>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AH10" i="12"/>
  <c r="AI10" i="12" s="1"/>
  <c r="AF10" i="12"/>
  <c r="AD10" i="12"/>
  <c r="AJ10" i="12"/>
  <c r="Z10" i="12"/>
  <c r="X10" i="12"/>
  <c r="AB10" i="12"/>
  <c r="AC10" i="12"/>
  <c r="J11" i="12"/>
  <c r="AB11" i="12" s="1"/>
  <c r="AK10" i="12"/>
  <c r="P10" i="12"/>
  <c r="R10" i="12" s="1"/>
  <c r="T10" i="12" s="1"/>
  <c r="V10" i="12" s="1"/>
  <c r="B12" i="11"/>
  <c r="Y10" i="12" l="1"/>
  <c r="Q10" i="12"/>
  <c r="AA10" i="12"/>
  <c r="AE10" i="12"/>
  <c r="U10" i="12"/>
  <c r="AG10" i="12"/>
  <c r="W10" i="12"/>
  <c r="S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O11" i="12"/>
  <c r="Y11" i="12"/>
  <c r="AG11" i="12"/>
  <c r="U11" i="12"/>
  <c r="W11" i="12"/>
  <c r="AE11" i="12"/>
  <c r="Q11" i="12"/>
  <c r="AK11" i="12"/>
  <c r="S11" i="12"/>
  <c r="AI11" i="12"/>
  <c r="D13" i="12"/>
  <c r="T12" i="12"/>
  <c r="AB12" i="12"/>
  <c r="AJ12" i="12"/>
  <c r="C13" i="12"/>
  <c r="J13" i="12" s="1"/>
  <c r="N13" i="12" s="1"/>
  <c r="AH12" i="12"/>
  <c r="K12" i="12"/>
  <c r="W12" i="12" s="1"/>
  <c r="P12" i="12"/>
  <c r="N12" i="12"/>
  <c r="R12" i="12"/>
  <c r="X12" i="12"/>
  <c r="L12" i="11"/>
  <c r="I12" i="11"/>
  <c r="G12" i="11"/>
  <c r="H12" i="11"/>
  <c r="F12" i="11"/>
  <c r="AF12" i="12"/>
  <c r="AD12" i="12"/>
  <c r="Z12" i="12"/>
  <c r="B13" i="11"/>
  <c r="AG12" i="12" l="1"/>
  <c r="S12" i="12"/>
  <c r="O12" i="12"/>
  <c r="Y12" i="12"/>
  <c r="AI12" i="12"/>
  <c r="AE12" i="12"/>
  <c r="Q12" i="12"/>
  <c r="AC12" i="12"/>
  <c r="AK12" i="12"/>
  <c r="AA12" i="12"/>
  <c r="U12" i="12"/>
  <c r="B14" i="12"/>
  <c r="D14" i="12" s="1"/>
  <c r="E13" i="12"/>
  <c r="F13" i="12"/>
  <c r="H13" i="12"/>
  <c r="I13" i="12"/>
  <c r="K13" i="12" s="1"/>
  <c r="G13" i="12"/>
  <c r="AD13" i="12"/>
  <c r="Z13" i="12"/>
  <c r="AF13" i="12"/>
  <c r="AB13" i="12"/>
  <c r="P13" i="12"/>
  <c r="X13" i="12"/>
  <c r="C14" i="12"/>
  <c r="J14" i="12" s="1"/>
  <c r="T13" i="12"/>
  <c r="R13" i="12"/>
  <c r="V13" i="12"/>
  <c r="AJ13" i="12"/>
  <c r="AH13" i="12"/>
  <c r="D13" i="11"/>
  <c r="C13" i="11"/>
  <c r="O13" i="12" l="1"/>
  <c r="Y13" i="12"/>
  <c r="Q13" i="12"/>
  <c r="AC13" i="12"/>
  <c r="AG13" i="12"/>
  <c r="AI13" i="12"/>
  <c r="AA13" i="12"/>
  <c r="AK13" i="12"/>
  <c r="AE13" i="12"/>
  <c r="W13" i="12"/>
  <c r="S13" i="12"/>
  <c r="U13" i="12"/>
  <c r="Z14" i="12"/>
  <c r="N14" i="12"/>
  <c r="AF14" i="12"/>
  <c r="R14" i="12"/>
  <c r="P14" i="12"/>
  <c r="AH14" i="12"/>
  <c r="AB14" i="12"/>
  <c r="G13" i="11"/>
  <c r="F13" i="11"/>
  <c r="E13" i="11"/>
  <c r="H13" i="11"/>
  <c r="L13" i="11"/>
  <c r="I13" i="11"/>
  <c r="V14" i="12"/>
  <c r="X14" i="12"/>
  <c r="B15" i="12"/>
  <c r="D15" i="12" s="1"/>
  <c r="E14" i="12"/>
  <c r="H14" i="12"/>
  <c r="I14" i="12"/>
  <c r="K14" i="12" s="1"/>
  <c r="F14" i="12"/>
  <c r="AJ14" i="12"/>
  <c r="T14" i="12"/>
  <c r="AD14" i="12"/>
  <c r="B14" i="11"/>
  <c r="G14" i="12" s="1"/>
  <c r="AE14" i="12" l="1"/>
  <c r="U14" i="12"/>
  <c r="AK14" i="12"/>
  <c r="Q14" i="12"/>
  <c r="AA14" i="12"/>
  <c r="Y14" i="12"/>
  <c r="AI14" i="12"/>
  <c r="W14" i="12"/>
  <c r="AC14" i="12"/>
  <c r="S14" i="12"/>
  <c r="AG14" i="12"/>
  <c r="O14" i="12"/>
  <c r="C15" i="12"/>
  <c r="B16" i="12" s="1"/>
  <c r="C14" i="11"/>
  <c r="D14" i="11"/>
  <c r="J15" i="12" l="1"/>
  <c r="D16" i="12"/>
  <c r="C16" i="12"/>
  <c r="E16" i="12" s="1"/>
  <c r="I15" i="12"/>
  <c r="H15" i="12"/>
  <c r="F15" i="12"/>
  <c r="E15" i="12"/>
  <c r="G14" i="11"/>
  <c r="H14" i="11"/>
  <c r="I14" i="11"/>
  <c r="F14" i="11"/>
  <c r="L14" i="11"/>
  <c r="E14" i="11"/>
  <c r="B15" i="11"/>
  <c r="AJ15" i="12" l="1"/>
  <c r="R15" i="12"/>
  <c r="P15" i="12"/>
  <c r="N15" i="12"/>
  <c r="X15" i="12"/>
  <c r="AD15" i="12"/>
  <c r="AB15" i="12"/>
  <c r="K15" i="12"/>
  <c r="AC15" i="12"/>
  <c r="AF15" i="12"/>
  <c r="AG15" i="12" s="1"/>
  <c r="T15" i="12"/>
  <c r="U15" i="12" s="1"/>
  <c r="V15" i="12"/>
  <c r="W15" i="12" s="1"/>
  <c r="AH15" i="12"/>
  <c r="Z15" i="12"/>
  <c r="I16" i="12"/>
  <c r="F16" i="12"/>
  <c r="H16" i="12"/>
  <c r="B17" i="12"/>
  <c r="D17" i="12" s="1"/>
  <c r="J16" i="12"/>
  <c r="G15" i="12"/>
  <c r="D15" i="11"/>
  <c r="C15" i="11"/>
  <c r="Q15" i="12" l="1"/>
  <c r="Y15" i="12"/>
  <c r="AE15" i="12"/>
  <c r="S15" i="12"/>
  <c r="AI15" i="12"/>
  <c r="AA15" i="12"/>
  <c r="O15" i="12"/>
  <c r="AK15" i="12"/>
  <c r="C17" i="12"/>
  <c r="B18" i="12" s="1"/>
  <c r="T16" i="12"/>
  <c r="U16" i="12" s="1"/>
  <c r="AJ16" i="12"/>
  <c r="AF16" i="12"/>
  <c r="AG16" i="12" s="1"/>
  <c r="P16" i="12"/>
  <c r="AH16" i="12"/>
  <c r="V16" i="12"/>
  <c r="AD16" i="12"/>
  <c r="Z16" i="12"/>
  <c r="N16" i="12"/>
  <c r="R16" i="12"/>
  <c r="K16" i="12"/>
  <c r="AB16" i="12"/>
  <c r="X16" i="12"/>
  <c r="Y16" i="12" s="1"/>
  <c r="AE16" i="12"/>
  <c r="B16" i="11"/>
  <c r="C16" i="11" s="1"/>
  <c r="H15" i="11"/>
  <c r="I15" i="11"/>
  <c r="L15" i="11"/>
  <c r="G15" i="11"/>
  <c r="F15" i="11"/>
  <c r="E15" i="11"/>
  <c r="E17" i="12"/>
  <c r="F17" i="12"/>
  <c r="H17" i="12"/>
  <c r="I17" i="12"/>
  <c r="J17" i="12"/>
  <c r="S16" i="12" l="1"/>
  <c r="O16" i="12"/>
  <c r="AA16" i="12"/>
  <c r="W16" i="12"/>
  <c r="AI16" i="12"/>
  <c r="Q16" i="12"/>
  <c r="AC16" i="12"/>
  <c r="AK16" i="12"/>
  <c r="D16" i="11"/>
  <c r="C18" i="12"/>
  <c r="J18" i="12" s="1"/>
  <c r="D18" i="12"/>
  <c r="AJ17" i="12"/>
  <c r="AD17" i="12"/>
  <c r="K17" i="12"/>
  <c r="X17" i="12"/>
  <c r="Y17" i="12" s="1"/>
  <c r="AB17" i="12"/>
  <c r="AC17" i="12" s="1"/>
  <c r="V17" i="12"/>
  <c r="R17" i="12"/>
  <c r="T17" i="12"/>
  <c r="Z17" i="12"/>
  <c r="P17" i="12"/>
  <c r="AF17" i="12"/>
  <c r="N17" i="12"/>
  <c r="AH17" i="12"/>
  <c r="B17" i="11"/>
  <c r="G16" i="11"/>
  <c r="H16" i="11"/>
  <c r="F16" i="11"/>
  <c r="E16" i="11"/>
  <c r="I16" i="11"/>
  <c r="L16" i="11"/>
  <c r="G16" i="12"/>
  <c r="U17" i="12" l="1"/>
  <c r="S17" i="12"/>
  <c r="AE17" i="12"/>
  <c r="AK17" i="12"/>
  <c r="AA17" i="12"/>
  <c r="AI17" i="12"/>
  <c r="Q17" i="12"/>
  <c r="O17" i="12"/>
  <c r="W17" i="12"/>
  <c r="AG17" i="12"/>
  <c r="G17" i="12"/>
  <c r="V18" i="12"/>
  <c r="Z18" i="12"/>
  <c r="X18" i="12"/>
  <c r="AH18" i="12"/>
  <c r="R18" i="12"/>
  <c r="T18" i="12"/>
  <c r="AD18" i="12"/>
  <c r="AF18" i="12"/>
  <c r="AB18" i="12"/>
  <c r="N18" i="12"/>
  <c r="P18" i="12"/>
  <c r="AJ18" i="12"/>
  <c r="B19" i="12"/>
  <c r="H18" i="12"/>
  <c r="E18" i="12"/>
  <c r="I18" i="12"/>
  <c r="K18" i="12" s="1"/>
  <c r="F18" i="12"/>
  <c r="C17" i="11"/>
  <c r="D17" i="11"/>
  <c r="AG18" i="12" l="1"/>
  <c r="AE18" i="12"/>
  <c r="U18" i="12"/>
  <c r="O18" i="12"/>
  <c r="Q18" i="12"/>
  <c r="AC18" i="12"/>
  <c r="W18" i="12"/>
  <c r="AA18" i="12"/>
  <c r="Y18" i="12"/>
  <c r="S18" i="12"/>
  <c r="AI18" i="12"/>
  <c r="AK18" i="12"/>
  <c r="D19" i="12"/>
  <c r="C19" i="12"/>
  <c r="B18" i="11"/>
  <c r="F17" i="11"/>
  <c r="L17" i="11"/>
  <c r="G17" i="11"/>
  <c r="H17" i="11"/>
  <c r="E17" i="11"/>
  <c r="I17" i="11"/>
  <c r="E19" i="12" l="1"/>
  <c r="C18" i="11"/>
  <c r="G18" i="12"/>
  <c r="D18" i="11"/>
  <c r="B20" i="12"/>
  <c r="H19" i="12"/>
  <c r="F19" i="12"/>
  <c r="I19" i="12"/>
  <c r="J19" i="12"/>
  <c r="AB19" i="12" l="1"/>
  <c r="X19" i="12"/>
  <c r="AH19" i="12"/>
  <c r="AD19" i="12"/>
  <c r="Z19" i="12"/>
  <c r="R19" i="12"/>
  <c r="N19" i="12"/>
  <c r="V19" i="12"/>
  <c r="AF19" i="12"/>
  <c r="K19" i="12"/>
  <c r="AC19" i="12" s="1"/>
  <c r="T19" i="12"/>
  <c r="AJ19" i="12"/>
  <c r="P19" i="12"/>
  <c r="D20" i="12"/>
  <c r="C20" i="12"/>
  <c r="B19" i="11"/>
  <c r="E18" i="11"/>
  <c r="G18" i="11"/>
  <c r="F18" i="11"/>
  <c r="I18" i="11"/>
  <c r="H18" i="11"/>
  <c r="L18" i="11"/>
  <c r="AI19" i="12" l="1"/>
  <c r="AG19" i="12"/>
  <c r="S19" i="12"/>
  <c r="O19" i="12"/>
  <c r="AE19" i="12"/>
  <c r="Q19" i="12"/>
  <c r="U19" i="12"/>
  <c r="W19" i="12" s="1"/>
  <c r="AA19" i="12"/>
  <c r="AK19" i="12"/>
  <c r="Y19" i="12"/>
  <c r="C19" i="11"/>
  <c r="D19" i="11"/>
  <c r="G19" i="12"/>
  <c r="B21" i="12"/>
  <c r="I20" i="12"/>
  <c r="H20" i="12"/>
  <c r="F20" i="12"/>
  <c r="E20" i="12"/>
  <c r="J20" i="12"/>
  <c r="AF20" i="12" l="1"/>
  <c r="V20" i="12"/>
  <c r="AD20" i="12"/>
  <c r="P20" i="12"/>
  <c r="X20" i="12"/>
  <c r="AH20" i="12"/>
  <c r="N20" i="12"/>
  <c r="R20" i="12"/>
  <c r="T20" i="12"/>
  <c r="AJ20" i="12"/>
  <c r="K20" i="12"/>
  <c r="Z20" i="12"/>
  <c r="AB20" i="12"/>
  <c r="C21" i="12"/>
  <c r="D21" i="12"/>
  <c r="B20" i="11"/>
  <c r="L19" i="11"/>
  <c r="E19" i="11"/>
  <c r="G19" i="11"/>
  <c r="I19" i="11"/>
  <c r="F19" i="11"/>
  <c r="H19" i="11"/>
  <c r="Q20" i="12" l="1"/>
  <c r="U20" i="12"/>
  <c r="AE20" i="12"/>
  <c r="S20" i="12"/>
  <c r="AI20" i="12"/>
  <c r="W20" i="12"/>
  <c r="Y20" i="12"/>
  <c r="AC20" i="12"/>
  <c r="O20" i="12"/>
  <c r="AA20" i="12"/>
  <c r="AG20" i="12"/>
  <c r="AK20" i="12"/>
  <c r="C20" i="11"/>
  <c r="D20" i="11"/>
  <c r="G20" i="12"/>
  <c r="B22" i="12"/>
  <c r="E21" i="12"/>
  <c r="F21" i="12"/>
  <c r="I21" i="12"/>
  <c r="H21" i="12"/>
  <c r="J21" i="12"/>
  <c r="D22" i="12" l="1"/>
  <c r="C22" i="12"/>
  <c r="AH21" i="12"/>
  <c r="N21" i="12"/>
  <c r="AF21" i="12"/>
  <c r="AG21" i="12" s="1"/>
  <c r="T21" i="12"/>
  <c r="U21" i="12" s="1"/>
  <c r="R21" i="12"/>
  <c r="P21" i="12"/>
  <c r="AD21" i="12"/>
  <c r="AB21" i="12"/>
  <c r="V21" i="12"/>
  <c r="W21" i="12" s="1"/>
  <c r="Z21" i="12"/>
  <c r="AA21" i="12" s="1"/>
  <c r="K21" i="12"/>
  <c r="AJ21" i="12"/>
  <c r="X21" i="12"/>
  <c r="B21" i="11"/>
  <c r="G20" i="11"/>
  <c r="L20" i="11"/>
  <c r="E20" i="11"/>
  <c r="F20" i="11"/>
  <c r="H20" i="11"/>
  <c r="I20" i="11"/>
  <c r="S21" i="12" l="1"/>
  <c r="AI21" i="12"/>
  <c r="AK21" i="12"/>
  <c r="Y21" i="12"/>
  <c r="O21" i="12"/>
  <c r="Q21" i="12"/>
  <c r="AE21" i="12"/>
  <c r="AC21" i="12"/>
  <c r="B23" i="12"/>
  <c r="E22" i="12"/>
  <c r="F22" i="12"/>
  <c r="H22" i="12"/>
  <c r="I22" i="12"/>
  <c r="C21" i="11"/>
  <c r="D21" i="11"/>
  <c r="G21" i="12"/>
  <c r="J22" i="12"/>
  <c r="B22" i="11" l="1"/>
  <c r="G21" i="11"/>
  <c r="H21" i="11"/>
  <c r="F21" i="11"/>
  <c r="I21" i="11"/>
  <c r="E21" i="11"/>
  <c r="L21" i="11"/>
  <c r="T22" i="12"/>
  <c r="V22" i="12"/>
  <c r="X22" i="12"/>
  <c r="AJ22" i="12"/>
  <c r="AF22" i="12"/>
  <c r="AB22" i="12"/>
  <c r="Z22" i="12"/>
  <c r="N22" i="12"/>
  <c r="AD22" i="12"/>
  <c r="AH22" i="12"/>
  <c r="P22" i="12"/>
  <c r="K22" i="12"/>
  <c r="R22" i="12"/>
  <c r="S22" i="12" s="1"/>
  <c r="C23" i="12"/>
  <c r="D23" i="12"/>
  <c r="AK22" i="12" l="1"/>
  <c r="Y22" i="12"/>
  <c r="AG22" i="12"/>
  <c r="AE22" i="12"/>
  <c r="AI22" i="12"/>
  <c r="W22" i="12"/>
  <c r="U22" i="12"/>
  <c r="O22" i="12"/>
  <c r="AA22" i="12"/>
  <c r="AC22" i="12"/>
  <c r="Q22" i="12"/>
  <c r="B24" i="12"/>
  <c r="H23" i="12"/>
  <c r="E23" i="12"/>
  <c r="I23" i="12"/>
  <c r="F23" i="12"/>
  <c r="J23" i="12"/>
  <c r="D22" i="11"/>
  <c r="C22" i="11"/>
  <c r="G22" i="12"/>
  <c r="T23" i="12" l="1"/>
  <c r="Z23" i="12"/>
  <c r="R23" i="12"/>
  <c r="N23" i="12"/>
  <c r="K23" i="12"/>
  <c r="W23" i="12" s="1"/>
  <c r="AH23" i="12"/>
  <c r="AI23" i="12" s="1"/>
  <c r="AD23" i="12"/>
  <c r="AE23" i="12" s="1"/>
  <c r="AJ23" i="12"/>
  <c r="AK23" i="12" s="1"/>
  <c r="AB23" i="12"/>
  <c r="P23" i="12"/>
  <c r="X23" i="12"/>
  <c r="AF23" i="12"/>
  <c r="V23" i="12"/>
  <c r="B23" i="11"/>
  <c r="E22" i="11"/>
  <c r="G22" i="11"/>
  <c r="I22" i="11"/>
  <c r="F22" i="11"/>
  <c r="L22" i="11"/>
  <c r="H22" i="11"/>
  <c r="C24" i="12"/>
  <c r="J24" i="12" s="1"/>
  <c r="D24" i="12"/>
  <c r="U23" i="12" l="1"/>
  <c r="S23" i="12"/>
  <c r="Y23" i="12"/>
  <c r="Y24" i="12" s="1"/>
  <c r="AA23" i="12"/>
  <c r="O23" i="12"/>
  <c r="AG23" i="12"/>
  <c r="Q23" i="12"/>
  <c r="AC23" i="12"/>
  <c r="AC24" i="12" s="1"/>
  <c r="AA24" i="12"/>
  <c r="AI24" i="12"/>
  <c r="K24" i="12"/>
  <c r="L24" i="12"/>
  <c r="C23" i="11"/>
  <c r="D23" i="11"/>
  <c r="G23" i="12"/>
  <c r="B25" i="12"/>
  <c r="H24" i="12"/>
  <c r="F24" i="12"/>
  <c r="I24" i="12"/>
  <c r="C25" i="12" l="1"/>
  <c r="D25" i="12"/>
  <c r="B24" i="11"/>
  <c r="I23" i="11"/>
  <c r="G23" i="11"/>
  <c r="F23" i="11"/>
  <c r="H23" i="11"/>
  <c r="E23" i="11"/>
  <c r="L23" i="11"/>
  <c r="D24" i="11" l="1"/>
  <c r="C24" i="11"/>
  <c r="G24" i="12"/>
  <c r="B26" i="12"/>
  <c r="F25" i="12"/>
  <c r="E25" i="12"/>
  <c r="H25" i="12"/>
  <c r="I25" i="12"/>
  <c r="J25" i="12"/>
  <c r="B25" i="11" l="1"/>
  <c r="I24" i="11"/>
  <c r="L24" i="11"/>
  <c r="H24" i="11"/>
  <c r="F24" i="11"/>
  <c r="G24" i="11"/>
  <c r="K25" i="12"/>
  <c r="AH24" i="12" s="1"/>
  <c r="C26" i="12"/>
  <c r="D26" i="12"/>
  <c r="E26" i="12" s="1"/>
  <c r="AB24" i="12" l="1"/>
  <c r="AF24" i="12"/>
  <c r="AG24" i="12" s="1"/>
  <c r="P24" i="12"/>
  <c r="Q24" i="12" s="1"/>
  <c r="Z24" i="12"/>
  <c r="T24" i="12"/>
  <c r="U24" i="12" s="1"/>
  <c r="AD24" i="12"/>
  <c r="AE24" i="12" s="1"/>
  <c r="V24" i="12"/>
  <c r="W24" i="12" s="1"/>
  <c r="X24" i="12"/>
  <c r="R24" i="12"/>
  <c r="S24" i="12" s="1"/>
  <c r="AJ24" i="12"/>
  <c r="J26" i="12"/>
  <c r="P26" i="12" s="1"/>
  <c r="B27" i="12"/>
  <c r="I26" i="12"/>
  <c r="F26" i="12"/>
  <c r="H26" i="12"/>
  <c r="C25" i="11"/>
  <c r="D25" i="11"/>
  <c r="G25" i="12"/>
  <c r="T26" i="12" l="1"/>
  <c r="AJ26" i="12"/>
  <c r="AH26" i="12"/>
  <c r="L26" i="12"/>
  <c r="N26" i="12"/>
  <c r="AE26" i="12"/>
  <c r="AA26" i="12"/>
  <c r="Z26" i="12"/>
  <c r="W26" i="12"/>
  <c r="AI26" i="12"/>
  <c r="AK26" i="12"/>
  <c r="AF26" i="12"/>
  <c r="K26" i="12"/>
  <c r="R26" i="12"/>
  <c r="S26" i="12" s="1"/>
  <c r="AK24" i="12"/>
  <c r="V26" i="12"/>
  <c r="AG26" i="12"/>
  <c r="X26" i="12"/>
  <c r="O26" i="12"/>
  <c r="Q26" i="12"/>
  <c r="AB26" i="12"/>
  <c r="AC26" i="12" s="1"/>
  <c r="U26" i="12"/>
  <c r="Y26" i="12"/>
  <c r="AD26" i="12"/>
  <c r="B26" i="1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24"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16" i="12" s="1"/>
  <c r="E9" i="12"/>
  <c r="G68" i="12" a="1"/>
  <c r="G68" i="12" s="1"/>
  <c r="E68" i="12"/>
  <c r="H68" i="12"/>
  <c r="I68" i="12"/>
  <c r="F68" i="12"/>
  <c r="B67" i="11"/>
  <c r="H66" i="11"/>
  <c r="I66" i="11"/>
  <c r="F66" i="11"/>
  <c r="G66" i="11"/>
  <c r="L66" i="11"/>
  <c r="E66" i="11"/>
  <c r="L14" i="12" l="1"/>
  <c r="L15" i="12"/>
  <c r="L11" i="12"/>
  <c r="L13" i="12"/>
  <c r="L9" i="12"/>
  <c r="L10" i="12"/>
  <c r="N10" i="12" s="1"/>
  <c r="O10" i="12" s="1"/>
  <c r="L17" i="12"/>
  <c r="L8" i="12"/>
  <c r="L19" i="12"/>
  <c r="L18" i="12"/>
  <c r="L21" i="12"/>
  <c r="L20" i="12"/>
  <c r="R68" i="12"/>
  <c r="S68" i="12" s="1"/>
  <c r="L23"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O24" i="12" l="1"/>
  <c r="N24" i="12"/>
  <c r="L12" i="12"/>
  <c r="L22" i="12"/>
  <c r="B68" i="11"/>
  <c r="H67" i="11"/>
  <c r="G67" i="11"/>
  <c r="F67" i="11"/>
  <c r="L67" i="11"/>
  <c r="I67" i="11"/>
  <c r="L25" i="12" l="1"/>
  <c r="N25" i="12" s="1"/>
  <c r="P25" i="12" s="1"/>
  <c r="O25" i="12"/>
  <c r="D68" i="11"/>
  <c r="C68" i="11"/>
  <c r="Q25" i="12" l="1"/>
  <c r="S25" i="12" s="1"/>
  <c r="U25" i="12" s="1"/>
  <c r="W25" i="12" s="1"/>
  <c r="Y25" i="12" s="1"/>
  <c r="AA25" i="12" s="1"/>
  <c r="R25" i="12"/>
  <c r="T25" i="12" s="1"/>
  <c r="V25" i="12" s="1"/>
  <c r="X25" i="12" s="1"/>
  <c r="Z25" i="12" s="1"/>
  <c r="AB25" i="12" s="1"/>
  <c r="E68" i="11"/>
  <c r="B69" i="11"/>
  <c r="G68" i="11"/>
  <c r="L68" i="11"/>
  <c r="I68" i="11"/>
  <c r="F68" i="11"/>
  <c r="H68" i="11"/>
  <c r="AC25" i="12" l="1"/>
  <c r="AD25" i="12"/>
  <c r="D69" i="11"/>
  <c r="C69" i="11"/>
  <c r="AE25" i="12" l="1"/>
  <c r="AG25" i="12" s="1"/>
  <c r="AI25" i="12" s="1"/>
  <c r="AK25" i="12" s="1"/>
  <c r="AF25" i="12"/>
  <c r="AH25" i="12" s="1"/>
  <c r="AJ25" i="12" s="1"/>
  <c r="B70" i="1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24"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24" i="11" l="1"/>
  <c r="K11" i="11"/>
  <c r="K20"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24"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F9" i="10"/>
  <c r="N9" i="10"/>
  <c r="G9" i="10"/>
  <c r="H9" i="10" a="1"/>
  <c r="H9" i="10" s="1"/>
  <c r="L10" i="10" a="1"/>
  <c r="L10" i="10" s="1"/>
  <c r="I9" i="10"/>
  <c r="K9" i="10" a="1"/>
  <c r="K9" i="10" s="1"/>
  <c r="J9" i="10"/>
  <c r="L15" i="10" a="1"/>
  <c r="L15" i="10" s="1"/>
  <c r="I14" i="10"/>
  <c r="N14" i="10"/>
  <c r="H14" i="10" a="1"/>
  <c r="H14" i="10" s="1"/>
  <c r="G14" i="10"/>
  <c r="F14" i="10"/>
  <c r="J14" i="10"/>
  <c r="K14" i="10" a="1"/>
  <c r="K14" i="10" s="1"/>
  <c r="I8" i="10"/>
  <c r="N8" i="10"/>
  <c r="H8" i="10" a="1"/>
  <c r="H8" i="10" s="1"/>
  <c r="L9" i="10" a="1"/>
  <c r="L9" i="10" s="1"/>
  <c r="K8" i="10" a="1"/>
  <c r="K8" i="10" s="1"/>
  <c r="J8" i="10"/>
  <c r="F8" i="10"/>
  <c r="G8"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I18" i="10"/>
  <c r="F18" i="10"/>
  <c r="H18" i="10" a="1"/>
  <c r="H18" i="10" s="1"/>
  <c r="K18" i="10" a="1"/>
  <c r="K18" i="10" s="1"/>
  <c r="J18" i="10"/>
  <c r="N18" i="10"/>
  <c r="G18" i="10"/>
  <c r="L19" i="10" a="1"/>
  <c r="L19" i="10" s="1"/>
  <c r="N20" i="10"/>
  <c r="G20" i="10"/>
  <c r="I20" i="10"/>
  <c r="H20" i="10" a="1"/>
  <c r="H20" i="10" s="1"/>
  <c r="J20"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M9" i="10" s="1"/>
  <c r="L6" i="10" a="1"/>
  <c r="L6" i="10" s="1"/>
  <c r="K6" i="10" a="1"/>
  <c r="K6" i="10" s="1"/>
  <c r="F6" i="10"/>
  <c r="I6" i="10"/>
  <c r="J6" i="10"/>
  <c r="L7" i="10" a="1"/>
  <c r="L7" i="10" s="1"/>
  <c r="M6" i="10"/>
  <c r="M8"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10" i="10" l="1"/>
  <c r="M11" i="10" s="1"/>
  <c r="O7" i="10"/>
  <c r="P7" i="10" s="1"/>
  <c r="M14" i="10" l="1"/>
  <c r="M12" i="10"/>
  <c r="O8" i="10"/>
  <c r="M13" i="10" l="1"/>
  <c r="M15" i="10"/>
  <c r="P8" i="10"/>
  <c r="O9" i="10"/>
  <c r="M18" i="10" l="1"/>
  <c r="M16" i="10"/>
  <c r="P9" i="10"/>
  <c r="O10" i="10"/>
  <c r="M17" i="10" l="1"/>
  <c r="M21" i="10" s="1"/>
  <c r="M19" i="10"/>
  <c r="M20" i="10" s="1"/>
  <c r="P10" i="10"/>
  <c r="O11" i="10"/>
  <c r="M22" i="10" l="1"/>
  <c r="P11" i="10"/>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<sst xmlns="http://schemas.openxmlformats.org/spreadsheetml/2006/main" count="3604" uniqueCount="473">
  <si>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</si>
  <si>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</si>
  <si>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</si>
  <si>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</si>
  <si>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</si>
  <si>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</si>
  <si>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</si>
  <si>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</si>
  <si>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</si>
  <si>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</si>
  <si>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</si>
  <si>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</si>
  <si>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</si>
  <si>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</si>
  <si>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</si>
  <si>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</si>
  <si>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</si>
  <si>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</si>
  <si>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</si>
  <si>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</si>
  <si>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</si>
  <si>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</si>
  <si>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</si>
  <si>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</si>
  <si>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</si>
  <si>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</si>
  <si>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</si>
  <si>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</si>
  <si>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</si>
  <si>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</si>
  <si>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</si>
  <si>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</si>
  <si>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</si>
  <si>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</si>
  <si>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</si>
  <si>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</si>
  <si>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</si>
  <si>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</si>
  <si>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</si>
  <si>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</si>
  <si>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</si>
  <si>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</si>
  <si>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</si>
  <si>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</si>
  <si>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</si>
  <si>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</si>
  <si>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</si>
  <si>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</si>
  <si>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</si>
  <si>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</si>
  <si>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</si>
  <si>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</si>
  <si>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</si>
  <si>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</si>
  <si>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</si>
  <si>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</si>
  <si>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</si>
  <si>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</si>
  <si>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</si>
  <si>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</si>
  <si>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</si>
  <si>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</si>
  <si>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</si>
  <si>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</si>
  <si>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</si>
  <si>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</si>
  <si>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</si>
  <si>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</si>
  <si>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</si>
  <si>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</si>
  <si>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</si>
  <si>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</si>
  <si>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</si>
  <si>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</si>
  <si>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</si>
  <si>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</si>
  <si>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</si>
  <si>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</si>
  <si>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</si>
  <si>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</si>
  <si>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</si>
  <si>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</si>
  <si>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</si>
  <si>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</si>
  <si>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</si>
  <si>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</si>
  <si>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</si>
  <si>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</si>
  <si>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</si>
  <si>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</si>
  <si>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</si>
  <si>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</si>
  <si>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</si>
  <si>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</si>
  <si>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</si>
  <si>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</si>
  <si>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</si>
  <si>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</si>
  <si>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</si>
  <si>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</si>
  <si>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</si>
  <si>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</si>
  <si>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</si>
  <si>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</si>
  <si>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</si>
  <si>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</si>
  <si>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</si>
  <si>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</si>
  <si>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</si>
  <si>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</si>
  <si>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</si>
  <si>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</si>
  <si>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</si>
  <si>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</si>
  <si>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</si>
  <si>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</si>
  <si>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</si>
  <si>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</si>
  <si>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</si>
  <si>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</si>
  <si>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</si>
  <si>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</si>
  <si>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</si>
  <si>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</si>
  <si>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</si>
  <si>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</si>
  <si>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</si>
  <si>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</si>
  <si>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</si>
  <si>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</si>
  <si>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</si>
  <si>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</si>
  <si>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</si>
  <si>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</si>
  <si>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</si>
  <si>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</si>
  <si>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</si>
  <si>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</si>
  <si>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</si>
  <si>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</si>
  <si>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</si>
  <si>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</si>
  <si>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</si>
  <si>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</si>
  <si>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</si>
  <si>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</si>
  <si>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</si>
  <si>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</si>
  <si>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</si>
  <si>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</si>
  <si>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</si>
  <si>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</si>
  <si>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</si>
  <si>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</si>
  <si>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</si>
  <si>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</si>
  <si>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</si>
  <si>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</si>
  <si>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</si>
  <si>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</si>
  <si>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</si>
  <si>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</si>
  <si>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</si>
  <si>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</si>
  <si>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</si>
  <si>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</si>
  <si>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</si>
  <si>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</si>
  <si>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</si>
  <si>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</si>
  <si>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</si>
  <si>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</si>
  <si>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</si>
  <si>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</si>
  <si>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</si>
  <si>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</si>
  <si>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</si>
  <si>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</si>
  <si>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</si>
  <si>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</si>
  <si>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</si>
  <si>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</si>
  <si>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</si>
  <si>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</si>
  <si>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</si>
  <si>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</si>
  <si>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</si>
  <si>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</si>
  <si>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</si>
  <si>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</si>
  <si>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</si>
  <si>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</si>
  <si>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</si>
  <si>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</si>
  <si>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</si>
  <si>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</si>
  <si>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</si>
  <si>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</si>
  <si>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</si>
  <si>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</si>
  <si>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</si>
  <si>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</si>
  <si>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</si>
  <si>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</si>
  <si>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</si>
  <si>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</si>
  <si>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</si>
  <si>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</si>
  <si>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</si>
  <si>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</si>
  <si>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</si>
  <si>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</si>
  <si>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</si>
  <si>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</si>
  <si>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</si>
  <si>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</si>
  <si>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</si>
  <si>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</si>
  <si>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</si>
  <si>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</si>
  <si>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</si>
  <si>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</si>
  <si>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</si>
  <si>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</si>
  <si>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</si>
  <si>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</si>
  <si>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</si>
  <si>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</si>
  <si>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</si>
  <si>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</si>
  <si>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</si>
  <si>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</si>
  <si>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</si>
  <si>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</si>
  <si>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</si>
  <si>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</si>
  <si>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</si>
  <si>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</si>
  <si>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</si>
  <si>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</si>
  <si>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</si>
  <si>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</si>
  <si>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</si>
  <si>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</si>
  <si>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</si>
  <si>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</si>
  <si>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</si>
  <si>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</si>
  <si>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</si>
  <si>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</si>
  <si>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</si>
  <si>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</si>
  <si>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</si>
  <si>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</si>
  <si>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</si>
  <si>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</si>
  <si>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</si>
  <si>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</si>
  <si>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</si>
  <si>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</si>
  <si>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</si>
  <si>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</si>
  <si>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</si>
  <si>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</si>
  <si>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</si>
  <si>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</si>
  <si>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</si>
  <si>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</si>
  <si>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</si>
  <si>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</si>
  <si>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</si>
  <si>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</si>
  <si>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</si>
  <si>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</si>
  <si>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</si>
  <si>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</si>
  <si>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</si>
  <si>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</si>
  <si>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</si>
  <si>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</si>
  <si>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</si>
  <si>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</si>
  <si>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</si>
  <si>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</si>
  <si>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</si>
  <si>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</si>
  <si>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</si>
  <si>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</si>
  <si>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</si>
  <si>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</si>
  <si>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</si>
  <si>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</si>
  <si>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</si>
  <si>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</si>
  <si>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</si>
  <si>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</si>
  <si>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</si>
  <si>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</si>
  <si>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</si>
  <si>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</si>
  <si>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</si>
  <si>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</si>
  <si>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</si>
  <si>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</si>
  <si>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</si>
  <si>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</si>
  <si>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</si>
  <si>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</si>
  <si>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</si>
  <si>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</si>
  <si>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</si>
  <si>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</si>
  <si>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</si>
  <si>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</si>
  <si>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</si>
  <si>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</si>
  <si>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</si>
  <si>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</si>
  <si>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</si>
  <si>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</si>
  <si>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</si>
  <si>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</si>
  <si>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</si>
  <si>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</si>
  <si>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</si>
  <si>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</si>
  <si>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</si>
  <si>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</si>
  <si>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</si>
  <si>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</si>
  <si>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</si>
  <si>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</si>
  <si>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</si>
  <si>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</si>
  <si>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</si>
  <si>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</si>
  <si>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</si>
  <si>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</si>
  <si>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</si>
  <si>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</si>
  <si>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</si>
  <si>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</si>
  <si>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</si>
  <si>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</si>
  <si>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</si>
  <si>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</si>
  <si>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</si>
  <si>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</si>
  <si>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</si>
  <si>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</si>
  <si>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</si>
  <si>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</si>
  <si>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</si>
  <si>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</si>
  <si>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</si>
  <si>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</si>
  <si>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</si>
  <si>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</si>
  <si>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</si>
  <si>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</si>
  <si>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</si>
  <si>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</si>
  <si>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</si>
  <si>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</si>
  <si>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</si>
  <si>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</si>
  <si>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</si>
  <si>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</si>
  <si>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</si>
  <si>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</si>
  <si>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</si>
  <si>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</si>
  <si>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</si>
  <si>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</si>
  <si>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</si>
  <si>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</si>
  <si>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</si>
  <si>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</si>
  <si>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</si>
  <si>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</si>
  <si>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</si>
  <si>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</si>
  <si>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</si>
  <si>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</si>
  <si>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</si>
  <si>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</si>
  <si>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</si>
  <si>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</si>
  <si>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</si>
  <si>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</si>
  <si>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</si>
  <si>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</si>
  <si>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</si>
  <si>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</si>
  <si>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</si>
  <si>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</si>
  <si>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</si>
  <si>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</si>
  <si>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</si>
  <si>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</si>
  <si>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</si>
  <si>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</si>
  <si>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</si>
  <si>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</si>
  <si>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</si>
  <si>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</si>
  <si>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</si>
  <si>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</si>
  <si>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</si>
  <si>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</si>
  <si>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</si>
  <si>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</si>
  <si>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</si>
  <si>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</si>
  <si>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</si>
  <si>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</si>
  <si>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</si>
  <si>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</si>
  <si>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</si>
  <si>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</si>
  <si>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</si>
  <si>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</si>
  <si>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</si>
  <si>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</si>
  <si>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</si>
  <si>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</si>
  <si>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</si>
  <si>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</si>
  <si>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</si>
  <si>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</si>
  <si>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</si>
  <si>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</si>
  <si>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</si>
  <si>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ACIDO ACETICO 5%, 150ML (USO EXTERNO)</t>
  </si>
  <si>
    <t>ÁCIDO TRICLOROACÉTICO 40%, 10ML (USO EXTERNO). INDICAR MARCA.</t>
  </si>
  <si>
    <t>ÁCIDO TRICLOROACÉTICO 50%, 10ML (USO EXTERNO). INDICAR MARCA.</t>
  </si>
  <si>
    <t>ÁCIDO TRICLOROACÉTICO 80%, 10ML (USO EXTERNO). INDICAR MARCA.</t>
  </si>
  <si>
    <t>CARVÃO ATIVADO, 25G, PÓ (USO INTERNO)</t>
  </si>
  <si>
    <t>HIDROXIDO DE POTASSIO 10%, SOLUCAO AQUOSA, 1LITRO (USO EXTERNO)</t>
  </si>
  <si>
    <t>LANETTE + URÉIA 10%, LOÇÃO, 100ML (USO EXTERNO). INDICAR MARCA.</t>
  </si>
  <si>
    <t>LANETTE, LOÇÃO, 100ML (USO EXTERNO). INDICAR MARCA.</t>
  </si>
  <si>
    <t>NITRATO DE PRATA, BASTAO, 2,5G (USO EXTERNO)</t>
  </si>
  <si>
    <t>PERCLORETO FÉRRICO 49%, GEL, 15G (USO EXTERNO). INDICAR MARCA.</t>
  </si>
  <si>
    <t>PO</t>
  </si>
  <si>
    <t>SOLUÇÃO DE SCHILLER, 1 Litro (USO EXTERNO). INDICAR MARCA.</t>
  </si>
  <si>
    <t>AZUL DE METILENO, 2%, 2ML, SOLUÇÃO INJETÁVEL, AMPOLA OU FRASCO-AMPOLA</t>
  </si>
  <si>
    <t>AZUL DE METILENO 1%, USO FARMACEUTICO, FRASCO COM 20ML APROX</t>
  </si>
  <si>
    <t>FENILEFRINA 2,5% + TROPICAMIDA 0,5%, 5 ML, COLÍRIO, FRASCO</t>
  </si>
  <si>
    <t>ALPROSTADIL 20MCG/ML, AMPOLA, 1ML</t>
  </si>
  <si>
    <t>AM</t>
  </si>
  <si>
    <t>IODOPOVIDONA 2,5% + VEÍCULO ESTÉRIL QSP 10ML, SOLUÇÃO OFTÁLMICA, FRASCO</t>
  </si>
  <si>
    <t>CFPC-DLC</t>
  </si>
  <si>
    <t>Dhayanne Marques</t>
  </si>
  <si>
    <t>26.0.000113600-2</t>
  </si>
  <si>
    <t>Valor proporcionalizado para 150ml.</t>
  </si>
  <si>
    <t>Valor proporcionalizado para 10ML(PREÇO 2 e 3)</t>
  </si>
  <si>
    <t>Valor proporcionalizado para 10ML(PREÇO 1,2 e 3)</t>
  </si>
  <si>
    <t>Valor proporcionalizado para 10ML(PREÇO 1 e 2)</t>
  </si>
  <si>
    <t>Valor proporcionalizado para 25g(PREÇO 1,2 e 3)</t>
  </si>
  <si>
    <t>Valor proporcionalizado para 1L (PREÇO 1 e 2 )</t>
  </si>
  <si>
    <t>SIMILAR E PROPORCIONALIZADO PARA 100ML</t>
  </si>
  <si>
    <t>Valor proporcionalizado para 2,5G (PREÇO 1 e 3)</t>
  </si>
  <si>
    <t>Similar (PREÇO 1,2,3 e 4)</t>
  </si>
  <si>
    <t>Valor proporcionalizado para 15G (PREÇO 1,2,3 e 4)</t>
  </si>
  <si>
    <t>Valor proporcionalizado para 1L (PREÇO 1 e 5)</t>
  </si>
  <si>
    <t xml:space="preserve">Valores proporcionalizados para 20ml. </t>
  </si>
  <si>
    <t>Valor proporcionalizado para 10ml (PREÇO 3)</t>
  </si>
  <si>
    <t>PNCP</t>
  </si>
  <si>
    <t>LICITACON</t>
  </si>
  <si>
    <t>ATA PE 172/2026</t>
  </si>
  <si>
    <t>precopopular</t>
  </si>
  <si>
    <t>khautz</t>
  </si>
  <si>
    <t>andaliz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</si>
</sst>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medium">
        <color indexed="64"/>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3">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xf numFmtId="0" fontId="13" fillId="0" borderId="44" xfId="0" applyFont="1" applyBorder="1" applyAlignment="1">
      <alignment horizontal="center" vertical="center"/>
    </xf>
    <xf numFmtId="0" fontId="13" fillId="0" borderId="44" xfId="0" applyFont="1" applyBorder="1" applyAlignment="1">
      <alignment vertical="center" wrapText="1"/>
    </xf>
    <xf numFmtId="0" fontId="13" fillId="0" borderId="44" xfId="0" applyFont="1" applyBorder="1" applyAlignment="1">
      <alignment horizontal="center" vertical="center" wrapText="1"/>
    </xf>
    <xf numFmtId="0" fontId="13" fillId="0" borderId="54" xfId="0" applyFont="1" applyBorder="1" applyAlignment="1">
      <alignment horizontal="center" vertical="center"/>
    </xf>
    <xf numFmtId="0" fontId="13" fillId="0" borderId="54" xfId="0" applyFont="1" applyBorder="1" applyAlignment="1">
      <alignment vertical="center" wrapText="1"/>
    </xf>
    <xf numFmtId="0" fontId="13" fillId="0" borderId="54" xfId="0" applyFont="1" applyBorder="1" applyAlignment="1">
      <alignment horizontal="center" vertical="center" wrapText="1"/>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hayanne.marques\Desktop\Manipulados_Levantamento%20(1).xlsx" TargetMode="External"/><Relationship Id="rId1" Type="http://schemas.openxmlformats.org/officeDocument/2006/relationships/externalLinkPath" Target="Manipulados_Levantamento%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dhayanne.marques\Desktop\PE%20000-2026%2026.0.000113600-2_%20(RP)%20MEDICAMENTOS%20MANIPULADOS\Mapa%20de%20pre&#231;os%20-%20MEDICAMENTOS%20MANIPULADOS.xlsx" TargetMode="External"/><Relationship Id="rId1" Type="http://schemas.openxmlformats.org/officeDocument/2006/relationships/externalLinkPath" Target="PE%20000-2026%2026.0.000113600-2_%20(RP)%20MEDICAMENTOS%20MANIPULADOS/Mapa%20de%20pre&#231;os%20-%20MEDICAMENTOS%20MANIPUL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1"/>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EDITAL"/>
      <sheetName val="BASE FORMAÇÃO"/>
      <sheetName val="MAPA DE PREÇOS"/>
      <sheetName val="EDITAL"/>
      <sheetName val="CRONOGRAMA"/>
      <sheetName val="ABC"/>
      <sheetName val="METODOLOGIA"/>
      <sheetName val="EDITAL (MAIOR DESCONTO)"/>
      <sheetName val="Tabela de Apoio"/>
    </sheetNames>
    <sheetDataSet>
      <sheetData sheetId="0" refreshError="1"/>
      <sheetData sheetId="1" refreshError="1"/>
      <sheetData sheetId="2">
        <row r="39">
          <cell r="R39" t="str">
            <v>mercadolivre</v>
          </cell>
        </row>
      </sheetData>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s://www.precopopular.com.br/hidratante-cetaphil-pro-ureia-10--120ml-locao-hidratante-com-ureia/p?srsltid=AfmBOorbtElmkp1RunLBiEfDyqbgQYWPbXu1eJbL9lpgDKTCIQQICPZvq_o" TargetMode="External"/><Relationship Id="rId7" Type="http://schemas.openxmlformats.org/officeDocument/2006/relationships/drawing" Target="../drawings/drawing3.xml"/><Relationship Id="rId2" Type="http://schemas.openxmlformats.org/officeDocument/2006/relationships/hyperlink" Target="https://www.precopopular.com.br/ureadin-locao-10-isdin-100ml-ureia-10-/p?utm_source=google_shopping&amp;utm_medium=cpc&amp;utm_campaign=shopping&amp;gad_source=4&amp;gad_campaignid=23179753169&amp;gbraid=0AAAAABvkUuKXeyqzkdJQlgL7gTI4NLAL6&amp;gclid=Cj0KCQjwm8bTBhDWARIsAC9Hi8n7q1rO6xGTqwOgGLN32ArnWEUTdWzV4NzG2VW_jbUgsMkOJn1UfbAaArpKEALw_wcB" TargetMode="External"/><Relationship Id="rId1" Type="http://schemas.openxmlformats.org/officeDocument/2006/relationships/hyperlink" Target="https://www.mercadolivre.com.br/tca-ata-acido-tricloroacetico-40-30ml--neutralizante-30ml/up/MLBU1966747008" TargetMode="External"/><Relationship Id="rId6" Type="http://schemas.openxmlformats.org/officeDocument/2006/relationships/printerSettings" Target="../printerSettings/printerSettings3.bin"/><Relationship Id="rId5" Type="http://schemas.openxmlformats.org/officeDocument/2006/relationships/hyperlink" Target="https://www.andaliz.com.br/creme-lanette-hidratacao-intensa-30g-andaliz" TargetMode="External"/><Relationship Id="rId4" Type="http://schemas.openxmlformats.org/officeDocument/2006/relationships/hyperlink" Target="https://www.khautz.com/p%C3%A1gina-de-produto/creme-lanette-100g" TargetMode="External"/><Relationship Id="rId9"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B2" sqref="B2:D17"/>
    </sheetView>
  </sheetViews>
  <sheetFormatPr defaultColWidth="9.140625" defaultRowHeight="15" x14ac:dyDescent="0.25"/>
  <cols>
    <col min="1" max="1" width="7.140625" style="19" customWidth="1"/>
    <col min="2" max="2" width="20.42578125" style="19" customWidth="1"/>
    <col min="3" max="3" width="88.140625" style="19" customWidth="1"/>
    <col min="4" max="4" width="9.140625" style="19"/>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B2" s="287">
        <v>1101294</v>
      </c>
      <c r="C2" s="288" t="s">
        <v>433</v>
      </c>
      <c r="D2" s="289" t="s">
        <v>136</v>
      </c>
    </row>
    <row r="3" spans="1:11" x14ac:dyDescent="0.25">
      <c r="B3" s="287">
        <v>1101310</v>
      </c>
      <c r="C3" s="288" t="s">
        <v>434</v>
      </c>
      <c r="D3" s="289" t="s">
        <v>136</v>
      </c>
      <c r="I3" s="129"/>
    </row>
    <row r="4" spans="1:11" x14ac:dyDescent="0.25">
      <c r="B4" s="287">
        <v>1101674</v>
      </c>
      <c r="C4" s="288" t="s">
        <v>435</v>
      </c>
      <c r="D4" s="289" t="s">
        <v>136</v>
      </c>
    </row>
    <row r="5" spans="1:11" x14ac:dyDescent="0.25">
      <c r="B5" s="287">
        <v>1101328</v>
      </c>
      <c r="C5" s="288" t="s">
        <v>436</v>
      </c>
      <c r="D5" s="289" t="s">
        <v>136</v>
      </c>
      <c r="I5" s="129"/>
    </row>
    <row r="6" spans="1:11" x14ac:dyDescent="0.25">
      <c r="B6" s="287">
        <v>1101377</v>
      </c>
      <c r="C6" s="288" t="s">
        <v>437</v>
      </c>
      <c r="D6" s="289" t="s">
        <v>136</v>
      </c>
      <c r="J6" s="129"/>
    </row>
    <row r="7" spans="1:11" x14ac:dyDescent="0.25">
      <c r="B7" s="287">
        <v>1101435</v>
      </c>
      <c r="C7" s="288" t="s">
        <v>438</v>
      </c>
      <c r="D7" s="289" t="s">
        <v>136</v>
      </c>
      <c r="I7" s="129"/>
    </row>
    <row r="8" spans="1:11" x14ac:dyDescent="0.25">
      <c r="B8" s="287">
        <v>1101476</v>
      </c>
      <c r="C8" s="288" t="s">
        <v>439</v>
      </c>
      <c r="D8" s="289" t="s">
        <v>136</v>
      </c>
      <c r="I8" s="129"/>
    </row>
    <row r="9" spans="1:11" x14ac:dyDescent="0.25">
      <c r="B9" s="287">
        <v>1101468</v>
      </c>
      <c r="C9" s="288" t="s">
        <v>440</v>
      </c>
      <c r="D9" s="289" t="s">
        <v>136</v>
      </c>
      <c r="I9" s="139"/>
    </row>
    <row r="10" spans="1:11" x14ac:dyDescent="0.25">
      <c r="B10" s="287">
        <v>1101492</v>
      </c>
      <c r="C10" s="288" t="s">
        <v>441</v>
      </c>
      <c r="D10" s="289" t="s">
        <v>230</v>
      </c>
    </row>
    <row r="11" spans="1:11" x14ac:dyDescent="0.25">
      <c r="B11" s="287">
        <v>1101518</v>
      </c>
      <c r="C11" s="288" t="s">
        <v>442</v>
      </c>
      <c r="D11" s="289" t="s">
        <v>443</v>
      </c>
      <c r="I11" s="129"/>
    </row>
    <row r="12" spans="1:11" x14ac:dyDescent="0.25">
      <c r="B12" s="287">
        <v>1101575</v>
      </c>
      <c r="C12" s="288" t="s">
        <v>444</v>
      </c>
      <c r="D12" s="289" t="s">
        <v>136</v>
      </c>
      <c r="I12" s="129"/>
    </row>
    <row r="13" spans="1:11" x14ac:dyDescent="0.25">
      <c r="B13" s="287">
        <v>1100536</v>
      </c>
      <c r="C13" s="288" t="s">
        <v>445</v>
      </c>
      <c r="D13" s="289" t="s">
        <v>136</v>
      </c>
      <c r="I13" s="129"/>
    </row>
    <row r="14" spans="1:11" x14ac:dyDescent="0.25">
      <c r="B14" s="287">
        <v>84806</v>
      </c>
      <c r="C14" s="288" t="s">
        <v>446</v>
      </c>
      <c r="D14" s="289" t="s">
        <v>136</v>
      </c>
      <c r="J14" s="129"/>
    </row>
    <row r="15" spans="1:11" x14ac:dyDescent="0.25">
      <c r="B15" s="287">
        <v>1101658</v>
      </c>
      <c r="C15" s="288" t="s">
        <v>447</v>
      </c>
      <c r="D15" s="289" t="s">
        <v>136</v>
      </c>
      <c r="I15" s="129"/>
    </row>
    <row r="16" spans="1:11" x14ac:dyDescent="0.25">
      <c r="B16" s="287">
        <v>1079672</v>
      </c>
      <c r="C16" s="288" t="s">
        <v>448</v>
      </c>
      <c r="D16" s="289" t="s">
        <v>449</v>
      </c>
      <c r="J16" s="129"/>
    </row>
    <row r="17" spans="2:10" ht="15.75" thickBot="1" x14ac:dyDescent="0.3">
      <c r="B17" s="290">
        <v>2013492</v>
      </c>
      <c r="C17" s="291" t="s">
        <v>450</v>
      </c>
      <c r="D17" s="292" t="s">
        <v>136</v>
      </c>
      <c r="I17" s="129"/>
    </row>
    <row r="18" spans="2:10" x14ac:dyDescent="0.25">
      <c r="I18" s="129"/>
    </row>
    <row r="19" spans="2:10" x14ac:dyDescent="0.25">
      <c r="I19" s="129"/>
    </row>
    <row r="20" spans="2:10" x14ac:dyDescent="0.25">
      <c r="I20" s="129"/>
    </row>
    <row r="21" spans="2:10" x14ac:dyDescent="0.25">
      <c r="J21" s="129"/>
    </row>
    <row r="22" spans="2:10" x14ac:dyDescent="0.25">
      <c r="J22" s="129"/>
    </row>
    <row r="23" spans="2:10" x14ac:dyDescent="0.25">
      <c r="J23" s="129"/>
    </row>
    <row r="24" spans="2:10" x14ac:dyDescent="0.25">
      <c r="J24" s="129"/>
    </row>
    <row r="25" spans="2:10" x14ac:dyDescent="0.25">
      <c r="J25" s="129"/>
    </row>
    <row r="26" spans="2:10" x14ac:dyDescent="0.25">
      <c r="I26" s="129"/>
    </row>
    <row r="27" spans="2:10" x14ac:dyDescent="0.25">
      <c r="J27" s="129"/>
    </row>
    <row r="28" spans="2:10" x14ac:dyDescent="0.25">
      <c r="I28" s="129"/>
    </row>
    <row r="29" spans="2:10" x14ac:dyDescent="0.25">
      <c r="I29" s="129"/>
    </row>
    <row r="30" spans="2:10" x14ac:dyDescent="0.25">
      <c r="I30" s="129"/>
    </row>
    <row r="31" spans="2:10" x14ac:dyDescent="0.25">
      <c r="I31" s="129"/>
    </row>
    <row r="32" spans="2: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zoomScale="85" zoomScaleNormal="85" workbookViewId="0">
      <selection activeCell="Q10" sqref="Q1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PROCURADORIA-GERAL DO MUNICÍPIO (PGM)
MAPA DE PREÇOS - JUL/26</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401</v>
      </c>
      <c r="I5" s="219"/>
      <c r="J5" s="219"/>
      <c r="K5" s="141"/>
      <c r="L5" s="205" t="s">
        <v>321</v>
      </c>
      <c r="M5" s="206"/>
      <c r="N5" s="206"/>
      <c r="O5" s="220" t="s">
        <v>451</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c r="I6" s="223"/>
      <c r="J6" s="223"/>
      <c r="K6" s="142"/>
      <c r="L6" s="205" t="s">
        <v>352</v>
      </c>
      <c r="M6" s="206"/>
      <c r="N6" s="206"/>
      <c r="O6" s="220" t="s">
        <v>452</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453</v>
      </c>
      <c r="I7" s="219"/>
      <c r="J7" s="219"/>
      <c r="K7" s="141"/>
      <c r="L7" s="205" t="s">
        <v>351</v>
      </c>
      <c r="M7" s="206"/>
      <c r="N7" s="206"/>
      <c r="O7" s="220">
        <v>959847</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09">
        <f>MIN(MAX(COUNTA('BASE FORMAÇÃO'!C:C)-1,1),100)</f>
        <v>16</v>
      </c>
      <c r="I8" s="210"/>
      <c r="J8" s="211"/>
      <c r="K8" s="141"/>
      <c r="L8" s="212" t="s">
        <v>301</v>
      </c>
      <c r="M8" s="213"/>
      <c r="N8" s="214"/>
      <c r="O8" s="226">
        <v>46248</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239094.44999999998</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1101294</v>
      </c>
      <c r="I15" s="181" t="s">
        <v>16</v>
      </c>
      <c r="J15" s="6">
        <f>INDEX('BASE FORMAÇÃO'!K:K,B15+1)</f>
        <v>0</v>
      </c>
      <c r="K15" s="65"/>
      <c r="L15" s="182" t="s">
        <v>10</v>
      </c>
      <c r="M15" s="184">
        <f>IF(OR(ISBLANK($O$8),ISBLANK($O$7),ISBLANK($H$8),ISBLANK($O$6),ISBLANK($O$5),ISBLANK($H$5)),"",IFERROR(IF(VLOOKUP(L15,L21:M30,2,FALSE)&lt;1,ROUND(VLOOKUP(L15,L21:M30,2,FALSE),4),ROUND(VLOOKUP(L15,L21:M30,2,FALSE),2)),""))</f>
        <v>22.85</v>
      </c>
      <c r="N15" s="69"/>
      <c r="O15" s="27" t="s">
        <v>17</v>
      </c>
      <c r="P15" s="113">
        <f>(12/100)*150</f>
        <v>18</v>
      </c>
      <c r="Q15" s="113">
        <f>(67/500)*150</f>
        <v>20.100000000000001</v>
      </c>
      <c r="R15" s="113">
        <f>(100/500)*150</f>
        <v>30</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ACIDO ACETICO 5%, 150ML (USO EXTERNO)</v>
      </c>
      <c r="I16" s="191"/>
      <c r="J16" s="192"/>
      <c r="K16" s="66"/>
      <c r="L16" s="183"/>
      <c r="M16" s="185"/>
      <c r="N16" s="70"/>
      <c r="O16" s="27" t="s">
        <v>13</v>
      </c>
      <c r="P16" s="122">
        <v>46149</v>
      </c>
      <c r="Q16" s="122">
        <v>46190</v>
      </c>
      <c r="R16" s="122">
        <v>46161</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115</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FR</v>
      </c>
      <c r="N18" s="71"/>
      <c r="O18" s="27" t="s">
        <v>381</v>
      </c>
      <c r="P18" s="115" t="s">
        <v>10</v>
      </c>
      <c r="Q18" s="115" t="s">
        <v>10</v>
      </c>
      <c r="R18" s="115" t="s">
        <v>10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0.23176180696513915</v>
      </c>
      <c r="N19" s="71"/>
      <c r="O19" s="27" t="s">
        <v>18</v>
      </c>
      <c r="P19" s="106">
        <f>IF(P15="","",
IF(OR(P17="Orçamento",P16="",MAX('Tabela de Apoio'!$A:$A)&lt;=P16),
P15,
(INDEX('Tabela de Apoio'!$B:$B,MATCH('MAPA DE PREÇOS'!$O$8,'Tabela de Apoio'!$A:$A,1))/INDEX('Tabela de Apoio'!$B:$B,MATCH('MAPA DE PREÇOS'!P16,'Tabela de Apoio'!$A:$A,1)-1))*P15))</f>
        <v>18.146064620087436</v>
      </c>
      <c r="Q19" s="106">
        <f>IF(Q15="","",
IF(OR(Q17="Orçamento",Q16="",MAX('Tabela de Apoio'!$A:$A)&lt;=Q16),
Q15,
(INDEX('Tabela de Apoio'!$B:$B,MATCH('MAPA DE PREÇOS'!$O$8,'Tabela de Apoio'!$A:$A,1))/INDEX('Tabela de Apoio'!$B:$B,MATCH('MAPA DE PREÇOS'!Q16,'Tabela de Apoio'!$A:$A,1)-1))*Q15))</f>
        <v>20.146250139067952</v>
      </c>
      <c r="R19" s="106">
        <f>IF(R15="","",
IF(OR(R17="Orçamento",R16="",MAX('Tabela de Apoio'!$A:$A)&lt;=R16),
R15,
(INDEX('Tabela de Apoio'!$B:$B,MATCH('MAPA DE PREÇOS'!$O$8,'Tabela de Apoio'!$A:$A,1))/INDEX('Tabela de Apoio'!$B:$B,MATCH('MAPA DE PREÇOS'!R16,'Tabela de Apoio'!$A:$A,1)-1))*R15))</f>
        <v>30.243441033479066</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18.146064620087436</v>
      </c>
      <c r="Q20" s="107">
        <f>IF(IFERROR(VLOOKUP(Q17,'Tabela de Apoio'!$D:$E,2,FALSE),1)=1,"",Q21)</f>
        <v>20.146250139067952</v>
      </c>
      <c r="R20" s="107">
        <f>IF(IFERROR(VLOOKUP(R17,'Tabela de Apoio'!$D:$E,2,FALSE),1)=1,"",R21)</f>
        <v>30.243441033479066</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0.23176180696513915</v>
      </c>
      <c r="J21" s="7">
        <f>ROW()</f>
        <v>21</v>
      </c>
      <c r="K21" s="67"/>
      <c r="L21" s="29" t="s">
        <v>10</v>
      </c>
      <c r="M21" s="30">
        <f>IFERROR(
IF(COUNTA(P15:AI15)=COUNTIF(P17:XX17,"Orçamento"),MIN(M26,M23),
IF(M24&lt;&gt;"",M24,
IF(M25&lt;&gt;"",M25,
M23
))),"")</f>
        <v>22.845251930878149</v>
      </c>
      <c r="N21" s="71"/>
      <c r="O21" s="27" t="s">
        <v>376</v>
      </c>
      <c r="P21" s="106">
        <f>IFERROR(IF(P19="",
            "",
            IF(COUNT($P19:$XX19)&lt;=4,
               P19,
               IF(OR(P19&gt;(QUARTILE($P19:$XX19,3)+(QUARTILE($P19:$XX19,3)-QUARTILE($P19:$XX19,1))),
                     P19&lt;(QUARTILE($P19:$XX19,1)-(QUARTILE($P19:$XX19,3)-QUARTILE($P19:$XX19,1)))
                  ),
               "DESCARTADO",P19)
             )
  ),P19)</f>
        <v>18.146064620087436</v>
      </c>
      <c r="Q21" s="106">
        <f t="shared" ref="Q21:AI21" si="3">IFERROR(IF(Q19="",
            "",
            IF(COUNT($P19:$XX19)&lt;=4,
               Q19,
               IF(OR(Q19&gt;(QUARTILE($P19:$XX19,3)+(QUARTILE($P19:$XX19,3)-QUARTILE($P19:$XX19,1))),
                     Q19&lt;(QUARTILE($P19:$XX19,1)-(QUARTILE($P19:$XX19,3)-QUARTILE($P19:$XX19,1)))
                  ),
               "DESCARTADO",Q19)
             )
  ),Q19)</f>
        <v>20.146250139067952</v>
      </c>
      <c r="R21" s="106">
        <f t="shared" si="3"/>
        <v>30.243441033479066</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22.845251930878153</v>
      </c>
      <c r="N22" s="71"/>
      <c r="O22" s="27" t="str">
        <f>"1 POND"</f>
        <v>1 POND</v>
      </c>
      <c r="P22" s="107">
        <f>IF(IFERROR(VLOOKUP(P17,'Tabela de Apoio'!$D:$E,2,FALSE),1)=1,"",P23)</f>
        <v>18.146064620087436</v>
      </c>
      <c r="Q22" s="107">
        <f>IF(IFERROR(VLOOKUP(Q17,'Tabela de Apoio'!$D:$E,2,FALSE),1)=1,"",Q23)</f>
        <v>20.146250139067952</v>
      </c>
      <c r="R22" s="107">
        <f>IF(IFERROR(VLOOKUP(R17,'Tabela de Apoio'!$D:$E,2,FALSE),1)=1,"",R23)</f>
        <v>30.243441033479066</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0.23176180696513915</v>
      </c>
      <c r="J23" s="7">
        <f>IF(AND(H23&gt;2,
OR(L15="MÉDIA SANEADA",L15="MEDIANA SANEADA",
AND(L15="PREÇO ESTIMADO",NOT(AND(P17="Orçamento",COUNTA(P15:XX15)=COUNTIF(P17:XX17,"Orçamento")))))),
ROW(),0)</f>
        <v>23</v>
      </c>
      <c r="K23" s="66"/>
      <c r="L23" s="29" t="s">
        <v>361</v>
      </c>
      <c r="M23" s="30">
        <f>MEDIAN($P21:$XX21)</f>
        <v>20.146250139067952</v>
      </c>
      <c r="N23" s="71"/>
      <c r="O23" s="27" t="str">
        <f>"1 RODADA"</f>
        <v>1 RODADA</v>
      </c>
      <c r="P23" s="107">
        <f>IF(P21="","",IF((_xlfn.STDEV.P($P20:$XX21)/AVERAGE($P20:$XX21))&lt;=25%,P21,IF(OR(P21&gt;(AVERAGE($P20:$XX21)+_xlfn.STDEV.P($P20:$XX21)),P21&lt;(AVERAGE($P20:$XX21)-_xlfn.STDEV.P($P20:$XX21))),"DESCARTADO",P21)))</f>
        <v>18.146064620087436</v>
      </c>
      <c r="Q23" s="107">
        <f t="shared" ref="Q23:AI23" si="6">IF(Q21="","",IF((_xlfn.STDEV.P($P20:$XX21)/AVERAGE($P20:$XX21))&lt;=25%,Q21,IF(OR(Q21&gt;(AVERAGE($P20:$XX21)+_xlfn.STDEV.P($P20:$XX21)),Q21&lt;(AVERAGE($P20:$XX21)-_xlfn.STDEV.P($P20:$XX21))),"DESCARTADO",Q21)))</f>
        <v>20.146250139067952</v>
      </c>
      <c r="R23" s="107">
        <f t="shared" si="6"/>
        <v>30.243441033479066</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22.845251930878149</v>
      </c>
      <c r="N24" s="71"/>
      <c r="O24" s="27" t="str">
        <f>"2 POND"</f>
        <v>2 POND</v>
      </c>
      <c r="P24" s="107">
        <f>IF(IFERROR(VLOOKUP(P17,'Tabela de Apoio'!$D:$E,2,FALSE),1)=1,"",P25)</f>
        <v>18.146064620087436</v>
      </c>
      <c r="Q24" s="107">
        <f>IF(IFERROR(VLOOKUP(Q17,'Tabela de Apoio'!$D:$E,2,FALSE),1)=1,"",Q25)</f>
        <v>20.146250139067952</v>
      </c>
      <c r="R24" s="107">
        <f>IF(IFERROR(VLOOKUP(R17,'Tabela de Apoio'!$D:$E,2,FALSE),1)=1,"",R25)</f>
        <v>30.243441033479066</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0.23176180696513915</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20.146250139067952</v>
      </c>
      <c r="N25" s="71"/>
      <c r="O25" s="27" t="str">
        <f>"2 RODADA"</f>
        <v>2 RODADA</v>
      </c>
      <c r="P25" s="107">
        <f>IF(P23="","",IF((_xlfn.STDEV.P($P22:$XX23)/AVERAGE($P22:$XX23))&lt;=25%,P23,IF(OR(P23&gt;(AVERAGE($P22:$XX23)+_xlfn.STDEV.P($P22:$XX23)),P23&lt;(AVERAGE($P22:$XX23)-_xlfn.STDEV.P($P22:$XX23))),"DESCARTADO",P23)))</f>
        <v>18.146064620087436</v>
      </c>
      <c r="Q25" s="107">
        <f t="shared" ref="Q25:AI25" si="7">IF(Q23="","",IF((_xlfn.STDEV.P($P22:$XX23)/AVERAGE($P22:$XX23))&lt;=25%,Q23,IF(OR(Q23&gt;(AVERAGE($P22:$XX23)+_xlfn.STDEV.P($P22:$XX23)),Q23&lt;(AVERAGE($P22:$XX23)-_xlfn.STDEV.P($P22:$XX23))),"DESCARTADO",Q23)))</f>
        <v>20.146250139067952</v>
      </c>
      <c r="R25" s="107">
        <f t="shared" si="7"/>
        <v>30.243441033479066</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21.769036503911771</v>
      </c>
      <c r="N26" s="71"/>
      <c r="O26" s="27" t="str">
        <f>"3 POND"</f>
        <v>3 POND</v>
      </c>
      <c r="P26" s="107">
        <f>IF(IFERROR(VLOOKUP(P17,'Tabela de Apoio'!$D:$E,2,FALSE),1)=1,"",P27)</f>
        <v>18.146064620087436</v>
      </c>
      <c r="Q26" s="107">
        <f>IF(IFERROR(VLOOKUP(Q17,'Tabela de Apoio'!$D:$E,2,FALSE),1)=1,"",Q27)</f>
        <v>20.146250139067952</v>
      </c>
      <c r="R26" s="107">
        <f>IF(IFERROR(VLOOKUP(R17,'Tabela de Apoio'!$D:$E,2,FALSE),1)=1,"",R27)</f>
        <v>30.243441033479066</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0.23176180696513915</v>
      </c>
      <c r="J27" s="7">
        <f>IF(AND(H27&gt;2,
OR(L15="MÉDIA SANEADA",L15="MEDIANA SANEADA",
AND(L15="PREÇO ESTIMADO",NOT(AND(P17="Orçamento",COUNTA(P15:XX15)=COUNTIF(P17:XX17,"Orçamento")))))),
ROW(),0)</f>
        <v>27</v>
      </c>
      <c r="K27" s="66"/>
      <c r="L27" s="29" t="s">
        <v>41</v>
      </c>
      <c r="M27" s="30">
        <f>IFERROR(_xlfn.QUARTILE.EXC($P21:$XX21,1),"")</f>
        <v>18.146064620087436</v>
      </c>
      <c r="N27" s="71"/>
      <c r="O27" s="27" t="str">
        <f>"3 RODADA"</f>
        <v>3 RODADA</v>
      </c>
      <c r="P27" s="107">
        <f>IF(P25="","",IF((_xlfn.STDEV.P($P24:$XX25)/AVERAGE($P24:$XX25))&lt;=25%,P25,IF(OR(P25&gt;(AVERAGE($P24:$XX25)+_xlfn.STDEV.P($P24:$XX25)),P25&lt;(AVERAGE($P24:$XX25)-_xlfn.STDEV.P($P24:$XX25))),"DESCARTADO",P25)))</f>
        <v>18.146064620087436</v>
      </c>
      <c r="Q27" s="107">
        <f t="shared" ref="Q27:AI27" si="8">IF(Q25="","",IF((_xlfn.STDEV.P($P24:$XX25)/AVERAGE($P24:$XX25))&lt;=25%,Q25,IF(OR(Q25&gt;(AVERAGE($P24:$XX25)+_xlfn.STDEV.P($P24:$XX25)),Q25&lt;(AVERAGE($P24:$XX25)-_xlfn.STDEV.P($P24:$XX25))),"DESCARTADO",Q25)))</f>
        <v>20.146250139067952</v>
      </c>
      <c r="R27" s="107">
        <f t="shared" si="8"/>
        <v>30.243441033479066</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30.243441033479066</v>
      </c>
      <c r="N28" s="71"/>
      <c r="O28" s="27" t="str">
        <f>"4 POND"</f>
        <v>4 POND</v>
      </c>
      <c r="P28" s="107">
        <f>IF(IFERROR(VLOOKUP(P17,'Tabela de Apoio'!$D:$E,2,FALSE),1)=1,"",P29)</f>
        <v>18.146064620087436</v>
      </c>
      <c r="Q28" s="107">
        <f>IF(IFERROR(VLOOKUP(Q17,'Tabela de Apoio'!$D:$E,2,FALSE),1)=1,"",Q29)</f>
        <v>20.146250139067952</v>
      </c>
      <c r="R28" s="107">
        <f>IF(IFERROR(VLOOKUP(R17,'Tabela de Apoio'!$D:$E,2,FALSE),1)=1,"",R29)</f>
        <v>30.243441033479066</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0.23176180696513915</v>
      </c>
      <c r="J29" s="7">
        <f>IF(AND(H29&gt;2,
OR(L15="MÉDIA SANEADA",L15="MEDIANA SANEADA",
AND(L15="PREÇO ESTIMADO",NOT(AND(P17="Orçamento",COUNTA(P15:XX15)=COUNTIF(P17:XX17,"Orçamento")))))),
ROW(),0)</f>
        <v>29</v>
      </c>
      <c r="K29" s="66"/>
      <c r="L29" s="29" t="s">
        <v>42</v>
      </c>
      <c r="M29" s="30">
        <f>MIN($P21:$XX21)</f>
        <v>18.146064620087436</v>
      </c>
      <c r="N29" s="71"/>
      <c r="O29" s="27" t="str">
        <f>"4 RODADA"</f>
        <v>4 RODADA</v>
      </c>
      <c r="P29" s="107">
        <f>IF(P27="","",IF((_xlfn.STDEV.P($P26:$XX27)/AVERAGE($P26:$XX27))&lt;=25%,P27,IF(OR(P27&gt;(AVERAGE($P26:$XX27)+_xlfn.STDEV.P($P26:$XX27)),P27&lt;(AVERAGE($P26:$XX27)-_xlfn.STDEV.P($P26:$XX27))),"DESCARTADO",P27)))</f>
        <v>18.146064620087436</v>
      </c>
      <c r="Q29" s="107">
        <f t="shared" ref="Q29:AI29" si="9">IF(Q27="","",IF((_xlfn.STDEV.P($P26:$XX27)/AVERAGE($P26:$XX27))&lt;=25%,Q27,IF(OR(Q27&gt;(AVERAGE($P26:$XX27)+_xlfn.STDEV.P($P26:$XX27)),Q27&lt;(AVERAGE($P26:$XX27)-_xlfn.STDEV.P($P26:$XX27))),"DESCARTADO",Q27)))</f>
        <v>20.146250139067952</v>
      </c>
      <c r="R29" s="107">
        <f t="shared" si="9"/>
        <v>30.243441033479066</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30.243441033479066</v>
      </c>
      <c r="N30" s="71"/>
      <c r="O30" s="27" t="str">
        <f>"5 POND"</f>
        <v>5 POND</v>
      </c>
      <c r="P30" s="107">
        <f>IF(IFERROR(VLOOKUP(P17,'Tabela de Apoio'!$D:$E,2,FALSE),1)=1,"",P31)</f>
        <v>18.146064620087436</v>
      </c>
      <c r="Q30" s="107">
        <f>IF(IFERROR(VLOOKUP(Q17,'Tabela de Apoio'!$D:$E,2,FALSE),1)=1,"",Q31)</f>
        <v>20.146250139067952</v>
      </c>
      <c r="R30" s="107">
        <f>IF(IFERROR(VLOOKUP(R17,'Tabela de Apoio'!$D:$E,2,FALSE),1)=1,"",R31)</f>
        <v>30.243441033479066</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0.23176180696513915</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18.146064620087436</v>
      </c>
      <c r="Q31" s="107">
        <f t="shared" ref="Q31:AI31" si="10">IF(Q29="","",IF((_xlfn.STDEV.P($P28:$XX29)/AVERAGE($P28:$XX29))&lt;=25%,Q29,IF(OR(Q29&gt;(AVERAGE($P28:$XX29)+_xlfn.STDEV.P($P28:$XX29)),Q29&lt;(AVERAGE($P28:$XX29)-_xlfn.STDEV.P($P28:$XX29))),"DESCARTADO",Q29)))</f>
        <v>20.146250139067952</v>
      </c>
      <c r="R31" s="107">
        <f t="shared" si="10"/>
        <v>30.243441033479066</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18.146064620087436</v>
      </c>
      <c r="Q32" s="107">
        <f>IF(IFERROR(VLOOKUP(Q17,'Tabela de Apoio'!$D:$E,2,FALSE),1)=1,"",Q33)</f>
        <v>20.146250139067952</v>
      </c>
      <c r="R32" s="107">
        <f>IF(IFERROR(VLOOKUP(R17,'Tabela de Apoio'!$D:$E,2,FALSE),1)=1,"",R33)</f>
        <v>30.243441033479066</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0.23176180696513915</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18.146064620087436</v>
      </c>
      <c r="Q33" s="107">
        <f t="shared" ref="Q33:AI33" si="11">IFERROR(IF(Q31="","",IF((_xlfn.STDEV.P($P30:$XX31)/AVERAGE($P30:$XX31))&lt;=25%,Q31,IF(OR(Q31&gt;(AVERAGE($P30:$XX31)+_xlfn.STDEV.P($P30:$XX31)),Q31&lt;(AVERAGE($P30:$XX31)-_xlfn.STDEV.P($P30:$XX31))),"DESCARTADO",Q31))),)</f>
        <v>20.146250139067952</v>
      </c>
      <c r="R33" s="107">
        <f t="shared" si="11"/>
        <v>30.243441033479066</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t="s">
        <v>454</v>
      </c>
      <c r="I34" s="203"/>
      <c r="J34" s="204"/>
      <c r="K34" s="67"/>
      <c r="L34" s="1" t="s">
        <v>43</v>
      </c>
      <c r="M34" s="143">
        <f>IFERROR(ROUND(M15*M17,2),"")</f>
        <v>2627.75</v>
      </c>
      <c r="O34" s="27" t="s">
        <v>363</v>
      </c>
      <c r="P34" s="107">
        <f>INDEX(P21:P33,MATCH(MAX($J21:$J33),$J21:$J33,0))</f>
        <v>18.146064620087436</v>
      </c>
      <c r="Q34" s="107">
        <f t="shared" ref="Q34:R34" si="12">INDEX(Q21:Q33,MATCH(MAX($J21:$J33),$J21:$J33,0))</f>
        <v>20.146250139067952</v>
      </c>
      <c r="R34" s="107">
        <f t="shared" si="12"/>
        <v>30.243441033479066</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1101310</v>
      </c>
      <c r="I36" s="181" t="s">
        <v>432</v>
      </c>
      <c r="J36" s="6">
        <f>INDEX('BASE FORMAÇÃO'!K:K,B36+1)</f>
        <v>0</v>
      </c>
      <c r="K36" s="65"/>
      <c r="L36" s="182" t="s">
        <v>10</v>
      </c>
      <c r="M36" s="184">
        <f t="shared" ref="M36" si="32">IF(OR(ISBLANK($O$8),ISBLANK($O$7),ISBLANK($H$8),ISBLANK($O$6),ISBLANK($O$5),ISBLANK($H$5)),"",IFERROR(IF(VLOOKUP(L36,L42:M51,2,FALSE)&lt;1,ROUND(VLOOKUP(L36,L42:M51,2,FALSE),4),ROUND(VLOOKUP(L36,L42:M51,2,FALSE),2)),""))</f>
        <v>20.99</v>
      </c>
      <c r="N36" s="69"/>
      <c r="O36" s="27" t="s">
        <v>17</v>
      </c>
      <c r="P36" s="113">
        <v>25</v>
      </c>
      <c r="Q36" s="113">
        <f>(99/50)*10</f>
        <v>19.8</v>
      </c>
      <c r="R36" s="113">
        <f>(44.9/30)*10</f>
        <v>14.966666666666665</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6">
        <f t="shared" ref="E37" si="34">D36</f>
        <v>2</v>
      </c>
      <c r="F37" s="92"/>
      <c r="G37" s="188" t="s">
        <v>1</v>
      </c>
      <c r="H37" s="191" t="str">
        <f>INDEX('BASE FORMAÇÃO'!C:C,B36+1)</f>
        <v>ÁCIDO TRICLOROACÉTICO 40%, 10ML (USO EXTERNO). INDICAR MARCA.</v>
      </c>
      <c r="I37" s="191"/>
      <c r="J37" s="192"/>
      <c r="K37" s="66"/>
      <c r="L37" s="183"/>
      <c r="M37" s="185"/>
      <c r="N37" s="70"/>
      <c r="O37" s="27" t="s">
        <v>13</v>
      </c>
      <c r="P37" s="122">
        <v>46163</v>
      </c>
      <c r="Q37" s="122">
        <v>46332</v>
      </c>
      <c r="R37" s="122">
        <v>46238</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7"/>
      <c r="F38" s="93"/>
      <c r="G38" s="189"/>
      <c r="H38" s="193"/>
      <c r="I38" s="193"/>
      <c r="J38" s="194"/>
      <c r="K38" s="64"/>
      <c r="L38" s="130" t="s">
        <v>44</v>
      </c>
      <c r="M38" s="131">
        <v>80</v>
      </c>
      <c r="N38" s="71"/>
      <c r="O38" s="27" t="s">
        <v>380</v>
      </c>
      <c r="P38" s="114" t="s">
        <v>12</v>
      </c>
      <c r="Q38" s="114" t="s">
        <v>12</v>
      </c>
      <c r="R38" s="114" t="s">
        <v>302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0"/>
      <c r="H39" s="195"/>
      <c r="I39" s="195"/>
      <c r="J39" s="196"/>
      <c r="K39" s="64"/>
      <c r="L39" s="1" t="s">
        <v>2</v>
      </c>
      <c r="M39" s="6" t="str">
        <f>INDEX('BASE FORMAÇÃO'!D:D,B40+1)</f>
        <v>FR</v>
      </c>
      <c r="N39" s="71"/>
      <c r="O39" s="27" t="s">
        <v>381</v>
      </c>
      <c r="P39" s="115" t="s">
        <v>10</v>
      </c>
      <c r="Q39" s="115" t="s">
        <v>10</v>
      </c>
      <c r="R39" s="115" t="str">
        <f>'[2]MAPA DE PREÇOS'!$R$39</f>
        <v>mercadolivre</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7">
        <f t="shared" ref="E40" si="38">C36</f>
        <v>1</v>
      </c>
      <c r="F40" s="93"/>
      <c r="G40" s="199" t="s">
        <v>304</v>
      </c>
      <c r="H40" s="201"/>
      <c r="I40" s="202"/>
      <c r="J40" s="202"/>
      <c r="K40" s="67"/>
      <c r="L40" s="28" t="s">
        <v>303</v>
      </c>
      <c r="M40" s="133">
        <f t="shared" ref="M40" si="39">IFERROR(INDEX(I42:I54,MATCH(MAX(J42:J54),J42:J54,0)),"")</f>
        <v>0.18399495434378885</v>
      </c>
      <c r="N40" s="71"/>
      <c r="O40" s="27" t="s">
        <v>18</v>
      </c>
      <c r="P40" s="106">
        <f>IF(P36="","",
IF(OR(P38="Orçamento",P37="",MAX('Tabela de Apoio'!$A:$A)&lt;=P37),
P36,
(INDEX('Tabela de Apoio'!$B:$B,MATCH('MAPA DE PREÇOS'!$O$8,'Tabela de Apoio'!$A:$A,1))/INDEX('Tabela de Apoio'!$B:$B,MATCH('MAPA DE PREÇOS'!P37,'Tabela de Apoio'!$A:$A,1)-1))*P36))</f>
        <v>25.202867527899219</v>
      </c>
      <c r="Q40" s="106">
        <f>IF(Q36="","",
IF(OR(Q38="Orçamento",Q37="",MAX('Tabela de Apoio'!$A:$A)&lt;=Q37),
Q36,
(INDEX('Tabela de Apoio'!$B:$B,MATCH('MAPA DE PREÇOS'!$O$8,'Tabela de Apoio'!$A:$A,1))/INDEX('Tabela de Apoio'!$B:$B,MATCH('MAPA DE PREÇOS'!Q37,'Tabela de Apoio'!$A:$A,1)-1))*Q36))</f>
        <v>19.8</v>
      </c>
      <c r="R40" s="106">
        <f>IF(R36="","",
IF(OR(R38="Orçamento",R37="",MAX('Tabela de Apoio'!$A:$A)&lt;=R37),
R36,
(INDEX('Tabela de Apoio'!$B:$B,MATCH('MAPA DE PREÇOS'!$O$8,'Tabela de Apoio'!$A:$A,1))/INDEX('Tabela de Apoio'!$B:$B,MATCH('MAPA DE PREÇOS'!R37,'Tabela de Apoio'!$A:$A,1)-1))*R36))</f>
        <v>14.966666666666665</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8"/>
      <c r="F41" s="93"/>
      <c r="G41" s="200"/>
      <c r="H41"/>
      <c r="I41"/>
      <c r="J41"/>
      <c r="N41" s="71"/>
      <c r="O41" s="27" t="s">
        <v>375</v>
      </c>
      <c r="P41" s="107">
        <f>IF(IFERROR(VLOOKUP(P38,'Tabela de Apoio'!$D:$E,2,FALSE),1)=1,"",P42)</f>
        <v>25.202867527899219</v>
      </c>
      <c r="Q41" s="107">
        <f>IF(IFERROR(VLOOKUP(Q38,'Tabela de Apoio'!$D:$E,2,FALSE),1)=1,"",Q42)</f>
        <v>19.8</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8"/>
      <c r="F42" s="93"/>
      <c r="G42" s="200"/>
      <c r="H42" s="134">
        <f t="shared" ref="H42" si="44">COUNT($P42:$XX42)</f>
        <v>3</v>
      </c>
      <c r="I42" s="132">
        <f t="shared" ref="I42" si="45">_xlfn.STDEV.P($P41:$XX42)/AVERAGE($P41:$XX42)</f>
        <v>0.18399495434378885</v>
      </c>
      <c r="J42" s="7">
        <f>ROW()</f>
        <v>42</v>
      </c>
      <c r="K42" s="67"/>
      <c r="L42" s="29" t="s">
        <v>10</v>
      </c>
      <c r="M42" s="30">
        <f t="shared" ref="M42" si="46">IFERROR(
IF(COUNTA(P36:AI36)=COUNTIF(P38:XX38,"Orçamento"),MIN(M47,M44),
IF(M45&lt;&gt;"",M45,
IF(M46&lt;&gt;"",M46,
M44
))),"")</f>
        <v>20.99448034449302</v>
      </c>
      <c r="N42" s="71"/>
      <c r="O42" s="27" t="s">
        <v>376</v>
      </c>
      <c r="P42" s="106">
        <f t="shared" ref="P42:AI42" si="47">IFERROR(IF(P40="",
            "",
            IF(COUNT($P40:$XX40)&lt;=4,
               P40,
               IF(OR(P40&gt;(QUARTILE($P40:$XX40,3)+(QUARTILE($P40:$XX40,3)-QUARTILE($P40:$XX40,1))),
                     P40&lt;(QUARTILE($P40:$XX40,1)-(QUARTILE($P40:$XX40,3)-QUARTILE($P40:$XX40,1)))
                  ),
               "DESCARTADO",P40)
             )
  ),P40)</f>
        <v>25.202867527899219</v>
      </c>
      <c r="Q42" s="106">
        <f t="shared" si="47"/>
        <v>19.8</v>
      </c>
      <c r="R42" s="106">
        <f t="shared" si="47"/>
        <v>14.966666666666665</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8"/>
      <c r="F43" s="93"/>
      <c r="G43" s="200"/>
      <c r="H43"/>
      <c r="I43"/>
      <c r="J43"/>
      <c r="K43" s="66"/>
      <c r="L43" s="29" t="s">
        <v>360</v>
      </c>
      <c r="M43" s="30">
        <f t="shared" ref="M43" si="51">AVERAGE($P42:$XX42)</f>
        <v>19.989844731521959</v>
      </c>
      <c r="N43" s="71"/>
      <c r="O43" s="27" t="str">
        <f t="shared" ref="O43" si="52">"1 POND"</f>
        <v>1 POND</v>
      </c>
      <c r="P43" s="107">
        <f>IF(IFERROR(VLOOKUP(P38,'Tabela de Apoio'!$D:$E,2,FALSE),1)=1,"",P44)</f>
        <v>25.202867527899219</v>
      </c>
      <c r="Q43" s="107">
        <f>IF(IFERROR(VLOOKUP(Q38,'Tabela de Apoio'!$D:$E,2,FALSE),1)=1,"",Q44)</f>
        <v>19.8</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8"/>
      <c r="F44" s="93"/>
      <c r="G44" s="200"/>
      <c r="H44" s="134">
        <f t="shared" ref="H44" si="53">COUNT($P44:$XX44)</f>
        <v>3</v>
      </c>
      <c r="I44" s="132">
        <f t="shared" ref="I44" si="54">_xlfn.STDEV.P($P43:$XX44)/AVERAGE($P43:$XX44)</f>
        <v>0.18399495434378885</v>
      </c>
      <c r="J44" s="7">
        <f t="shared" ref="J44" si="55">IF(AND(H44&gt;2,
OR(L36="MÉDIA SANEADA",L36="MEDIANA SANEADA",
AND(L36="PREÇO ESTIMADO",NOT(AND(P38="Orçamento",COUNTA(P36:XX36)=COUNTIF(P38:XX38,"Orçamento")))))),
ROW(),0)</f>
        <v>44</v>
      </c>
      <c r="K44" s="66"/>
      <c r="L44" s="29" t="s">
        <v>361</v>
      </c>
      <c r="M44" s="30">
        <f t="shared" ref="M44" si="56">MEDIAN($P42:$XX42)</f>
        <v>19.8</v>
      </c>
      <c r="N44" s="71"/>
      <c r="O44" s="27" t="str">
        <f t="shared" ref="O44" si="57">"1 RODADA"</f>
        <v>1 RODADA</v>
      </c>
      <c r="P44" s="107">
        <f t="shared" ref="P44:AI44" si="58">IF(P42="","",IF((_xlfn.STDEV.P($P41:$XX42)/AVERAGE($P41:$XX42))&lt;=25%,P42,IF(OR(P42&gt;(AVERAGE($P41:$XX42)+_xlfn.STDEV.P($P41:$XX42)),P42&lt;(AVERAGE($P41:$XX42)-_xlfn.STDEV.P($P41:$XX42))),"DESCARTADO",P42)))</f>
        <v>25.202867527899219</v>
      </c>
      <c r="Q44" s="107">
        <f t="shared" si="58"/>
        <v>19.8</v>
      </c>
      <c r="R44" s="107">
        <f t="shared" si="58"/>
        <v>14.966666666666665</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8"/>
      <c r="F45" s="93"/>
      <c r="G45" s="200"/>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20.99448034449302</v>
      </c>
      <c r="N45" s="71"/>
      <c r="O45" s="27" t="str">
        <f t="shared" ref="O45" si="60">"2 POND"</f>
        <v>2 POND</v>
      </c>
      <c r="P45" s="107">
        <f>IF(IFERROR(VLOOKUP(P38,'Tabela de Apoio'!$D:$E,2,FALSE),1)=1,"",P46)</f>
        <v>25.202867527899219</v>
      </c>
      <c r="Q45" s="107">
        <f>IF(IFERROR(VLOOKUP(Q38,'Tabela de Apoio'!$D:$E,2,FALSE),1)=1,"",Q46)</f>
        <v>19.8</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8"/>
      <c r="F46" s="93"/>
      <c r="G46" s="200"/>
      <c r="H46" s="134">
        <f t="shared" ref="H46" si="61">COUNT($P46:$XX46)</f>
        <v>3</v>
      </c>
      <c r="I46" s="132">
        <f t="shared" ref="I46" si="62">_xlfn.STDEV.P($P45:$XX46)/AVERAGE($P45:$XX46)</f>
        <v>0.18399495434378885</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19.8</v>
      </c>
      <c r="N46" s="71"/>
      <c r="O46" s="27" t="str">
        <f t="shared" ref="O46" si="65">"2 RODADA"</f>
        <v>2 RODADA</v>
      </c>
      <c r="P46" s="107">
        <f t="shared" ref="P46:AI46" si="66">IF(P44="","",IF((_xlfn.STDEV.P($P43:$XX44)/AVERAGE($P43:$XX44))&lt;=25%,P44,IF(OR(P44&gt;(AVERAGE($P43:$XX44)+_xlfn.STDEV.P($P43:$XX44)),P44&lt;(AVERAGE($P43:$XX44)-_xlfn.STDEV.P($P43:$XX44))),"DESCARTADO",P44)))</f>
        <v>25.202867527899219</v>
      </c>
      <c r="Q46" s="107">
        <f t="shared" si="66"/>
        <v>19.8</v>
      </c>
      <c r="R46" s="107">
        <f t="shared" si="66"/>
        <v>14.966666666666665</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8"/>
      <c r="F47" s="93"/>
      <c r="G47" s="200"/>
      <c r="H47"/>
      <c r="I47"/>
      <c r="J47"/>
      <c r="K47" s="66"/>
      <c r="L47" s="29" t="s">
        <v>359</v>
      </c>
      <c r="M47" s="30">
        <f t="shared" ref="M47" si="67">HARMEAN($P41:$XX42)</f>
        <v>20.228067811072922</v>
      </c>
      <c r="N47" s="71"/>
      <c r="O47" s="27" t="str">
        <f t="shared" ref="O47" si="68">"3 POND"</f>
        <v>3 POND</v>
      </c>
      <c r="P47" s="107">
        <f>IF(IFERROR(VLOOKUP(P38,'Tabela de Apoio'!$D:$E,2,FALSE),1)=1,"",P48)</f>
        <v>25.202867527899219</v>
      </c>
      <c r="Q47" s="107">
        <f>IF(IFERROR(VLOOKUP(Q38,'Tabela de Apoio'!$D:$E,2,FALSE),1)=1,"",Q48)</f>
        <v>19.8</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8"/>
      <c r="F48" s="93"/>
      <c r="G48" s="200"/>
      <c r="H48" s="134">
        <f t="shared" ref="H48" si="69">COUNT($P48:$XX48)</f>
        <v>3</v>
      </c>
      <c r="I48" s="132">
        <f t="shared" ref="I48" si="70">_xlfn.STDEV.P($P47:$XX48)/AVERAGE($P47:$XX48)</f>
        <v>0.18399495434378885</v>
      </c>
      <c r="J48" s="7">
        <f t="shared" ref="J48" si="71">IF(AND(H48&gt;2,
OR(L36="MÉDIA SANEADA",L36="MEDIANA SANEADA",
AND(L36="PREÇO ESTIMADO",NOT(AND(P38="Orçamento",COUNTA(P36:XX36)=COUNTIF(P38:XX38,"Orçamento")))))),
ROW(),0)</f>
        <v>48</v>
      </c>
      <c r="K48" s="66"/>
      <c r="L48" s="29" t="s">
        <v>41</v>
      </c>
      <c r="M48" s="30">
        <f t="shared" ref="M48" si="72">IFERROR(_xlfn.QUARTILE.EXC($P42:$XX42,1),"")</f>
        <v>14.966666666666665</v>
      </c>
      <c r="N48" s="71"/>
      <c r="O48" s="27" t="str">
        <f t="shared" ref="O48" si="73">"3 RODADA"</f>
        <v>3 RODADA</v>
      </c>
      <c r="P48" s="107">
        <f t="shared" ref="P48:AI48" si="74">IF(P46="","",IF((_xlfn.STDEV.P($P45:$XX46)/AVERAGE($P45:$XX46))&lt;=25%,P46,IF(OR(P46&gt;(AVERAGE($P45:$XX46)+_xlfn.STDEV.P($P45:$XX46)),P46&lt;(AVERAGE($P45:$XX46)-_xlfn.STDEV.P($P45:$XX46))),"DESCARTADO",P46)))</f>
        <v>25.202867527899219</v>
      </c>
      <c r="Q48" s="107">
        <f t="shared" si="74"/>
        <v>19.8</v>
      </c>
      <c r="R48" s="107">
        <f t="shared" si="74"/>
        <v>14.966666666666665</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8"/>
      <c r="F49" s="93"/>
      <c r="G49" s="200"/>
      <c r="H49"/>
      <c r="I49"/>
      <c r="J49"/>
      <c r="K49" s="66"/>
      <c r="L49" s="29" t="s">
        <v>39</v>
      </c>
      <c r="M49" s="30">
        <f t="shared" ref="M49" si="75">IFERROR(_xlfn.QUARTILE.EXC($P42:$XX42,3),"")</f>
        <v>25.202867527899219</v>
      </c>
      <c r="N49" s="71"/>
      <c r="O49" s="27" t="str">
        <f t="shared" ref="O49" si="76">"4 POND"</f>
        <v>4 POND</v>
      </c>
      <c r="P49" s="107">
        <f>IF(IFERROR(VLOOKUP(P38,'Tabela de Apoio'!$D:$E,2,FALSE),1)=1,"",P50)</f>
        <v>25.202867527899219</v>
      </c>
      <c r="Q49" s="107">
        <f>IF(IFERROR(VLOOKUP(Q38,'Tabela de Apoio'!$D:$E,2,FALSE),1)=1,"",Q50)</f>
        <v>19.8</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8"/>
      <c r="F50" s="93"/>
      <c r="G50" s="200"/>
      <c r="H50" s="134">
        <f t="shared" ref="H50" si="77">COUNT($P50:$XX50)</f>
        <v>3</v>
      </c>
      <c r="I50" s="132">
        <f t="shared" ref="I50" si="78">_xlfn.STDEV.P($P49:$XX50)/AVERAGE($P49:$XX50)</f>
        <v>0.18399495434378885</v>
      </c>
      <c r="J50" s="7">
        <f t="shared" ref="J50" si="79">IF(AND(H50&gt;2,
OR(L36="MÉDIA SANEADA",L36="MEDIANA SANEADA",
AND(L36="PREÇO ESTIMADO",NOT(AND(P38="Orçamento",COUNTA(P36:XX36)=COUNTIF(P38:XX38,"Orçamento")))))),
ROW(),0)</f>
        <v>50</v>
      </c>
      <c r="K50" s="66"/>
      <c r="L50" s="29" t="s">
        <v>42</v>
      </c>
      <c r="M50" s="30">
        <f t="shared" ref="M50" si="80">MIN($P42:$XX42)</f>
        <v>14.966666666666665</v>
      </c>
      <c r="N50" s="71"/>
      <c r="O50" s="27" t="str">
        <f t="shared" ref="O50" si="81">"4 RODADA"</f>
        <v>4 RODADA</v>
      </c>
      <c r="P50" s="107">
        <f t="shared" ref="P50:AI50" si="82">IF(P48="","",IF((_xlfn.STDEV.P($P47:$XX48)/AVERAGE($P47:$XX48))&lt;=25%,P48,IF(OR(P48&gt;(AVERAGE($P47:$XX48)+_xlfn.STDEV.P($P47:$XX48)),P48&lt;(AVERAGE($P47:$XX48)-_xlfn.STDEV.P($P47:$XX48))),"DESCARTADO",P48)))</f>
        <v>25.202867527899219</v>
      </c>
      <c r="Q50" s="107">
        <f t="shared" si="82"/>
        <v>19.8</v>
      </c>
      <c r="R50" s="107">
        <f t="shared" si="82"/>
        <v>14.966666666666665</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8"/>
      <c r="F51" s="93"/>
      <c r="G51" s="200"/>
      <c r="H51"/>
      <c r="I51"/>
      <c r="J51"/>
      <c r="K51" s="66"/>
      <c r="L51" s="29" t="s">
        <v>40</v>
      </c>
      <c r="M51" s="30">
        <f t="shared" ref="M51" si="83">MAX($P42:$XX42)</f>
        <v>25.202867527899219</v>
      </c>
      <c r="N51" s="71"/>
      <c r="O51" s="27" t="str">
        <f t="shared" ref="O51" si="84">"5 POND"</f>
        <v>5 POND</v>
      </c>
      <c r="P51" s="107">
        <f>IF(IFERROR(VLOOKUP(P38,'Tabela de Apoio'!$D:$E,2,FALSE),1)=1,"",P52)</f>
        <v>25.202867527899219</v>
      </c>
      <c r="Q51" s="107">
        <f>IF(IFERROR(VLOOKUP(Q38,'Tabela de Apoio'!$D:$E,2,FALSE),1)=1,"",Q52)</f>
        <v>19.8</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8"/>
      <c r="F52" s="93"/>
      <c r="G52" s="200"/>
      <c r="H52" s="134">
        <f t="shared" ref="H52" si="85">COUNT($P52:$XX52)</f>
        <v>3</v>
      </c>
      <c r="I52" s="132">
        <f t="shared" ref="I52" si="86">_xlfn.STDEV.P($P51:$XX52)/AVERAGE($P51:$XX52)</f>
        <v>0.18399495434378885</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25.202867527899219</v>
      </c>
      <c r="Q52" s="107">
        <f t="shared" si="89"/>
        <v>19.8</v>
      </c>
      <c r="R52" s="107">
        <f t="shared" si="89"/>
        <v>14.966666666666665</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8"/>
      <c r="F53" s="93"/>
      <c r="G53" s="200"/>
      <c r="H53"/>
      <c r="I53"/>
      <c r="J53"/>
      <c r="K53" s="66"/>
      <c r="L53" s="22"/>
      <c r="M53" s="22"/>
      <c r="N53" s="71"/>
      <c r="O53" s="27" t="str">
        <f t="shared" ref="O53" si="90">"6 POND"</f>
        <v>6 POND</v>
      </c>
      <c r="P53" s="107">
        <f>IF(IFERROR(VLOOKUP(P38,'Tabela de Apoio'!$D:$E,2,FALSE),1)=1,"",P54)</f>
        <v>25.202867527899219</v>
      </c>
      <c r="Q53" s="107">
        <f>IF(IFERROR(VLOOKUP(Q38,'Tabela de Apoio'!$D:$E,2,FALSE),1)=1,"",Q54)</f>
        <v>19.8</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8"/>
      <c r="F54" s="93"/>
      <c r="G54" s="200"/>
      <c r="H54" s="134">
        <f t="shared" ref="H54" si="91">COUNT($P54:$XX54)</f>
        <v>3</v>
      </c>
      <c r="I54" s="132">
        <f t="shared" ref="I54" si="92">_xlfn.STDEV.P($P53:$XX54)/AVERAGE($P53:$XX54)</f>
        <v>0.18399495434378885</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25.202867527899219</v>
      </c>
      <c r="Q54" s="107">
        <f t="shared" si="95"/>
        <v>19.8</v>
      </c>
      <c r="R54" s="107">
        <f t="shared" si="95"/>
        <v>14.966666666666665</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8"/>
      <c r="F55" s="136"/>
      <c r="G55" s="200"/>
      <c r="H55" s="203" t="s">
        <v>455</v>
      </c>
      <c r="I55" s="203"/>
      <c r="J55" s="204"/>
      <c r="K55" s="67"/>
      <c r="L55" s="1" t="s">
        <v>43</v>
      </c>
      <c r="M55" s="143">
        <f t="shared" ref="M55" si="96">IFERROR(ROUND(M36*M38,2),"")</f>
        <v>1679.2</v>
      </c>
      <c r="O55" s="27" t="s">
        <v>363</v>
      </c>
      <c r="P55" s="107">
        <f t="shared" ref="P55:AI76" si="97">INDEX(P42:P54,MATCH(MAX($J42:$J54),$J42:$J54,0))</f>
        <v>25.202867527899219</v>
      </c>
      <c r="Q55" s="107">
        <f t="shared" si="97"/>
        <v>19.8</v>
      </c>
      <c r="R55" s="107">
        <f t="shared" si="97"/>
        <v>14.966666666666665</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1101674</v>
      </c>
      <c r="I57" s="181" t="s">
        <v>16</v>
      </c>
      <c r="J57" s="6">
        <f>INDEX('BASE FORMAÇÃO'!K:K,B57+1)</f>
        <v>0</v>
      </c>
      <c r="K57" s="65"/>
      <c r="L57" s="182" t="s">
        <v>10</v>
      </c>
      <c r="M57" s="184">
        <f t="shared" ref="M57" si="100">IF(OR(ISBLANK($O$8),ISBLANK($O$7),ISBLANK($H$8),ISBLANK($O$6),ISBLANK($O$5),ISBLANK($H$5)),"",IFERROR(IF(VLOOKUP(L57,L63:M72,2,FALSE)&lt;1,ROUND(VLOOKUP(L57,L63:M72,2,FALSE),4),ROUND(VLOOKUP(L57,L63:M72,2,FALSE),2)),""))</f>
        <v>27.18</v>
      </c>
      <c r="N57" s="69"/>
      <c r="O57" s="27" t="s">
        <v>17</v>
      </c>
      <c r="P57" s="113">
        <f>(78.5/20)*10</f>
        <v>39.25</v>
      </c>
      <c r="Q57" s="113">
        <f>(26.5/30)*10</f>
        <v>8.8333333333333321</v>
      </c>
      <c r="R57" s="113">
        <f>(17.7/5)*10</f>
        <v>35.4</v>
      </c>
      <c r="S57" s="113">
        <v>18</v>
      </c>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6">
        <f t="shared" ref="E58" si="102">D57</f>
        <v>3</v>
      </c>
      <c r="F58" s="92"/>
      <c r="G58" s="188" t="s">
        <v>1</v>
      </c>
      <c r="H58" s="191" t="str">
        <f>INDEX('BASE FORMAÇÃO'!C:C,B57+1)</f>
        <v>ÁCIDO TRICLOROACÉTICO 50%, 10ML (USO EXTERNO). INDICAR MARCA.</v>
      </c>
      <c r="I58" s="191"/>
      <c r="J58" s="192"/>
      <c r="K58" s="66"/>
      <c r="L58" s="183"/>
      <c r="M58" s="185"/>
      <c r="N58" s="70"/>
      <c r="O58" s="27" t="s">
        <v>13</v>
      </c>
      <c r="P58" s="122">
        <v>46174</v>
      </c>
      <c r="Q58" s="122">
        <v>46161</v>
      </c>
      <c r="R58" s="122">
        <v>46134</v>
      </c>
      <c r="S58" s="122">
        <v>46098</v>
      </c>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7"/>
      <c r="F59" s="93"/>
      <c r="G59" s="189"/>
      <c r="H59" s="193"/>
      <c r="I59" s="193"/>
      <c r="J59" s="194"/>
      <c r="K59" s="64"/>
      <c r="L59" s="130" t="s">
        <v>44</v>
      </c>
      <c r="M59" s="131">
        <v>105</v>
      </c>
      <c r="N59" s="71"/>
      <c r="O59" s="27" t="s">
        <v>380</v>
      </c>
      <c r="P59" s="114" t="s">
        <v>12</v>
      </c>
      <c r="Q59" s="114" t="s">
        <v>12</v>
      </c>
      <c r="R59" s="114" t="s">
        <v>12</v>
      </c>
      <c r="S59" s="114" t="s">
        <v>12</v>
      </c>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0"/>
      <c r="H60" s="195"/>
      <c r="I60" s="195"/>
      <c r="J60" s="196"/>
      <c r="K60" s="64"/>
      <c r="L60" s="1" t="s">
        <v>2</v>
      </c>
      <c r="M60" s="6" t="str">
        <f>INDEX('BASE FORMAÇÃO'!D:D,B61+1)</f>
        <v>FR</v>
      </c>
      <c r="N60" s="71"/>
      <c r="O60" s="27" t="s">
        <v>381</v>
      </c>
      <c r="P60" s="115" t="s">
        <v>10</v>
      </c>
      <c r="Q60" s="115" t="s">
        <v>10</v>
      </c>
      <c r="R60" s="115" t="s">
        <v>10</v>
      </c>
      <c r="S60" s="115" t="s">
        <v>10</v>
      </c>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7">
        <f t="shared" ref="E61" si="106">C57</f>
        <v>1</v>
      </c>
      <c r="F61" s="93"/>
      <c r="G61" s="199" t="s">
        <v>304</v>
      </c>
      <c r="H61" s="201"/>
      <c r="I61" s="202"/>
      <c r="J61" s="202"/>
      <c r="K61" s="67"/>
      <c r="L61" s="28" t="s">
        <v>303</v>
      </c>
      <c r="M61" s="133">
        <f t="shared" ref="M61" si="107">IFERROR(INDEX(I63:I75,MATCH(MAX(J63:J75),J63:J75,0)),"")</f>
        <v>0.48755291390896488</v>
      </c>
      <c r="N61" s="71"/>
      <c r="O61" s="27" t="s">
        <v>18</v>
      </c>
      <c r="P61" s="106">
        <f>IF(P57="","",
IF(OR(P59="Orçamento",P58="",MAX('Tabela de Apoio'!$A:$A)&lt;=P58),
P57,
(INDEX('Tabela de Apoio'!$B:$B,MATCH('MAPA DE PREÇOS'!$O$8,'Tabela de Apoio'!$A:$A,1))/INDEX('Tabela de Apoio'!$B:$B,MATCH('MAPA DE PREÇOS'!P58,'Tabela de Apoio'!$A:$A,1)-1))*P57))</f>
        <v>39.340314326289402</v>
      </c>
      <c r="Q61" s="106">
        <f>IF(Q57="","",
IF(OR(Q59="Orçamento",Q58="",MAX('Tabela de Apoio'!$A:$A)&lt;=Q58),
Q57,
(INDEX('Tabela de Apoio'!$B:$B,MATCH('MAPA DE PREÇOS'!$O$8,'Tabela de Apoio'!$A:$A,1))/INDEX('Tabela de Apoio'!$B:$B,MATCH('MAPA DE PREÇOS'!Q58,'Tabela de Apoio'!$A:$A,1)-1))*Q57))</f>
        <v>8.9050131931910563</v>
      </c>
      <c r="R61" s="106">
        <f>IF(R57="","",
IF(OR(R59="Orçamento",R58="",MAX('Tabela de Apoio'!$A:$A)&lt;=R58),
R57,
(INDEX('Tabela de Apoio'!$B:$B,MATCH('MAPA DE PREÇOS'!$O$8,'Tabela de Apoio'!$A:$A,1))/INDEX('Tabela de Apoio'!$B:$B,MATCH('MAPA DE PREÇOS'!R58,'Tabela de Apoio'!$A:$A,1)-1))*R57))</f>
        <v>35.926388471055049</v>
      </c>
      <c r="S61" s="106">
        <f>IF(S57="","",
IF(OR(S59="Orçamento",S58="",MAX('Tabela de Apoio'!$A:$A)&lt;=S58),
S57,
(INDEX('Tabela de Apoio'!$B:$B,MATCH('MAPA DE PREÇOS'!$O$8,'Tabela de Apoio'!$A:$A,1))/INDEX('Tabela de Apoio'!$B:$B,MATCH('MAPA DE PREÇOS'!S58,'Tabela de Apoio'!$A:$A,1)-1))*S57))</f>
        <v>18.428406983693215</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8"/>
      <c r="F62" s="93"/>
      <c r="G62" s="200"/>
      <c r="H62"/>
      <c r="I62"/>
      <c r="J62"/>
      <c r="N62" s="71"/>
      <c r="O62" s="27" t="s">
        <v>375</v>
      </c>
      <c r="P62" s="107">
        <f>IF(IFERROR(VLOOKUP(P59,'Tabela de Apoio'!$D:$E,2,FALSE),1)=1,"",P63)</f>
        <v>39.340314326289402</v>
      </c>
      <c r="Q62" s="107">
        <f>IF(IFERROR(VLOOKUP(Q59,'Tabela de Apoio'!$D:$E,2,FALSE),1)=1,"",Q63)</f>
        <v>8.9050131931910563</v>
      </c>
      <c r="R62" s="107">
        <f>IF(IFERROR(VLOOKUP(R59,'Tabela de Apoio'!$D:$E,2,FALSE),1)=1,"",R63)</f>
        <v>35.926388471055049</v>
      </c>
      <c r="S62" s="107">
        <f>IF(IFERROR(VLOOKUP(S59,'Tabela de Apoio'!$D:$E,2,FALSE),1)=1,"",S63)</f>
        <v>18.428406983693215</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8"/>
      <c r="F63" s="93"/>
      <c r="G63" s="200"/>
      <c r="H63" s="134">
        <f t="shared" ref="H63" si="111">COUNT($P63:$XX63)</f>
        <v>4</v>
      </c>
      <c r="I63" s="132">
        <f t="shared" ref="I63" si="112">_xlfn.STDEV.P($P62:$XX63)/AVERAGE($P62:$XX63)</f>
        <v>0.48755291390896488</v>
      </c>
      <c r="J63" s="7">
        <f>ROW()</f>
        <v>63</v>
      </c>
      <c r="K63" s="67"/>
      <c r="L63" s="29" t="s">
        <v>10</v>
      </c>
      <c r="M63" s="30">
        <f t="shared" ref="M63" si="113">IFERROR(
IF(COUNTA(P57:AI57)=COUNTIF(P59:XX59,"Orçamento"),MIN(M68,M65),
IF(M66&lt;&gt;"",M66,
IF(M67&lt;&gt;"",M67,
M65
))),"")</f>
        <v>27.177397727374132</v>
      </c>
      <c r="N63" s="71"/>
      <c r="O63" s="27" t="s">
        <v>376</v>
      </c>
      <c r="P63" s="106">
        <f t="shared" ref="P63:AI63" si="114">IFERROR(IF(P61="",
            "",
            IF(COUNT($P61:$XX61)&lt;=4,
               P61,
               IF(OR(P61&gt;(QUARTILE($P61:$XX61,3)+(QUARTILE($P61:$XX61,3)-QUARTILE($P61:$XX61,1))),
                     P61&lt;(QUARTILE($P61:$XX61,1)-(QUARTILE($P61:$XX61,3)-QUARTILE($P61:$XX61,1)))
                  ),
               "DESCARTADO",P61)
             )
  ),P61)</f>
        <v>39.340314326289402</v>
      </c>
      <c r="Q63" s="106">
        <f t="shared" si="114"/>
        <v>8.9050131931910563</v>
      </c>
      <c r="R63" s="106">
        <f t="shared" si="114"/>
        <v>35.926388471055049</v>
      </c>
      <c r="S63" s="106">
        <f t="shared" si="114"/>
        <v>18.428406983693215</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8"/>
      <c r="F64" s="93"/>
      <c r="G64" s="200"/>
      <c r="H64"/>
      <c r="I64"/>
      <c r="J64"/>
      <c r="K64" s="66"/>
      <c r="L64" s="29" t="s">
        <v>360</v>
      </c>
      <c r="M64" s="30">
        <f t="shared" ref="M64" si="117">AVERAGE($P63:$XX63)</f>
        <v>25.650030743557181</v>
      </c>
      <c r="N64" s="71"/>
      <c r="O64" s="27" t="str">
        <f t="shared" ref="O64" si="118">"1 POND"</f>
        <v>1 POND</v>
      </c>
      <c r="P64" s="107" t="str">
        <f>IF(IFERROR(VLOOKUP(P59,'Tabela de Apoio'!$D:$E,2,FALSE),1)=1,"",P65)</f>
        <v>DESCARTADO</v>
      </c>
      <c r="Q64" s="107" t="str">
        <f>IF(IFERROR(VLOOKUP(Q59,'Tabela de Apoio'!$D:$E,2,FALSE),1)=1,"",Q65)</f>
        <v>DESCARTADO</v>
      </c>
      <c r="R64" s="107">
        <f>IF(IFERROR(VLOOKUP(R59,'Tabela de Apoio'!$D:$E,2,FALSE),1)=1,"",R65)</f>
        <v>35.926388471055049</v>
      </c>
      <c r="S64" s="107">
        <f>IF(IFERROR(VLOOKUP(S59,'Tabela de Apoio'!$D:$E,2,FALSE),1)=1,"",S65)</f>
        <v>18.428406983693215</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8"/>
      <c r="F65" s="93"/>
      <c r="G65" s="200"/>
      <c r="H65" s="134">
        <f t="shared" ref="H65" si="119">COUNT($P65:$XX65)</f>
        <v>2</v>
      </c>
      <c r="I65" s="132">
        <f t="shared" ref="I65" si="120">_xlfn.STDEV.P($P64:$XX65)/AVERAGE($P64:$XX65)</f>
        <v>0.32192157731380588</v>
      </c>
      <c r="J65" s="7">
        <f t="shared" ref="J65" si="121">IF(AND(H65&gt;2,
OR(L57="MÉDIA SANEADA",L57="MEDIANA SANEADA",
AND(L57="PREÇO ESTIMADO",NOT(AND(P59="Orçamento",COUNTA(P57:XX57)=COUNTIF(P59:XX59,"Orçamento")))))),
ROW(),0)</f>
        <v>0</v>
      </c>
      <c r="K65" s="66"/>
      <c r="L65" s="29" t="s">
        <v>361</v>
      </c>
      <c r="M65" s="30">
        <f t="shared" ref="M65" si="122">MEDIAN($P63:$XX63)</f>
        <v>27.177397727374132</v>
      </c>
      <c r="N65" s="71"/>
      <c r="O65" s="27" t="str">
        <f t="shared" ref="O65" si="123">"1 RODADA"</f>
        <v>1 RODADA</v>
      </c>
      <c r="P65" s="107" t="str">
        <f t="shared" ref="P65:AI65" si="124">IF(P63="","",IF((_xlfn.STDEV.P($P62:$XX63)/AVERAGE($P62:$XX63))&lt;=25%,P63,IF(OR(P63&gt;(AVERAGE($P62:$XX63)+_xlfn.STDEV.P($P62:$XX63)),P63&lt;(AVERAGE($P62:$XX63)-_xlfn.STDEV.P($P62:$XX63))),"DESCARTADO",P63)))</f>
        <v>DESCARTADO</v>
      </c>
      <c r="Q65" s="107" t="str">
        <f t="shared" si="124"/>
        <v>DESCARTADO</v>
      </c>
      <c r="R65" s="107">
        <f t="shared" si="124"/>
        <v>35.926388471055049</v>
      </c>
      <c r="S65" s="107">
        <f t="shared" si="124"/>
        <v>18.428406983693215</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DESCARTADO</v>
      </c>
      <c r="Q66" s="107" t="str">
        <f>IF(IFERROR(VLOOKUP(Q59,'Tabela de Apoio'!$D:$E,2,FALSE),1)=1,"",Q67)</f>
        <v>DESCARTADO</v>
      </c>
      <c r="R66" s="107">
        <f>IF(IFERROR(VLOOKUP(R59,'Tabela de Apoio'!$D:$E,2,FALSE),1)=1,"",R67)</f>
        <v>35.926388471055049</v>
      </c>
      <c r="S66" s="107">
        <f>IF(IFERROR(VLOOKUP(S59,'Tabela de Apoio'!$D:$E,2,FALSE),1)=1,"",S67)</f>
        <v>18.428406983693215</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8"/>
      <c r="F67" s="93"/>
      <c r="G67" s="200"/>
      <c r="H67" s="134">
        <f t="shared" ref="H67" si="127">COUNT($P67:$XX67)</f>
        <v>2</v>
      </c>
      <c r="I67" s="132">
        <f t="shared" ref="I67" si="128">_xlfn.STDEV.P($P66:$XX67)/AVERAGE($P66:$XX67)</f>
        <v>0.32192157731380588</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27.177397727374132</v>
      </c>
      <c r="N67" s="71"/>
      <c r="O67" s="27" t="str">
        <f t="shared" ref="O67" si="131">"2 RODADA"</f>
        <v>2 RODADA</v>
      </c>
      <c r="P67" s="107" t="str">
        <f t="shared" ref="P67:AI67" si="132">IF(P65="","",IF((_xlfn.STDEV.P($P64:$XX65)/AVERAGE($P64:$XX65))&lt;=25%,P65,IF(OR(P65&gt;(AVERAGE($P64:$XX65)+_xlfn.STDEV.P($P64:$XX65)),P65&lt;(AVERAGE($P64:$XX65)-_xlfn.STDEV.P($P64:$XX65))),"DESCARTADO",P65)))</f>
        <v>DESCARTADO</v>
      </c>
      <c r="Q67" s="107" t="str">
        <f t="shared" si="132"/>
        <v>DESCARTADO</v>
      </c>
      <c r="R67" s="107">
        <f t="shared" si="132"/>
        <v>35.926388471055049</v>
      </c>
      <c r="S67" s="107">
        <f t="shared" si="132"/>
        <v>18.428406983693215</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8"/>
      <c r="F68" s="93"/>
      <c r="G68" s="200"/>
      <c r="H68"/>
      <c r="I68"/>
      <c r="J68"/>
      <c r="K68" s="66"/>
      <c r="L68" s="29" t="s">
        <v>359</v>
      </c>
      <c r="M68" s="30">
        <f t="shared" ref="M68" si="133">HARMEAN($P62:$XX63)</f>
        <v>18.197181821573054</v>
      </c>
      <c r="N68" s="71"/>
      <c r="O68" s="27" t="str">
        <f t="shared" ref="O68" si="134">"3 POND"</f>
        <v>3 POND</v>
      </c>
      <c r="P68" s="107" t="str">
        <f>IF(IFERROR(VLOOKUP(P59,'Tabela de Apoio'!$D:$E,2,FALSE),1)=1,"",P69)</f>
        <v>DESCARTADO</v>
      </c>
      <c r="Q68" s="107" t="str">
        <f>IF(IFERROR(VLOOKUP(Q59,'Tabela de Apoio'!$D:$E,2,FALSE),1)=1,"",Q69)</f>
        <v>DESCARTADO</v>
      </c>
      <c r="R68" s="107">
        <f>IF(IFERROR(VLOOKUP(R59,'Tabela de Apoio'!$D:$E,2,FALSE),1)=1,"",R69)</f>
        <v>35.926388471055049</v>
      </c>
      <c r="S68" s="107">
        <f>IF(IFERROR(VLOOKUP(S59,'Tabela de Apoio'!$D:$E,2,FALSE),1)=1,"",S69)</f>
        <v>18.428406983693215</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8"/>
      <c r="F69" s="93"/>
      <c r="G69" s="200"/>
      <c r="H69" s="134">
        <f t="shared" ref="H69" si="135">COUNT($P69:$XX69)</f>
        <v>2</v>
      </c>
      <c r="I69" s="132">
        <f t="shared" ref="I69" si="136">_xlfn.STDEV.P($P68:$XX69)/AVERAGE($P68:$XX69)</f>
        <v>0.32192157731380588</v>
      </c>
      <c r="J69" s="7">
        <f t="shared" ref="J69" si="137">IF(AND(H69&gt;2,
OR(L57="MÉDIA SANEADA",L57="MEDIANA SANEADA",
AND(L57="PREÇO ESTIMADO",NOT(AND(P59="Orçamento",COUNTA(P57:XX57)=COUNTIF(P59:XX59,"Orçamento")))))),
ROW(),0)</f>
        <v>0</v>
      </c>
      <c r="K69" s="66"/>
      <c r="L69" s="29" t="s">
        <v>41</v>
      </c>
      <c r="M69" s="30">
        <f t="shared" ref="M69" si="138">IFERROR(_xlfn.QUARTILE.EXC($P63:$XX63,1),"")</f>
        <v>11.285861640816595</v>
      </c>
      <c r="N69" s="71"/>
      <c r="O69" s="27" t="str">
        <f t="shared" ref="O69" si="139">"3 RODADA"</f>
        <v>3 RODADA</v>
      </c>
      <c r="P69" s="107" t="str">
        <f t="shared" ref="P69:AI69" si="140">IF(P67="","",IF((_xlfn.STDEV.P($P66:$XX67)/AVERAGE($P66:$XX67))&lt;=25%,P67,IF(OR(P67&gt;(AVERAGE($P66:$XX67)+_xlfn.STDEV.P($P66:$XX67)),P67&lt;(AVERAGE($P66:$XX67)-_xlfn.STDEV.P($P66:$XX67))),"DESCARTADO",P67)))</f>
        <v>DESCARTADO</v>
      </c>
      <c r="Q69" s="107" t="str">
        <f t="shared" si="140"/>
        <v>DESCARTADO</v>
      </c>
      <c r="R69" s="107">
        <f t="shared" si="140"/>
        <v>35.926388471055049</v>
      </c>
      <c r="S69" s="107">
        <f t="shared" si="140"/>
        <v>18.428406983693215</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8"/>
      <c r="F70" s="93"/>
      <c r="G70" s="200"/>
      <c r="H70"/>
      <c r="I70"/>
      <c r="J70"/>
      <c r="K70" s="66"/>
      <c r="L70" s="29" t="s">
        <v>39</v>
      </c>
      <c r="M70" s="30">
        <f t="shared" ref="M70" si="141">IFERROR(_xlfn.QUARTILE.EXC($P63:$XX63,3),"")</f>
        <v>38.48683286248081</v>
      </c>
      <c r="N70" s="71"/>
      <c r="O70" s="27" t="str">
        <f t="shared" ref="O70" si="142">"4 POND"</f>
        <v>4 POND</v>
      </c>
      <c r="P70" s="107" t="str">
        <f>IF(IFERROR(VLOOKUP(P59,'Tabela de Apoio'!$D:$E,2,FALSE),1)=1,"",P71)</f>
        <v>DESCARTADO</v>
      </c>
      <c r="Q70" s="107" t="str">
        <f>IF(IFERROR(VLOOKUP(Q59,'Tabela de Apoio'!$D:$E,2,FALSE),1)=1,"",Q71)</f>
        <v>DESCARTADO</v>
      </c>
      <c r="R70" s="107">
        <f>IF(IFERROR(VLOOKUP(R59,'Tabela de Apoio'!$D:$E,2,FALSE),1)=1,"",R71)</f>
        <v>35.926388471055049</v>
      </c>
      <c r="S70" s="107">
        <f>IF(IFERROR(VLOOKUP(S59,'Tabela de Apoio'!$D:$E,2,FALSE),1)=1,"",S71)</f>
        <v>18.428406983693215</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8"/>
      <c r="F71" s="93"/>
      <c r="G71" s="200"/>
      <c r="H71" s="134">
        <f t="shared" ref="H71" si="143">COUNT($P71:$XX71)</f>
        <v>2</v>
      </c>
      <c r="I71" s="132">
        <f t="shared" ref="I71" si="144">_xlfn.STDEV.P($P70:$XX71)/AVERAGE($P70:$XX71)</f>
        <v>0.32192157731380588</v>
      </c>
      <c r="J71" s="7">
        <f t="shared" ref="J71" si="145">IF(AND(H71&gt;2,
OR(L57="MÉDIA SANEADA",L57="MEDIANA SANEADA",
AND(L57="PREÇO ESTIMADO",NOT(AND(P59="Orçamento",COUNTA(P57:XX57)=COUNTIF(P59:XX59,"Orçamento")))))),
ROW(),0)</f>
        <v>0</v>
      </c>
      <c r="K71" s="66"/>
      <c r="L71" s="29" t="s">
        <v>42</v>
      </c>
      <c r="M71" s="30">
        <f t="shared" ref="M71" si="146">MIN($P63:$XX63)</f>
        <v>8.9050131931910563</v>
      </c>
      <c r="N71" s="71"/>
      <c r="O71" s="27" t="str">
        <f t="shared" ref="O71" si="147">"4 RODADA"</f>
        <v>4 RODADA</v>
      </c>
      <c r="P71" s="107" t="str">
        <f t="shared" ref="P71:AI71" si="148">IF(P69="","",IF((_xlfn.STDEV.P($P68:$XX69)/AVERAGE($P68:$XX69))&lt;=25%,P69,IF(OR(P69&gt;(AVERAGE($P68:$XX69)+_xlfn.STDEV.P($P68:$XX69)),P69&lt;(AVERAGE($P68:$XX69)-_xlfn.STDEV.P($P68:$XX69))),"DESCARTADO",P69)))</f>
        <v>DESCARTADO</v>
      </c>
      <c r="Q71" s="107" t="str">
        <f t="shared" si="148"/>
        <v>DESCARTADO</v>
      </c>
      <c r="R71" s="107">
        <f t="shared" si="148"/>
        <v>35.926388471055049</v>
      </c>
      <c r="S71" s="107">
        <f t="shared" si="148"/>
        <v>18.428406983693215</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8"/>
      <c r="F72" s="93"/>
      <c r="G72" s="200"/>
      <c r="H72"/>
      <c r="I72"/>
      <c r="J72"/>
      <c r="K72" s="66"/>
      <c r="L72" s="29" t="s">
        <v>40</v>
      </c>
      <c r="M72" s="30">
        <f t="shared" ref="M72" si="149">MAX($P63:$XX63)</f>
        <v>39.340314326289402</v>
      </c>
      <c r="N72" s="71"/>
      <c r="O72" s="27" t="str">
        <f t="shared" ref="O72" si="150">"5 POND"</f>
        <v>5 POND</v>
      </c>
      <c r="P72" s="107" t="str">
        <f>IF(IFERROR(VLOOKUP(P59,'Tabela de Apoio'!$D:$E,2,FALSE),1)=1,"",P73)</f>
        <v>DESCARTADO</v>
      </c>
      <c r="Q72" s="107" t="str">
        <f>IF(IFERROR(VLOOKUP(Q59,'Tabela de Apoio'!$D:$E,2,FALSE),1)=1,"",Q73)</f>
        <v>DESCARTADO</v>
      </c>
      <c r="R72" s="107">
        <f>IF(IFERROR(VLOOKUP(R59,'Tabela de Apoio'!$D:$E,2,FALSE),1)=1,"",R73)</f>
        <v>35.926388471055049</v>
      </c>
      <c r="S72" s="107">
        <f>IF(IFERROR(VLOOKUP(S59,'Tabela de Apoio'!$D:$E,2,FALSE),1)=1,"",S73)</f>
        <v>18.428406983693215</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8"/>
      <c r="F73" s="93"/>
      <c r="G73" s="200"/>
      <c r="H73" s="134">
        <f t="shared" ref="H73" si="151">COUNT($P73:$XX73)</f>
        <v>2</v>
      </c>
      <c r="I73" s="132">
        <f t="shared" ref="I73" si="152">_xlfn.STDEV.P($P72:$XX73)/AVERAGE($P72:$XX73)</f>
        <v>0.32192157731380588</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DESCARTADO</v>
      </c>
      <c r="Q73" s="107" t="str">
        <f t="shared" si="155"/>
        <v>DESCARTADO</v>
      </c>
      <c r="R73" s="107">
        <f t="shared" si="155"/>
        <v>35.926388471055049</v>
      </c>
      <c r="S73" s="107">
        <f t="shared" si="155"/>
        <v>18.428406983693215</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8"/>
      <c r="F74" s="93"/>
      <c r="G74" s="200"/>
      <c r="H74"/>
      <c r="I74"/>
      <c r="J74"/>
      <c r="K74" s="66"/>
      <c r="L74" s="22"/>
      <c r="M74" s="22"/>
      <c r="N74" s="71"/>
      <c r="O74" s="27" t="str">
        <f t="shared" ref="O74" si="156">"6 POND"</f>
        <v>6 POND</v>
      </c>
      <c r="P74" s="107" t="str">
        <f>IF(IFERROR(VLOOKUP(P59,'Tabela de Apoio'!$D:$E,2,FALSE),1)=1,"",P75)</f>
        <v>DESCARTADO</v>
      </c>
      <c r="Q74" s="107" t="str">
        <f>IF(IFERROR(VLOOKUP(Q59,'Tabela de Apoio'!$D:$E,2,FALSE),1)=1,"",Q75)</f>
        <v>DESCARTADO</v>
      </c>
      <c r="R74" s="107">
        <f>IF(IFERROR(VLOOKUP(R59,'Tabela de Apoio'!$D:$E,2,FALSE),1)=1,"",R75)</f>
        <v>35.926388471055049</v>
      </c>
      <c r="S74" s="107">
        <f>IF(IFERROR(VLOOKUP(S59,'Tabela de Apoio'!$D:$E,2,FALSE),1)=1,"",S75)</f>
        <v>18.428406983693215</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8"/>
      <c r="F75" s="93"/>
      <c r="G75" s="200"/>
      <c r="H75" s="134">
        <f t="shared" ref="H75" si="157">COUNT($P75:$XX75)</f>
        <v>2</v>
      </c>
      <c r="I75" s="132">
        <f t="shared" ref="I75" si="158">_xlfn.STDEV.P($P74:$XX75)/AVERAGE($P74:$XX75)</f>
        <v>0.32192157731380588</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DESCARTADO</v>
      </c>
      <c r="Q75" s="107" t="str">
        <f t="shared" si="161"/>
        <v>DESCARTADO</v>
      </c>
      <c r="R75" s="107">
        <f t="shared" si="161"/>
        <v>35.926388471055049</v>
      </c>
      <c r="S75" s="107">
        <f t="shared" si="161"/>
        <v>18.428406983693215</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8"/>
      <c r="F76" s="136"/>
      <c r="G76" s="200"/>
      <c r="H76" s="203" t="s">
        <v>456</v>
      </c>
      <c r="I76" s="203"/>
      <c r="J76" s="204"/>
      <c r="K76" s="67"/>
      <c r="L76" s="1" t="s">
        <v>43</v>
      </c>
      <c r="M76" s="143">
        <f t="shared" ref="M76" si="162">IFERROR(ROUND(M57*M59,2),"")</f>
        <v>2853.9</v>
      </c>
      <c r="O76" s="27" t="s">
        <v>363</v>
      </c>
      <c r="P76" s="107">
        <f t="shared" ref="P76:R76" si="163">INDEX(P63:P75,MATCH(MAX($J63:$J75),$J63:$J75,0))</f>
        <v>39.340314326289402</v>
      </c>
      <c r="Q76" s="107">
        <f t="shared" si="163"/>
        <v>8.9050131931910563</v>
      </c>
      <c r="R76" s="107">
        <f t="shared" si="163"/>
        <v>35.926388471055049</v>
      </c>
      <c r="S76" s="107">
        <f t="shared" si="97"/>
        <v>18.428406983693215</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1101328</v>
      </c>
      <c r="I78" s="181" t="s">
        <v>16</v>
      </c>
      <c r="J78" s="6">
        <f>INDEX('BASE FORMAÇÃO'!K:K,B78+1)</f>
        <v>0</v>
      </c>
      <c r="K78" s="65"/>
      <c r="L78" s="182" t="s">
        <v>10</v>
      </c>
      <c r="M78" s="184">
        <f t="shared" ref="M78" si="166">IF(OR(ISBLANK($O$8),ISBLANK($O$7),ISBLANK($H$8),ISBLANK($O$6),ISBLANK($O$5),ISBLANK($H$5)),"",IFERROR(IF(VLOOKUP(L78,L84:M93,2,FALSE)&lt;1,ROUND(VLOOKUP(L78,L84:M93,2,FALSE),4),ROUND(VLOOKUP(L78,L84:M93,2,FALSE),2)),""))</f>
        <v>29.58</v>
      </c>
      <c r="N78" s="69"/>
      <c r="O78" s="27" t="s">
        <v>17</v>
      </c>
      <c r="P78" s="113">
        <f>(85.8/30)*10</f>
        <v>28.599999999999998</v>
      </c>
      <c r="Q78" s="113">
        <f>(39.67/20)*10</f>
        <v>19.835000000000001</v>
      </c>
      <c r="R78" s="113">
        <v>39.1</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6">
        <f t="shared" ref="E79" si="168">D78</f>
        <v>4</v>
      </c>
      <c r="F79" s="92"/>
      <c r="G79" s="188" t="s">
        <v>1</v>
      </c>
      <c r="H79" s="191" t="str">
        <f>INDEX('BASE FORMAÇÃO'!C:C,B78+1)</f>
        <v>ÁCIDO TRICLOROACÉTICO 80%, 10ML (USO EXTERNO). INDICAR MARCA.</v>
      </c>
      <c r="I79" s="191"/>
      <c r="J79" s="192"/>
      <c r="K79" s="66"/>
      <c r="L79" s="183"/>
      <c r="M79" s="185"/>
      <c r="N79" s="70"/>
      <c r="O79" s="27" t="s">
        <v>13</v>
      </c>
      <c r="P79" s="122">
        <v>46043</v>
      </c>
      <c r="Q79" s="122">
        <v>46049</v>
      </c>
      <c r="R79" s="122">
        <v>46113</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7"/>
      <c r="F80" s="93"/>
      <c r="G80" s="189"/>
      <c r="H80" s="193"/>
      <c r="I80" s="193"/>
      <c r="J80" s="194"/>
      <c r="K80" s="64"/>
      <c r="L80" s="130" t="s">
        <v>44</v>
      </c>
      <c r="M80" s="131">
        <v>1100</v>
      </c>
      <c r="N80" s="71"/>
      <c r="O80" s="27" t="s">
        <v>380</v>
      </c>
      <c r="P80" s="114" t="s">
        <v>12</v>
      </c>
      <c r="Q80" s="114" t="s">
        <v>12</v>
      </c>
      <c r="R80" s="114" t="s">
        <v>12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0"/>
      <c r="H81" s="195"/>
      <c r="I81" s="195"/>
      <c r="J81" s="196"/>
      <c r="K81" s="64"/>
      <c r="L81" s="1" t="s">
        <v>2</v>
      </c>
      <c r="M81" s="6" t="str">
        <f>INDEX('BASE FORMAÇÃO'!D:D,B82+1)</f>
        <v>FR</v>
      </c>
      <c r="N81" s="71"/>
      <c r="O81" s="27" t="s">
        <v>381</v>
      </c>
      <c r="P81" s="115" t="s">
        <v>468</v>
      </c>
      <c r="Q81" s="115" t="s">
        <v>468</v>
      </c>
      <c r="R81" s="115" t="s">
        <v>10</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7">
        <f t="shared" ref="E82" si="172">C78</f>
        <v>1</v>
      </c>
      <c r="F82" s="93"/>
      <c r="G82" s="199" t="s">
        <v>304</v>
      </c>
      <c r="H82" s="201"/>
      <c r="I82" s="202"/>
      <c r="J82" s="202"/>
      <c r="K82" s="67"/>
      <c r="L82" s="28" t="s">
        <v>303</v>
      </c>
      <c r="M82" s="133">
        <f t="shared" ref="M82" si="173">IFERROR(INDEX(I84:I96,MATCH(MAX(J84:J96),J84:J96,0)),"")</f>
        <v>0.26156103156573379</v>
      </c>
      <c r="N82" s="71"/>
      <c r="O82" s="27" t="s">
        <v>18</v>
      </c>
      <c r="P82" s="106">
        <f>IF(P78="","",
IF(OR(P80="Orçamento",P79="",MAX('Tabela de Apoio'!$A:$A)&lt;=P79),
P78,
(INDEX('Tabela de Apoio'!$B:$B,MATCH('MAPA DE PREÇOS'!$O$8,'Tabela de Apoio'!$A:$A,1))/INDEX('Tabela de Apoio'!$B:$B,MATCH('MAPA DE PREÇOS'!P79,'Tabela de Apoio'!$A:$A,1)-1))*P78))</f>
        <v>29.582939206758073</v>
      </c>
      <c r="Q82" s="106">
        <f>IF(Q78="","",
IF(OR(Q80="Orçamento",Q79="",MAX('Tabela de Apoio'!$A:$A)&lt;=Q79),
Q78,
(INDEX('Tabela de Apoio'!$B:$B,MATCH('MAPA DE PREÇOS'!$O$8,'Tabela de Apoio'!$A:$A,1))/INDEX('Tabela de Apoio'!$B:$B,MATCH('MAPA DE PREÇOS'!Q79,'Tabela de Apoio'!$A:$A,1)-1))*Q78))</f>
        <v>20.516699271540087</v>
      </c>
      <c r="R82" s="106">
        <f>IF(R78="","",
IF(OR(R80="Orçamento",R79="",MAX('Tabela de Apoio'!$A:$A)&lt;=R79),
R78,
(INDEX('Tabela de Apoio'!$B:$B,MATCH('MAPA DE PREÇOS'!$O$8,'Tabela de Apoio'!$A:$A,1))/INDEX('Tabela de Apoio'!$B:$B,MATCH('MAPA DE PREÇOS'!R79,'Tabela de Apoio'!$A:$A,1)-1))*R78))</f>
        <v>39.681406475091883</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8"/>
      <c r="F83" s="93"/>
      <c r="G83" s="200"/>
      <c r="H83"/>
      <c r="I83"/>
      <c r="J83"/>
      <c r="N83" s="71"/>
      <c r="O83" s="27" t="s">
        <v>375</v>
      </c>
      <c r="P83" s="107">
        <f>IF(IFERROR(VLOOKUP(P80,'Tabela de Apoio'!$D:$E,2,FALSE),1)=1,"",P84)</f>
        <v>29.582939206758073</v>
      </c>
      <c r="Q83" s="107">
        <f>IF(IFERROR(VLOOKUP(Q80,'Tabela de Apoio'!$D:$E,2,FALSE),1)=1,"",Q84)</f>
        <v>20.516699271540087</v>
      </c>
      <c r="R83" s="107">
        <f>IF(IFERROR(VLOOKUP(R80,'Tabela de Apoio'!$D:$E,2,FALSE),1)=1,"",R84)</f>
        <v>39.681406475091883</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8"/>
      <c r="F84" s="93"/>
      <c r="G84" s="200"/>
      <c r="H84" s="134">
        <f t="shared" ref="H84" si="177">COUNT($P84:$XX84)</f>
        <v>3</v>
      </c>
      <c r="I84" s="132">
        <f t="shared" ref="I84" si="178">_xlfn.STDEV.P($P83:$XX84)/AVERAGE($P83:$XX84)</f>
        <v>0.26156103156573379</v>
      </c>
      <c r="J84" s="7">
        <f>ROW()</f>
        <v>84</v>
      </c>
      <c r="K84" s="67"/>
      <c r="L84" s="29" t="s">
        <v>10</v>
      </c>
      <c r="M84" s="30">
        <f t="shared" ref="M84" si="179">IFERROR(
IF(COUNTA(P78:AI78)=COUNTIF(P80:XX80,"Orçamento"),MIN(M89,M86),
IF(M87&lt;&gt;"",M87,
IF(M88&lt;&gt;"",M88,
M86
))),"")</f>
        <v>29.582939206758073</v>
      </c>
      <c r="N84" s="71"/>
      <c r="O84" s="27" t="s">
        <v>376</v>
      </c>
      <c r="P84" s="106">
        <f t="shared" ref="P84:AI84" si="180">IFERROR(IF(P82="",
            "",
            IF(COUNT($P82:$XX82)&lt;=4,
               P82,
               IF(OR(P82&gt;(QUARTILE($P82:$XX82,3)+(QUARTILE($P82:$XX82,3)-QUARTILE($P82:$XX82,1))),
                     P82&lt;(QUARTILE($P82:$XX82,1)-(QUARTILE($P82:$XX82,3)-QUARTILE($P82:$XX82,1)))
                  ),
               "DESCARTADO",P82)
             )
  ),P82)</f>
        <v>29.582939206758073</v>
      </c>
      <c r="Q84" s="106">
        <f t="shared" si="180"/>
        <v>20.516699271540087</v>
      </c>
      <c r="R84" s="106">
        <f t="shared" si="180"/>
        <v>39.681406475091883</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8"/>
      <c r="F85" s="93"/>
      <c r="G85" s="200"/>
      <c r="H85"/>
      <c r="I85"/>
      <c r="J85"/>
      <c r="K85" s="66"/>
      <c r="L85" s="29" t="s">
        <v>360</v>
      </c>
      <c r="M85" s="30">
        <f t="shared" ref="M85" si="183">AVERAGE($P84:$XX84)</f>
        <v>29.927014984463352</v>
      </c>
      <c r="N85" s="71"/>
      <c r="O85" s="27" t="str">
        <f t="shared" ref="O85" si="184">"1 POND"</f>
        <v>1 POND</v>
      </c>
      <c r="P85" s="107">
        <f>IF(IFERROR(VLOOKUP(P80,'Tabela de Apoio'!$D:$E,2,FALSE),1)=1,"",P86)</f>
        <v>29.582939206758073</v>
      </c>
      <c r="Q85" s="107" t="str">
        <f>IF(IFERROR(VLOOKUP(Q80,'Tabela de Apoio'!$D:$E,2,FALSE),1)=1,"",Q86)</f>
        <v>DESCARTADO</v>
      </c>
      <c r="R85" s="107" t="str">
        <f>IF(IFERROR(VLOOKUP(R80,'Tabela de Apoio'!$D:$E,2,FALSE),1)=1,"",R86)</f>
        <v>DESCARTADO</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8"/>
      <c r="F86" s="93"/>
      <c r="G86" s="200"/>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29.582939206758073</v>
      </c>
      <c r="N86" s="71"/>
      <c r="O86" s="27" t="str">
        <f t="shared" ref="O86" si="189">"1 RODADA"</f>
        <v>1 RODADA</v>
      </c>
      <c r="P86" s="107">
        <f t="shared" ref="P86:AI86" si="190">IF(P84="","",IF((_xlfn.STDEV.P($P83:$XX84)/AVERAGE($P83:$XX84))&lt;=25%,P84,IF(OR(P84&gt;(AVERAGE($P83:$XX84)+_xlfn.STDEV.P($P83:$XX84)),P84&lt;(AVERAGE($P83:$XX84)-_xlfn.STDEV.P($P83:$XX84))),"DESCARTADO",P84)))</f>
        <v>29.582939206758073</v>
      </c>
      <c r="Q86" s="107" t="str">
        <f t="shared" si="190"/>
        <v>DESCARTADO</v>
      </c>
      <c r="R86" s="107" t="str">
        <f t="shared" si="190"/>
        <v>DESCARTADO</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f>IF(IFERROR(VLOOKUP(P80,'Tabela de Apoio'!$D:$E,2,FALSE),1)=1,"",P88)</f>
        <v>29.582939206758073</v>
      </c>
      <c r="Q87" s="107" t="str">
        <f>IF(IFERROR(VLOOKUP(Q80,'Tabela de Apoio'!$D:$E,2,FALSE),1)=1,"",Q88)</f>
        <v>DESCARTADO</v>
      </c>
      <c r="R87" s="107" t="str">
        <f>IF(IFERROR(VLOOKUP(R80,'Tabela de Apoio'!$D:$E,2,FALSE),1)=1,"",R88)</f>
        <v>DESCARTADO</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8"/>
      <c r="F88" s="93"/>
      <c r="G88" s="200"/>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29.582939206758073</v>
      </c>
      <c r="N88" s="71"/>
      <c r="O88" s="27" t="str">
        <f t="shared" ref="O88" si="197">"2 RODADA"</f>
        <v>2 RODADA</v>
      </c>
      <c r="P88" s="107">
        <f t="shared" ref="P88:AI88" si="198">IF(P86="","",IF((_xlfn.STDEV.P($P85:$XX86)/AVERAGE($P85:$XX86))&lt;=25%,P86,IF(OR(P86&gt;(AVERAGE($P85:$XX86)+_xlfn.STDEV.P($P85:$XX86)),P86&lt;(AVERAGE($P85:$XX86)-_xlfn.STDEV.P($P85:$XX86))),"DESCARTADO",P86)))</f>
        <v>29.582939206758073</v>
      </c>
      <c r="Q88" s="107" t="str">
        <f t="shared" si="198"/>
        <v>DESCARTADO</v>
      </c>
      <c r="R88" s="107" t="str">
        <f t="shared" si="198"/>
        <v>DESCARTADO</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8"/>
      <c r="F89" s="93"/>
      <c r="G89" s="200"/>
      <c r="H89"/>
      <c r="I89"/>
      <c r="J89"/>
      <c r="K89" s="66"/>
      <c r="L89" s="29" t="s">
        <v>359</v>
      </c>
      <c r="M89" s="30">
        <f t="shared" ref="M89" si="199">HARMEAN($P83:$XX84)</f>
        <v>27.843578720419877</v>
      </c>
      <c r="N89" s="71"/>
      <c r="O89" s="27" t="str">
        <f t="shared" ref="O89" si="200">"3 POND"</f>
        <v>3 POND</v>
      </c>
      <c r="P89" s="107">
        <f>IF(IFERROR(VLOOKUP(P80,'Tabela de Apoio'!$D:$E,2,FALSE),1)=1,"",P90)</f>
        <v>29.582939206758073</v>
      </c>
      <c r="Q89" s="107" t="str">
        <f>IF(IFERROR(VLOOKUP(Q80,'Tabela de Apoio'!$D:$E,2,FALSE),1)=1,"",Q90)</f>
        <v>DESCARTADO</v>
      </c>
      <c r="R89" s="107" t="str">
        <f>IF(IFERROR(VLOOKUP(R80,'Tabela de Apoio'!$D:$E,2,FALSE),1)=1,"",R90)</f>
        <v>DESCARTADO</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8"/>
      <c r="F90" s="93"/>
      <c r="G90" s="200"/>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f t="shared" ref="M90" si="204">IFERROR(_xlfn.QUARTILE.EXC($P84:$XX84,1),"")</f>
        <v>20.516699271540087</v>
      </c>
      <c r="N90" s="71"/>
      <c r="O90" s="27" t="str">
        <f t="shared" ref="O90" si="205">"3 RODADA"</f>
        <v>3 RODADA</v>
      </c>
      <c r="P90" s="107">
        <f t="shared" ref="P90:AI90" si="206">IF(P88="","",IF((_xlfn.STDEV.P($P87:$XX88)/AVERAGE($P87:$XX88))&lt;=25%,P88,IF(OR(P88&gt;(AVERAGE($P87:$XX88)+_xlfn.STDEV.P($P87:$XX88)),P88&lt;(AVERAGE($P87:$XX88)-_xlfn.STDEV.P($P87:$XX88))),"DESCARTADO",P88)))</f>
        <v>29.582939206758073</v>
      </c>
      <c r="Q90" s="107" t="str">
        <f t="shared" si="206"/>
        <v>DESCARTADO</v>
      </c>
      <c r="R90" s="107" t="str">
        <f t="shared" si="206"/>
        <v>DESCARTADO</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8"/>
      <c r="F91" s="93"/>
      <c r="G91" s="200"/>
      <c r="H91"/>
      <c r="I91"/>
      <c r="J91"/>
      <c r="K91" s="66"/>
      <c r="L91" s="29" t="s">
        <v>39</v>
      </c>
      <c r="M91" s="30">
        <f t="shared" ref="M91" si="207">IFERROR(_xlfn.QUARTILE.EXC($P84:$XX84,3),"")</f>
        <v>39.681406475091883</v>
      </c>
      <c r="N91" s="71"/>
      <c r="O91" s="27" t="str">
        <f t="shared" ref="O91" si="208">"4 POND"</f>
        <v>4 POND</v>
      </c>
      <c r="P91" s="107">
        <f>IF(IFERROR(VLOOKUP(P80,'Tabela de Apoio'!$D:$E,2,FALSE),1)=1,"",P92)</f>
        <v>29.582939206758073</v>
      </c>
      <c r="Q91" s="107" t="str">
        <f>IF(IFERROR(VLOOKUP(Q80,'Tabela de Apoio'!$D:$E,2,FALSE),1)=1,"",Q92)</f>
        <v>DESCARTADO</v>
      </c>
      <c r="R91" s="107" t="str">
        <f>IF(IFERROR(VLOOKUP(R80,'Tabela de Apoio'!$D:$E,2,FALSE),1)=1,"",R92)</f>
        <v>DESCARTADO</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8"/>
      <c r="F92" s="93"/>
      <c r="G92" s="200"/>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20.516699271540087</v>
      </c>
      <c r="N92" s="71"/>
      <c r="O92" s="27" t="str">
        <f t="shared" ref="O92" si="213">"4 RODADA"</f>
        <v>4 RODADA</v>
      </c>
      <c r="P92" s="107">
        <f t="shared" ref="P92:AI92" si="214">IF(P90="","",IF((_xlfn.STDEV.P($P89:$XX90)/AVERAGE($P89:$XX90))&lt;=25%,P90,IF(OR(P90&gt;(AVERAGE($P89:$XX90)+_xlfn.STDEV.P($P89:$XX90)),P90&lt;(AVERAGE($P89:$XX90)-_xlfn.STDEV.P($P89:$XX90))),"DESCARTADO",P90)))</f>
        <v>29.582939206758073</v>
      </c>
      <c r="Q92" s="107" t="str">
        <f t="shared" si="214"/>
        <v>DESCARTADO</v>
      </c>
      <c r="R92" s="107" t="str">
        <f t="shared" si="214"/>
        <v>DESCARTADO</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8"/>
      <c r="F93" s="93"/>
      <c r="G93" s="200"/>
      <c r="H93"/>
      <c r="I93"/>
      <c r="J93"/>
      <c r="K93" s="66"/>
      <c r="L93" s="29" t="s">
        <v>40</v>
      </c>
      <c r="M93" s="30">
        <f t="shared" ref="M93" si="215">MAX($P84:$XX84)</f>
        <v>39.681406475091883</v>
      </c>
      <c r="N93" s="71"/>
      <c r="O93" s="27" t="str">
        <f t="shared" ref="O93" si="216">"5 POND"</f>
        <v>5 POND</v>
      </c>
      <c r="P93" s="107">
        <f>IF(IFERROR(VLOOKUP(P80,'Tabela de Apoio'!$D:$E,2,FALSE),1)=1,"",P94)</f>
        <v>29.582939206758073</v>
      </c>
      <c r="Q93" s="107" t="str">
        <f>IF(IFERROR(VLOOKUP(Q80,'Tabela de Apoio'!$D:$E,2,FALSE),1)=1,"",Q94)</f>
        <v>DESCARTADO</v>
      </c>
      <c r="R93" s="107" t="str">
        <f>IF(IFERROR(VLOOKUP(R80,'Tabela de Apoio'!$D:$E,2,FALSE),1)=1,"",R94)</f>
        <v>DESCARTADO</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8"/>
      <c r="F94" s="93"/>
      <c r="G94" s="200"/>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29.582939206758073</v>
      </c>
      <c r="Q94" s="107" t="str">
        <f t="shared" si="221"/>
        <v>DESCARTADO</v>
      </c>
      <c r="R94" s="107" t="str">
        <f t="shared" si="221"/>
        <v>DESCARTADO</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8"/>
      <c r="F95" s="93"/>
      <c r="G95" s="200"/>
      <c r="H95"/>
      <c r="I95"/>
      <c r="J95"/>
      <c r="K95" s="66"/>
      <c r="L95" s="22"/>
      <c r="M95" s="22"/>
      <c r="N95" s="71"/>
      <c r="O95" s="27" t="str">
        <f t="shared" ref="O95" si="222">"6 POND"</f>
        <v>6 POND</v>
      </c>
      <c r="P95" s="107">
        <f>IF(IFERROR(VLOOKUP(P80,'Tabela de Apoio'!$D:$E,2,FALSE),1)=1,"",P96)</f>
        <v>29.582939206758073</v>
      </c>
      <c r="Q95" s="107" t="str">
        <f>IF(IFERROR(VLOOKUP(Q80,'Tabela de Apoio'!$D:$E,2,FALSE),1)=1,"",Q96)</f>
        <v>DESCARTADO</v>
      </c>
      <c r="R95" s="107" t="str">
        <f>IF(IFERROR(VLOOKUP(R80,'Tabela de Apoio'!$D:$E,2,FALSE),1)=1,"",R96)</f>
        <v>DESCARTADO</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8"/>
      <c r="F96" s="93"/>
      <c r="G96" s="200"/>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29.582939206758073</v>
      </c>
      <c r="Q96" s="107" t="str">
        <f t="shared" si="227"/>
        <v>DESCARTADO</v>
      </c>
      <c r="R96" s="107" t="str">
        <f t="shared" si="227"/>
        <v>DESCARTADO</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8"/>
      <c r="F97" s="136"/>
      <c r="G97" s="200"/>
      <c r="H97" s="203" t="s">
        <v>457</v>
      </c>
      <c r="I97" s="203"/>
      <c r="J97" s="204"/>
      <c r="K97" s="67"/>
      <c r="L97" s="1" t="s">
        <v>43</v>
      </c>
      <c r="M97" s="143">
        <f t="shared" ref="M97" si="228">IFERROR(ROUND(M78*M80,2),"")</f>
        <v>32538</v>
      </c>
      <c r="O97" s="27" t="s">
        <v>363</v>
      </c>
      <c r="P97" s="107">
        <f t="shared" ref="P97:AI118" si="229">INDEX(P84:P96,MATCH(MAX($J84:$J96),$J84:$J96,0))</f>
        <v>29.582939206758073</v>
      </c>
      <c r="Q97" s="107">
        <f t="shared" si="229"/>
        <v>20.516699271540087</v>
      </c>
      <c r="R97" s="107">
        <f t="shared" si="229"/>
        <v>39.681406475091883</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1101377</v>
      </c>
      <c r="I99" s="181" t="s">
        <v>16</v>
      </c>
      <c r="J99" s="6">
        <f>INDEX('BASE FORMAÇÃO'!K:K,B99+1)</f>
        <v>0</v>
      </c>
      <c r="K99" s="65"/>
      <c r="L99" s="182" t="s">
        <v>10</v>
      </c>
      <c r="M99" s="184">
        <f t="shared" ref="M99" si="232">IF(OR(ISBLANK($O$8),ISBLANK($O$7),ISBLANK($H$8),ISBLANK($O$6),ISBLANK($O$5),ISBLANK($H$5)),"",IFERROR(IF(VLOOKUP(L99,L105:M114,2,FALSE)&lt;1,ROUND(VLOOKUP(L99,L105:M114,2,FALSE),4),ROUND(VLOOKUP(L99,L105:M114,2,FALSE),2)),""))</f>
        <v>22.91</v>
      </c>
      <c r="N99" s="69"/>
      <c r="O99" s="27" t="s">
        <v>17</v>
      </c>
      <c r="P99" s="113">
        <f>(60/50)*25</f>
        <v>30</v>
      </c>
      <c r="Q99" s="113">
        <f>(35/10)*25</f>
        <v>87.5</v>
      </c>
      <c r="R99" s="113">
        <f>(6.6/5)*25</f>
        <v>32.999999999999993</v>
      </c>
      <c r="S99" s="113">
        <v>8</v>
      </c>
      <c r="T99" s="113">
        <v>15</v>
      </c>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6">
        <f t="shared" ref="E100" si="234">D99</f>
        <v>5</v>
      </c>
      <c r="F100" s="92"/>
      <c r="G100" s="188" t="s">
        <v>1</v>
      </c>
      <c r="H100" s="191" t="str">
        <f>INDEX('BASE FORMAÇÃO'!C:C,B99+1)</f>
        <v>CARVÃO ATIVADO, 25G, PÓ (USO INTERNO)</v>
      </c>
      <c r="I100" s="191"/>
      <c r="J100" s="192"/>
      <c r="K100" s="66"/>
      <c r="L100" s="183"/>
      <c r="M100" s="185"/>
      <c r="N100" s="70"/>
      <c r="O100" s="27" t="s">
        <v>13</v>
      </c>
      <c r="P100" s="122">
        <v>46190</v>
      </c>
      <c r="Q100" s="122">
        <v>46112</v>
      </c>
      <c r="R100" s="122">
        <v>46078</v>
      </c>
      <c r="S100" s="122">
        <v>46106</v>
      </c>
      <c r="T100" s="122">
        <v>45809</v>
      </c>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7"/>
      <c r="F101" s="93"/>
      <c r="G101" s="189"/>
      <c r="H101" s="193"/>
      <c r="I101" s="193"/>
      <c r="J101" s="194"/>
      <c r="K101" s="64"/>
      <c r="L101" s="130" t="s">
        <v>44</v>
      </c>
      <c r="M101" s="131">
        <v>610</v>
      </c>
      <c r="N101" s="71"/>
      <c r="O101" s="27" t="s">
        <v>380</v>
      </c>
      <c r="P101" s="114" t="s">
        <v>12</v>
      </c>
      <c r="Q101" s="114" t="s">
        <v>12</v>
      </c>
      <c r="R101" s="114" t="s">
        <v>12</v>
      </c>
      <c r="S101" s="114" t="s">
        <v>12</v>
      </c>
      <c r="T101" s="114" t="s">
        <v>12</v>
      </c>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0"/>
      <c r="H102" s="195"/>
      <c r="I102" s="195"/>
      <c r="J102" s="196"/>
      <c r="K102" s="64"/>
      <c r="L102" s="1" t="s">
        <v>2</v>
      </c>
      <c r="M102" s="6" t="str">
        <f>INDEX('BASE FORMAÇÃO'!D:D,B103+1)</f>
        <v>FR</v>
      </c>
      <c r="N102" s="71"/>
      <c r="O102" s="27" t="s">
        <v>381</v>
      </c>
      <c r="P102" s="115" t="s">
        <v>468</v>
      </c>
      <c r="Q102" s="115" t="s">
        <v>468</v>
      </c>
      <c r="R102" s="115" t="s">
        <v>468</v>
      </c>
      <c r="S102" s="115" t="s">
        <v>10</v>
      </c>
      <c r="T102" s="115" t="s">
        <v>10</v>
      </c>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7">
        <f t="shared" ref="E103" si="238">C99</f>
        <v>1</v>
      </c>
      <c r="F103" s="93"/>
      <c r="G103" s="199" t="s">
        <v>304</v>
      </c>
      <c r="H103" s="201"/>
      <c r="I103" s="202"/>
      <c r="J103" s="202"/>
      <c r="K103" s="67"/>
      <c r="L103" s="28" t="s">
        <v>303</v>
      </c>
      <c r="M103" s="133">
        <f t="shared" ref="M103" si="239">IFERROR(INDEX(I105:I117,MATCH(MAX(J105:J117),J105:J117,0)),"")</f>
        <v>0.47630065213880907</v>
      </c>
      <c r="N103" s="71"/>
      <c r="O103" s="27" t="s">
        <v>18</v>
      </c>
      <c r="P103" s="106">
        <f>IF(P99="","",
IF(OR(P101="Orçamento",P100="",MAX('Tabela de Apoio'!$A:$A)&lt;=P100),
P99,
(INDEX('Tabela de Apoio'!$B:$B,MATCH('MAPA DE PREÇOS'!$O$8,'Tabela de Apoio'!$A:$A,1))/INDEX('Tabela de Apoio'!$B:$B,MATCH('MAPA DE PREÇOS'!P100,'Tabela de Apoio'!$A:$A,1)-1))*P99))</f>
        <v>30.069030058310375</v>
      </c>
      <c r="Q103" s="106">
        <f>IF(Q99="","",
IF(OR(Q101="Orçamento",Q100="",MAX('Tabela de Apoio'!$A:$A)&lt;=Q100),
Q99,
(INDEX('Tabela de Apoio'!$B:$B,MATCH('MAPA DE PREÇOS'!$O$8,'Tabela de Apoio'!$A:$A,1))/INDEX('Tabela de Apoio'!$B:$B,MATCH('MAPA DE PREÇOS'!Q100,'Tabela de Apoio'!$A:$A,1)-1))*Q99))</f>
        <v>89.582533948508697</v>
      </c>
      <c r="R103" s="106">
        <f>IF(R99="","",
IF(OR(R101="Orçamento",R100="",MAX('Tabela de Apoio'!$A:$A)&lt;=R100),
R99,
(INDEX('Tabela de Apoio'!$B:$B,MATCH('MAPA DE PREÇOS'!$O$8,'Tabela de Apoio'!$A:$A,1))/INDEX('Tabela de Apoio'!$B:$B,MATCH('MAPA DE PREÇOS'!R100,'Tabela de Apoio'!$A:$A,1)-1))*R99))</f>
        <v>34.021892316888618</v>
      </c>
      <c r="S103" s="106">
        <f>IF(S99="","",
IF(OR(S101="Orçamento",S100="",MAX('Tabela de Apoio'!$A:$A)&lt;=S100),
S99,
(INDEX('Tabela de Apoio'!$B:$B,MATCH('MAPA DE PREÇOS'!$O$8,'Tabela de Apoio'!$A:$A,1))/INDEX('Tabela de Apoio'!$B:$B,MATCH('MAPA DE PREÇOS'!S100,'Tabela de Apoio'!$A:$A,1)-1))*S99))</f>
        <v>8.1904031038636518</v>
      </c>
      <c r="T103" s="106">
        <f>IF(T99="","",
IF(OR(T101="Orçamento",T100="",MAX('Tabela de Apoio'!$A:$A)&lt;=T100),
T99,
(INDEX('Tabela de Apoio'!$B:$B,MATCH('MAPA DE PREÇOS'!$O$8,'Tabela de Apoio'!$A:$A,1))/INDEX('Tabela de Apoio'!$B:$B,MATCH('MAPA DE PREÇOS'!T100,'Tabela de Apoio'!$A:$A,1)-1))*T99))</f>
        <v>15.744853648707553</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8"/>
      <c r="F104" s="93"/>
      <c r="G104" s="200"/>
      <c r="H104"/>
      <c r="I104"/>
      <c r="J104"/>
      <c r="N104" s="71"/>
      <c r="O104" s="27" t="s">
        <v>375</v>
      </c>
      <c r="P104" s="107">
        <f>IF(IFERROR(VLOOKUP(P101,'Tabela de Apoio'!$D:$E,2,FALSE),1)=1,"",P105)</f>
        <v>30.069030058310375</v>
      </c>
      <c r="Q104" s="107" t="str">
        <f>IF(IFERROR(VLOOKUP(Q101,'Tabela de Apoio'!$D:$E,2,FALSE),1)=1,"",Q105)</f>
        <v>DESCARTADO</v>
      </c>
      <c r="R104" s="107">
        <f>IF(IFERROR(VLOOKUP(R101,'Tabela de Apoio'!$D:$E,2,FALSE),1)=1,"",R105)</f>
        <v>34.021892316888618</v>
      </c>
      <c r="S104" s="107">
        <f>IF(IFERROR(VLOOKUP(S101,'Tabela de Apoio'!$D:$E,2,FALSE),1)=1,"",S105)</f>
        <v>8.1904031038636518</v>
      </c>
      <c r="T104" s="107">
        <f>IF(IFERROR(VLOOKUP(T101,'Tabela de Apoio'!$D:$E,2,FALSE),1)=1,"",T105)</f>
        <v>15.744853648707553</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8"/>
      <c r="F105" s="93"/>
      <c r="G105" s="200"/>
      <c r="H105" s="134">
        <f t="shared" ref="H105" si="243">COUNT($P105:$XX105)</f>
        <v>4</v>
      </c>
      <c r="I105" s="132">
        <f t="shared" ref="I105" si="244">_xlfn.STDEV.P($P104:$XX105)/AVERAGE($P104:$XX105)</f>
        <v>0.47630065213880907</v>
      </c>
      <c r="J105" s="7">
        <f>ROW()</f>
        <v>105</v>
      </c>
      <c r="K105" s="67"/>
      <c r="L105" s="29" t="s">
        <v>10</v>
      </c>
      <c r="M105" s="30">
        <f t="shared" ref="M105" si="245">IFERROR(
IF(COUNTA(P99:AI99)=COUNTIF(P101:XX101,"Orçamento"),MIN(M110,M107),
IF(M108&lt;&gt;"",M108,
IF(M109&lt;&gt;"",M109,
M107
))),"")</f>
        <v>22.906941853508965</v>
      </c>
      <c r="N105" s="71"/>
      <c r="O105" s="27" t="s">
        <v>376</v>
      </c>
      <c r="P105" s="106">
        <f t="shared" ref="P105:AI105" si="246">IFERROR(IF(P103="",
            "",
            IF(COUNT($P103:$XX103)&lt;=4,
               P103,
               IF(OR(P103&gt;(QUARTILE($P103:$XX103,3)+(QUARTILE($P103:$XX103,3)-QUARTILE($P103:$XX103,1))),
                     P103&lt;(QUARTILE($P103:$XX103,1)-(QUARTILE($P103:$XX103,3)-QUARTILE($P103:$XX103,1)))
                  ),
               "DESCARTADO",P103)
             )
  ),P103)</f>
        <v>30.069030058310375</v>
      </c>
      <c r="Q105" s="106" t="str">
        <f t="shared" si="246"/>
        <v>DESCARTADO</v>
      </c>
      <c r="R105" s="106">
        <f t="shared" si="246"/>
        <v>34.021892316888618</v>
      </c>
      <c r="S105" s="106">
        <f t="shared" si="246"/>
        <v>8.1904031038636518</v>
      </c>
      <c r="T105" s="106">
        <f t="shared" si="246"/>
        <v>15.744853648707553</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8"/>
      <c r="F106" s="93"/>
      <c r="G106" s="200"/>
      <c r="H106"/>
      <c r="I106"/>
      <c r="J106"/>
      <c r="K106" s="66"/>
      <c r="L106" s="29" t="s">
        <v>360</v>
      </c>
      <c r="M106" s="30">
        <f t="shared" ref="M106" si="249">AVERAGE($P105:$XX105)</f>
        <v>22.006544781942548</v>
      </c>
      <c r="N106" s="71"/>
      <c r="O106" s="27" t="str">
        <f t="shared" ref="O106" si="250">"1 POND"</f>
        <v>1 POND</v>
      </c>
      <c r="P106" s="107">
        <f>IF(IFERROR(VLOOKUP(P101,'Tabela de Apoio'!$D:$E,2,FALSE),1)=1,"",P107)</f>
        <v>30.069030058310375</v>
      </c>
      <c r="Q106" s="107" t="str">
        <f>IF(IFERROR(VLOOKUP(Q101,'Tabela de Apoio'!$D:$E,2,FALSE),1)=1,"",Q107)</f>
        <v>DESCARTADO</v>
      </c>
      <c r="R106" s="107" t="str">
        <f>IF(IFERROR(VLOOKUP(R101,'Tabela de Apoio'!$D:$E,2,FALSE),1)=1,"",R107)</f>
        <v>DESCARTADO</v>
      </c>
      <c r="S106" s="107" t="str">
        <f>IF(IFERROR(VLOOKUP(S101,'Tabela de Apoio'!$D:$E,2,FALSE),1)=1,"",S107)</f>
        <v>DESCARTADO</v>
      </c>
      <c r="T106" s="107">
        <f>IF(IFERROR(VLOOKUP(T101,'Tabela de Apoio'!$D:$E,2,FALSE),1)=1,"",T107)</f>
        <v>15.744853648707553</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8"/>
      <c r="F107" s="93"/>
      <c r="G107" s="200"/>
      <c r="H107" s="134">
        <f t="shared" ref="H107" si="251">COUNT($P107:$XX107)</f>
        <v>2</v>
      </c>
      <c r="I107" s="132">
        <f t="shared" ref="I107" si="252">_xlfn.STDEV.P($P106:$XX107)/AVERAGE($P106:$XX107)</f>
        <v>0.31266016435556193</v>
      </c>
      <c r="J107" s="7">
        <f t="shared" ref="J107" si="253">IF(AND(H107&gt;2,
OR(L99="MÉDIA SANEADA",L99="MEDIANA SANEADA",
AND(L99="PREÇO ESTIMADO",NOT(AND(P101="Orçamento",COUNTA(P99:XX99)=COUNTIF(P101:XX101,"Orçamento")))))),
ROW(),0)</f>
        <v>0</v>
      </c>
      <c r="K107" s="66"/>
      <c r="L107" s="29" t="s">
        <v>361</v>
      </c>
      <c r="M107" s="30">
        <f t="shared" ref="M107" si="254">MEDIAN($P105:$XX105)</f>
        <v>22.906941853508965</v>
      </c>
      <c r="N107" s="71"/>
      <c r="O107" s="27" t="str">
        <f t="shared" ref="O107" si="255">"1 RODADA"</f>
        <v>1 RODADA</v>
      </c>
      <c r="P107" s="107">
        <f t="shared" ref="P107:AI107" si="256">IF(P105="","",IF((_xlfn.STDEV.P($P104:$XX105)/AVERAGE($P104:$XX105))&lt;=25%,P105,IF(OR(P105&gt;(AVERAGE($P104:$XX105)+_xlfn.STDEV.P($P104:$XX105)),P105&lt;(AVERAGE($P104:$XX105)-_xlfn.STDEV.P($P104:$XX105))),"DESCARTADO",P105)))</f>
        <v>30.069030058310375</v>
      </c>
      <c r="Q107" s="107" t="str">
        <f t="shared" si="256"/>
        <v>DESCARTADO</v>
      </c>
      <c r="R107" s="107" t="str">
        <f t="shared" si="256"/>
        <v>DESCARTADO</v>
      </c>
      <c r="S107" s="107" t="str">
        <f t="shared" si="256"/>
        <v>DESCARTADO</v>
      </c>
      <c r="T107" s="107">
        <f t="shared" si="256"/>
        <v>15.744853648707553</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f>IF(IFERROR(VLOOKUP(P101,'Tabela de Apoio'!$D:$E,2,FALSE),1)=1,"",P109)</f>
        <v>30.069030058310375</v>
      </c>
      <c r="Q108" s="107" t="str">
        <f>IF(IFERROR(VLOOKUP(Q101,'Tabela de Apoio'!$D:$E,2,FALSE),1)=1,"",Q109)</f>
        <v>DESCARTADO</v>
      </c>
      <c r="R108" s="107" t="str">
        <f>IF(IFERROR(VLOOKUP(R101,'Tabela de Apoio'!$D:$E,2,FALSE),1)=1,"",R109)</f>
        <v>DESCARTADO</v>
      </c>
      <c r="S108" s="107" t="str">
        <f>IF(IFERROR(VLOOKUP(S101,'Tabela de Apoio'!$D:$E,2,FALSE),1)=1,"",S109)</f>
        <v>DESCARTADO</v>
      </c>
      <c r="T108" s="107">
        <f>IF(IFERROR(VLOOKUP(T101,'Tabela de Apoio'!$D:$E,2,FALSE),1)=1,"",T109)</f>
        <v>15.744853648707553</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8"/>
      <c r="F109" s="93"/>
      <c r="G109" s="200"/>
      <c r="H109" s="134">
        <f t="shared" ref="H109" si="259">COUNT($P109:$XX109)</f>
        <v>2</v>
      </c>
      <c r="I109" s="132">
        <f t="shared" ref="I109" si="260">_xlfn.STDEV.P($P108:$XX109)/AVERAGE($P108:$XX109)</f>
        <v>0.31266016435556193</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22.906941853508965</v>
      </c>
      <c r="N109" s="71"/>
      <c r="O109" s="27" t="str">
        <f t="shared" ref="O109" si="263">"2 RODADA"</f>
        <v>2 RODADA</v>
      </c>
      <c r="P109" s="107">
        <f t="shared" ref="P109:AI109" si="264">IF(P107="","",IF((_xlfn.STDEV.P($P106:$XX107)/AVERAGE($P106:$XX107))&lt;=25%,P107,IF(OR(P107&gt;(AVERAGE($P106:$XX107)+_xlfn.STDEV.P($P106:$XX107)),P107&lt;(AVERAGE($P106:$XX107)-_xlfn.STDEV.P($P106:$XX107))),"DESCARTADO",P107)))</f>
        <v>30.069030058310375</v>
      </c>
      <c r="Q109" s="107" t="str">
        <f t="shared" si="264"/>
        <v>DESCARTADO</v>
      </c>
      <c r="R109" s="107" t="str">
        <f t="shared" si="264"/>
        <v>DESCARTADO</v>
      </c>
      <c r="S109" s="107" t="str">
        <f t="shared" si="264"/>
        <v>DESCARTADO</v>
      </c>
      <c r="T109" s="107">
        <f t="shared" si="264"/>
        <v>15.744853648707553</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8"/>
      <c r="F110" s="93"/>
      <c r="G110" s="200"/>
      <c r="H110"/>
      <c r="I110"/>
      <c r="J110"/>
      <c r="K110" s="66"/>
      <c r="L110" s="29" t="s">
        <v>359</v>
      </c>
      <c r="M110" s="30">
        <f t="shared" ref="M110" si="265">HARMEAN($P104:$XX105)</f>
        <v>16.112362624721303</v>
      </c>
      <c r="N110" s="71"/>
      <c r="O110" s="27" t="str">
        <f t="shared" ref="O110" si="266">"3 POND"</f>
        <v>3 POND</v>
      </c>
      <c r="P110" s="107">
        <f>IF(IFERROR(VLOOKUP(P101,'Tabela de Apoio'!$D:$E,2,FALSE),1)=1,"",P111)</f>
        <v>30.069030058310375</v>
      </c>
      <c r="Q110" s="107" t="str">
        <f>IF(IFERROR(VLOOKUP(Q101,'Tabela de Apoio'!$D:$E,2,FALSE),1)=1,"",Q111)</f>
        <v>DESCARTADO</v>
      </c>
      <c r="R110" s="107" t="str">
        <f>IF(IFERROR(VLOOKUP(R101,'Tabela de Apoio'!$D:$E,2,FALSE),1)=1,"",R111)</f>
        <v>DESCARTADO</v>
      </c>
      <c r="S110" s="107" t="str">
        <f>IF(IFERROR(VLOOKUP(S101,'Tabela de Apoio'!$D:$E,2,FALSE),1)=1,"",S111)</f>
        <v>DESCARTADO</v>
      </c>
      <c r="T110" s="107">
        <f>IF(IFERROR(VLOOKUP(T101,'Tabela de Apoio'!$D:$E,2,FALSE),1)=1,"",T111)</f>
        <v>15.744853648707553</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8"/>
      <c r="F111" s="93"/>
      <c r="G111" s="200"/>
      <c r="H111" s="134">
        <f t="shared" ref="H111" si="267">COUNT($P111:$XX111)</f>
        <v>2</v>
      </c>
      <c r="I111" s="132">
        <f t="shared" ref="I111" si="268">_xlfn.STDEV.P($P110:$XX111)/AVERAGE($P110:$XX111)</f>
        <v>0.31266016435556193</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10.079015740074627</v>
      </c>
      <c r="N111" s="71"/>
      <c r="O111" s="27" t="str">
        <f t="shared" ref="O111" si="271">"3 RODADA"</f>
        <v>3 RODADA</v>
      </c>
      <c r="P111" s="107">
        <f t="shared" ref="P111:AI111" si="272">IF(P109="","",IF((_xlfn.STDEV.P($P108:$XX109)/AVERAGE($P108:$XX109))&lt;=25%,P109,IF(OR(P109&gt;(AVERAGE($P108:$XX109)+_xlfn.STDEV.P($P108:$XX109)),P109&lt;(AVERAGE($P108:$XX109)-_xlfn.STDEV.P($P108:$XX109))),"DESCARTADO",P109)))</f>
        <v>30.069030058310375</v>
      </c>
      <c r="Q111" s="107" t="str">
        <f t="shared" si="272"/>
        <v>DESCARTADO</v>
      </c>
      <c r="R111" s="107" t="str">
        <f t="shared" si="272"/>
        <v>DESCARTADO</v>
      </c>
      <c r="S111" s="107" t="str">
        <f t="shared" si="272"/>
        <v>DESCARTADO</v>
      </c>
      <c r="T111" s="107">
        <f t="shared" si="272"/>
        <v>15.744853648707553</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8"/>
      <c r="F112" s="93"/>
      <c r="G112" s="200"/>
      <c r="H112"/>
      <c r="I112"/>
      <c r="J112"/>
      <c r="K112" s="66"/>
      <c r="L112" s="29" t="s">
        <v>39</v>
      </c>
      <c r="M112" s="30">
        <f t="shared" ref="M112" si="273">IFERROR(_xlfn.QUARTILE.EXC($P105:$XX105,3),"")</f>
        <v>33.033676752244055</v>
      </c>
      <c r="N112" s="71"/>
      <c r="O112" s="27" t="str">
        <f t="shared" ref="O112" si="274">"4 POND"</f>
        <v>4 POND</v>
      </c>
      <c r="P112" s="107">
        <f>IF(IFERROR(VLOOKUP(P101,'Tabela de Apoio'!$D:$E,2,FALSE),1)=1,"",P113)</f>
        <v>30.069030058310375</v>
      </c>
      <c r="Q112" s="107" t="str">
        <f>IF(IFERROR(VLOOKUP(Q101,'Tabela de Apoio'!$D:$E,2,FALSE),1)=1,"",Q113)</f>
        <v>DESCARTADO</v>
      </c>
      <c r="R112" s="107" t="str">
        <f>IF(IFERROR(VLOOKUP(R101,'Tabela de Apoio'!$D:$E,2,FALSE),1)=1,"",R113)</f>
        <v>DESCARTADO</v>
      </c>
      <c r="S112" s="107" t="str">
        <f>IF(IFERROR(VLOOKUP(S101,'Tabela de Apoio'!$D:$E,2,FALSE),1)=1,"",S113)</f>
        <v>DESCARTADO</v>
      </c>
      <c r="T112" s="107">
        <f>IF(IFERROR(VLOOKUP(T101,'Tabela de Apoio'!$D:$E,2,FALSE),1)=1,"",T113)</f>
        <v>15.744853648707553</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8"/>
      <c r="F113" s="93"/>
      <c r="G113" s="200"/>
      <c r="H113" s="134">
        <f t="shared" ref="H113" si="275">COUNT($P113:$XX113)</f>
        <v>2</v>
      </c>
      <c r="I113" s="132">
        <f t="shared" ref="I113" si="276">_xlfn.STDEV.P($P112:$XX113)/AVERAGE($P112:$XX113)</f>
        <v>0.31266016435556193</v>
      </c>
      <c r="J113" s="7">
        <f t="shared" ref="J113" si="277">IF(AND(H113&gt;2,
OR(L99="MÉDIA SANEADA",L99="MEDIANA SANEADA",
AND(L99="PREÇO ESTIMADO",NOT(AND(P101="Orçamento",COUNTA(P99:XX99)=COUNTIF(P101:XX101,"Orçamento")))))),
ROW(),0)</f>
        <v>0</v>
      </c>
      <c r="K113" s="66"/>
      <c r="L113" s="29" t="s">
        <v>42</v>
      </c>
      <c r="M113" s="30">
        <f t="shared" ref="M113" si="278">MIN($P105:$XX105)</f>
        <v>8.1904031038636518</v>
      </c>
      <c r="N113" s="71"/>
      <c r="O113" s="27" t="str">
        <f t="shared" ref="O113" si="279">"4 RODADA"</f>
        <v>4 RODADA</v>
      </c>
      <c r="P113" s="107">
        <f t="shared" ref="P113:AI113" si="280">IF(P111="","",IF((_xlfn.STDEV.P($P110:$XX111)/AVERAGE($P110:$XX111))&lt;=25%,P111,IF(OR(P111&gt;(AVERAGE($P110:$XX111)+_xlfn.STDEV.P($P110:$XX111)),P111&lt;(AVERAGE($P110:$XX111)-_xlfn.STDEV.P($P110:$XX111))),"DESCARTADO",P111)))</f>
        <v>30.069030058310375</v>
      </c>
      <c r="Q113" s="107" t="str">
        <f t="shared" si="280"/>
        <v>DESCARTADO</v>
      </c>
      <c r="R113" s="107" t="str">
        <f t="shared" si="280"/>
        <v>DESCARTADO</v>
      </c>
      <c r="S113" s="107" t="str">
        <f t="shared" si="280"/>
        <v>DESCARTADO</v>
      </c>
      <c r="T113" s="107">
        <f t="shared" si="280"/>
        <v>15.744853648707553</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8"/>
      <c r="F114" s="93"/>
      <c r="G114" s="200"/>
      <c r="H114"/>
      <c r="I114"/>
      <c r="J114"/>
      <c r="K114" s="66"/>
      <c r="L114" s="29" t="s">
        <v>40</v>
      </c>
      <c r="M114" s="30">
        <f t="shared" ref="M114" si="281">MAX($P105:$XX105)</f>
        <v>34.021892316888618</v>
      </c>
      <c r="N114" s="71"/>
      <c r="O114" s="27" t="str">
        <f t="shared" ref="O114" si="282">"5 POND"</f>
        <v>5 POND</v>
      </c>
      <c r="P114" s="107">
        <f>IF(IFERROR(VLOOKUP(P101,'Tabela de Apoio'!$D:$E,2,FALSE),1)=1,"",P115)</f>
        <v>30.069030058310375</v>
      </c>
      <c r="Q114" s="107" t="str">
        <f>IF(IFERROR(VLOOKUP(Q101,'Tabela de Apoio'!$D:$E,2,FALSE),1)=1,"",Q115)</f>
        <v>DESCARTADO</v>
      </c>
      <c r="R114" s="107" t="str">
        <f>IF(IFERROR(VLOOKUP(R101,'Tabela de Apoio'!$D:$E,2,FALSE),1)=1,"",R115)</f>
        <v>DESCARTADO</v>
      </c>
      <c r="S114" s="107" t="str">
        <f>IF(IFERROR(VLOOKUP(S101,'Tabela de Apoio'!$D:$E,2,FALSE),1)=1,"",S115)</f>
        <v>DESCARTADO</v>
      </c>
      <c r="T114" s="107">
        <f>IF(IFERROR(VLOOKUP(T101,'Tabela de Apoio'!$D:$E,2,FALSE),1)=1,"",T115)</f>
        <v>15.744853648707553</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8"/>
      <c r="F115" s="93"/>
      <c r="G115" s="200"/>
      <c r="H115" s="134">
        <f t="shared" ref="H115" si="283">COUNT($P115:$XX115)</f>
        <v>2</v>
      </c>
      <c r="I115" s="132">
        <f t="shared" ref="I115" si="284">_xlfn.STDEV.P($P114:$XX115)/AVERAGE($P114:$XX115)</f>
        <v>0.31266016435556193</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30.069030058310375</v>
      </c>
      <c r="Q115" s="107" t="str">
        <f t="shared" si="287"/>
        <v>DESCARTADO</v>
      </c>
      <c r="R115" s="107" t="str">
        <f t="shared" si="287"/>
        <v>DESCARTADO</v>
      </c>
      <c r="S115" s="107" t="str">
        <f t="shared" si="287"/>
        <v>DESCARTADO</v>
      </c>
      <c r="T115" s="107">
        <f t="shared" si="287"/>
        <v>15.744853648707553</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8"/>
      <c r="F116" s="93"/>
      <c r="G116" s="200"/>
      <c r="H116"/>
      <c r="I116"/>
      <c r="J116"/>
      <c r="K116" s="66"/>
      <c r="L116" s="22"/>
      <c r="M116" s="22"/>
      <c r="N116" s="71"/>
      <c r="O116" s="27" t="str">
        <f t="shared" ref="O116" si="288">"6 POND"</f>
        <v>6 POND</v>
      </c>
      <c r="P116" s="107">
        <f>IF(IFERROR(VLOOKUP(P101,'Tabela de Apoio'!$D:$E,2,FALSE),1)=1,"",P117)</f>
        <v>30.069030058310375</v>
      </c>
      <c r="Q116" s="107" t="str">
        <f>IF(IFERROR(VLOOKUP(Q101,'Tabela de Apoio'!$D:$E,2,FALSE),1)=1,"",Q117)</f>
        <v>DESCARTADO</v>
      </c>
      <c r="R116" s="107" t="str">
        <f>IF(IFERROR(VLOOKUP(R101,'Tabela de Apoio'!$D:$E,2,FALSE),1)=1,"",R117)</f>
        <v>DESCARTADO</v>
      </c>
      <c r="S116" s="107" t="str">
        <f>IF(IFERROR(VLOOKUP(S101,'Tabela de Apoio'!$D:$E,2,FALSE),1)=1,"",S117)</f>
        <v>DESCARTADO</v>
      </c>
      <c r="T116" s="107">
        <f>IF(IFERROR(VLOOKUP(T101,'Tabela de Apoio'!$D:$E,2,FALSE),1)=1,"",T117)</f>
        <v>15.744853648707553</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8"/>
      <c r="F117" s="93"/>
      <c r="G117" s="200"/>
      <c r="H117" s="134">
        <f t="shared" ref="H117" si="289">COUNT($P117:$XX117)</f>
        <v>2</v>
      </c>
      <c r="I117" s="132">
        <f t="shared" ref="I117" si="290">_xlfn.STDEV.P($P116:$XX117)/AVERAGE($P116:$XX117)</f>
        <v>0.31266016435556193</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30.069030058310375</v>
      </c>
      <c r="Q117" s="107" t="str">
        <f t="shared" si="293"/>
        <v>DESCARTADO</v>
      </c>
      <c r="R117" s="107" t="str">
        <f t="shared" si="293"/>
        <v>DESCARTADO</v>
      </c>
      <c r="S117" s="107" t="str">
        <f t="shared" si="293"/>
        <v>DESCARTADO</v>
      </c>
      <c r="T117" s="107">
        <f t="shared" si="293"/>
        <v>15.744853648707553</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8"/>
      <c r="F118" s="136"/>
      <c r="G118" s="200"/>
      <c r="H118" s="203" t="s">
        <v>458</v>
      </c>
      <c r="I118" s="203"/>
      <c r="J118" s="204"/>
      <c r="K118" s="67"/>
      <c r="L118" s="1" t="s">
        <v>43</v>
      </c>
      <c r="M118" s="143">
        <f t="shared" ref="M118" si="294">IFERROR(ROUND(M99*M101,2),"")</f>
        <v>13975.1</v>
      </c>
      <c r="O118" s="27" t="s">
        <v>363</v>
      </c>
      <c r="P118" s="107">
        <f t="shared" ref="P118:R118" si="295">INDEX(P105:P117,MATCH(MAX($J105:$J117),$J105:$J117,0))</f>
        <v>30.069030058310375</v>
      </c>
      <c r="Q118" s="107" t="str">
        <f t="shared" si="295"/>
        <v>DESCARTADO</v>
      </c>
      <c r="R118" s="107">
        <f t="shared" si="295"/>
        <v>34.021892316888618</v>
      </c>
      <c r="S118" s="107">
        <f t="shared" si="229"/>
        <v>8.1904031038636518</v>
      </c>
      <c r="T118" s="107">
        <f t="shared" si="229"/>
        <v>15.744853648707553</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1101435</v>
      </c>
      <c r="I120" s="181" t="s">
        <v>16</v>
      </c>
      <c r="J120" s="6">
        <f>INDEX('BASE FORMAÇÃO'!K:K,B120+1)</f>
        <v>0</v>
      </c>
      <c r="K120" s="65"/>
      <c r="L120" s="182" t="s">
        <v>10</v>
      </c>
      <c r="M120" s="184">
        <f t="shared" ref="M120" si="298">IF(OR(ISBLANK($O$8),ISBLANK($O$7),ISBLANK($H$8),ISBLANK($O$6),ISBLANK($O$5),ISBLANK($H$5)),"",IFERROR(IF(VLOOKUP(L120,L126:M135,2,FALSE)&lt;1,ROUND(VLOOKUP(L120,L126:M135,2,FALSE),4),ROUND(VLOOKUP(L120,L126:M135,2,FALSE),2)),""))</f>
        <v>197.01</v>
      </c>
      <c r="N120" s="69"/>
      <c r="O120" s="27" t="s">
        <v>17</v>
      </c>
      <c r="P120" s="113">
        <f>(0.25/1)*1000</f>
        <v>250</v>
      </c>
      <c r="Q120" s="113">
        <f>(0.54/100)*1000</f>
        <v>5.4</v>
      </c>
      <c r="R120" s="113">
        <v>189.33</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6">
        <f t="shared" ref="E121" si="300">D120</f>
        <v>6</v>
      </c>
      <c r="F121" s="92"/>
      <c r="G121" s="188" t="s">
        <v>1</v>
      </c>
      <c r="H121" s="191" t="str">
        <f>INDEX('BASE FORMAÇÃO'!C:C,B120+1)</f>
        <v>HIDROXIDO DE POTASSIO 10%, SOLUCAO AQUOSA, 1LITRO (USO EXTERNO)</v>
      </c>
      <c r="I121" s="191"/>
      <c r="J121" s="192"/>
      <c r="K121" s="66"/>
      <c r="L121" s="183"/>
      <c r="M121" s="185"/>
      <c r="N121" s="70"/>
      <c r="O121" s="27" t="s">
        <v>13</v>
      </c>
      <c r="P121" s="122">
        <v>45960</v>
      </c>
      <c r="Q121" s="122">
        <v>46052</v>
      </c>
      <c r="R121" s="122">
        <v>45940</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7"/>
      <c r="F122" s="93"/>
      <c r="G122" s="189"/>
      <c r="H122" s="193"/>
      <c r="I122" s="193"/>
      <c r="J122" s="194"/>
      <c r="K122" s="64"/>
      <c r="L122" s="130" t="s">
        <v>44</v>
      </c>
      <c r="M122" s="131">
        <v>10</v>
      </c>
      <c r="N122" s="71"/>
      <c r="O122" s="27" t="s">
        <v>380</v>
      </c>
      <c r="P122" s="114" t="s">
        <v>12</v>
      </c>
      <c r="Q122" s="114" t="s">
        <v>12</v>
      </c>
      <c r="R122" s="114" t="s">
        <v>12</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0"/>
      <c r="H123" s="195"/>
      <c r="I123" s="195"/>
      <c r="J123" s="196"/>
      <c r="K123" s="64"/>
      <c r="L123" s="1" t="s">
        <v>2</v>
      </c>
      <c r="M123" s="6" t="str">
        <f>INDEX('BASE FORMAÇÃO'!D:D,B124+1)</f>
        <v>FR</v>
      </c>
      <c r="N123" s="71"/>
      <c r="O123" s="27" t="s">
        <v>381</v>
      </c>
      <c r="P123" s="115" t="s">
        <v>10</v>
      </c>
      <c r="Q123" s="115" t="s">
        <v>10</v>
      </c>
      <c r="R123" s="115" t="s">
        <v>10</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7">
        <f t="shared" ref="E124" si="304">C120</f>
        <v>1</v>
      </c>
      <c r="F124" s="93"/>
      <c r="G124" s="199" t="s">
        <v>304</v>
      </c>
      <c r="H124" s="201"/>
      <c r="I124" s="202"/>
      <c r="J124" s="202"/>
      <c r="K124" s="67"/>
      <c r="L124" s="28" t="s">
        <v>303</v>
      </c>
      <c r="M124" s="133">
        <f t="shared" ref="M124" si="305">IFERROR(INDEX(I126:I138,MATCH(MAX(J126:J138),J126:J138,0)),"")</f>
        <v>0.70168629525162007</v>
      </c>
      <c r="N124" s="71"/>
      <c r="O124" s="27" t="s">
        <v>18</v>
      </c>
      <c r="P124" s="106">
        <f>IF(P120="","",
IF(OR(P122="Orçamento",P121="",MAX('Tabela de Apoio'!$A:$A)&lt;=P121),
P120,
(INDEX('Tabela de Apoio'!$B:$B,MATCH('MAPA DE PREÇOS'!$O$8,'Tabela de Apoio'!$A:$A,1))/INDEX('Tabela de Apoio'!$B:$B,MATCH('MAPA DE PREÇOS'!P121,'Tabela de Apoio'!$A:$A,1)-1))*P120))</f>
        <v>260.1463366245145</v>
      </c>
      <c r="Q124" s="106">
        <f>IF(Q120="","",
IF(OR(Q122="Orçamento",Q121="",MAX('Tabela de Apoio'!$A:$A)&lt;=Q121),
Q120,
(INDEX('Tabela de Apoio'!$B:$B,MATCH('MAPA DE PREÇOS'!$O$8,'Tabela de Apoio'!$A:$A,1))/INDEX('Tabela de Apoio'!$B:$B,MATCH('MAPA DE PREÇOS'!Q121,'Tabela de Apoio'!$A:$A,1)-1))*Q120))</f>
        <v>5.58558992015712</v>
      </c>
      <c r="R124" s="106">
        <f>IF(R120="","",
IF(OR(R122="Orçamento",R121="",MAX('Tabela de Apoio'!$A:$A)&lt;=R121),
R120,
(INDEX('Tabela de Apoio'!$B:$B,MATCH('MAPA DE PREÇOS'!$O$8,'Tabela de Apoio'!$A:$A,1))/INDEX('Tabela de Apoio'!$B:$B,MATCH('MAPA DE PREÇOS'!R121,'Tabela de Apoio'!$A:$A,1)-1))*R120))</f>
        <v>197.01402365247736</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8"/>
      <c r="F125" s="93"/>
      <c r="G125" s="200"/>
      <c r="H125"/>
      <c r="I125"/>
      <c r="J125"/>
      <c r="N125" s="71"/>
      <c r="O125" s="27" t="s">
        <v>375</v>
      </c>
      <c r="P125" s="107">
        <f>IF(IFERROR(VLOOKUP(P122,'Tabela de Apoio'!$D:$E,2,FALSE),1)=1,"",P126)</f>
        <v>260.1463366245145</v>
      </c>
      <c r="Q125" s="107">
        <f>IF(IFERROR(VLOOKUP(Q122,'Tabela de Apoio'!$D:$E,2,FALSE),1)=1,"",Q126)</f>
        <v>5.58558992015712</v>
      </c>
      <c r="R125" s="107">
        <f>IF(IFERROR(VLOOKUP(R122,'Tabela de Apoio'!$D:$E,2,FALSE),1)=1,"",R126)</f>
        <v>197.01402365247736</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8"/>
      <c r="F126" s="93"/>
      <c r="G126" s="200"/>
      <c r="H126" s="134">
        <f t="shared" ref="H126" si="309">COUNT($P126:$XX126)</f>
        <v>3</v>
      </c>
      <c r="I126" s="132">
        <f t="shared" ref="I126" si="310">_xlfn.STDEV.P($P125:$XX126)/AVERAGE($P125:$XX126)</f>
        <v>0.70168629525162007</v>
      </c>
      <c r="J126" s="7">
        <f>ROW()</f>
        <v>126</v>
      </c>
      <c r="K126" s="67"/>
      <c r="L126" s="29" t="s">
        <v>10</v>
      </c>
      <c r="M126" s="30">
        <f t="shared" ref="M126" si="311">IFERROR(
IF(COUNTA(P120:AI120)=COUNTIF(P122:XX122,"Orçamento"),MIN(M131,M128),
IF(M129&lt;&gt;"",M129,
IF(M130&lt;&gt;"",M130,
M128
))),"")</f>
        <v>197.01402365247736</v>
      </c>
      <c r="N126" s="71"/>
      <c r="O126" s="27" t="s">
        <v>376</v>
      </c>
      <c r="P126" s="106">
        <f t="shared" ref="P126:AI126" si="312">IFERROR(IF(P124="",
            "",
            IF(COUNT($P124:$XX124)&lt;=4,
               P124,
               IF(OR(P124&gt;(QUARTILE($P124:$XX124,3)+(QUARTILE($P124:$XX124,3)-QUARTILE($P124:$XX124,1))),
                     P124&lt;(QUARTILE($P124:$XX124,1)-(QUARTILE($P124:$XX124,3)-QUARTILE($P124:$XX124,1)))
                  ),
               "DESCARTADO",P124)
             )
  ),P124)</f>
        <v>260.1463366245145</v>
      </c>
      <c r="Q126" s="106">
        <f t="shared" si="312"/>
        <v>5.58558992015712</v>
      </c>
      <c r="R126" s="106">
        <f t="shared" si="312"/>
        <v>197.01402365247736</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8"/>
      <c r="F127" s="93"/>
      <c r="G127" s="200"/>
      <c r="H127"/>
      <c r="I127"/>
      <c r="J127"/>
      <c r="K127" s="66"/>
      <c r="L127" s="29" t="s">
        <v>360</v>
      </c>
      <c r="M127" s="30">
        <f t="shared" ref="M127" si="315">AVERAGE($P126:$XX126)</f>
        <v>154.24865006571633</v>
      </c>
      <c r="N127" s="71"/>
      <c r="O127" s="27" t="str">
        <f t="shared" ref="O127" si="316">"1 POND"</f>
        <v>1 POND</v>
      </c>
      <c r="P127" s="107">
        <f>IF(IFERROR(VLOOKUP(P122,'Tabela de Apoio'!$D:$E,2,FALSE),1)=1,"",P128)</f>
        <v>260.1463366245145</v>
      </c>
      <c r="Q127" s="107" t="str">
        <f>IF(IFERROR(VLOOKUP(Q122,'Tabela de Apoio'!$D:$E,2,FALSE),1)=1,"",Q128)</f>
        <v>DESCARTADO</v>
      </c>
      <c r="R127" s="107">
        <f>IF(IFERROR(VLOOKUP(R122,'Tabela de Apoio'!$D:$E,2,FALSE),1)=1,"",R128)</f>
        <v>197.01402365247736</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8"/>
      <c r="F128" s="93"/>
      <c r="G128" s="200"/>
      <c r="H128" s="134">
        <f t="shared" ref="H128" si="317">COUNT($P128:$XX128)</f>
        <v>2</v>
      </c>
      <c r="I128" s="132">
        <f t="shared" ref="I128" si="318">_xlfn.STDEV.P($P127:$XX128)/AVERAGE($P127:$XX128)</f>
        <v>0.13809664716727729</v>
      </c>
      <c r="J128" s="7">
        <f t="shared" ref="J128" si="319">IF(AND(H128&gt;2,
OR(L120="MÉDIA SANEADA",L120="MEDIANA SANEADA",
AND(L120="PREÇO ESTIMADO",NOT(AND(P122="Orçamento",COUNTA(P120:XX120)=COUNTIF(P122:XX122,"Orçamento")))))),
ROW(),0)</f>
        <v>0</v>
      </c>
      <c r="K128" s="66"/>
      <c r="L128" s="29" t="s">
        <v>361</v>
      </c>
      <c r="M128" s="30">
        <f t="shared" ref="M128" si="320">MEDIAN($P126:$XX126)</f>
        <v>197.01402365247736</v>
      </c>
      <c r="N128" s="71"/>
      <c r="O128" s="27" t="str">
        <f t="shared" ref="O128" si="321">"1 RODADA"</f>
        <v>1 RODADA</v>
      </c>
      <c r="P128" s="107">
        <f t="shared" ref="P128:AI128" si="322">IF(P126="","",IF((_xlfn.STDEV.P($P125:$XX126)/AVERAGE($P125:$XX126))&lt;=25%,P126,IF(OR(P126&gt;(AVERAGE($P125:$XX126)+_xlfn.STDEV.P($P125:$XX126)),P126&lt;(AVERAGE($P125:$XX126)-_xlfn.STDEV.P($P125:$XX126))),"DESCARTADO",P126)))</f>
        <v>260.1463366245145</v>
      </c>
      <c r="Q128" s="107" t="str">
        <f t="shared" si="322"/>
        <v>DESCARTADO</v>
      </c>
      <c r="R128" s="107">
        <f t="shared" si="322"/>
        <v>197.01402365247736</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f>IF(IFERROR(VLOOKUP(P122,'Tabela de Apoio'!$D:$E,2,FALSE),1)=1,"",P130)</f>
        <v>260.1463366245145</v>
      </c>
      <c r="Q129" s="107" t="str">
        <f>IF(IFERROR(VLOOKUP(Q122,'Tabela de Apoio'!$D:$E,2,FALSE),1)=1,"",Q130)</f>
        <v>DESCARTADO</v>
      </c>
      <c r="R129" s="107">
        <f>IF(IFERROR(VLOOKUP(R122,'Tabela de Apoio'!$D:$E,2,FALSE),1)=1,"",R130)</f>
        <v>197.01402365247736</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8"/>
      <c r="F130" s="93"/>
      <c r="G130" s="200"/>
      <c r="H130" s="134">
        <f t="shared" ref="H130" si="325">COUNT($P130:$XX130)</f>
        <v>2</v>
      </c>
      <c r="I130" s="132">
        <f t="shared" ref="I130" si="326">_xlfn.STDEV.P($P129:$XX130)/AVERAGE($P129:$XX130)</f>
        <v>0.13809664716727729</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197.01402365247736</v>
      </c>
      <c r="N130" s="71"/>
      <c r="O130" s="27" t="str">
        <f t="shared" ref="O130" si="329">"2 RODADA"</f>
        <v>2 RODADA</v>
      </c>
      <c r="P130" s="107">
        <f t="shared" ref="P130:AI130" si="330">IF(P128="","",IF((_xlfn.STDEV.P($P127:$XX128)/AVERAGE($P127:$XX128))&lt;=25%,P128,IF(OR(P128&gt;(AVERAGE($P127:$XX128)+_xlfn.STDEV.P($P127:$XX128)),P128&lt;(AVERAGE($P127:$XX128)-_xlfn.STDEV.P($P127:$XX128))),"DESCARTADO",P128)))</f>
        <v>260.1463366245145</v>
      </c>
      <c r="Q130" s="107" t="str">
        <f t="shared" si="330"/>
        <v>DESCARTADO</v>
      </c>
      <c r="R130" s="107">
        <f t="shared" si="330"/>
        <v>197.01402365247736</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8"/>
      <c r="F131" s="93"/>
      <c r="G131" s="200"/>
      <c r="H131"/>
      <c r="I131"/>
      <c r="J131"/>
      <c r="K131" s="66"/>
      <c r="L131" s="29" t="s">
        <v>359</v>
      </c>
      <c r="M131" s="30">
        <f t="shared" ref="M131" si="331">HARMEAN($P125:$XX126)</f>
        <v>15.961531410362307</v>
      </c>
      <c r="N131" s="71"/>
      <c r="O131" s="27" t="str">
        <f t="shared" ref="O131" si="332">"3 POND"</f>
        <v>3 POND</v>
      </c>
      <c r="P131" s="107">
        <f>IF(IFERROR(VLOOKUP(P122,'Tabela de Apoio'!$D:$E,2,FALSE),1)=1,"",P132)</f>
        <v>260.1463366245145</v>
      </c>
      <c r="Q131" s="107" t="str">
        <f>IF(IFERROR(VLOOKUP(Q122,'Tabela de Apoio'!$D:$E,2,FALSE),1)=1,"",Q132)</f>
        <v>DESCARTADO</v>
      </c>
      <c r="R131" s="107">
        <f>IF(IFERROR(VLOOKUP(R122,'Tabela de Apoio'!$D:$E,2,FALSE),1)=1,"",R132)</f>
        <v>197.01402365247736</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8"/>
      <c r="F132" s="93"/>
      <c r="G132" s="200"/>
      <c r="H132" s="134">
        <f t="shared" ref="H132" si="333">COUNT($P132:$XX132)</f>
        <v>2</v>
      </c>
      <c r="I132" s="132">
        <f t="shared" ref="I132" si="334">_xlfn.STDEV.P($P131:$XX132)/AVERAGE($P131:$XX132)</f>
        <v>0.13809664716727729</v>
      </c>
      <c r="J132" s="7">
        <f t="shared" ref="J132" si="335">IF(AND(H132&gt;2,
OR(L120="MÉDIA SANEADA",L120="MEDIANA SANEADA",
AND(L120="PREÇO ESTIMADO",NOT(AND(P122="Orçamento",COUNTA(P120:XX120)=COUNTIF(P122:XX122,"Orçamento")))))),
ROW(),0)</f>
        <v>0</v>
      </c>
      <c r="K132" s="66"/>
      <c r="L132" s="29" t="s">
        <v>41</v>
      </c>
      <c r="M132" s="30">
        <f t="shared" ref="M132" si="336">IFERROR(_xlfn.QUARTILE.EXC($P126:$XX126,1),"")</f>
        <v>5.58558992015712</v>
      </c>
      <c r="N132" s="71"/>
      <c r="O132" s="27" t="str">
        <f t="shared" ref="O132" si="337">"3 RODADA"</f>
        <v>3 RODADA</v>
      </c>
      <c r="P132" s="107">
        <f t="shared" ref="P132:AI132" si="338">IF(P130="","",IF((_xlfn.STDEV.P($P129:$XX130)/AVERAGE($P129:$XX130))&lt;=25%,P130,IF(OR(P130&gt;(AVERAGE($P129:$XX130)+_xlfn.STDEV.P($P129:$XX130)),P130&lt;(AVERAGE($P129:$XX130)-_xlfn.STDEV.P($P129:$XX130))),"DESCARTADO",P130)))</f>
        <v>260.1463366245145</v>
      </c>
      <c r="Q132" s="107" t="str">
        <f t="shared" si="338"/>
        <v>DESCARTADO</v>
      </c>
      <c r="R132" s="107">
        <f t="shared" si="338"/>
        <v>197.01402365247736</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8"/>
      <c r="F133" s="93"/>
      <c r="G133" s="200"/>
      <c r="H133"/>
      <c r="I133"/>
      <c r="J133"/>
      <c r="K133" s="66"/>
      <c r="L133" s="29" t="s">
        <v>39</v>
      </c>
      <c r="M133" s="30">
        <f t="shared" ref="M133" si="339">IFERROR(_xlfn.QUARTILE.EXC($P126:$XX126,3),"")</f>
        <v>260.1463366245145</v>
      </c>
      <c r="N133" s="71"/>
      <c r="O133" s="27" t="str">
        <f t="shared" ref="O133" si="340">"4 POND"</f>
        <v>4 POND</v>
      </c>
      <c r="P133" s="107">
        <f>IF(IFERROR(VLOOKUP(P122,'Tabela de Apoio'!$D:$E,2,FALSE),1)=1,"",P134)</f>
        <v>260.1463366245145</v>
      </c>
      <c r="Q133" s="107" t="str">
        <f>IF(IFERROR(VLOOKUP(Q122,'Tabela de Apoio'!$D:$E,2,FALSE),1)=1,"",Q134)</f>
        <v>DESCARTADO</v>
      </c>
      <c r="R133" s="107">
        <f>IF(IFERROR(VLOOKUP(R122,'Tabela de Apoio'!$D:$E,2,FALSE),1)=1,"",R134)</f>
        <v>197.01402365247736</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8"/>
      <c r="F134" s="93"/>
      <c r="G134" s="200"/>
      <c r="H134" s="134">
        <f t="shared" ref="H134" si="341">COUNT($P134:$XX134)</f>
        <v>2</v>
      </c>
      <c r="I134" s="132">
        <f t="shared" ref="I134" si="342">_xlfn.STDEV.P($P133:$XX134)/AVERAGE($P133:$XX134)</f>
        <v>0.13809664716727729</v>
      </c>
      <c r="J134" s="7">
        <f t="shared" ref="J134" si="343">IF(AND(H134&gt;2,
OR(L120="MÉDIA SANEADA",L120="MEDIANA SANEADA",
AND(L120="PREÇO ESTIMADO",NOT(AND(P122="Orçamento",COUNTA(P120:XX120)=COUNTIF(P122:XX122,"Orçamento")))))),
ROW(),0)</f>
        <v>0</v>
      </c>
      <c r="K134" s="66"/>
      <c r="L134" s="29" t="s">
        <v>42</v>
      </c>
      <c r="M134" s="30">
        <f t="shared" ref="M134" si="344">MIN($P126:$XX126)</f>
        <v>5.58558992015712</v>
      </c>
      <c r="N134" s="71"/>
      <c r="O134" s="27" t="str">
        <f t="shared" ref="O134" si="345">"4 RODADA"</f>
        <v>4 RODADA</v>
      </c>
      <c r="P134" s="107">
        <f t="shared" ref="P134:AI134" si="346">IF(P132="","",IF((_xlfn.STDEV.P($P131:$XX132)/AVERAGE($P131:$XX132))&lt;=25%,P132,IF(OR(P132&gt;(AVERAGE($P131:$XX132)+_xlfn.STDEV.P($P131:$XX132)),P132&lt;(AVERAGE($P131:$XX132)-_xlfn.STDEV.P($P131:$XX132))),"DESCARTADO",P132)))</f>
        <v>260.1463366245145</v>
      </c>
      <c r="Q134" s="107" t="str">
        <f t="shared" si="346"/>
        <v>DESCARTADO</v>
      </c>
      <c r="R134" s="107">
        <f t="shared" si="346"/>
        <v>197.01402365247736</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8"/>
      <c r="F135" s="93"/>
      <c r="G135" s="200"/>
      <c r="H135"/>
      <c r="I135"/>
      <c r="J135"/>
      <c r="K135" s="66"/>
      <c r="L135" s="29" t="s">
        <v>40</v>
      </c>
      <c r="M135" s="30">
        <f t="shared" ref="M135" si="347">MAX($P126:$XX126)</f>
        <v>260.1463366245145</v>
      </c>
      <c r="N135" s="71"/>
      <c r="O135" s="27" t="str">
        <f t="shared" ref="O135" si="348">"5 POND"</f>
        <v>5 POND</v>
      </c>
      <c r="P135" s="107">
        <f>IF(IFERROR(VLOOKUP(P122,'Tabela de Apoio'!$D:$E,2,FALSE),1)=1,"",P136)</f>
        <v>260.1463366245145</v>
      </c>
      <c r="Q135" s="107" t="str">
        <f>IF(IFERROR(VLOOKUP(Q122,'Tabela de Apoio'!$D:$E,2,FALSE),1)=1,"",Q136)</f>
        <v>DESCARTADO</v>
      </c>
      <c r="R135" s="107">
        <f>IF(IFERROR(VLOOKUP(R122,'Tabela de Apoio'!$D:$E,2,FALSE),1)=1,"",R136)</f>
        <v>197.01402365247736</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8"/>
      <c r="F136" s="93"/>
      <c r="G136" s="200"/>
      <c r="H136" s="134">
        <f t="shared" ref="H136" si="349">COUNT($P136:$XX136)</f>
        <v>2</v>
      </c>
      <c r="I136" s="132">
        <f t="shared" ref="I136" si="350">_xlfn.STDEV.P($P135:$XX136)/AVERAGE($P135:$XX136)</f>
        <v>0.13809664716727729</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260.1463366245145</v>
      </c>
      <c r="Q136" s="107" t="str">
        <f t="shared" si="353"/>
        <v>DESCARTADO</v>
      </c>
      <c r="R136" s="107">
        <f t="shared" si="353"/>
        <v>197.01402365247736</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8"/>
      <c r="F137" s="93"/>
      <c r="G137" s="200"/>
      <c r="H137"/>
      <c r="I137"/>
      <c r="J137"/>
      <c r="K137" s="66"/>
      <c r="L137" s="22"/>
      <c r="M137" s="22"/>
      <c r="N137" s="71"/>
      <c r="O137" s="27" t="str">
        <f t="shared" ref="O137" si="354">"6 POND"</f>
        <v>6 POND</v>
      </c>
      <c r="P137" s="107">
        <f>IF(IFERROR(VLOOKUP(P122,'Tabela de Apoio'!$D:$E,2,FALSE),1)=1,"",P138)</f>
        <v>260.1463366245145</v>
      </c>
      <c r="Q137" s="107" t="str">
        <f>IF(IFERROR(VLOOKUP(Q122,'Tabela de Apoio'!$D:$E,2,FALSE),1)=1,"",Q138)</f>
        <v>DESCARTADO</v>
      </c>
      <c r="R137" s="107">
        <f>IF(IFERROR(VLOOKUP(R122,'Tabela de Apoio'!$D:$E,2,FALSE),1)=1,"",R138)</f>
        <v>197.01402365247736</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8"/>
      <c r="F138" s="93"/>
      <c r="G138" s="200"/>
      <c r="H138" s="134">
        <f t="shared" ref="H138" si="355">COUNT($P138:$XX138)</f>
        <v>2</v>
      </c>
      <c r="I138" s="132">
        <f t="shared" ref="I138" si="356">_xlfn.STDEV.P($P137:$XX138)/AVERAGE($P137:$XX138)</f>
        <v>0.13809664716727729</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260.1463366245145</v>
      </c>
      <c r="Q138" s="107" t="str">
        <f t="shared" si="359"/>
        <v>DESCARTADO</v>
      </c>
      <c r="R138" s="107">
        <f t="shared" si="359"/>
        <v>197.01402365247736</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8"/>
      <c r="F139" s="136"/>
      <c r="G139" s="200"/>
      <c r="H139" s="203" t="s">
        <v>459</v>
      </c>
      <c r="I139" s="203"/>
      <c r="J139" s="204"/>
      <c r="K139" s="67"/>
      <c r="L139" s="1" t="s">
        <v>43</v>
      </c>
      <c r="M139" s="143">
        <f t="shared" ref="M139" si="360">IFERROR(ROUND(M120*M122,2),"")</f>
        <v>1970.1</v>
      </c>
      <c r="O139" s="27" t="s">
        <v>363</v>
      </c>
      <c r="P139" s="107">
        <f t="shared" ref="P139:AI160" si="361">INDEX(P126:P138,MATCH(MAX($J126:$J138),$J126:$J138,0))</f>
        <v>260.1463366245145</v>
      </c>
      <c r="Q139" s="107">
        <f t="shared" si="361"/>
        <v>5.58558992015712</v>
      </c>
      <c r="R139" s="107">
        <f t="shared" si="361"/>
        <v>197.01402365247736</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1101476</v>
      </c>
      <c r="I141" s="181" t="s">
        <v>16</v>
      </c>
      <c r="J141" s="6">
        <f>INDEX('BASE FORMAÇÃO'!K:K,B141+1)</f>
        <v>0</v>
      </c>
      <c r="K141" s="65"/>
      <c r="L141" s="182" t="s">
        <v>10</v>
      </c>
      <c r="M141" s="184">
        <f t="shared" ref="M141" si="364">IF(OR(ISBLANK($O$8),ISBLANK($O$7),ISBLANK($H$8),ISBLANK($O$6),ISBLANK($O$5),ISBLANK($H$5)),"",IFERROR(IF(VLOOKUP(L141,L147:M156,2,FALSE)&lt;1,ROUND(VLOOKUP(L141,L147:M156,2,FALSE),4),ROUND(VLOOKUP(L141,L147:M156,2,FALSE),2)),""))</f>
        <v>27</v>
      </c>
      <c r="N141" s="69"/>
      <c r="O141" s="27" t="s">
        <v>17</v>
      </c>
      <c r="P141" s="113">
        <v>17.32</v>
      </c>
      <c r="Q141" s="113">
        <v>100</v>
      </c>
      <c r="R141" s="113">
        <v>27</v>
      </c>
      <c r="S141" s="113">
        <v>46.99</v>
      </c>
      <c r="T141" s="113">
        <f>(49.9/120)*100</f>
        <v>41.583333333333336</v>
      </c>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6">
        <f t="shared" ref="E142" si="366">D141</f>
        <v>7</v>
      </c>
      <c r="F142" s="92"/>
      <c r="G142" s="188" t="s">
        <v>1</v>
      </c>
      <c r="H142" s="191" t="str">
        <f>INDEX('BASE FORMAÇÃO'!C:C,B141+1)</f>
        <v>LANETTE + URÉIA 10%, LOÇÃO, 100ML (USO EXTERNO). INDICAR MARCA.</v>
      </c>
      <c r="I142" s="191"/>
      <c r="J142" s="192"/>
      <c r="K142" s="66"/>
      <c r="L142" s="183"/>
      <c r="M142" s="185"/>
      <c r="N142" s="70"/>
      <c r="O142" s="27" t="s">
        <v>13</v>
      </c>
      <c r="P142" s="122">
        <v>46090</v>
      </c>
      <c r="Q142" s="122">
        <v>46219</v>
      </c>
      <c r="R142" s="122">
        <v>46220</v>
      </c>
      <c r="S142" s="122">
        <v>46238</v>
      </c>
      <c r="T142" s="122">
        <v>46238</v>
      </c>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7"/>
      <c r="F143" s="93"/>
      <c r="G143" s="189"/>
      <c r="H143" s="193"/>
      <c r="I143" s="193"/>
      <c r="J143" s="194"/>
      <c r="K143" s="64"/>
      <c r="L143" s="130" t="s">
        <v>44</v>
      </c>
      <c r="M143" s="131">
        <v>2850</v>
      </c>
      <c r="N143" s="71"/>
      <c r="O143" s="27" t="s">
        <v>380</v>
      </c>
      <c r="P143" s="114" t="s">
        <v>12</v>
      </c>
      <c r="Q143" s="114" t="s">
        <v>377</v>
      </c>
      <c r="R143" s="114" t="s">
        <v>377</v>
      </c>
      <c r="S143" s="114" t="s">
        <v>302</v>
      </c>
      <c r="T143" s="114" t="s">
        <v>302</v>
      </c>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0"/>
      <c r="H144" s="195"/>
      <c r="I144" s="195"/>
      <c r="J144" s="196"/>
      <c r="K144" s="64"/>
      <c r="L144" s="1" t="s">
        <v>2</v>
      </c>
      <c r="M144" s="6" t="str">
        <f>INDEX('BASE FORMAÇÃO'!D:D,B145+1)</f>
        <v>FR</v>
      </c>
      <c r="N144" s="71"/>
      <c r="O144" s="27" t="s">
        <v>381</v>
      </c>
      <c r="P144" s="115" t="s">
        <v>10</v>
      </c>
      <c r="Q144" s="115" t="s">
        <v>469</v>
      </c>
      <c r="R144" s="115" t="s">
        <v>469</v>
      </c>
      <c r="S144" s="115" t="s">
        <v>470</v>
      </c>
      <c r="T144" s="115" t="s">
        <v>470</v>
      </c>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7">
        <f t="shared" ref="E145" si="370">C141</f>
        <v>1</v>
      </c>
      <c r="F145" s="93"/>
      <c r="G145" s="199" t="s">
        <v>304</v>
      </c>
      <c r="H145" s="201"/>
      <c r="I145" s="202"/>
      <c r="J145" s="202"/>
      <c r="K145" s="67"/>
      <c r="L145" s="28" t="s">
        <v>303</v>
      </c>
      <c r="M145" s="133">
        <f t="shared" ref="M145" si="371">IFERROR(INDEX(I147:I159,MATCH(MAX(J147:J159),J147:J159,0)),"")</f>
        <v>0.40071659194675041</v>
      </c>
      <c r="N145" s="71"/>
      <c r="O145" s="27" t="s">
        <v>18</v>
      </c>
      <c r="P145" s="106">
        <f>IF(P141="","",
IF(OR(P143="Orçamento",P142="",MAX('Tabela de Apoio'!$A:$A)&lt;=P142),
P141,
(INDEX('Tabela de Apoio'!$B:$B,MATCH('MAPA DE PREÇOS'!$O$8,'Tabela de Apoio'!$A:$A,1))/INDEX('Tabela de Apoio'!$B:$B,MATCH('MAPA DE PREÇOS'!P142,'Tabela de Apoio'!$A:$A,1)-1))*P141))</f>
        <v>17.732222719864808</v>
      </c>
      <c r="Q145" s="106">
        <f>IF(Q141="","",
IF(OR(Q143="Orçamento",Q142="",MAX('Tabela de Apoio'!$A:$A)&lt;=Q142),
Q141,
(INDEX('Tabela de Apoio'!$B:$B,MATCH('MAPA DE PREÇOS'!$O$8,'Tabela de Apoio'!$A:$A,1))/INDEX('Tabela de Apoio'!$B:$B,MATCH('MAPA DE PREÇOS'!Q142,'Tabela de Apoio'!$A:$A,1)-1))*Q141))</f>
        <v>100</v>
      </c>
      <c r="R145" s="106">
        <f>IF(R141="","",
IF(OR(R143="Orçamento",R142="",MAX('Tabela de Apoio'!$A:$A)&lt;=R142),
R141,
(INDEX('Tabela de Apoio'!$B:$B,MATCH('MAPA DE PREÇOS'!$O$8,'Tabela de Apoio'!$A:$A,1))/INDEX('Tabela de Apoio'!$B:$B,MATCH('MAPA DE PREÇOS'!R142,'Tabela de Apoio'!$A:$A,1)-1))*R141))</f>
        <v>27</v>
      </c>
      <c r="S145" s="106">
        <f>IF(S141="","",
IF(OR(S143="Orçamento",S142="",MAX('Tabela de Apoio'!$A:$A)&lt;=S142),
S141,
(INDEX('Tabela de Apoio'!$B:$B,MATCH('MAPA DE PREÇOS'!$O$8,'Tabela de Apoio'!$A:$A,1))/INDEX('Tabela de Apoio'!$B:$B,MATCH('MAPA DE PREÇOS'!S142,'Tabela de Apoio'!$A:$A,1)-1))*S141))</f>
        <v>46.99</v>
      </c>
      <c r="T145" s="106">
        <f>IF(T141="","",
IF(OR(T143="Orçamento",T142="",MAX('Tabela de Apoio'!$A:$A)&lt;=T142),
T141,
(INDEX('Tabela de Apoio'!$B:$B,MATCH('MAPA DE PREÇOS'!$O$8,'Tabela de Apoio'!$A:$A,1))/INDEX('Tabela de Apoio'!$B:$B,MATCH('MAPA DE PREÇOS'!T142,'Tabela de Apoio'!$A:$A,1)-1))*T141))</f>
        <v>41.583333333333336</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8"/>
      <c r="F146" s="93"/>
      <c r="G146" s="200"/>
      <c r="H146"/>
      <c r="I146"/>
      <c r="J146"/>
      <c r="N146" s="71"/>
      <c r="O146" s="27" t="s">
        <v>375</v>
      </c>
      <c r="P146" s="107">
        <f>IF(IFERROR(VLOOKUP(P143,'Tabela de Apoio'!$D:$E,2,FALSE),1)=1,"",P147)</f>
        <v>17.732222719864808</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8"/>
      <c r="F147" s="93"/>
      <c r="G147" s="200"/>
      <c r="H147" s="134">
        <f t="shared" ref="H147" si="375">COUNT($P147:$XX147)</f>
        <v>4</v>
      </c>
      <c r="I147" s="132">
        <f t="shared" ref="I147" si="376">_xlfn.STDEV.P($P146:$XX147)/AVERAGE($P146:$XX147)</f>
        <v>0.40071659194675041</v>
      </c>
      <c r="J147" s="7">
        <f>ROW()</f>
        <v>147</v>
      </c>
      <c r="K147" s="67"/>
      <c r="L147" s="29" t="s">
        <v>10</v>
      </c>
      <c r="M147" s="30">
        <f t="shared" ref="M147" si="377">IFERROR(
IF(COUNTA(P141:AI141)=COUNTIF(P143:XX143,"Orçamento"),MIN(M152,M149),
IF(M150&lt;&gt;"",M150,
IF(M151&lt;&gt;"",M151,
M149
))),"")</f>
        <v>27</v>
      </c>
      <c r="N147" s="71"/>
      <c r="O147" s="27" t="s">
        <v>376</v>
      </c>
      <c r="P147" s="106">
        <f t="shared" ref="P147:AI147" si="378">IFERROR(IF(P145="",
            "",
            IF(COUNT($P145:$XX145)&lt;=4,
               P145,
               IF(OR(P145&gt;(QUARTILE($P145:$XX145,3)+(QUARTILE($P145:$XX145,3)-QUARTILE($P145:$XX145,1))),
                     P145&lt;(QUARTILE($P145:$XX145,1)-(QUARTILE($P145:$XX145,3)-QUARTILE($P145:$XX145,1)))
                  ),
               "DESCARTADO",P145)
             )
  ),P145)</f>
        <v>17.732222719864808</v>
      </c>
      <c r="Q147" s="106" t="str">
        <f t="shared" si="378"/>
        <v>DESCARTADO</v>
      </c>
      <c r="R147" s="106">
        <f t="shared" si="378"/>
        <v>27</v>
      </c>
      <c r="S147" s="106">
        <f t="shared" si="378"/>
        <v>46.99</v>
      </c>
      <c r="T147" s="106">
        <f t="shared" si="378"/>
        <v>41.583333333333336</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8"/>
      <c r="F148" s="93"/>
      <c r="G148" s="200"/>
      <c r="H148"/>
      <c r="I148"/>
      <c r="J148"/>
      <c r="K148" s="66"/>
      <c r="L148" s="29" t="s">
        <v>360</v>
      </c>
      <c r="M148" s="30">
        <f t="shared" ref="M148" si="381">AVERAGE($P147:$XX147)</f>
        <v>33.32638901329954</v>
      </c>
      <c r="N148" s="71"/>
      <c r="O148" s="27" t="str">
        <f t="shared" ref="O148" si="382">"1 POND"</f>
        <v>1 POND</v>
      </c>
      <c r="P148" s="107" t="str">
        <f>IF(IFERROR(VLOOKUP(P143,'Tabela de Apoio'!$D:$E,2,FALSE),1)=1,"",P149)</f>
        <v>DESCARTADO</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8"/>
      <c r="F149" s="93"/>
      <c r="G149" s="200"/>
      <c r="H149" s="134">
        <f t="shared" ref="H149" si="383">COUNT($P149:$XX149)</f>
        <v>2</v>
      </c>
      <c r="I149" s="132">
        <f t="shared" ref="I149" si="384">_xlfn.STDEV.P($P148:$XX149)/AVERAGE($P148:$XX149)</f>
        <v>0.21263669501822563</v>
      </c>
      <c r="J149" s="7">
        <f t="shared" ref="J149" si="385">IF(AND(H149&gt;2,
OR(L141="MÉDIA SANEADA",L141="MEDIANA SANEADA",
AND(L141="PREÇO ESTIMADO",NOT(AND(P143="Orçamento",COUNTA(P141:XX141)=COUNTIF(P143:XX143,"Orçamento")))))),
ROW(),0)</f>
        <v>0</v>
      </c>
      <c r="K149" s="66"/>
      <c r="L149" s="29" t="s">
        <v>361</v>
      </c>
      <c r="M149" s="30">
        <f t="shared" ref="M149" si="386">MEDIAN($P147:$XX147)</f>
        <v>34.291666666666671</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DESCARTADO</v>
      </c>
      <c r="Q149" s="107" t="str">
        <f t="shared" si="388"/>
        <v>DESCARTADO</v>
      </c>
      <c r="R149" s="107">
        <f t="shared" si="388"/>
        <v>27</v>
      </c>
      <c r="S149" s="107" t="str">
        <f t="shared" si="388"/>
        <v>DESCARTADO</v>
      </c>
      <c r="T149" s="107">
        <f t="shared" si="388"/>
        <v>41.583333333333336</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DESCARTADO</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8"/>
      <c r="F151" s="93"/>
      <c r="G151" s="200"/>
      <c r="H151" s="134">
        <f t="shared" ref="H151" si="391">COUNT($P151:$XX151)</f>
        <v>2</v>
      </c>
      <c r="I151" s="132">
        <f t="shared" ref="I151" si="392">_xlfn.STDEV.P($P150:$XX151)/AVERAGE($P150:$XX151)</f>
        <v>0.21263669501822563</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27</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DESCARTADO</v>
      </c>
      <c r="Q151" s="107" t="str">
        <f t="shared" si="396"/>
        <v>DESCARTADO</v>
      </c>
      <c r="R151" s="107">
        <f t="shared" si="396"/>
        <v>27</v>
      </c>
      <c r="S151" s="107" t="str">
        <f t="shared" si="396"/>
        <v>DESCARTADO</v>
      </c>
      <c r="T151" s="107">
        <f t="shared" si="396"/>
        <v>41.583333333333336</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8"/>
      <c r="F152" s="93"/>
      <c r="G152" s="200"/>
      <c r="H152"/>
      <c r="I152"/>
      <c r="J152"/>
      <c r="K152" s="66"/>
      <c r="L152" s="29" t="s">
        <v>359</v>
      </c>
      <c r="M152" s="30">
        <f t="shared" ref="M152" si="397">HARMEAN($P146:$XX147)</f>
        <v>25.620624322063538</v>
      </c>
      <c r="N152" s="71"/>
      <c r="O152" s="27" t="str">
        <f t="shared" ref="O152" si="398">"3 POND"</f>
        <v>3 POND</v>
      </c>
      <c r="P152" s="107" t="str">
        <f>IF(IFERROR(VLOOKUP(P143,'Tabela de Apoio'!$D:$E,2,FALSE),1)=1,"",P153)</f>
        <v>DESCARTADO</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8"/>
      <c r="F153" s="93"/>
      <c r="G153" s="200"/>
      <c r="H153" s="134">
        <f t="shared" ref="H153" si="399">COUNT($P153:$XX153)</f>
        <v>2</v>
      </c>
      <c r="I153" s="132">
        <f t="shared" ref="I153" si="400">_xlfn.STDEV.P($P152:$XX153)/AVERAGE($P152:$XX153)</f>
        <v>0.21263669501822563</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20.049167039898606</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DESCARTADO</v>
      </c>
      <c r="Q153" s="107" t="str">
        <f t="shared" si="404"/>
        <v>DESCARTADO</v>
      </c>
      <c r="R153" s="107">
        <f t="shared" si="404"/>
        <v>27</v>
      </c>
      <c r="S153" s="107" t="str">
        <f t="shared" si="404"/>
        <v>DESCARTADO</v>
      </c>
      <c r="T153" s="107">
        <f t="shared" si="404"/>
        <v>41.583333333333336</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8"/>
      <c r="F154" s="93"/>
      <c r="G154" s="200"/>
      <c r="H154"/>
      <c r="I154"/>
      <c r="J154"/>
      <c r="K154" s="66"/>
      <c r="L154" s="29" t="s">
        <v>39</v>
      </c>
      <c r="M154" s="30">
        <f t="shared" ref="M154" si="405">IFERROR(_xlfn.QUARTILE.EXC($P147:$XX147,3),"")</f>
        <v>45.638333333333335</v>
      </c>
      <c r="N154" s="71"/>
      <c r="O154" s="27" t="str">
        <f t="shared" ref="O154" si="406">"4 POND"</f>
        <v>4 POND</v>
      </c>
      <c r="P154" s="107" t="str">
        <f>IF(IFERROR(VLOOKUP(P143,'Tabela de Apoio'!$D:$E,2,FALSE),1)=1,"",P155)</f>
        <v>DESCARTADO</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8"/>
      <c r="F155" s="93"/>
      <c r="G155" s="200"/>
      <c r="H155" s="134">
        <f t="shared" ref="H155" si="407">COUNT($P155:$XX155)</f>
        <v>2</v>
      </c>
      <c r="I155" s="132">
        <f t="shared" ref="I155" si="408">_xlfn.STDEV.P($P154:$XX155)/AVERAGE($P154:$XX155)</f>
        <v>0.21263669501822563</v>
      </c>
      <c r="J155" s="7">
        <f t="shared" ref="J155" si="409">IF(AND(H155&gt;2,
OR(L141="MÉDIA SANEADA",L141="MEDIANA SANEADA",
AND(L141="PREÇO ESTIMADO",NOT(AND(P143="Orçamento",COUNTA(P141:XX141)=COUNTIF(P143:XX143,"Orçamento")))))),
ROW(),0)</f>
        <v>0</v>
      </c>
      <c r="K155" s="66"/>
      <c r="L155" s="29" t="s">
        <v>42</v>
      </c>
      <c r="M155" s="30">
        <f t="shared" ref="M155" si="410">MIN($P147:$XX147)</f>
        <v>17.732222719864808</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DESCARTADO</v>
      </c>
      <c r="Q155" s="107" t="str">
        <f t="shared" si="412"/>
        <v>DESCARTADO</v>
      </c>
      <c r="R155" s="107">
        <f t="shared" si="412"/>
        <v>27</v>
      </c>
      <c r="S155" s="107" t="str">
        <f t="shared" si="412"/>
        <v>DESCARTADO</v>
      </c>
      <c r="T155" s="107">
        <f t="shared" si="412"/>
        <v>41.583333333333336</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8"/>
      <c r="F156" s="93"/>
      <c r="G156" s="200"/>
      <c r="H156"/>
      <c r="I156"/>
      <c r="J156"/>
      <c r="K156" s="66"/>
      <c r="L156" s="29" t="s">
        <v>40</v>
      </c>
      <c r="M156" s="30">
        <f t="shared" ref="M156" si="413">MAX($P147:$XX147)</f>
        <v>46.99</v>
      </c>
      <c r="N156" s="71"/>
      <c r="O156" s="27" t="str">
        <f t="shared" ref="O156" si="414">"5 POND"</f>
        <v>5 POND</v>
      </c>
      <c r="P156" s="107" t="str">
        <f>IF(IFERROR(VLOOKUP(P143,'Tabela de Apoio'!$D:$E,2,FALSE),1)=1,"",P157)</f>
        <v>DESCARTADO</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8"/>
      <c r="F157" s="93"/>
      <c r="G157" s="200"/>
      <c r="H157" s="134">
        <f t="shared" ref="H157" si="415">COUNT($P157:$XX157)</f>
        <v>2</v>
      </c>
      <c r="I157" s="132">
        <f t="shared" ref="I157" si="416">_xlfn.STDEV.P($P156:$XX157)/AVERAGE($P156:$XX157)</f>
        <v>0.21263669501822563</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DESCARTADO</v>
      </c>
      <c r="Q157" s="107" t="str">
        <f t="shared" si="419"/>
        <v>DESCARTADO</v>
      </c>
      <c r="R157" s="107">
        <f t="shared" si="419"/>
        <v>27</v>
      </c>
      <c r="S157" s="107" t="str">
        <f t="shared" si="419"/>
        <v>DESCARTADO</v>
      </c>
      <c r="T157" s="107">
        <f t="shared" si="419"/>
        <v>41.583333333333336</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8"/>
      <c r="F158" s="93"/>
      <c r="G158" s="200"/>
      <c r="H158"/>
      <c r="I158"/>
      <c r="J158"/>
      <c r="K158" s="66"/>
      <c r="L158" s="22"/>
      <c r="M158" s="22"/>
      <c r="N158" s="71"/>
      <c r="O158" s="27" t="str">
        <f t="shared" ref="O158" si="420">"6 POND"</f>
        <v>6 POND</v>
      </c>
      <c r="P158" s="107" t="str">
        <f>IF(IFERROR(VLOOKUP(P143,'Tabela de Apoio'!$D:$E,2,FALSE),1)=1,"",P159)</f>
        <v>DESCARTADO</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8"/>
      <c r="F159" s="93"/>
      <c r="G159" s="200"/>
      <c r="H159" s="134">
        <f t="shared" ref="H159" si="421">COUNT($P159:$XX159)</f>
        <v>2</v>
      </c>
      <c r="I159" s="132">
        <f t="shared" ref="I159" si="422">_xlfn.STDEV.P($P158:$XX159)/AVERAGE($P158:$XX159)</f>
        <v>0.21263669501822563</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DESCARTADO</v>
      </c>
      <c r="Q159" s="107" t="str">
        <f t="shared" si="425"/>
        <v>DESCARTADO</v>
      </c>
      <c r="R159" s="107">
        <f t="shared" si="425"/>
        <v>27</v>
      </c>
      <c r="S159" s="107" t="str">
        <f t="shared" si="425"/>
        <v>DESCARTADO</v>
      </c>
      <c r="T159" s="107">
        <f t="shared" si="425"/>
        <v>41.583333333333336</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8"/>
      <c r="F160" s="136"/>
      <c r="G160" s="200"/>
      <c r="H160" s="203" t="s">
        <v>460</v>
      </c>
      <c r="I160" s="203"/>
      <c r="J160" s="204"/>
      <c r="K160" s="67"/>
      <c r="L160" s="1" t="s">
        <v>43</v>
      </c>
      <c r="M160" s="143">
        <f t="shared" ref="M160" si="426">IFERROR(ROUND(M141*M143,2),"")</f>
        <v>76950</v>
      </c>
      <c r="O160" s="27" t="s">
        <v>363</v>
      </c>
      <c r="P160" s="107">
        <f t="shared" ref="P160:R160" si="427">INDEX(P147:P159,MATCH(MAX($J147:$J159),$J147:$J159,0))</f>
        <v>17.732222719864808</v>
      </c>
      <c r="Q160" s="107" t="str">
        <f t="shared" si="427"/>
        <v>DESCARTADO</v>
      </c>
      <c r="R160" s="107">
        <f t="shared" si="427"/>
        <v>27</v>
      </c>
      <c r="S160" s="107">
        <f t="shared" si="361"/>
        <v>46.99</v>
      </c>
      <c r="T160" s="107">
        <f t="shared" si="361"/>
        <v>41.583333333333336</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1101468</v>
      </c>
      <c r="I162" s="181" t="s">
        <v>16</v>
      </c>
      <c r="J162" s="6">
        <f>INDEX('BASE FORMAÇÃO'!K:K,B162+1)</f>
        <v>0</v>
      </c>
      <c r="K162" s="65"/>
      <c r="L162" s="182" t="s">
        <v>10</v>
      </c>
      <c r="M162" s="184">
        <f t="shared" ref="M162" si="430">IF(OR(ISBLANK($O$8),ISBLANK($O$7),ISBLANK($H$8),ISBLANK($O$6),ISBLANK($O$5),ISBLANK($H$5)),"",IFERROR(IF(VLOOKUP(L162,L168:M177,2,FALSE)&lt;1,ROUND(VLOOKUP(L162,L168:M177,2,FALSE),4),ROUND(VLOOKUP(L162,L168:M177,2,FALSE),2)),""))</f>
        <v>26.99</v>
      </c>
      <c r="N162" s="69"/>
      <c r="O162" s="27" t="s">
        <v>17</v>
      </c>
      <c r="P162" s="113">
        <v>25</v>
      </c>
      <c r="Q162" s="113">
        <v>26.99</v>
      </c>
      <c r="R162" s="113">
        <f>(19/30)*100</f>
        <v>63.333333333333329</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6">
        <f t="shared" ref="E163" si="432">D162</f>
        <v>8</v>
      </c>
      <c r="F163" s="92"/>
      <c r="G163" s="188" t="s">
        <v>1</v>
      </c>
      <c r="H163" s="191" t="str">
        <f>INDEX('BASE FORMAÇÃO'!C:C,B162+1)</f>
        <v>LANETTE, LOÇÃO, 100ML (USO EXTERNO). INDICAR MARCA.</v>
      </c>
      <c r="I163" s="191"/>
      <c r="J163" s="192"/>
      <c r="K163" s="66"/>
      <c r="L163" s="183"/>
      <c r="M163" s="185"/>
      <c r="N163" s="70"/>
      <c r="O163" s="27" t="s">
        <v>13</v>
      </c>
      <c r="P163" s="122">
        <v>46220</v>
      </c>
      <c r="Q163" s="122">
        <v>46238</v>
      </c>
      <c r="R163" s="122">
        <v>46238</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7"/>
      <c r="F164" s="93"/>
      <c r="G164" s="189"/>
      <c r="H164" s="193"/>
      <c r="I164" s="193"/>
      <c r="J164" s="194"/>
      <c r="K164" s="64"/>
      <c r="L164" s="130" t="s">
        <v>44</v>
      </c>
      <c r="M164" s="131">
        <v>2400</v>
      </c>
      <c r="N164" s="71"/>
      <c r="O164" s="27" t="s">
        <v>380</v>
      </c>
      <c r="P164" s="114" t="s">
        <v>377</v>
      </c>
      <c r="Q164" s="114" t="s">
        <v>302</v>
      </c>
      <c r="R164" s="114" t="s">
        <v>302</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0"/>
      <c r="H165" s="195"/>
      <c r="I165" s="195"/>
      <c r="J165" s="196"/>
      <c r="K165" s="64"/>
      <c r="L165" s="1" t="s">
        <v>2</v>
      </c>
      <c r="M165" s="6" t="str">
        <f>INDEX('BASE FORMAÇÃO'!D:D,B166+1)</f>
        <v>FR</v>
      </c>
      <c r="N165" s="71"/>
      <c r="O165" s="27" t="s">
        <v>381</v>
      </c>
      <c r="P165" s="115" t="s">
        <v>469</v>
      </c>
      <c r="Q165" s="115" t="s">
        <v>471</v>
      </c>
      <c r="R165" s="115" t="s">
        <v>472</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197">
        <f t="shared" ref="E166" si="436">C162</f>
        <v>1</v>
      </c>
      <c r="F166" s="93"/>
      <c r="G166" s="199" t="s">
        <v>304</v>
      </c>
      <c r="H166" s="201"/>
      <c r="I166" s="202"/>
      <c r="J166" s="202"/>
      <c r="K166" s="67"/>
      <c r="L166" s="28" t="s">
        <v>303</v>
      </c>
      <c r="M166" s="133">
        <f t="shared" ref="M166" si="437">IFERROR(INDEX(I168:I180,MATCH(MAX(J168:J180),J168:J180,0)),"")</f>
        <v>0.45836859463656004</v>
      </c>
      <c r="N166" s="71"/>
      <c r="O166" s="27" t="s">
        <v>18</v>
      </c>
      <c r="P166" s="106">
        <f>IF(P162="","",
IF(OR(P164="Orçamento",P163="",MAX('Tabela de Apoio'!$A:$A)&lt;=P163),
P162,
(INDEX('Tabela de Apoio'!$B:$B,MATCH('MAPA DE PREÇOS'!$O$8,'Tabela de Apoio'!$A:$A,1))/INDEX('Tabela de Apoio'!$B:$B,MATCH('MAPA DE PREÇOS'!P163,'Tabela de Apoio'!$A:$A,1)-1))*P162))</f>
        <v>25</v>
      </c>
      <c r="Q166" s="106">
        <f>IF(Q162="","",
IF(OR(Q164="Orçamento",Q163="",MAX('Tabela de Apoio'!$A:$A)&lt;=Q163),
Q162,
(INDEX('Tabela de Apoio'!$B:$B,MATCH('MAPA DE PREÇOS'!$O$8,'Tabela de Apoio'!$A:$A,1))/INDEX('Tabela de Apoio'!$B:$B,MATCH('MAPA DE PREÇOS'!Q163,'Tabela de Apoio'!$A:$A,1)-1))*Q162))</f>
        <v>26.99</v>
      </c>
      <c r="R166" s="106">
        <f>IF(R162="","",
IF(OR(R164="Orçamento",R163="",MAX('Tabela de Apoio'!$A:$A)&lt;=R163),
R162,
(INDEX('Tabela de Apoio'!$B:$B,MATCH('MAPA DE PREÇOS'!$O$8,'Tabela de Apoio'!$A:$A,1))/INDEX('Tabela de Apoio'!$B:$B,MATCH('MAPA DE PREÇOS'!R163,'Tabela de Apoio'!$A:$A,1)-1))*R162))</f>
        <v>63.333333333333329</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198"/>
      <c r="F168" s="93"/>
      <c r="G168" s="200"/>
      <c r="H168" s="134">
        <f t="shared" ref="H168" si="441">COUNT($P168:$XX168)</f>
        <v>3</v>
      </c>
      <c r="I168" s="132">
        <f t="shared" ref="I168" si="442">_xlfn.STDEV.P($P167:$XX168)/AVERAGE($P167:$XX168)</f>
        <v>0.45836859463656004</v>
      </c>
      <c r="J168" s="7">
        <f>ROW()</f>
        <v>168</v>
      </c>
      <c r="K168" s="67"/>
      <c r="L168" s="29" t="s">
        <v>10</v>
      </c>
      <c r="M168" s="30">
        <f t="shared" ref="M168" si="443">IFERROR(
IF(COUNTA(P162:AI162)=COUNTIF(P164:XX164,"Orçamento"),MIN(M173,M170),
IF(M171&lt;&gt;"",M171,
IF(M172&lt;&gt;"",M172,
M170
))),"")</f>
        <v>26.99</v>
      </c>
      <c r="N168" s="71"/>
      <c r="O168" s="27" t="s">
        <v>376</v>
      </c>
      <c r="P168" s="106">
        <f t="shared" ref="P168:AI168" si="444">IFERROR(IF(P166="",
            "",
            IF(COUNT($P166:$XX166)&lt;=4,
               P166,
               IF(OR(P166&gt;(QUARTILE($P166:$XX166,3)+(QUARTILE($P166:$XX166,3)-QUARTILE($P166:$XX166,1))),
                     P166&lt;(QUARTILE($P166:$XX166,1)-(QUARTILE($P166:$XX166,3)-QUARTILE($P166:$XX166,1)))
                  ),
               "DESCARTADO",P166)
             )
  ),P166)</f>
        <v>25</v>
      </c>
      <c r="Q168" s="106">
        <f t="shared" si="444"/>
        <v>26.99</v>
      </c>
      <c r="R168" s="106">
        <f t="shared" si="444"/>
        <v>63.333333333333329</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198"/>
      <c r="F169" s="93"/>
      <c r="G169" s="200"/>
      <c r="H169"/>
      <c r="I169"/>
      <c r="J169"/>
      <c r="K169" s="66"/>
      <c r="L169" s="29" t="s">
        <v>360</v>
      </c>
      <c r="M169" s="30">
        <f t="shared" ref="M169" si="447">AVERAGE($P168:$XX168)</f>
        <v>38.441111111111105</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198"/>
      <c r="F170" s="93"/>
      <c r="G170" s="200"/>
      <c r="H170" s="134">
        <f t="shared" ref="H170" si="449">COUNT($P170:$XX170)</f>
        <v>2</v>
      </c>
      <c r="I170" s="132">
        <f t="shared" ref="I170" si="450">_xlfn.STDEV.P($P169:$XX170)/AVERAGE($P169:$XX170)</f>
        <v>3.8276591652240788E-2</v>
      </c>
      <c r="J170" s="7">
        <f t="shared" ref="J170" si="451">IF(AND(H170&gt;2,
OR(L162="MÉDIA SANEADA",L162="MEDIANA SANEADA",
AND(L162="PREÇO ESTIMADO",NOT(AND(P164="Orçamento",COUNTA(P162:XX162)=COUNTIF(P164:XX164,"Orçamento")))))),
ROW(),0)</f>
        <v>0</v>
      </c>
      <c r="K170" s="66"/>
      <c r="L170" s="29" t="s">
        <v>361</v>
      </c>
      <c r="M170" s="30">
        <f t="shared" ref="M170" si="452">MEDIAN($P168:$XX168)</f>
        <v>26.99</v>
      </c>
      <c r="N170" s="71"/>
      <c r="O170" s="27" t="str">
        <f t="shared" ref="O170" si="453">"1 RODADA"</f>
        <v>1 RODADA</v>
      </c>
      <c r="P170" s="107">
        <f t="shared" ref="P170:AI170" si="454">IF(P168="","",IF((_xlfn.STDEV.P($P167:$XX168)/AVERAGE($P167:$XX168))&lt;=25%,P168,IF(OR(P168&gt;(AVERAGE($P167:$XX168)+_xlfn.STDEV.P($P167:$XX168)),P168&lt;(AVERAGE($P167:$XX168)-_xlfn.STDEV.P($P167:$XX168))),"DESCARTADO",P168)))</f>
        <v>25</v>
      </c>
      <c r="Q170" s="107">
        <f t="shared" si="454"/>
        <v>26.99</v>
      </c>
      <c r="R170" s="107" t="str">
        <f t="shared" si="454"/>
        <v>DESCARTADO</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198"/>
      <c r="F172" s="93"/>
      <c r="G172" s="200"/>
      <c r="H172" s="134">
        <f t="shared" ref="H172" si="457">COUNT($P172:$XX172)</f>
        <v>2</v>
      </c>
      <c r="I172" s="132">
        <f t="shared" ref="I172" si="458">_xlfn.STDEV.P($P171:$XX172)/AVERAGE($P171:$XX172)</f>
        <v>3.8276591652240788E-2</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26.99</v>
      </c>
      <c r="N172" s="71"/>
      <c r="O172" s="27" t="str">
        <f t="shared" ref="O172" si="461">"2 RODADA"</f>
        <v>2 RODADA</v>
      </c>
      <c r="P172" s="107">
        <f t="shared" ref="P172:AI172" si="462">IF(P170="","",IF((_xlfn.STDEV.P($P169:$XX170)/AVERAGE($P169:$XX170))&lt;=25%,P170,IF(OR(P170&gt;(AVERAGE($P169:$XX170)+_xlfn.STDEV.P($P169:$XX170)),P170&lt;(AVERAGE($P169:$XX170)-_xlfn.STDEV.P($P169:$XX170))),"DESCARTADO",P170)))</f>
        <v>25</v>
      </c>
      <c r="Q172" s="107">
        <f t="shared" si="462"/>
        <v>26.99</v>
      </c>
      <c r="R172" s="107" t="str">
        <f t="shared" si="462"/>
        <v>DESCARTADO</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198"/>
      <c r="F173" s="93"/>
      <c r="G173" s="200"/>
      <c r="H173"/>
      <c r="I173"/>
      <c r="J173"/>
      <c r="K173" s="66"/>
      <c r="L173" s="29" t="s">
        <v>359</v>
      </c>
      <c r="M173" s="30">
        <f t="shared" ref="M173" si="463">HARMEAN($P167:$XX168)</f>
        <v>32.313576730645629</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198"/>
      <c r="F174" s="93"/>
      <c r="G174" s="200"/>
      <c r="H174" s="134">
        <f t="shared" ref="H174" si="465">COUNT($P174:$XX174)</f>
        <v>2</v>
      </c>
      <c r="I174" s="132">
        <f t="shared" ref="I174" si="466">_xlfn.STDEV.P($P173:$XX174)/AVERAGE($P173:$XX174)</f>
        <v>3.8276591652240788E-2</v>
      </c>
      <c r="J174" s="7">
        <f t="shared" ref="J174" si="467">IF(AND(H174&gt;2,
OR(L162="MÉDIA SANEADA",L162="MEDIANA SANEADA",
AND(L162="PREÇO ESTIMADO",NOT(AND(P164="Orçamento",COUNTA(P162:XX162)=COUNTIF(P164:XX164,"Orçamento")))))),
ROW(),0)</f>
        <v>0</v>
      </c>
      <c r="K174" s="66"/>
      <c r="L174" s="29" t="s">
        <v>41</v>
      </c>
      <c r="M174" s="30">
        <f t="shared" ref="M174" si="468">IFERROR(_xlfn.QUARTILE.EXC($P168:$XX168,1),"")</f>
        <v>25</v>
      </c>
      <c r="N174" s="71"/>
      <c r="O174" s="27" t="str">
        <f t="shared" ref="O174" si="469">"3 RODADA"</f>
        <v>3 RODADA</v>
      </c>
      <c r="P174" s="107">
        <f t="shared" ref="P174:AI174" si="470">IF(P172="","",IF((_xlfn.STDEV.P($P171:$XX172)/AVERAGE($P171:$XX172))&lt;=25%,P172,IF(OR(P172&gt;(AVERAGE($P171:$XX172)+_xlfn.STDEV.P($P171:$XX172)),P172&lt;(AVERAGE($P171:$XX172)-_xlfn.STDEV.P($P171:$XX172))),"DESCARTADO",P172)))</f>
        <v>25</v>
      </c>
      <c r="Q174" s="107">
        <f t="shared" si="470"/>
        <v>26.99</v>
      </c>
      <c r="R174" s="107" t="str">
        <f t="shared" si="470"/>
        <v>DESCARTADO</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198"/>
      <c r="F175" s="93"/>
      <c r="G175" s="200"/>
      <c r="H175"/>
      <c r="I175"/>
      <c r="J175"/>
      <c r="K175" s="66"/>
      <c r="L175" s="29" t="s">
        <v>39</v>
      </c>
      <c r="M175" s="30">
        <f t="shared" ref="M175" si="471">IFERROR(_xlfn.QUARTILE.EXC($P168:$XX168,3),"")</f>
        <v>63.333333333333329</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198"/>
      <c r="F176" s="93"/>
      <c r="G176" s="200"/>
      <c r="H176" s="134">
        <f t="shared" ref="H176" si="473">COUNT($P176:$XX176)</f>
        <v>2</v>
      </c>
      <c r="I176" s="132">
        <f t="shared" ref="I176" si="474">_xlfn.STDEV.P($P175:$XX176)/AVERAGE($P175:$XX176)</f>
        <v>3.8276591652240788E-2</v>
      </c>
      <c r="J176" s="7">
        <f t="shared" ref="J176" si="475">IF(AND(H176&gt;2,
OR(L162="MÉDIA SANEADA",L162="MEDIANA SANEADA",
AND(L162="PREÇO ESTIMADO",NOT(AND(P164="Orçamento",COUNTA(P162:XX162)=COUNTIF(P164:XX164,"Orçamento")))))),
ROW(),0)</f>
        <v>0</v>
      </c>
      <c r="K176" s="66"/>
      <c r="L176" s="29" t="s">
        <v>42</v>
      </c>
      <c r="M176" s="30">
        <f t="shared" ref="M176" si="476">MIN($P168:$XX168)</f>
        <v>25</v>
      </c>
      <c r="N176" s="71"/>
      <c r="O176" s="27" t="str">
        <f t="shared" ref="O176" si="477">"4 RODADA"</f>
        <v>4 RODADA</v>
      </c>
      <c r="P176" s="107">
        <f t="shared" ref="P176:AI176" si="478">IF(P174="","",IF((_xlfn.STDEV.P($P173:$XX174)/AVERAGE($P173:$XX174))&lt;=25%,P174,IF(OR(P174&gt;(AVERAGE($P173:$XX174)+_xlfn.STDEV.P($P173:$XX174)),P174&lt;(AVERAGE($P173:$XX174)-_xlfn.STDEV.P($P173:$XX174))),"DESCARTADO",P174)))</f>
        <v>25</v>
      </c>
      <c r="Q176" s="107">
        <f t="shared" si="478"/>
        <v>26.99</v>
      </c>
      <c r="R176" s="107" t="str">
        <f t="shared" si="478"/>
        <v>DESCARTADO</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198"/>
      <c r="F177" s="93"/>
      <c r="G177" s="200"/>
      <c r="H177"/>
      <c r="I177"/>
      <c r="J177"/>
      <c r="K177" s="66"/>
      <c r="L177" s="29" t="s">
        <v>40</v>
      </c>
      <c r="M177" s="30">
        <f t="shared" ref="M177" si="479">MAX($P168:$XX168)</f>
        <v>63.333333333333329</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198"/>
      <c r="F178" s="93"/>
      <c r="G178" s="200"/>
      <c r="H178" s="134">
        <f t="shared" ref="H178" si="481">COUNT($P178:$XX178)</f>
        <v>2</v>
      </c>
      <c r="I178" s="132">
        <f t="shared" ref="I178" si="482">_xlfn.STDEV.P($P177:$XX178)/AVERAGE($P177:$XX178)</f>
        <v>3.8276591652240788E-2</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25</v>
      </c>
      <c r="Q178" s="107">
        <f t="shared" si="485"/>
        <v>26.99</v>
      </c>
      <c r="R178" s="107" t="str">
        <f t="shared" si="485"/>
        <v>DESCARTADO</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198"/>
      <c r="F180" s="93"/>
      <c r="G180" s="200"/>
      <c r="H180" s="134">
        <f t="shared" ref="H180" si="487">COUNT($P180:$XX180)</f>
        <v>2</v>
      </c>
      <c r="I180" s="132">
        <f t="shared" ref="I180" si="488">_xlfn.STDEV.P($P179:$XX180)/AVERAGE($P179:$XX180)</f>
        <v>3.8276591652240788E-2</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25</v>
      </c>
      <c r="Q180" s="107">
        <f t="shared" si="491"/>
        <v>26.99</v>
      </c>
      <c r="R180" s="107" t="str">
        <f t="shared" si="491"/>
        <v>DESCARTADO</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198"/>
      <c r="F181" s="136"/>
      <c r="G181" s="200"/>
      <c r="H181" s="203" t="s">
        <v>460</v>
      </c>
      <c r="I181" s="203"/>
      <c r="J181" s="204"/>
      <c r="K181" s="67"/>
      <c r="L181" s="1" t="s">
        <v>43</v>
      </c>
      <c r="M181" s="143">
        <f t="shared" ref="M181" si="492">IFERROR(ROUND(M162*M164,2),"")</f>
        <v>64776</v>
      </c>
      <c r="O181" s="27" t="s">
        <v>363</v>
      </c>
      <c r="P181" s="107">
        <f t="shared" ref="P181:AI202" si="493">INDEX(P168:P180,MATCH(MAX($J168:$J180),$J168:$J180,0))</f>
        <v>25</v>
      </c>
      <c r="Q181" s="107">
        <f t="shared" si="493"/>
        <v>26.99</v>
      </c>
      <c r="R181" s="107">
        <f t="shared" si="493"/>
        <v>63.333333333333329</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1101492</v>
      </c>
      <c r="I183" s="181" t="s">
        <v>16</v>
      </c>
      <c r="J183" s="6">
        <f>INDEX('BASE FORMAÇÃO'!K:K,B183+1)</f>
        <v>0</v>
      </c>
      <c r="K183" s="65"/>
      <c r="L183" s="182" t="s">
        <v>10</v>
      </c>
      <c r="M183" s="184">
        <f t="shared" ref="M183" si="496">IF(OR(ISBLANK($O$8),ISBLANK($O$7),ISBLANK($H$8),ISBLANK($O$6),ISBLANK($O$5),ISBLANK($H$5)),"",IFERROR(IF(VLOOKUP(L183,L189:M198,2,FALSE)&lt;1,ROUND(VLOOKUP(L183,L189:M198,2,FALSE),4),ROUND(VLOOKUP(L183,L189:M198,2,FALSE),2)),""))</f>
        <v>22.19</v>
      </c>
      <c r="N183" s="69"/>
      <c r="O183" s="27" t="s">
        <v>17</v>
      </c>
      <c r="P183" s="113">
        <f>(38/5)*2.5</f>
        <v>19</v>
      </c>
      <c r="Q183" s="113">
        <v>83</v>
      </c>
      <c r="R183" s="113">
        <f>(42.69/5)*2.5</f>
        <v>21.344999999999999</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6">
        <f t="shared" ref="E184" si="498">D183</f>
        <v>9</v>
      </c>
      <c r="F184" s="92"/>
      <c r="G184" s="188" t="s">
        <v>1</v>
      </c>
      <c r="H184" s="191" t="str">
        <f>INDEX('BASE FORMAÇÃO'!C:C,B183+1)</f>
        <v>NITRATO DE PRATA, BASTAO, 2,5G (USO EXTERNO)</v>
      </c>
      <c r="I184" s="191"/>
      <c r="J184" s="192"/>
      <c r="K184" s="66"/>
      <c r="L184" s="183"/>
      <c r="M184" s="185"/>
      <c r="N184" s="70"/>
      <c r="O184" s="27" t="s">
        <v>13</v>
      </c>
      <c r="P184" s="122">
        <v>45951</v>
      </c>
      <c r="Q184" s="122">
        <v>46160</v>
      </c>
      <c r="R184" s="122">
        <v>45985</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7"/>
      <c r="F185" s="93"/>
      <c r="G185" s="189"/>
      <c r="H185" s="193"/>
      <c r="I185" s="193"/>
      <c r="J185" s="194"/>
      <c r="K185" s="64"/>
      <c r="L185" s="130" t="s">
        <v>44</v>
      </c>
      <c r="M185" s="131">
        <v>110</v>
      </c>
      <c r="N185" s="71"/>
      <c r="O185" s="27" t="s">
        <v>380</v>
      </c>
      <c r="P185" s="114" t="s">
        <v>12</v>
      </c>
      <c r="Q185" s="114" t="s">
        <v>12</v>
      </c>
      <c r="R185" s="114" t="s">
        <v>12</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0"/>
      <c r="H186" s="195"/>
      <c r="I186" s="195"/>
      <c r="J186" s="196"/>
      <c r="K186" s="64"/>
      <c r="L186" s="1" t="s">
        <v>2</v>
      </c>
      <c r="M186" s="6" t="str">
        <f>INDEX('BASE FORMAÇÃO'!D:D,B187+1)</f>
        <v>PC</v>
      </c>
      <c r="N186" s="71"/>
      <c r="O186" s="27" t="s">
        <v>381</v>
      </c>
      <c r="P186" s="115" t="s">
        <v>10</v>
      </c>
      <c r="Q186" s="115" t="s">
        <v>10</v>
      </c>
      <c r="R186" s="115" t="s">
        <v>10</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197">
        <f t="shared" ref="E187" si="502">C183</f>
        <v>1</v>
      </c>
      <c r="F187" s="93"/>
      <c r="G187" s="199" t="s">
        <v>304</v>
      </c>
      <c r="H187" s="201"/>
      <c r="I187" s="202"/>
      <c r="J187" s="202"/>
      <c r="K187" s="67"/>
      <c r="L187" s="28" t="s">
        <v>303</v>
      </c>
      <c r="M187" s="133">
        <f t="shared" ref="M187" si="503">IFERROR(INDEX(I189:I201,MATCH(MAX(J189:J201),J189:J201,0)),"")</f>
        <v>0.70608620377471387</v>
      </c>
      <c r="N187" s="71"/>
      <c r="O187" s="27" t="s">
        <v>18</v>
      </c>
      <c r="P187" s="106">
        <f>IF(P183="","",
IF(OR(P185="Orçamento",P184="",MAX('Tabela de Apoio'!$A:$A)&lt;=P184),
P183,
(INDEX('Tabela de Apoio'!$B:$B,MATCH('MAPA DE PREÇOS'!$O$8,'Tabela de Apoio'!$A:$A,1))/INDEX('Tabela de Apoio'!$B:$B,MATCH('MAPA DE PREÇOS'!P184,'Tabela de Apoio'!$A:$A,1)-1))*P183))</f>
        <v>19.771121583463103</v>
      </c>
      <c r="Q187" s="106">
        <f>IF(Q183="","",
IF(OR(Q185="Orçamento",Q184="",MAX('Tabela de Apoio'!$A:$A)&lt;=Q184),
Q183,
(INDEX('Tabela de Apoio'!$B:$B,MATCH('MAPA DE PREÇOS'!$O$8,'Tabela de Apoio'!$A:$A,1))/INDEX('Tabela de Apoio'!$B:$B,MATCH('MAPA DE PREÇOS'!Q184,'Tabela de Apoio'!$A:$A,1)-1))*Q183))</f>
        <v>83.673520192625404</v>
      </c>
      <c r="R187" s="106">
        <f>IF(R183="","",
IF(OR(R185="Orçamento",R184="",MAX('Tabela de Apoio'!$A:$A)&lt;=R184),
R183,
(INDEX('Tabela de Apoio'!$B:$B,MATCH('MAPA DE PREÇOS'!$O$8,'Tabela de Apoio'!$A:$A,1))/INDEX('Tabela de Apoio'!$B:$B,MATCH('MAPA DE PREÇOS'!R184,'Tabela de Apoio'!$A:$A,1)-1))*R183))</f>
        <v>22.191331533544762</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198"/>
      <c r="F188" s="93"/>
      <c r="G188" s="200"/>
      <c r="H188"/>
      <c r="I188"/>
      <c r="J188"/>
      <c r="N188" s="71"/>
      <c r="O188" s="27" t="s">
        <v>375</v>
      </c>
      <c r="P188" s="107">
        <f>IF(IFERROR(VLOOKUP(P185,'Tabela de Apoio'!$D:$E,2,FALSE),1)=1,"",P189)</f>
        <v>19.771121583463103</v>
      </c>
      <c r="Q188" s="107">
        <f>IF(IFERROR(VLOOKUP(Q185,'Tabela de Apoio'!$D:$E,2,FALSE),1)=1,"",Q189)</f>
        <v>83.673520192625404</v>
      </c>
      <c r="R188" s="107">
        <f>IF(IFERROR(VLOOKUP(R185,'Tabela de Apoio'!$D:$E,2,FALSE),1)=1,"",R189)</f>
        <v>22.191331533544762</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198"/>
      <c r="F189" s="93"/>
      <c r="G189" s="200"/>
      <c r="H189" s="134">
        <f t="shared" ref="H189" si="507">COUNT($P189:$XX189)</f>
        <v>3</v>
      </c>
      <c r="I189" s="132">
        <f t="shared" ref="I189" si="508">_xlfn.STDEV.P($P188:$XX189)/AVERAGE($P188:$XX189)</f>
        <v>0.70608620377471387</v>
      </c>
      <c r="J189" s="7">
        <f>ROW()</f>
        <v>189</v>
      </c>
      <c r="K189" s="67"/>
      <c r="L189" s="29" t="s">
        <v>10</v>
      </c>
      <c r="M189" s="30">
        <f t="shared" ref="M189" si="509">IFERROR(
IF(COUNTA(P183:AI183)=COUNTIF(P185:XX185,"Orçamento"),MIN(M194,M191),
IF(M192&lt;&gt;"",M192,
IF(M193&lt;&gt;"",M193,
M191
))),"")</f>
        <v>22.191331533544762</v>
      </c>
      <c r="N189" s="71"/>
      <c r="O189" s="27" t="s">
        <v>376</v>
      </c>
      <c r="P189" s="106">
        <f t="shared" ref="P189:AI189" si="510">IFERROR(IF(P187="",
            "",
            IF(COUNT($P187:$XX187)&lt;=4,
               P187,
               IF(OR(P187&gt;(QUARTILE($P187:$XX187,3)+(QUARTILE($P187:$XX187,3)-QUARTILE($P187:$XX187,1))),
                     P187&lt;(QUARTILE($P187:$XX187,1)-(QUARTILE($P187:$XX187,3)-QUARTILE($P187:$XX187,1)))
                  ),
               "DESCARTADO",P187)
             )
  ),P187)</f>
        <v>19.771121583463103</v>
      </c>
      <c r="Q189" s="106">
        <f t="shared" si="510"/>
        <v>83.673520192625404</v>
      </c>
      <c r="R189" s="106">
        <f t="shared" si="510"/>
        <v>22.191331533544762</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198"/>
      <c r="F190" s="93"/>
      <c r="G190" s="200"/>
      <c r="H190"/>
      <c r="I190"/>
      <c r="J190"/>
      <c r="K190" s="66"/>
      <c r="L190" s="29" t="s">
        <v>360</v>
      </c>
      <c r="M190" s="30">
        <f t="shared" ref="M190" si="513">AVERAGE($P189:$XX189)</f>
        <v>41.878657769877755</v>
      </c>
      <c r="N190" s="71"/>
      <c r="O190" s="27" t="str">
        <f t="shared" ref="O190" si="514">"1 POND"</f>
        <v>1 POND</v>
      </c>
      <c r="P190" s="107">
        <f>IF(IFERROR(VLOOKUP(P185,'Tabela de Apoio'!$D:$E,2,FALSE),1)=1,"",P191)</f>
        <v>19.771121583463103</v>
      </c>
      <c r="Q190" s="107" t="str">
        <f>IF(IFERROR(VLOOKUP(Q185,'Tabela de Apoio'!$D:$E,2,FALSE),1)=1,"",Q191)</f>
        <v>DESCARTADO</v>
      </c>
      <c r="R190" s="107">
        <f>IF(IFERROR(VLOOKUP(R185,'Tabela de Apoio'!$D:$E,2,FALSE),1)=1,"",R191)</f>
        <v>22.191331533544762</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198"/>
      <c r="F191" s="93"/>
      <c r="G191" s="200"/>
      <c r="H191" s="134">
        <f t="shared" ref="H191" si="515">COUNT($P191:$XX191)</f>
        <v>2</v>
      </c>
      <c r="I191" s="132">
        <f t="shared" ref="I191" si="516">_xlfn.STDEV.P($P190:$XX191)/AVERAGE($P190:$XX191)</f>
        <v>5.7675606889167313E-2</v>
      </c>
      <c r="J191" s="7">
        <f t="shared" ref="J191" si="517">IF(AND(H191&gt;2,
OR(L183="MÉDIA SANEADA",L183="MEDIANA SANEADA",
AND(L183="PREÇO ESTIMADO",NOT(AND(P185="Orçamento",COUNTA(P183:XX183)=COUNTIF(P185:XX185,"Orçamento")))))),
ROW(),0)</f>
        <v>0</v>
      </c>
      <c r="K191" s="66"/>
      <c r="L191" s="29" t="s">
        <v>361</v>
      </c>
      <c r="M191" s="30">
        <f t="shared" ref="M191" si="518">MEDIAN($P189:$XX189)</f>
        <v>22.191331533544762</v>
      </c>
      <c r="N191" s="71"/>
      <c r="O191" s="27" t="str">
        <f t="shared" ref="O191" si="519">"1 RODADA"</f>
        <v>1 RODADA</v>
      </c>
      <c r="P191" s="107">
        <f t="shared" ref="P191:AI191" si="520">IF(P189="","",IF((_xlfn.STDEV.P($P188:$XX189)/AVERAGE($P188:$XX189))&lt;=25%,P189,IF(OR(P189&gt;(AVERAGE($P188:$XX189)+_xlfn.STDEV.P($P188:$XX189)),P189&lt;(AVERAGE($P188:$XX189)-_xlfn.STDEV.P($P188:$XX189))),"DESCARTADO",P189)))</f>
        <v>19.771121583463103</v>
      </c>
      <c r="Q191" s="107" t="str">
        <f t="shared" si="520"/>
        <v>DESCARTADO</v>
      </c>
      <c r="R191" s="107">
        <f t="shared" si="520"/>
        <v>22.191331533544762</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f>IF(IFERROR(VLOOKUP(P185,'Tabela de Apoio'!$D:$E,2,FALSE),1)=1,"",P193)</f>
        <v>19.771121583463103</v>
      </c>
      <c r="Q192" s="107" t="str">
        <f>IF(IFERROR(VLOOKUP(Q185,'Tabela de Apoio'!$D:$E,2,FALSE),1)=1,"",Q193)</f>
        <v>DESCARTADO</v>
      </c>
      <c r="R192" s="107">
        <f>IF(IFERROR(VLOOKUP(R185,'Tabela de Apoio'!$D:$E,2,FALSE),1)=1,"",R193)</f>
        <v>22.191331533544762</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198"/>
      <c r="F193" s="93"/>
      <c r="G193" s="200"/>
      <c r="H193" s="134">
        <f t="shared" ref="H193" si="523">COUNT($P193:$XX193)</f>
        <v>2</v>
      </c>
      <c r="I193" s="132">
        <f t="shared" ref="I193" si="524">_xlfn.STDEV.P($P192:$XX193)/AVERAGE($P192:$XX193)</f>
        <v>5.7675606889167313E-2</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22.191331533544762</v>
      </c>
      <c r="N193" s="71"/>
      <c r="O193" s="27" t="str">
        <f t="shared" ref="O193" si="527">"2 RODADA"</f>
        <v>2 RODADA</v>
      </c>
      <c r="P193" s="107">
        <f t="shared" ref="P193:AI193" si="528">IF(P191="","",IF((_xlfn.STDEV.P($P190:$XX191)/AVERAGE($P190:$XX191))&lt;=25%,P191,IF(OR(P191&gt;(AVERAGE($P190:$XX191)+_xlfn.STDEV.P($P190:$XX191)),P191&lt;(AVERAGE($P190:$XX191)-_xlfn.STDEV.P($P190:$XX191))),"DESCARTADO",P191)))</f>
        <v>19.771121583463103</v>
      </c>
      <c r="Q193" s="107" t="str">
        <f t="shared" si="528"/>
        <v>DESCARTADO</v>
      </c>
      <c r="R193" s="107">
        <f t="shared" si="528"/>
        <v>22.191331533544762</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198"/>
      <c r="F194" s="93"/>
      <c r="G194" s="200"/>
      <c r="H194"/>
      <c r="I194"/>
      <c r="J194"/>
      <c r="K194" s="66"/>
      <c r="L194" s="29" t="s">
        <v>359</v>
      </c>
      <c r="M194" s="30">
        <f t="shared" ref="M194" si="529">HARMEAN($P188:$XX189)</f>
        <v>27.882939578467926</v>
      </c>
      <c r="N194" s="71"/>
      <c r="O194" s="27" t="str">
        <f t="shared" ref="O194" si="530">"3 POND"</f>
        <v>3 POND</v>
      </c>
      <c r="P194" s="107">
        <f>IF(IFERROR(VLOOKUP(P185,'Tabela de Apoio'!$D:$E,2,FALSE),1)=1,"",P195)</f>
        <v>19.771121583463103</v>
      </c>
      <c r="Q194" s="107" t="str">
        <f>IF(IFERROR(VLOOKUP(Q185,'Tabela de Apoio'!$D:$E,2,FALSE),1)=1,"",Q195)</f>
        <v>DESCARTADO</v>
      </c>
      <c r="R194" s="107">
        <f>IF(IFERROR(VLOOKUP(R185,'Tabela de Apoio'!$D:$E,2,FALSE),1)=1,"",R195)</f>
        <v>22.191331533544762</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198"/>
      <c r="F195" s="93"/>
      <c r="G195" s="200"/>
      <c r="H195" s="134">
        <f t="shared" ref="H195" si="531">COUNT($P195:$XX195)</f>
        <v>2</v>
      </c>
      <c r="I195" s="132">
        <f t="shared" ref="I195" si="532">_xlfn.STDEV.P($P194:$XX195)/AVERAGE($P194:$XX195)</f>
        <v>5.7675606889167313E-2</v>
      </c>
      <c r="J195" s="7">
        <f t="shared" ref="J195" si="533">IF(AND(H195&gt;2,
OR(L183="MÉDIA SANEADA",L183="MEDIANA SANEADA",
AND(L183="PREÇO ESTIMADO",NOT(AND(P185="Orçamento",COUNTA(P183:XX183)=COUNTIF(P185:XX185,"Orçamento")))))),
ROW(),0)</f>
        <v>0</v>
      </c>
      <c r="K195" s="66"/>
      <c r="L195" s="29" t="s">
        <v>41</v>
      </c>
      <c r="M195" s="30">
        <f t="shared" ref="M195" si="534">IFERROR(_xlfn.QUARTILE.EXC($P189:$XX189,1),"")</f>
        <v>19.771121583463103</v>
      </c>
      <c r="N195" s="71"/>
      <c r="O195" s="27" t="str">
        <f t="shared" ref="O195" si="535">"3 RODADA"</f>
        <v>3 RODADA</v>
      </c>
      <c r="P195" s="107">
        <f t="shared" ref="P195:AI195" si="536">IF(P193="","",IF((_xlfn.STDEV.P($P192:$XX193)/AVERAGE($P192:$XX193))&lt;=25%,P193,IF(OR(P193&gt;(AVERAGE($P192:$XX193)+_xlfn.STDEV.P($P192:$XX193)),P193&lt;(AVERAGE($P192:$XX193)-_xlfn.STDEV.P($P192:$XX193))),"DESCARTADO",P193)))</f>
        <v>19.771121583463103</v>
      </c>
      <c r="Q195" s="107" t="str">
        <f t="shared" si="536"/>
        <v>DESCARTADO</v>
      </c>
      <c r="R195" s="107">
        <f t="shared" si="536"/>
        <v>22.191331533544762</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198"/>
      <c r="F196" s="93"/>
      <c r="G196" s="200"/>
      <c r="H196"/>
      <c r="I196"/>
      <c r="J196"/>
      <c r="K196" s="66"/>
      <c r="L196" s="29" t="s">
        <v>39</v>
      </c>
      <c r="M196" s="30">
        <f t="shared" ref="M196" si="537">IFERROR(_xlfn.QUARTILE.EXC($P189:$XX189,3),"")</f>
        <v>83.673520192625404</v>
      </c>
      <c r="N196" s="71"/>
      <c r="O196" s="27" t="str">
        <f t="shared" ref="O196" si="538">"4 POND"</f>
        <v>4 POND</v>
      </c>
      <c r="P196" s="107">
        <f>IF(IFERROR(VLOOKUP(P185,'Tabela de Apoio'!$D:$E,2,FALSE),1)=1,"",P197)</f>
        <v>19.771121583463103</v>
      </c>
      <c r="Q196" s="107" t="str">
        <f>IF(IFERROR(VLOOKUP(Q185,'Tabela de Apoio'!$D:$E,2,FALSE),1)=1,"",Q197)</f>
        <v>DESCARTADO</v>
      </c>
      <c r="R196" s="107">
        <f>IF(IFERROR(VLOOKUP(R185,'Tabela de Apoio'!$D:$E,2,FALSE),1)=1,"",R197)</f>
        <v>22.191331533544762</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198"/>
      <c r="F197" s="93"/>
      <c r="G197" s="200"/>
      <c r="H197" s="134">
        <f t="shared" ref="H197" si="539">COUNT($P197:$XX197)</f>
        <v>2</v>
      </c>
      <c r="I197" s="132">
        <f t="shared" ref="I197" si="540">_xlfn.STDEV.P($P196:$XX197)/AVERAGE($P196:$XX197)</f>
        <v>5.7675606889167313E-2</v>
      </c>
      <c r="J197" s="7">
        <f t="shared" ref="J197" si="541">IF(AND(H197&gt;2,
OR(L183="MÉDIA SANEADA",L183="MEDIANA SANEADA",
AND(L183="PREÇO ESTIMADO",NOT(AND(P185="Orçamento",COUNTA(P183:XX183)=COUNTIF(P185:XX185,"Orçamento")))))),
ROW(),0)</f>
        <v>0</v>
      </c>
      <c r="K197" s="66"/>
      <c r="L197" s="29" t="s">
        <v>42</v>
      </c>
      <c r="M197" s="30">
        <f t="shared" ref="M197" si="542">MIN($P189:$XX189)</f>
        <v>19.771121583463103</v>
      </c>
      <c r="N197" s="71"/>
      <c r="O197" s="27" t="str">
        <f t="shared" ref="O197" si="543">"4 RODADA"</f>
        <v>4 RODADA</v>
      </c>
      <c r="P197" s="107">
        <f t="shared" ref="P197:AI197" si="544">IF(P195="","",IF((_xlfn.STDEV.P($P194:$XX195)/AVERAGE($P194:$XX195))&lt;=25%,P195,IF(OR(P195&gt;(AVERAGE($P194:$XX195)+_xlfn.STDEV.P($P194:$XX195)),P195&lt;(AVERAGE($P194:$XX195)-_xlfn.STDEV.P($P194:$XX195))),"DESCARTADO",P195)))</f>
        <v>19.771121583463103</v>
      </c>
      <c r="Q197" s="107" t="str">
        <f t="shared" si="544"/>
        <v>DESCARTADO</v>
      </c>
      <c r="R197" s="107">
        <f t="shared" si="544"/>
        <v>22.191331533544762</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198"/>
      <c r="F198" s="93"/>
      <c r="G198" s="200"/>
      <c r="H198"/>
      <c r="I198"/>
      <c r="J198"/>
      <c r="K198" s="66"/>
      <c r="L198" s="29" t="s">
        <v>40</v>
      </c>
      <c r="M198" s="30">
        <f t="shared" ref="M198" si="545">MAX($P189:$XX189)</f>
        <v>83.673520192625404</v>
      </c>
      <c r="N198" s="71"/>
      <c r="O198" s="27" t="str">
        <f t="shared" ref="O198" si="546">"5 POND"</f>
        <v>5 POND</v>
      </c>
      <c r="P198" s="107">
        <f>IF(IFERROR(VLOOKUP(P185,'Tabela de Apoio'!$D:$E,2,FALSE),1)=1,"",P199)</f>
        <v>19.771121583463103</v>
      </c>
      <c r="Q198" s="107" t="str">
        <f>IF(IFERROR(VLOOKUP(Q185,'Tabela de Apoio'!$D:$E,2,FALSE),1)=1,"",Q199)</f>
        <v>DESCARTADO</v>
      </c>
      <c r="R198" s="107">
        <f>IF(IFERROR(VLOOKUP(R185,'Tabela de Apoio'!$D:$E,2,FALSE),1)=1,"",R199)</f>
        <v>22.191331533544762</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198"/>
      <c r="F199" s="93"/>
      <c r="G199" s="200"/>
      <c r="H199" s="134">
        <f t="shared" ref="H199" si="547">COUNT($P199:$XX199)</f>
        <v>2</v>
      </c>
      <c r="I199" s="132">
        <f t="shared" ref="I199" si="548">_xlfn.STDEV.P($P198:$XX199)/AVERAGE($P198:$XX199)</f>
        <v>5.7675606889167313E-2</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19.771121583463103</v>
      </c>
      <c r="Q199" s="107" t="str">
        <f t="shared" si="551"/>
        <v>DESCARTADO</v>
      </c>
      <c r="R199" s="107">
        <f t="shared" si="551"/>
        <v>22.191331533544762</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198"/>
      <c r="F200" s="93"/>
      <c r="G200" s="200"/>
      <c r="H200"/>
      <c r="I200"/>
      <c r="J200"/>
      <c r="K200" s="66"/>
      <c r="L200" s="22"/>
      <c r="M200" s="22"/>
      <c r="N200" s="71"/>
      <c r="O200" s="27" t="str">
        <f t="shared" ref="O200" si="552">"6 POND"</f>
        <v>6 POND</v>
      </c>
      <c r="P200" s="107">
        <f>IF(IFERROR(VLOOKUP(P185,'Tabela de Apoio'!$D:$E,2,FALSE),1)=1,"",P201)</f>
        <v>19.771121583463103</v>
      </c>
      <c r="Q200" s="107" t="str">
        <f>IF(IFERROR(VLOOKUP(Q185,'Tabela de Apoio'!$D:$E,2,FALSE),1)=1,"",Q201)</f>
        <v>DESCARTADO</v>
      </c>
      <c r="R200" s="107">
        <f>IF(IFERROR(VLOOKUP(R185,'Tabela de Apoio'!$D:$E,2,FALSE),1)=1,"",R201)</f>
        <v>22.191331533544762</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198"/>
      <c r="F201" s="93"/>
      <c r="G201" s="200"/>
      <c r="H201" s="134">
        <f t="shared" ref="H201" si="553">COUNT($P201:$XX201)</f>
        <v>2</v>
      </c>
      <c r="I201" s="132">
        <f t="shared" ref="I201" si="554">_xlfn.STDEV.P($P200:$XX201)/AVERAGE($P200:$XX201)</f>
        <v>5.7675606889167313E-2</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19.771121583463103</v>
      </c>
      <c r="Q201" s="107" t="str">
        <f t="shared" si="557"/>
        <v>DESCARTADO</v>
      </c>
      <c r="R201" s="107">
        <f t="shared" si="557"/>
        <v>22.191331533544762</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198"/>
      <c r="F202" s="136"/>
      <c r="G202" s="200"/>
      <c r="H202" s="203" t="s">
        <v>461</v>
      </c>
      <c r="I202" s="203"/>
      <c r="J202" s="204"/>
      <c r="K202" s="67"/>
      <c r="L202" s="1" t="s">
        <v>43</v>
      </c>
      <c r="M202" s="143">
        <f t="shared" ref="M202" si="558">IFERROR(ROUND(M183*M185,2),"")</f>
        <v>2440.9</v>
      </c>
      <c r="O202" s="27" t="s">
        <v>363</v>
      </c>
      <c r="P202" s="107">
        <f t="shared" ref="P202:R202" si="559">INDEX(P189:P201,MATCH(MAX($J189:$J201),$J189:$J201,0))</f>
        <v>19.771121583463103</v>
      </c>
      <c r="Q202" s="107">
        <f t="shared" si="559"/>
        <v>83.673520192625404</v>
      </c>
      <c r="R202" s="107">
        <f t="shared" si="559"/>
        <v>22.191331533544762</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1101518</v>
      </c>
      <c r="I204" s="181" t="s">
        <v>16</v>
      </c>
      <c r="J204" s="6">
        <f>INDEX('BASE FORMAÇÃO'!K:K,B204+1)</f>
        <v>0</v>
      </c>
      <c r="K204" s="65"/>
      <c r="L204" s="182" t="s">
        <v>10</v>
      </c>
      <c r="M204" s="184">
        <f t="shared" ref="M204" si="562">IF(OR(ISBLANK($O$8),ISBLANK($O$7),ISBLANK($H$8),ISBLANK($O$6),ISBLANK($O$5),ISBLANK($H$5)),"",IFERROR(IF(VLOOKUP(L204,L210:M219,2,FALSE)&lt;1,ROUND(VLOOKUP(L204,L210:M219,2,FALSE),4),ROUND(VLOOKUP(L204,L210:M219,2,FALSE),2)),""))</f>
        <v>46.83</v>
      </c>
      <c r="N204" s="69"/>
      <c r="O204" s="27" t="s">
        <v>17</v>
      </c>
      <c r="P204" s="113">
        <f>(49.9/10)*15</f>
        <v>74.850000000000009</v>
      </c>
      <c r="Q204" s="113">
        <f>(47.2/30)*15</f>
        <v>23.6</v>
      </c>
      <c r="R204" s="113">
        <f>(40/10)*15</f>
        <v>60</v>
      </c>
      <c r="S204" s="113">
        <f>(30/10)*15</f>
        <v>45</v>
      </c>
      <c r="T204" s="113">
        <v>29.5</v>
      </c>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6">
        <f t="shared" ref="E205" si="564">D204</f>
        <v>10</v>
      </c>
      <c r="F205" s="92"/>
      <c r="G205" s="188" t="s">
        <v>1</v>
      </c>
      <c r="H205" s="191" t="str">
        <f>INDEX('BASE FORMAÇÃO'!C:C,B204+1)</f>
        <v>PERCLORETO FÉRRICO 49%, GEL, 15G (USO EXTERNO). INDICAR MARCA.</v>
      </c>
      <c r="I205" s="191"/>
      <c r="J205" s="192"/>
      <c r="K205" s="66"/>
      <c r="L205" s="183"/>
      <c r="M205" s="185"/>
      <c r="N205" s="70"/>
      <c r="O205" s="27" t="s">
        <v>13</v>
      </c>
      <c r="P205" s="122">
        <v>46217</v>
      </c>
      <c r="Q205" s="122">
        <v>46113</v>
      </c>
      <c r="R205" s="122">
        <v>46050</v>
      </c>
      <c r="S205" s="122">
        <v>45939</v>
      </c>
      <c r="T205" s="122">
        <v>45905</v>
      </c>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7"/>
      <c r="F206" s="93"/>
      <c r="G206" s="189"/>
      <c r="H206" s="193"/>
      <c r="I206" s="193"/>
      <c r="J206" s="194"/>
      <c r="K206" s="64"/>
      <c r="L206" s="130" t="s">
        <v>44</v>
      </c>
      <c r="M206" s="131">
        <v>25</v>
      </c>
      <c r="N206" s="71"/>
      <c r="O206" s="27" t="s">
        <v>380</v>
      </c>
      <c r="P206" s="114" t="s">
        <v>12</v>
      </c>
      <c r="Q206" s="114" t="s">
        <v>12</v>
      </c>
      <c r="R206" s="114" t="s">
        <v>12</v>
      </c>
      <c r="S206" s="114" t="s">
        <v>12</v>
      </c>
      <c r="T206" s="114" t="s">
        <v>12</v>
      </c>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0"/>
      <c r="H207" s="195"/>
      <c r="I207" s="195"/>
      <c r="J207" s="196"/>
      <c r="K207" s="64"/>
      <c r="L207" s="1" t="s">
        <v>2</v>
      </c>
      <c r="M207" s="6" t="str">
        <f>INDEX('BASE FORMAÇÃO'!D:D,B208+1)</f>
        <v>PO</v>
      </c>
      <c r="N207" s="71"/>
      <c r="O207" s="27" t="s">
        <v>381</v>
      </c>
      <c r="P207" s="115" t="s">
        <v>10</v>
      </c>
      <c r="Q207" s="115" t="s">
        <v>10</v>
      </c>
      <c r="R207" s="115" t="s">
        <v>10</v>
      </c>
      <c r="S207" s="115" t="s">
        <v>10</v>
      </c>
      <c r="T207" s="115" t="s">
        <v>10</v>
      </c>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197">
        <f t="shared" ref="E208" si="568">C204</f>
        <v>1</v>
      </c>
      <c r="F208" s="93"/>
      <c r="G208" s="199" t="s">
        <v>304</v>
      </c>
      <c r="H208" s="201" t="s">
        <v>462</v>
      </c>
      <c r="I208" s="202"/>
      <c r="J208" s="202"/>
      <c r="K208" s="67"/>
      <c r="L208" s="28" t="s">
        <v>303</v>
      </c>
      <c r="M208" s="133">
        <f t="shared" ref="M208" si="569">IFERROR(INDEX(I210:I222,MATCH(MAX(J210:J222),J210:J222,0)),"")</f>
        <v>0.27364415150850724</v>
      </c>
      <c r="N208" s="71"/>
      <c r="O208" s="27" t="s">
        <v>18</v>
      </c>
      <c r="P208" s="106">
        <f>IF(P204="","",
IF(OR(P206="Orçamento",P205="",MAX('Tabela de Apoio'!$A:$A)&lt;=P205),
P204,
(INDEX('Tabela de Apoio'!$B:$B,MATCH('MAPA DE PREÇOS'!$O$8,'Tabela de Apoio'!$A:$A,1))/INDEX('Tabela de Apoio'!$B:$B,MATCH('MAPA DE PREÇOS'!P205,'Tabela de Apoio'!$A:$A,1)-1))*P204))</f>
        <v>74.850000000000009</v>
      </c>
      <c r="Q208" s="106">
        <f>IF(Q204="","",
IF(OR(Q206="Orçamento",Q205="",MAX('Tabela de Apoio'!$A:$A)&lt;=Q205),
Q204,
(INDEX('Tabela de Apoio'!$B:$B,MATCH('MAPA DE PREÇOS'!$O$8,'Tabela de Apoio'!$A:$A,1))/INDEX('Tabela de Apoio'!$B:$B,MATCH('MAPA DE PREÇOS'!Q205,'Tabela de Apoio'!$A:$A,1)-1))*Q204))</f>
        <v>23.950925647370035</v>
      </c>
      <c r="R208" s="106">
        <f>IF(R204="","",
IF(OR(R206="Orçamento",R205="",MAX('Tabela de Apoio'!$A:$A)&lt;=R205),
R204,
(INDEX('Tabela de Apoio'!$B:$B,MATCH('MAPA DE PREÇOS'!$O$8,'Tabela de Apoio'!$A:$A,1))/INDEX('Tabela de Apoio'!$B:$B,MATCH('MAPA DE PREÇOS'!R205,'Tabela de Apoio'!$A:$A,1)-1))*R204))</f>
        <v>62.062110223967991</v>
      </c>
      <c r="S208" s="106">
        <f>IF(S204="","",
IF(OR(S206="Orçamento",S205="",MAX('Tabela de Apoio'!$A:$A)&lt;=S205),
S204,
(INDEX('Tabela de Apoio'!$B:$B,MATCH('MAPA DE PREÇOS'!$O$8,'Tabela de Apoio'!$A:$A,1))/INDEX('Tabela de Apoio'!$B:$B,MATCH('MAPA DE PREÇOS'!S205,'Tabela de Apoio'!$A:$A,1)-1))*S204))</f>
        <v>46.826340592412613</v>
      </c>
      <c r="T208" s="106">
        <f>IF(T204="","",
IF(OR(T206="Orçamento",T205="",MAX('Tabela de Apoio'!$A:$A)&lt;=T205),
T204,
(INDEX('Tabela de Apoio'!$B:$B,MATCH('MAPA DE PREÇOS'!$O$8,'Tabela de Apoio'!$A:$A,1))/INDEX('Tabela de Apoio'!$B:$B,MATCH('MAPA DE PREÇOS'!T205,'Tabela de Apoio'!$A:$A,1)-1))*T204))</f>
        <v>30.844594622271437</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198"/>
      <c r="F209" s="93"/>
      <c r="G209" s="200"/>
      <c r="H209"/>
      <c r="I209"/>
      <c r="J209"/>
      <c r="N209" s="71"/>
      <c r="O209" s="27" t="s">
        <v>375</v>
      </c>
      <c r="P209" s="107">
        <f>IF(IFERROR(VLOOKUP(P206,'Tabela de Apoio'!$D:$E,2,FALSE),1)=1,"",P210)</f>
        <v>74.850000000000009</v>
      </c>
      <c r="Q209" s="107">
        <f>IF(IFERROR(VLOOKUP(Q206,'Tabela de Apoio'!$D:$E,2,FALSE),1)=1,"",Q210)</f>
        <v>23.950925647370035</v>
      </c>
      <c r="R209" s="107">
        <f>IF(IFERROR(VLOOKUP(R206,'Tabela de Apoio'!$D:$E,2,FALSE),1)=1,"",R210)</f>
        <v>62.062110223967991</v>
      </c>
      <c r="S209" s="107">
        <f>IF(IFERROR(VLOOKUP(S206,'Tabela de Apoio'!$D:$E,2,FALSE),1)=1,"",S210)</f>
        <v>46.826340592412613</v>
      </c>
      <c r="T209" s="107">
        <f>IF(IFERROR(VLOOKUP(T206,'Tabela de Apoio'!$D:$E,2,FALSE),1)=1,"",T210)</f>
        <v>30.844594622271437</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198"/>
      <c r="F210" s="93"/>
      <c r="G210" s="200"/>
      <c r="H210" s="134">
        <f t="shared" ref="H210" si="573">COUNT($P210:$XX210)</f>
        <v>5</v>
      </c>
      <c r="I210" s="132">
        <f t="shared" ref="I210" si="574">_xlfn.STDEV.P($P209:$XX210)/AVERAGE($P209:$XX210)</f>
        <v>0.39686022101578872</v>
      </c>
      <c r="J210" s="7">
        <f>ROW()</f>
        <v>210</v>
      </c>
      <c r="K210" s="67"/>
      <c r="L210" s="29" t="s">
        <v>10</v>
      </c>
      <c r="M210" s="30">
        <f t="shared" ref="M210" si="575">IFERROR(
IF(COUNTA(P204:AI204)=COUNTIF(P206:XX206,"Orçamento"),MIN(M215,M212),
IF(M213&lt;&gt;"",M213,
IF(M214&lt;&gt;"",M214,
M212
))),"")</f>
        <v>46.826340592412613</v>
      </c>
      <c r="N210" s="71"/>
      <c r="O210" s="27" t="s">
        <v>376</v>
      </c>
      <c r="P210" s="106">
        <f t="shared" ref="P210:AI210" si="576">IFERROR(IF(P208="",
            "",
            IF(COUNT($P208:$XX208)&lt;=4,
               P208,
               IF(OR(P208&gt;(QUARTILE($P208:$XX208,3)+(QUARTILE($P208:$XX208,3)-QUARTILE($P208:$XX208,1))),
                     P208&lt;(QUARTILE($P208:$XX208,1)-(QUARTILE($P208:$XX208,3)-QUARTILE($P208:$XX208,1)))
                  ),
               "DESCARTADO",P208)
             )
  ),P208)</f>
        <v>74.850000000000009</v>
      </c>
      <c r="Q210" s="106">
        <f t="shared" si="576"/>
        <v>23.950925647370035</v>
      </c>
      <c r="R210" s="106">
        <f t="shared" si="576"/>
        <v>62.062110223967991</v>
      </c>
      <c r="S210" s="106">
        <f t="shared" si="576"/>
        <v>46.826340592412613</v>
      </c>
      <c r="T210" s="106">
        <f t="shared" si="576"/>
        <v>30.844594622271437</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198"/>
      <c r="F211" s="93"/>
      <c r="G211" s="200"/>
      <c r="H211"/>
      <c r="I211"/>
      <c r="J211"/>
      <c r="K211" s="66"/>
      <c r="L211" s="29" t="s">
        <v>360</v>
      </c>
      <c r="M211" s="30">
        <f t="shared" ref="M211" si="579">AVERAGE($P210:$XX210)</f>
        <v>47.706794217204411</v>
      </c>
      <c r="N211" s="71"/>
      <c r="O211" s="27" t="str">
        <f t="shared" ref="O211" si="580">"1 POND"</f>
        <v>1 POND</v>
      </c>
      <c r="P211" s="107" t="str">
        <f>IF(IFERROR(VLOOKUP(P206,'Tabela de Apoio'!$D:$E,2,FALSE),1)=1,"",P212)</f>
        <v>DESCARTADO</v>
      </c>
      <c r="Q211" s="107" t="str">
        <f>IF(IFERROR(VLOOKUP(Q206,'Tabela de Apoio'!$D:$E,2,FALSE),1)=1,"",Q212)</f>
        <v>DESCARTADO</v>
      </c>
      <c r="R211" s="107">
        <f>IF(IFERROR(VLOOKUP(R206,'Tabela de Apoio'!$D:$E,2,FALSE),1)=1,"",R212)</f>
        <v>62.062110223967991</v>
      </c>
      <c r="S211" s="107">
        <f>IF(IFERROR(VLOOKUP(S206,'Tabela de Apoio'!$D:$E,2,FALSE),1)=1,"",S212)</f>
        <v>46.826340592412613</v>
      </c>
      <c r="T211" s="107">
        <f>IF(IFERROR(VLOOKUP(T206,'Tabela de Apoio'!$D:$E,2,FALSE),1)=1,"",T212)</f>
        <v>30.844594622271437</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198"/>
      <c r="F212" s="93"/>
      <c r="G212" s="200"/>
      <c r="H212" s="134">
        <f t="shared" ref="H212" si="581">COUNT($P212:$XX212)</f>
        <v>3</v>
      </c>
      <c r="I212" s="132">
        <f t="shared" ref="I212" si="582">_xlfn.STDEV.P($P211:$XX212)/AVERAGE($P211:$XX212)</f>
        <v>0.27364415150850724</v>
      </c>
      <c r="J212" s="7">
        <f t="shared" ref="J212" si="583">IF(AND(H212&gt;2,
OR(L204="MÉDIA SANEADA",L204="MEDIANA SANEADA",
AND(L204="PREÇO ESTIMADO",NOT(AND(P206="Orçamento",COUNTA(P204:XX204)=COUNTIF(P206:XX206,"Orçamento")))))),
ROW(),0)</f>
        <v>212</v>
      </c>
      <c r="K212" s="66"/>
      <c r="L212" s="29" t="s">
        <v>361</v>
      </c>
      <c r="M212" s="30">
        <f t="shared" ref="M212" si="584">MEDIAN($P210:$XX210)</f>
        <v>46.826340592412613</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DESCARTADO</v>
      </c>
      <c r="Q212" s="107" t="str">
        <f t="shared" si="586"/>
        <v>DESCARTADO</v>
      </c>
      <c r="R212" s="107">
        <f t="shared" si="586"/>
        <v>62.062110223967991</v>
      </c>
      <c r="S212" s="107">
        <f t="shared" si="586"/>
        <v>46.826340592412613</v>
      </c>
      <c r="T212" s="107">
        <f t="shared" si="586"/>
        <v>30.844594622271437</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DESCARTADO</v>
      </c>
      <c r="Q213" s="107" t="str">
        <f>IF(IFERROR(VLOOKUP(Q206,'Tabela de Apoio'!$D:$E,2,FALSE),1)=1,"",Q214)</f>
        <v>DESCARTADO</v>
      </c>
      <c r="R213" s="107" t="str">
        <f>IF(IFERROR(VLOOKUP(R206,'Tabela de Apoio'!$D:$E,2,FALSE),1)=1,"",R214)</f>
        <v>DESCARTADO</v>
      </c>
      <c r="S213" s="107">
        <f>IF(IFERROR(VLOOKUP(S206,'Tabela de Apoio'!$D:$E,2,FALSE),1)=1,"",S214)</f>
        <v>46.826340592412613</v>
      </c>
      <c r="T213" s="107" t="str">
        <f>IF(IFERROR(VLOOKUP(T206,'Tabela de Apoio'!$D:$E,2,FALSE),1)=1,"",T214)</f>
        <v>DESCARTADO</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198"/>
      <c r="F214" s="93"/>
      <c r="G214" s="200"/>
      <c r="H214" s="134">
        <f t="shared" ref="H214" si="589">COUNT($P214:$XX214)</f>
        <v>1</v>
      </c>
      <c r="I214" s="132">
        <f t="shared" ref="I214" si="590">_xlfn.STDEV.P($P213:$XX214)/AVERAGE($P213:$XX214)</f>
        <v>0</v>
      </c>
      <c r="J214" s="7">
        <f t="shared" ref="J214" si="591">IF(AND(H214&gt;2,
OR(L204="MÉDIA SANEADA",L204="MEDIANA SANEADA",
AND(L204="PREÇO ESTIMADO",NOT(AND(P206="Orçamento",COUNTA(P204:XX204)=COUNTIF(P206:XX206,"Orçamento")))))),
ROW(),0)</f>
        <v>0</v>
      </c>
      <c r="K214" s="66"/>
      <c r="L214" s="29" t="s">
        <v>362</v>
      </c>
      <c r="M214" s="30">
        <f t="shared" ref="M214" si="592" xml:space="preserve">
IF(H212&gt;2,MEDIAN(P211:XX212),
IF(H214&gt;2,MEDIAN(P213:XX214),
IF(H216&gt;2,MEDIAN(P215:XX216),
IF(H218&gt;2,MEDIAN(P217:XX218),
IF(H220&gt;2,MEDIAN(P219:XX220),
IF(H222&gt;2,MEDIAN(P221:XX222),
MEDIAN(P209:XX210)))))))</f>
        <v>46.826340592412613</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DESCARTADO</v>
      </c>
      <c r="Q214" s="107" t="str">
        <f t="shared" si="594"/>
        <v>DESCARTADO</v>
      </c>
      <c r="R214" s="107" t="str">
        <f t="shared" si="594"/>
        <v>DESCARTADO</v>
      </c>
      <c r="S214" s="107">
        <f t="shared" si="594"/>
        <v>46.826340592412613</v>
      </c>
      <c r="T214" s="107" t="str">
        <f t="shared" si="594"/>
        <v>DESCARTADO</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198"/>
      <c r="F215" s="93"/>
      <c r="G215" s="200"/>
      <c r="H215"/>
      <c r="I215"/>
      <c r="J215"/>
      <c r="K215" s="66"/>
      <c r="L215" s="29" t="s">
        <v>359</v>
      </c>
      <c r="M215" s="30">
        <f t="shared" ref="M215" si="595">HARMEAN($P209:$XX210)</f>
        <v>39.99965531952337</v>
      </c>
      <c r="N215" s="71"/>
      <c r="O215" s="27" t="str">
        <f t="shared" ref="O215" si="596">"3 POND"</f>
        <v>3 POND</v>
      </c>
      <c r="P215" s="107" t="str">
        <f>IF(IFERROR(VLOOKUP(P206,'Tabela de Apoio'!$D:$E,2,FALSE),1)=1,"",P216)</f>
        <v>DESCARTADO</v>
      </c>
      <c r="Q215" s="107" t="str">
        <f>IF(IFERROR(VLOOKUP(Q206,'Tabela de Apoio'!$D:$E,2,FALSE),1)=1,"",Q216)</f>
        <v>DESCARTADO</v>
      </c>
      <c r="R215" s="107" t="str">
        <f>IF(IFERROR(VLOOKUP(R206,'Tabela de Apoio'!$D:$E,2,FALSE),1)=1,"",R216)</f>
        <v>DESCARTADO</v>
      </c>
      <c r="S215" s="107">
        <f>IF(IFERROR(VLOOKUP(S206,'Tabela de Apoio'!$D:$E,2,FALSE),1)=1,"",S216)</f>
        <v>46.826340592412613</v>
      </c>
      <c r="T215" s="107" t="str">
        <f>IF(IFERROR(VLOOKUP(T206,'Tabela de Apoio'!$D:$E,2,FALSE),1)=1,"",T216)</f>
        <v>DESCARTADO</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198"/>
      <c r="F216" s="93"/>
      <c r="G216" s="200"/>
      <c r="H216" s="134">
        <f t="shared" ref="H216" si="597">COUNT($P216:$XX216)</f>
        <v>1</v>
      </c>
      <c r="I216" s="132">
        <f t="shared" ref="I216" si="598">_xlfn.STDEV.P($P215:$XX216)/AVERAGE($P215:$XX216)</f>
        <v>0</v>
      </c>
      <c r="J216" s="7">
        <f t="shared" ref="J216" si="599">IF(AND(H216&gt;2,
OR(L204="MÉDIA SANEADA",L204="MEDIANA SANEADA",
AND(L204="PREÇO ESTIMADO",NOT(AND(P206="Orçamento",COUNTA(P204:XX204)=COUNTIF(P206:XX206,"Orçamento")))))),
ROW(),0)</f>
        <v>0</v>
      </c>
      <c r="K216" s="66"/>
      <c r="L216" s="29" t="s">
        <v>41</v>
      </c>
      <c r="M216" s="30">
        <f t="shared" ref="M216" si="600">IFERROR(_xlfn.QUARTILE.EXC($P210:$XX210,1),"")</f>
        <v>27.397760134820736</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DESCARTADO</v>
      </c>
      <c r="Q216" s="107" t="str">
        <f t="shared" si="602"/>
        <v>DESCARTADO</v>
      </c>
      <c r="R216" s="107" t="str">
        <f t="shared" si="602"/>
        <v>DESCARTADO</v>
      </c>
      <c r="S216" s="107">
        <f t="shared" si="602"/>
        <v>46.826340592412613</v>
      </c>
      <c r="T216" s="107" t="str">
        <f t="shared" si="602"/>
        <v>DESCARTADO</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198"/>
      <c r="F217" s="93"/>
      <c r="G217" s="200"/>
      <c r="H217"/>
      <c r="I217"/>
      <c r="J217"/>
      <c r="K217" s="66"/>
      <c r="L217" s="29" t="s">
        <v>39</v>
      </c>
      <c r="M217" s="30">
        <f t="shared" ref="M217" si="603">IFERROR(_xlfn.QUARTILE.EXC($P210:$XX210,3),"")</f>
        <v>68.456055111984</v>
      </c>
      <c r="N217" s="71"/>
      <c r="O217" s="27" t="str">
        <f t="shared" ref="O217" si="604">"4 POND"</f>
        <v>4 POND</v>
      </c>
      <c r="P217" s="107" t="str">
        <f>IF(IFERROR(VLOOKUP(P206,'Tabela de Apoio'!$D:$E,2,FALSE),1)=1,"",P218)</f>
        <v>DESCARTADO</v>
      </c>
      <c r="Q217" s="107" t="str">
        <f>IF(IFERROR(VLOOKUP(Q206,'Tabela de Apoio'!$D:$E,2,FALSE),1)=1,"",Q218)</f>
        <v>DESCARTADO</v>
      </c>
      <c r="R217" s="107" t="str">
        <f>IF(IFERROR(VLOOKUP(R206,'Tabela de Apoio'!$D:$E,2,FALSE),1)=1,"",R218)</f>
        <v>DESCARTADO</v>
      </c>
      <c r="S217" s="107">
        <f>IF(IFERROR(VLOOKUP(S206,'Tabela de Apoio'!$D:$E,2,FALSE),1)=1,"",S218)</f>
        <v>46.826340592412613</v>
      </c>
      <c r="T217" s="107" t="str">
        <f>IF(IFERROR(VLOOKUP(T206,'Tabela de Apoio'!$D:$E,2,FALSE),1)=1,"",T218)</f>
        <v>DESCARTADO</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198"/>
      <c r="F218" s="93"/>
      <c r="G218" s="200"/>
      <c r="H218" s="134">
        <f t="shared" ref="H218" si="605">COUNT($P218:$XX218)</f>
        <v>1</v>
      </c>
      <c r="I218" s="132">
        <f t="shared" ref="I218" si="606">_xlfn.STDEV.P($P217:$XX218)/AVERAGE($P217:$XX218)</f>
        <v>0</v>
      </c>
      <c r="J218" s="7">
        <f t="shared" ref="J218" si="607">IF(AND(H218&gt;2,
OR(L204="MÉDIA SANEADA",L204="MEDIANA SANEADA",
AND(L204="PREÇO ESTIMADO",NOT(AND(P206="Orçamento",COUNTA(P204:XX204)=COUNTIF(P206:XX206,"Orçamento")))))),
ROW(),0)</f>
        <v>0</v>
      </c>
      <c r="K218" s="66"/>
      <c r="L218" s="29" t="s">
        <v>42</v>
      </c>
      <c r="M218" s="30">
        <f t="shared" ref="M218" si="608">MIN($P210:$XX210)</f>
        <v>23.950925647370035</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DESCARTADO</v>
      </c>
      <c r="Q218" s="107" t="str">
        <f t="shared" si="610"/>
        <v>DESCARTADO</v>
      </c>
      <c r="R218" s="107" t="str">
        <f t="shared" si="610"/>
        <v>DESCARTADO</v>
      </c>
      <c r="S218" s="107">
        <f t="shared" si="610"/>
        <v>46.826340592412613</v>
      </c>
      <c r="T218" s="107" t="str">
        <f t="shared" si="610"/>
        <v>DESCARTADO</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198"/>
      <c r="F219" s="93"/>
      <c r="G219" s="200"/>
      <c r="H219"/>
      <c r="I219"/>
      <c r="J219"/>
      <c r="K219" s="66"/>
      <c r="L219" s="29" t="s">
        <v>40</v>
      </c>
      <c r="M219" s="30">
        <f t="shared" ref="M219" si="611">MAX($P210:$XX210)</f>
        <v>74.850000000000009</v>
      </c>
      <c r="N219" s="71"/>
      <c r="O219" s="27" t="str">
        <f t="shared" ref="O219" si="612">"5 POND"</f>
        <v>5 POND</v>
      </c>
      <c r="P219" s="107" t="str">
        <f>IF(IFERROR(VLOOKUP(P206,'Tabela de Apoio'!$D:$E,2,FALSE),1)=1,"",P220)</f>
        <v>DESCARTADO</v>
      </c>
      <c r="Q219" s="107" t="str">
        <f>IF(IFERROR(VLOOKUP(Q206,'Tabela de Apoio'!$D:$E,2,FALSE),1)=1,"",Q220)</f>
        <v>DESCARTADO</v>
      </c>
      <c r="R219" s="107" t="str">
        <f>IF(IFERROR(VLOOKUP(R206,'Tabela de Apoio'!$D:$E,2,FALSE),1)=1,"",R220)</f>
        <v>DESCARTADO</v>
      </c>
      <c r="S219" s="107">
        <f>IF(IFERROR(VLOOKUP(S206,'Tabela de Apoio'!$D:$E,2,FALSE),1)=1,"",S220)</f>
        <v>46.826340592412613</v>
      </c>
      <c r="T219" s="107" t="str">
        <f>IF(IFERROR(VLOOKUP(T206,'Tabela de Apoio'!$D:$E,2,FALSE),1)=1,"",T220)</f>
        <v>DESCARTADO</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198"/>
      <c r="F220" s="93"/>
      <c r="G220" s="200"/>
      <c r="H220" s="134">
        <f t="shared" ref="H220" si="613">COUNT($P220:$XX220)</f>
        <v>1</v>
      </c>
      <c r="I220" s="132">
        <f t="shared" ref="I220" si="614">_xlfn.STDEV.P($P219:$XX220)/AVERAGE($P219:$XX220)</f>
        <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DESCARTADO</v>
      </c>
      <c r="Q220" s="107" t="str">
        <f t="shared" si="617"/>
        <v>DESCARTADO</v>
      </c>
      <c r="R220" s="107" t="str">
        <f t="shared" si="617"/>
        <v>DESCARTADO</v>
      </c>
      <c r="S220" s="107">
        <f t="shared" si="617"/>
        <v>46.826340592412613</v>
      </c>
      <c r="T220" s="107" t="str">
        <f t="shared" si="617"/>
        <v>DESCARTADO</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198"/>
      <c r="F221" s="93"/>
      <c r="G221" s="200"/>
      <c r="H221"/>
      <c r="I221"/>
      <c r="J221"/>
      <c r="K221" s="66"/>
      <c r="L221" s="22"/>
      <c r="M221" s="22"/>
      <c r="N221" s="71"/>
      <c r="O221" s="27" t="str">
        <f t="shared" ref="O221" si="618">"6 POND"</f>
        <v>6 POND</v>
      </c>
      <c r="P221" s="107" t="str">
        <f>IF(IFERROR(VLOOKUP(P206,'Tabela de Apoio'!$D:$E,2,FALSE),1)=1,"",P222)</f>
        <v>DESCARTADO</v>
      </c>
      <c r="Q221" s="107" t="str">
        <f>IF(IFERROR(VLOOKUP(Q206,'Tabela de Apoio'!$D:$E,2,FALSE),1)=1,"",Q222)</f>
        <v>DESCARTADO</v>
      </c>
      <c r="R221" s="107" t="str">
        <f>IF(IFERROR(VLOOKUP(R206,'Tabela de Apoio'!$D:$E,2,FALSE),1)=1,"",R222)</f>
        <v>DESCARTADO</v>
      </c>
      <c r="S221" s="107">
        <f>IF(IFERROR(VLOOKUP(S206,'Tabela de Apoio'!$D:$E,2,FALSE),1)=1,"",S222)</f>
        <v>46.826340592412613</v>
      </c>
      <c r="T221" s="107" t="str">
        <f>IF(IFERROR(VLOOKUP(T206,'Tabela de Apoio'!$D:$E,2,FALSE),1)=1,"",T222)</f>
        <v>DESCARTADO</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198"/>
      <c r="F222" s="93"/>
      <c r="G222" s="200"/>
      <c r="H222" s="134">
        <f t="shared" ref="H222" si="619">COUNT($P222:$XX222)</f>
        <v>1</v>
      </c>
      <c r="I222" s="132">
        <f t="shared" ref="I222" si="620">_xlfn.STDEV.P($P221:$XX222)/AVERAGE($P221:$XX222)</f>
        <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DESCARTADO</v>
      </c>
      <c r="Q222" s="107" t="str">
        <f t="shared" si="623"/>
        <v>DESCARTADO</v>
      </c>
      <c r="R222" s="107" t="str">
        <f t="shared" si="623"/>
        <v>DESCARTADO</v>
      </c>
      <c r="S222" s="107">
        <f t="shared" si="623"/>
        <v>46.826340592412613</v>
      </c>
      <c r="T222" s="107" t="str">
        <f t="shared" si="623"/>
        <v>DESCARTADO</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198"/>
      <c r="F223" s="136"/>
      <c r="G223" s="200"/>
      <c r="H223" s="203" t="s">
        <v>463</v>
      </c>
      <c r="I223" s="203"/>
      <c r="J223" s="204"/>
      <c r="K223" s="67"/>
      <c r="L223" s="1" t="s">
        <v>43</v>
      </c>
      <c r="M223" s="143">
        <f t="shared" ref="M223" si="624">IFERROR(ROUND(M204*M206,2),"")</f>
        <v>1170.75</v>
      </c>
      <c r="O223" s="27" t="s">
        <v>363</v>
      </c>
      <c r="P223" s="107" t="str">
        <f t="shared" ref="P223:AI244" si="625">INDEX(P210:P222,MATCH(MAX($J210:$J222),$J210:$J222,0))</f>
        <v>DESCARTADO</v>
      </c>
      <c r="Q223" s="107" t="str">
        <f t="shared" si="625"/>
        <v>DESCARTADO</v>
      </c>
      <c r="R223" s="107">
        <f t="shared" si="625"/>
        <v>62.062110223967991</v>
      </c>
      <c r="S223" s="107">
        <f t="shared" si="625"/>
        <v>46.826340592412613</v>
      </c>
      <c r="T223" s="107">
        <f t="shared" si="625"/>
        <v>30.844594622271437</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1101575</v>
      </c>
      <c r="I225" s="181" t="s">
        <v>16</v>
      </c>
      <c r="J225" s="6">
        <f>INDEX('BASE FORMAÇÃO'!K:K,B225+1)</f>
        <v>0</v>
      </c>
      <c r="K225" s="65"/>
      <c r="L225" s="182" t="s">
        <v>10</v>
      </c>
      <c r="M225" s="184">
        <f t="shared" ref="M225" si="628">IF(OR(ISBLANK($O$8),ISBLANK($O$7),ISBLANK($H$8),ISBLANK($O$6),ISBLANK($O$5),ISBLANK($H$5)),"",IFERROR(IF(VLOOKUP(L225,L231:M240,2,FALSE)&lt;1,ROUND(VLOOKUP(L225,L231:M240,2,FALSE),4),ROUND(VLOOKUP(L225,L231:M240,2,FALSE),2)),""))</f>
        <v>136.5</v>
      </c>
      <c r="N225" s="69"/>
      <c r="O225" s="27" t="s">
        <v>17</v>
      </c>
      <c r="P225" s="113">
        <f>(92.5/400)*1000</f>
        <v>231.25</v>
      </c>
      <c r="Q225" s="113">
        <v>129</v>
      </c>
      <c r="R225" s="113">
        <v>91</v>
      </c>
      <c r="S225" s="113">
        <v>100.25</v>
      </c>
      <c r="T225" s="113">
        <f>(83/500)*1000</f>
        <v>166</v>
      </c>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6">
        <f t="shared" ref="E226" si="630">D225</f>
        <v>11</v>
      </c>
      <c r="F226" s="92"/>
      <c r="G226" s="188" t="s">
        <v>1</v>
      </c>
      <c r="H226" s="191" t="str">
        <f>INDEX('BASE FORMAÇÃO'!C:C,B225+1)</f>
        <v>SOLUÇÃO DE SCHILLER, 1 Litro (USO EXTERNO). INDICAR MARCA.</v>
      </c>
      <c r="I226" s="191"/>
      <c r="J226" s="192"/>
      <c r="K226" s="66"/>
      <c r="L226" s="183"/>
      <c r="M226" s="185"/>
      <c r="N226" s="70"/>
      <c r="O226" s="27" t="s">
        <v>13</v>
      </c>
      <c r="P226" s="122">
        <v>46077</v>
      </c>
      <c r="Q226" s="122">
        <v>45966</v>
      </c>
      <c r="R226" s="122">
        <v>46108</v>
      </c>
      <c r="S226" s="122">
        <v>46087</v>
      </c>
      <c r="T226" s="122">
        <v>45953</v>
      </c>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7"/>
      <c r="F227" s="93"/>
      <c r="G227" s="189"/>
      <c r="H227" s="193"/>
      <c r="I227" s="193"/>
      <c r="J227" s="194"/>
      <c r="K227" s="64"/>
      <c r="L227" s="130" t="s">
        <v>44</v>
      </c>
      <c r="M227" s="131">
        <v>90</v>
      </c>
      <c r="N227" s="71"/>
      <c r="O227" s="27" t="s">
        <v>380</v>
      </c>
      <c r="P227" s="114" t="s">
        <v>12</v>
      </c>
      <c r="Q227" s="114" t="s">
        <v>12</v>
      </c>
      <c r="R227" s="114" t="s">
        <v>12</v>
      </c>
      <c r="S227" s="114" t="s">
        <v>12</v>
      </c>
      <c r="T227" s="114" t="s">
        <v>12</v>
      </c>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0"/>
      <c r="H228" s="195"/>
      <c r="I228" s="195"/>
      <c r="J228" s="196"/>
      <c r="K228" s="64"/>
      <c r="L228" s="1" t="s">
        <v>2</v>
      </c>
      <c r="M228" s="6" t="str">
        <f>INDEX('BASE FORMAÇÃO'!D:D,B229+1)</f>
        <v>FR</v>
      </c>
      <c r="N228" s="71"/>
      <c r="O228" s="27" t="s">
        <v>381</v>
      </c>
      <c r="P228" s="115" t="s">
        <v>10</v>
      </c>
      <c r="Q228" s="115" t="s">
        <v>10</v>
      </c>
      <c r="R228" s="115" t="s">
        <v>10</v>
      </c>
      <c r="S228" s="115" t="s">
        <v>10</v>
      </c>
      <c r="T228" s="115" t="s">
        <v>10</v>
      </c>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197">
        <f t="shared" ref="E229" si="634">C225</f>
        <v>1</v>
      </c>
      <c r="F229" s="93"/>
      <c r="G229" s="199" t="s">
        <v>304</v>
      </c>
      <c r="H229" s="201"/>
      <c r="I229" s="202"/>
      <c r="J229" s="202"/>
      <c r="K229" s="67"/>
      <c r="L229" s="28" t="s">
        <v>303</v>
      </c>
      <c r="M229" s="133">
        <f t="shared" ref="M229" si="635">IFERROR(INDEX(I231:I243,MATCH(MAX(J231:J243),J231:J243,0)),"")</f>
        <v>0.21002938785480035</v>
      </c>
      <c r="N229" s="71"/>
      <c r="O229" s="27" t="s">
        <v>18</v>
      </c>
      <c r="P229" s="106">
        <f>IF(P225="","",
IF(OR(P227="Orçamento",P226="",MAX('Tabela de Apoio'!$A:$A)&lt;=P226),
P225,
(INDEX('Tabela de Apoio'!$B:$B,MATCH('MAPA DE PREÇOS'!$O$8,'Tabela de Apoio'!$A:$A,1))/INDEX('Tabela de Apoio'!$B:$B,MATCH('MAPA DE PREÇOS'!P226,'Tabela de Apoio'!$A:$A,1)-1))*P225))</f>
        <v>238.41098782668166</v>
      </c>
      <c r="Q229" s="106">
        <f>IF(Q225="","",
IF(OR(Q227="Orçamento",Q226="",MAX('Tabela de Apoio'!$A:$A)&lt;=Q226),
Q225,
(INDEX('Tabela de Apoio'!$B:$B,MATCH('MAPA DE PREÇOS'!$O$8,'Tabela de Apoio'!$A:$A,1))/INDEX('Tabela de Apoio'!$B:$B,MATCH('MAPA DE PREÇOS'!Q226,'Tabela de Apoio'!$A:$A,1)-1))*Q225))</f>
        <v>134.11486380076246</v>
      </c>
      <c r="R229" s="106">
        <f>IF(R225="","",
IF(OR(R227="Orçamento",R226="",MAX('Tabela de Apoio'!$A:$A)&lt;=R226),
R225,
(INDEX('Tabela de Apoio'!$B:$B,MATCH('MAPA DE PREÇOS'!$O$8,'Tabela de Apoio'!$A:$A,1))/INDEX('Tabela de Apoio'!$B:$B,MATCH('MAPA DE PREÇOS'!R226,'Tabela de Apoio'!$A:$A,1)-1))*R225))</f>
        <v>93.16583530644904</v>
      </c>
      <c r="S229" s="106">
        <f>IF(S225="","",
IF(OR(S227="Orçamento",S226="",MAX('Tabela de Apoio'!$A:$A)&lt;=S226),
S225,
(INDEX('Tabela de Apoio'!$B:$B,MATCH('MAPA DE PREÇOS'!$O$8,'Tabela de Apoio'!$A:$A,1))/INDEX('Tabela de Apoio'!$B:$B,MATCH('MAPA DE PREÇOS'!S226,'Tabela de Apoio'!$A:$A,1)-1))*S225))</f>
        <v>102.63598889529139</v>
      </c>
      <c r="T229" s="106">
        <f>IF(T225="","",
IF(OR(T227="Orçamento",T226="",MAX('Tabela de Apoio'!$A:$A)&lt;=T226),
T225,
(INDEX('Tabela de Apoio'!$B:$B,MATCH('MAPA DE PREÇOS'!$O$8,'Tabela de Apoio'!$A:$A,1))/INDEX('Tabela de Apoio'!$B:$B,MATCH('MAPA DE PREÇOS'!T226,'Tabela de Apoio'!$A:$A,1)-1))*T225))</f>
        <v>172.73716751867764</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198"/>
      <c r="F230" s="93"/>
      <c r="G230" s="200"/>
      <c r="H230"/>
      <c r="I230"/>
      <c r="J230"/>
      <c r="N230" s="71"/>
      <c r="O230" s="27" t="s">
        <v>375</v>
      </c>
      <c r="P230" s="107">
        <f>IF(IFERROR(VLOOKUP(P227,'Tabela de Apoio'!$D:$E,2,FALSE),1)=1,"",P231)</f>
        <v>238.41098782668166</v>
      </c>
      <c r="Q230" s="107">
        <f>IF(IFERROR(VLOOKUP(Q227,'Tabela de Apoio'!$D:$E,2,FALSE),1)=1,"",Q231)</f>
        <v>134.11486380076246</v>
      </c>
      <c r="R230" s="107">
        <f>IF(IFERROR(VLOOKUP(R227,'Tabela de Apoio'!$D:$E,2,FALSE),1)=1,"",R231)</f>
        <v>93.16583530644904</v>
      </c>
      <c r="S230" s="107">
        <f>IF(IFERROR(VLOOKUP(S227,'Tabela de Apoio'!$D:$E,2,FALSE),1)=1,"",S231)</f>
        <v>102.63598889529139</v>
      </c>
      <c r="T230" s="107">
        <f>IF(IFERROR(VLOOKUP(T227,'Tabela de Apoio'!$D:$E,2,FALSE),1)=1,"",T231)</f>
        <v>172.73716751867764</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198"/>
      <c r="F231" s="93"/>
      <c r="G231" s="200"/>
      <c r="H231" s="134">
        <f t="shared" ref="H231" si="639">COUNT($P231:$XX231)</f>
        <v>5</v>
      </c>
      <c r="I231" s="132">
        <f t="shared" ref="I231" si="640">_xlfn.STDEV.P($P230:$XX231)/AVERAGE($P230:$XX231)</f>
        <v>0.35757219644359639</v>
      </c>
      <c r="J231" s="7">
        <f>ROW()</f>
        <v>231</v>
      </c>
      <c r="K231" s="67"/>
      <c r="L231" s="29" t="s">
        <v>10</v>
      </c>
      <c r="M231" s="30">
        <f t="shared" ref="M231" si="641">IFERROR(
IF(COUNTA(P225:AI225)=COUNTIF(P227:XX227,"Orçamento"),MIN(M236,M233),
IF(M234&lt;&gt;"",M234,
IF(M235&lt;&gt;"",M235,
M233
))),"")</f>
        <v>136.49600673824384</v>
      </c>
      <c r="N231" s="71"/>
      <c r="O231" s="27" t="s">
        <v>376</v>
      </c>
      <c r="P231" s="106">
        <f t="shared" ref="P231:AI231" si="642">IFERROR(IF(P229="",
            "",
            IF(COUNT($P229:$XX229)&lt;=4,
               P229,
               IF(OR(P229&gt;(QUARTILE($P229:$XX229,3)+(QUARTILE($P229:$XX229,3)-QUARTILE($P229:$XX229,1))),
                     P229&lt;(QUARTILE($P229:$XX229,1)-(QUARTILE($P229:$XX229,3)-QUARTILE($P229:$XX229,1)))
                  ),
               "DESCARTADO",P229)
             )
  ),P229)</f>
        <v>238.41098782668166</v>
      </c>
      <c r="Q231" s="106">
        <f t="shared" si="642"/>
        <v>134.11486380076246</v>
      </c>
      <c r="R231" s="106">
        <f t="shared" si="642"/>
        <v>93.16583530644904</v>
      </c>
      <c r="S231" s="106">
        <f t="shared" si="642"/>
        <v>102.63598889529139</v>
      </c>
      <c r="T231" s="106">
        <f t="shared" si="642"/>
        <v>172.73716751867764</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198"/>
      <c r="F232" s="93"/>
      <c r="G232" s="200"/>
      <c r="H232"/>
      <c r="I232"/>
      <c r="J232"/>
      <c r="K232" s="66"/>
      <c r="L232" s="29" t="s">
        <v>360</v>
      </c>
      <c r="M232" s="30">
        <f t="shared" ref="M232" si="645">AVERAGE($P231:$XX231)</f>
        <v>148.21296866957243</v>
      </c>
      <c r="N232" s="71"/>
      <c r="O232" s="27" t="str">
        <f t="shared" ref="O232" si="646">"1 POND"</f>
        <v>1 POND</v>
      </c>
      <c r="P232" s="107" t="str">
        <f>IF(IFERROR(VLOOKUP(P227,'Tabela de Apoio'!$D:$E,2,FALSE),1)=1,"",P233)</f>
        <v>DESCARTADO</v>
      </c>
      <c r="Q232" s="107">
        <f>IF(IFERROR(VLOOKUP(Q227,'Tabela de Apoio'!$D:$E,2,FALSE),1)=1,"",Q233)</f>
        <v>134.11486380076246</v>
      </c>
      <c r="R232" s="107" t="str">
        <f>IF(IFERROR(VLOOKUP(R227,'Tabela de Apoio'!$D:$E,2,FALSE),1)=1,"",R233)</f>
        <v>DESCARTADO</v>
      </c>
      <c r="S232" s="107">
        <f>IF(IFERROR(VLOOKUP(S227,'Tabela de Apoio'!$D:$E,2,FALSE),1)=1,"",S233)</f>
        <v>102.63598889529139</v>
      </c>
      <c r="T232" s="107">
        <f>IF(IFERROR(VLOOKUP(T227,'Tabela de Apoio'!$D:$E,2,FALSE),1)=1,"",T233)</f>
        <v>172.73716751867764</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198"/>
      <c r="F233" s="93"/>
      <c r="G233" s="200"/>
      <c r="H233" s="134">
        <f t="shared" ref="H233" si="647">COUNT($P233:$XX233)</f>
        <v>3</v>
      </c>
      <c r="I233" s="132">
        <f t="shared" ref="I233" si="648">_xlfn.STDEV.P($P232:$XX233)/AVERAGE($P232:$XX233)</f>
        <v>0.21002938785480035</v>
      </c>
      <c r="J233" s="7">
        <f t="shared" ref="J233" si="649">IF(AND(H233&gt;2,
OR(L225="MÉDIA SANEADA",L225="MEDIANA SANEADA",
AND(L225="PREÇO ESTIMADO",NOT(AND(P227="Orçamento",COUNTA(P225:XX225)=COUNTIF(P227:XX227,"Orçamento")))))),
ROW(),0)</f>
        <v>233</v>
      </c>
      <c r="K233" s="66"/>
      <c r="L233" s="29" t="s">
        <v>361</v>
      </c>
      <c r="M233" s="30">
        <f t="shared" ref="M233" si="650">MEDIAN($P231:$XX231)</f>
        <v>134.11486380076246</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DESCARTADO</v>
      </c>
      <c r="Q233" s="107">
        <f t="shared" si="652"/>
        <v>134.11486380076246</v>
      </c>
      <c r="R233" s="107" t="str">
        <f t="shared" si="652"/>
        <v>DESCARTADO</v>
      </c>
      <c r="S233" s="107">
        <f t="shared" si="652"/>
        <v>102.63598889529139</v>
      </c>
      <c r="T233" s="107">
        <f t="shared" si="652"/>
        <v>172.73716751867764</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198"/>
      <c r="F234" s="93"/>
      <c r="G234" s="200"/>
      <c r="H234"/>
      <c r="I234"/>
      <c r="J234"/>
      <c r="L234" s="29" t="s">
        <v>38</v>
      </c>
      <c r="M234" s="30">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136.49600673824384</v>
      </c>
      <c r="N234" s="71"/>
      <c r="O234" s="27" t="str">
        <f t="shared" ref="O234" si="654">"2 POND"</f>
        <v>2 POND</v>
      </c>
      <c r="P234" s="107" t="str">
        <f>IF(IFERROR(VLOOKUP(P227,'Tabela de Apoio'!$D:$E,2,FALSE),1)=1,"",P235)</f>
        <v>DESCARTADO</v>
      </c>
      <c r="Q234" s="107">
        <f>IF(IFERROR(VLOOKUP(Q227,'Tabela de Apoio'!$D:$E,2,FALSE),1)=1,"",Q235)</f>
        <v>134.11486380076246</v>
      </c>
      <c r="R234" s="107" t="str">
        <f>IF(IFERROR(VLOOKUP(R227,'Tabela de Apoio'!$D:$E,2,FALSE),1)=1,"",R235)</f>
        <v>DESCARTADO</v>
      </c>
      <c r="S234" s="107">
        <f>IF(IFERROR(VLOOKUP(S227,'Tabela de Apoio'!$D:$E,2,FALSE),1)=1,"",S235)</f>
        <v>102.63598889529139</v>
      </c>
      <c r="T234" s="107">
        <f>IF(IFERROR(VLOOKUP(T227,'Tabela de Apoio'!$D:$E,2,FALSE),1)=1,"",T235)</f>
        <v>172.73716751867764</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198"/>
      <c r="F235" s="93"/>
      <c r="G235" s="200"/>
      <c r="H235" s="134">
        <f t="shared" ref="H235" si="655">COUNT($P235:$XX235)</f>
        <v>3</v>
      </c>
      <c r="I235" s="132">
        <f t="shared" ref="I235" si="656">_xlfn.STDEV.P($P234:$XX235)/AVERAGE($P234:$XX235)</f>
        <v>0.21002938785480035</v>
      </c>
      <c r="J235" s="7">
        <f t="shared" ref="J235" si="657">IF(AND(H235&gt;2,
OR(L225="MÉDIA SANEADA",L225="MEDIANA SANEADA",
AND(L225="PREÇO ESTIMADO",NOT(AND(P227="Orçamento",COUNTA(P225:XX225)=COUNTIF(P227:XX227,"Orçamento")))))),
ROW(),0)</f>
        <v>235</v>
      </c>
      <c r="K235" s="66"/>
      <c r="L235" s="29" t="s">
        <v>362</v>
      </c>
      <c r="M235" s="30">
        <f t="shared" ref="M235" si="658" xml:space="preserve">
IF(H233&gt;2,MEDIAN(P232:XX233),
IF(H235&gt;2,MEDIAN(P234:XX235),
IF(H237&gt;2,MEDIAN(P236:XX237),
IF(H239&gt;2,MEDIAN(P238:XX239),
IF(H241&gt;2,MEDIAN(P240:XX241),
IF(H243&gt;2,MEDIAN(P242:XX243),
MEDIAN(P230:XX231)))))))</f>
        <v>134.11486380076246</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DESCARTADO</v>
      </c>
      <c r="Q235" s="107">
        <f t="shared" si="660"/>
        <v>134.11486380076246</v>
      </c>
      <c r="R235" s="107" t="str">
        <f t="shared" si="660"/>
        <v>DESCARTADO</v>
      </c>
      <c r="S235" s="107">
        <f t="shared" si="660"/>
        <v>102.63598889529139</v>
      </c>
      <c r="T235" s="107">
        <f t="shared" si="660"/>
        <v>172.73716751867764</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198"/>
      <c r="F236" s="93"/>
      <c r="G236" s="200"/>
      <c r="H236"/>
      <c r="I236"/>
      <c r="J236"/>
      <c r="K236" s="66"/>
      <c r="L236" s="29" t="s">
        <v>359</v>
      </c>
      <c r="M236" s="30">
        <f t="shared" ref="M236" si="661">HARMEAN($P230:$XX231)</f>
        <v>131.86838406035534</v>
      </c>
      <c r="N236" s="71"/>
      <c r="O236" s="27" t="str">
        <f t="shared" ref="O236" si="662">"3 POND"</f>
        <v>3 POND</v>
      </c>
      <c r="P236" s="107" t="str">
        <f>IF(IFERROR(VLOOKUP(P227,'Tabela de Apoio'!$D:$E,2,FALSE),1)=1,"",P237)</f>
        <v>DESCARTADO</v>
      </c>
      <c r="Q236" s="107">
        <f>IF(IFERROR(VLOOKUP(Q227,'Tabela de Apoio'!$D:$E,2,FALSE),1)=1,"",Q237)</f>
        <v>134.11486380076246</v>
      </c>
      <c r="R236" s="107" t="str">
        <f>IF(IFERROR(VLOOKUP(R227,'Tabela de Apoio'!$D:$E,2,FALSE),1)=1,"",R237)</f>
        <v>DESCARTADO</v>
      </c>
      <c r="S236" s="107">
        <f>IF(IFERROR(VLOOKUP(S227,'Tabela de Apoio'!$D:$E,2,FALSE),1)=1,"",S237)</f>
        <v>102.63598889529139</v>
      </c>
      <c r="T236" s="107">
        <f>IF(IFERROR(VLOOKUP(T227,'Tabela de Apoio'!$D:$E,2,FALSE),1)=1,"",T237)</f>
        <v>172.73716751867764</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198"/>
      <c r="F237" s="93"/>
      <c r="G237" s="200"/>
      <c r="H237" s="134">
        <f t="shared" ref="H237" si="663">COUNT($P237:$XX237)</f>
        <v>3</v>
      </c>
      <c r="I237" s="132">
        <f t="shared" ref="I237" si="664">_xlfn.STDEV.P($P236:$XX237)/AVERAGE($P236:$XX237)</f>
        <v>0.21002938785480035</v>
      </c>
      <c r="J237" s="7">
        <f t="shared" ref="J237" si="665">IF(AND(H237&gt;2,
OR(L225="MÉDIA SANEADA",L225="MEDIANA SANEADA",
AND(L225="PREÇO ESTIMADO",NOT(AND(P227="Orçamento",COUNTA(P225:XX225)=COUNTIF(P227:XX227,"Orçamento")))))),
ROW(),0)</f>
        <v>237</v>
      </c>
      <c r="K237" s="66"/>
      <c r="L237" s="29" t="s">
        <v>41</v>
      </c>
      <c r="M237" s="30">
        <f t="shared" ref="M237" si="666">IFERROR(_xlfn.QUARTILE.EXC($P231:$XX231,1),"")</f>
        <v>97.900912100870215</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DESCARTADO</v>
      </c>
      <c r="Q237" s="107">
        <f t="shared" si="668"/>
        <v>134.11486380076246</v>
      </c>
      <c r="R237" s="107" t="str">
        <f t="shared" si="668"/>
        <v>DESCARTADO</v>
      </c>
      <c r="S237" s="107">
        <f t="shared" si="668"/>
        <v>102.63598889529139</v>
      </c>
      <c r="T237" s="107">
        <f t="shared" si="668"/>
        <v>172.73716751867764</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198"/>
      <c r="F238" s="93"/>
      <c r="G238" s="200"/>
      <c r="H238"/>
      <c r="I238"/>
      <c r="J238"/>
      <c r="K238" s="66"/>
      <c r="L238" s="29" t="s">
        <v>39</v>
      </c>
      <c r="M238" s="30">
        <f t="shared" ref="M238" si="669">IFERROR(_xlfn.QUARTILE.EXC($P231:$XX231,3),"")</f>
        <v>205.57407767267966</v>
      </c>
      <c r="N238" s="71"/>
      <c r="O238" s="27" t="str">
        <f t="shared" ref="O238" si="670">"4 POND"</f>
        <v>4 POND</v>
      </c>
      <c r="P238" s="107" t="str">
        <f>IF(IFERROR(VLOOKUP(P227,'Tabela de Apoio'!$D:$E,2,FALSE),1)=1,"",P239)</f>
        <v>DESCARTADO</v>
      </c>
      <c r="Q238" s="107">
        <f>IF(IFERROR(VLOOKUP(Q227,'Tabela de Apoio'!$D:$E,2,FALSE),1)=1,"",Q239)</f>
        <v>134.11486380076246</v>
      </c>
      <c r="R238" s="107" t="str">
        <f>IF(IFERROR(VLOOKUP(R227,'Tabela de Apoio'!$D:$E,2,FALSE),1)=1,"",R239)</f>
        <v>DESCARTADO</v>
      </c>
      <c r="S238" s="107">
        <f>IF(IFERROR(VLOOKUP(S227,'Tabela de Apoio'!$D:$E,2,FALSE),1)=1,"",S239)</f>
        <v>102.63598889529139</v>
      </c>
      <c r="T238" s="107">
        <f>IF(IFERROR(VLOOKUP(T227,'Tabela de Apoio'!$D:$E,2,FALSE),1)=1,"",T239)</f>
        <v>172.73716751867764</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198"/>
      <c r="F239" s="93"/>
      <c r="G239" s="200"/>
      <c r="H239" s="134">
        <f t="shared" ref="H239" si="671">COUNT($P239:$XX239)</f>
        <v>3</v>
      </c>
      <c r="I239" s="132">
        <f t="shared" ref="I239" si="672">_xlfn.STDEV.P($P238:$XX239)/AVERAGE($P238:$XX239)</f>
        <v>0.21002938785480035</v>
      </c>
      <c r="J239" s="7">
        <f t="shared" ref="J239" si="673">IF(AND(H239&gt;2,
OR(L225="MÉDIA SANEADA",L225="MEDIANA SANEADA",
AND(L225="PREÇO ESTIMADO",NOT(AND(P227="Orçamento",COUNTA(P225:XX225)=COUNTIF(P227:XX227,"Orçamento")))))),
ROW(),0)</f>
        <v>239</v>
      </c>
      <c r="K239" s="66"/>
      <c r="L239" s="29" t="s">
        <v>42</v>
      </c>
      <c r="M239" s="30">
        <f t="shared" ref="M239" si="674">MIN($P231:$XX231)</f>
        <v>93.16583530644904</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DESCARTADO</v>
      </c>
      <c r="Q239" s="107">
        <f t="shared" si="676"/>
        <v>134.11486380076246</v>
      </c>
      <c r="R239" s="107" t="str">
        <f t="shared" si="676"/>
        <v>DESCARTADO</v>
      </c>
      <c r="S239" s="107">
        <f t="shared" si="676"/>
        <v>102.63598889529139</v>
      </c>
      <c r="T239" s="107">
        <f t="shared" si="676"/>
        <v>172.73716751867764</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198"/>
      <c r="F240" s="93"/>
      <c r="G240" s="200"/>
      <c r="H240"/>
      <c r="I240"/>
      <c r="J240"/>
      <c r="K240" s="66"/>
      <c r="L240" s="29" t="s">
        <v>40</v>
      </c>
      <c r="M240" s="30">
        <f t="shared" ref="M240" si="677">MAX($P231:$XX231)</f>
        <v>238.41098782668166</v>
      </c>
      <c r="N240" s="71"/>
      <c r="O240" s="27" t="str">
        <f t="shared" ref="O240" si="678">"5 POND"</f>
        <v>5 POND</v>
      </c>
      <c r="P240" s="107" t="str">
        <f>IF(IFERROR(VLOOKUP(P227,'Tabela de Apoio'!$D:$E,2,FALSE),1)=1,"",P241)</f>
        <v>DESCARTADO</v>
      </c>
      <c r="Q240" s="107">
        <f>IF(IFERROR(VLOOKUP(Q227,'Tabela de Apoio'!$D:$E,2,FALSE),1)=1,"",Q241)</f>
        <v>134.11486380076246</v>
      </c>
      <c r="R240" s="107" t="str">
        <f>IF(IFERROR(VLOOKUP(R227,'Tabela de Apoio'!$D:$E,2,FALSE),1)=1,"",R241)</f>
        <v>DESCARTADO</v>
      </c>
      <c r="S240" s="107">
        <f>IF(IFERROR(VLOOKUP(S227,'Tabela de Apoio'!$D:$E,2,FALSE),1)=1,"",S241)</f>
        <v>102.63598889529139</v>
      </c>
      <c r="T240" s="107">
        <f>IF(IFERROR(VLOOKUP(T227,'Tabela de Apoio'!$D:$E,2,FALSE),1)=1,"",T241)</f>
        <v>172.73716751867764</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198"/>
      <c r="F241" s="93"/>
      <c r="G241" s="200"/>
      <c r="H241" s="134">
        <f t="shared" ref="H241" si="679">COUNT($P241:$XX241)</f>
        <v>3</v>
      </c>
      <c r="I241" s="132">
        <f t="shared" ref="I241" si="680">_xlfn.STDEV.P($P240:$XX241)/AVERAGE($P240:$XX241)</f>
        <v>0.21002938785480035</v>
      </c>
      <c r="J241" s="7">
        <f t="shared" ref="J241" si="681">IF(AND(H241&gt;2,
OR(L225="MÉDIA SANEADA",L225="MEDIANA SANEADA",
AND(L225="PREÇO ESTIMADO",NOT(AND(P227="Orçamento",COUNTA(P225:XX225)=COUNTIF(P227:XX227,"Orçamento")))))),
ROW(),0)</f>
        <v>241</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DESCARTADO</v>
      </c>
      <c r="Q241" s="107">
        <f t="shared" si="683"/>
        <v>134.11486380076246</v>
      </c>
      <c r="R241" s="107" t="str">
        <f t="shared" si="683"/>
        <v>DESCARTADO</v>
      </c>
      <c r="S241" s="107">
        <f t="shared" si="683"/>
        <v>102.63598889529139</v>
      </c>
      <c r="T241" s="107">
        <f t="shared" si="683"/>
        <v>172.73716751867764</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198"/>
      <c r="F242" s="93"/>
      <c r="G242" s="200"/>
      <c r="H242"/>
      <c r="I242"/>
      <c r="J242"/>
      <c r="K242" s="66"/>
      <c r="L242" s="22"/>
      <c r="M242" s="22"/>
      <c r="N242" s="71"/>
      <c r="O242" s="27" t="str">
        <f t="shared" ref="O242" si="684">"6 POND"</f>
        <v>6 POND</v>
      </c>
      <c r="P242" s="107" t="str">
        <f>IF(IFERROR(VLOOKUP(P227,'Tabela de Apoio'!$D:$E,2,FALSE),1)=1,"",P243)</f>
        <v>DESCARTADO</v>
      </c>
      <c r="Q242" s="107">
        <f>IF(IFERROR(VLOOKUP(Q227,'Tabela de Apoio'!$D:$E,2,FALSE),1)=1,"",Q243)</f>
        <v>134.11486380076246</v>
      </c>
      <c r="R242" s="107" t="str">
        <f>IF(IFERROR(VLOOKUP(R227,'Tabela de Apoio'!$D:$E,2,FALSE),1)=1,"",R243)</f>
        <v>DESCARTADO</v>
      </c>
      <c r="S242" s="107">
        <f>IF(IFERROR(VLOOKUP(S227,'Tabela de Apoio'!$D:$E,2,FALSE),1)=1,"",S243)</f>
        <v>102.63598889529139</v>
      </c>
      <c r="T242" s="107">
        <f>IF(IFERROR(VLOOKUP(T227,'Tabela de Apoio'!$D:$E,2,FALSE),1)=1,"",T243)</f>
        <v>172.73716751867764</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198"/>
      <c r="F243" s="93"/>
      <c r="G243" s="200"/>
      <c r="H243" s="134">
        <f t="shared" ref="H243" si="685">COUNT($P243:$XX243)</f>
        <v>3</v>
      </c>
      <c r="I243" s="132">
        <f t="shared" ref="I243" si="686">_xlfn.STDEV.P($P242:$XX243)/AVERAGE($P242:$XX243)</f>
        <v>0.21002938785480035</v>
      </c>
      <c r="J243" s="7">
        <f t="shared" ref="J243" si="687">IF(AND(H243&gt;2,
OR(L225="MÉDIA SANEADA",L225="MEDIANA SANEADA",
AND(L225="PREÇO ESTIMADO",NOT(AND(P227="Orçamento",COUNTA(P225:XX225)=COUNTIF(P227:XX227,"Orçamento")))))),
ROW(),0)</f>
        <v>243</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DESCARTADO</v>
      </c>
      <c r="Q243" s="107">
        <f t="shared" si="689"/>
        <v>134.11486380076246</v>
      </c>
      <c r="R243" s="107" t="str">
        <f t="shared" si="689"/>
        <v>DESCARTADO</v>
      </c>
      <c r="S243" s="107">
        <f t="shared" si="689"/>
        <v>102.63598889529139</v>
      </c>
      <c r="T243" s="107">
        <f t="shared" si="689"/>
        <v>172.73716751867764</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198"/>
      <c r="F244" s="136"/>
      <c r="G244" s="200"/>
      <c r="H244" s="203" t="s">
        <v>464</v>
      </c>
      <c r="I244" s="203"/>
      <c r="J244" s="204"/>
      <c r="K244" s="67"/>
      <c r="L244" s="1" t="s">
        <v>43</v>
      </c>
      <c r="M244" s="143">
        <f t="shared" ref="M244" si="690">IFERROR(ROUND(M225*M227,2),"")</f>
        <v>12285</v>
      </c>
      <c r="O244" s="27" t="s">
        <v>363</v>
      </c>
      <c r="P244" s="107" t="str">
        <f t="shared" ref="P244:R244" si="691">INDEX(P231:P243,MATCH(MAX($J231:$J243),$J231:$J243,0))</f>
        <v>DESCARTADO</v>
      </c>
      <c r="Q244" s="107">
        <f t="shared" si="691"/>
        <v>134.11486380076246</v>
      </c>
      <c r="R244" s="107" t="str">
        <f t="shared" si="691"/>
        <v>DESCARTADO</v>
      </c>
      <c r="S244" s="107">
        <f t="shared" si="625"/>
        <v>102.63598889529139</v>
      </c>
      <c r="T244" s="107">
        <f t="shared" si="625"/>
        <v>172.73716751867764</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1100536</v>
      </c>
      <c r="I246" s="181" t="s">
        <v>16</v>
      </c>
      <c r="J246" s="6">
        <f>INDEX('BASE FORMAÇÃO'!K:K,B246+1)</f>
        <v>0</v>
      </c>
      <c r="K246" s="65"/>
      <c r="L246" s="182" t="s">
        <v>10</v>
      </c>
      <c r="M246" s="184">
        <f t="shared" ref="M246" si="694">IF(OR(ISBLANK($O$8),ISBLANK($O$7),ISBLANK($H$8),ISBLANK($O$6),ISBLANK($O$5),ISBLANK($H$5)),"",IFERROR(IF(VLOOKUP(L246,L252:M261,2,FALSE)&lt;1,ROUND(VLOOKUP(L246,L252:M261,2,FALSE),4),ROUND(VLOOKUP(L246,L252:M261,2,FALSE),2)),""))</f>
        <v>15.95</v>
      </c>
      <c r="N246" s="69"/>
      <c r="O246" s="27" t="s">
        <v>17</v>
      </c>
      <c r="P246" s="113">
        <v>20</v>
      </c>
      <c r="Q246" s="113">
        <v>14.91</v>
      </c>
      <c r="R246" s="113">
        <v>11.78</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6">
        <f t="shared" ref="E247" si="696">D246</f>
        <v>12</v>
      </c>
      <c r="F247" s="92"/>
      <c r="G247" s="188" t="s">
        <v>1</v>
      </c>
      <c r="H247" s="191" t="str">
        <f>INDEX('BASE FORMAÇÃO'!C:C,B246+1)</f>
        <v>AZUL DE METILENO, 2%, 2ML, SOLUÇÃO INJETÁVEL, AMPOLA OU FRASCO-AMPOLA</v>
      </c>
      <c r="I247" s="191"/>
      <c r="J247" s="192"/>
      <c r="K247" s="66"/>
      <c r="L247" s="183"/>
      <c r="M247" s="185"/>
      <c r="N247" s="70"/>
      <c r="O247" s="27" t="s">
        <v>13</v>
      </c>
      <c r="P247" s="122">
        <v>46170</v>
      </c>
      <c r="Q247" s="122">
        <v>46002</v>
      </c>
      <c r="R247" s="122">
        <v>46007</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7"/>
      <c r="F248" s="93"/>
      <c r="G248" s="189"/>
      <c r="H248" s="193"/>
      <c r="I248" s="193"/>
      <c r="J248" s="194"/>
      <c r="K248" s="64"/>
      <c r="L248" s="130" t="s">
        <v>44</v>
      </c>
      <c r="M248" s="131">
        <v>200</v>
      </c>
      <c r="N248" s="71"/>
      <c r="O248" s="27" t="s">
        <v>380</v>
      </c>
      <c r="P248" s="114" t="s">
        <v>12</v>
      </c>
      <c r="Q248" s="114" t="s">
        <v>12</v>
      </c>
      <c r="R248" s="114" t="s">
        <v>12</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0"/>
      <c r="H249" s="195"/>
      <c r="I249" s="195"/>
      <c r="J249" s="196"/>
      <c r="K249" s="64"/>
      <c r="L249" s="1" t="s">
        <v>2</v>
      </c>
      <c r="M249" s="6" t="str">
        <f>INDEX('BASE FORMAÇÃO'!D:D,B250+1)</f>
        <v>FR</v>
      </c>
      <c r="N249" s="71"/>
      <c r="O249" s="27" t="s">
        <v>381</v>
      </c>
      <c r="P249" s="115" t="s">
        <v>10</v>
      </c>
      <c r="Q249" s="115" t="s">
        <v>10</v>
      </c>
      <c r="R249" s="115" t="s">
        <v>10</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197">
        <f t="shared" ref="E250" si="700">C246</f>
        <v>1</v>
      </c>
      <c r="F250" s="93"/>
      <c r="G250" s="199" t="s">
        <v>304</v>
      </c>
      <c r="H250" s="201"/>
      <c r="I250" s="202"/>
      <c r="J250" s="202"/>
      <c r="K250" s="67"/>
      <c r="L250" s="28" t="s">
        <v>303</v>
      </c>
      <c r="M250" s="133">
        <f t="shared" ref="M250" si="701">IFERROR(INDEX(I252:I264,MATCH(MAX(J252:J264),J252:J264,0)),"")</f>
        <v>0.20422413681679677</v>
      </c>
      <c r="N250" s="71"/>
      <c r="O250" s="27" t="s">
        <v>18</v>
      </c>
      <c r="P250" s="106">
        <f>IF(P246="","",
IF(OR(P248="Orçamento",P247="",MAX('Tabela de Apoio'!$A:$A)&lt;=P247),
P246,
(INDEX('Tabela de Apoio'!$B:$B,MATCH('MAPA DE PREÇOS'!$O$8,'Tabela de Apoio'!$A:$A,1))/INDEX('Tabela de Apoio'!$B:$B,MATCH('MAPA DE PREÇOS'!P247,'Tabela de Apoio'!$A:$A,1)-1))*P246))</f>
        <v>20.162294022319376</v>
      </c>
      <c r="Q250" s="106">
        <f>IF(Q246="","",
IF(OR(Q248="Orçamento",Q247="",MAX('Tabela de Apoio'!$A:$A)&lt;=Q247),
Q246,
(INDEX('Tabela de Apoio'!$B:$B,MATCH('MAPA DE PREÇOS'!$O$8,'Tabela de Apoio'!$A:$A,1))/INDEX('Tabela de Apoio'!$B:$B,MATCH('MAPA DE PREÇOS'!Q247,'Tabela de Apoio'!$A:$A,1)-1))*Q246))</f>
        <v>15.473327374934613</v>
      </c>
      <c r="R250" s="106">
        <f>IF(R246="","",
IF(OR(R248="Orçamento",R247="",MAX('Tabela de Apoio'!$A:$A)&lt;=R247),
R246,
(INDEX('Tabela de Apoio'!$B:$B,MATCH('MAPA DE PREÇOS'!$O$8,'Tabela de Apoio'!$A:$A,1))/INDEX('Tabela de Apoio'!$B:$B,MATCH('MAPA DE PREÇOS'!R247,'Tabela de Apoio'!$A:$A,1)-1))*R246))</f>
        <v>12.225070186232712</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198"/>
      <c r="F251" s="93"/>
      <c r="G251" s="200"/>
      <c r="H251"/>
      <c r="I251"/>
      <c r="J251"/>
      <c r="N251" s="71"/>
      <c r="O251" s="27" t="s">
        <v>375</v>
      </c>
      <c r="P251" s="107">
        <f>IF(IFERROR(VLOOKUP(P248,'Tabela de Apoio'!$D:$E,2,FALSE),1)=1,"",P252)</f>
        <v>20.162294022319376</v>
      </c>
      <c r="Q251" s="107">
        <f>IF(IFERROR(VLOOKUP(Q248,'Tabela de Apoio'!$D:$E,2,FALSE),1)=1,"",Q252)</f>
        <v>15.473327374934613</v>
      </c>
      <c r="R251" s="107">
        <f>IF(IFERROR(VLOOKUP(R248,'Tabela de Apoio'!$D:$E,2,FALSE),1)=1,"",R252)</f>
        <v>12.225070186232712</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198"/>
      <c r="F252" s="93"/>
      <c r="G252" s="200"/>
      <c r="H252" s="134">
        <f t="shared" ref="H252" si="705">COUNT($P252:$XX252)</f>
        <v>3</v>
      </c>
      <c r="I252" s="132">
        <f t="shared" ref="I252" si="706">_xlfn.STDEV.P($P251:$XX252)/AVERAGE($P251:$XX252)</f>
        <v>0.20422413681679677</v>
      </c>
      <c r="J252" s="7">
        <f>ROW()</f>
        <v>252</v>
      </c>
      <c r="K252" s="67"/>
      <c r="L252" s="29" t="s">
        <v>10</v>
      </c>
      <c r="M252" s="30">
        <f t="shared" ref="M252" si="707">IFERROR(
IF(COUNTA(P246:AI246)=COUNTIF(P248:XX248,"Orçamento"),MIN(M257,M254),
IF(M255&lt;&gt;"",M255,
IF(M256&lt;&gt;"",M256,
M254
))),"")</f>
        <v>15.953563861162232</v>
      </c>
      <c r="N252" s="71"/>
      <c r="O252" s="27" t="s">
        <v>376</v>
      </c>
      <c r="P252" s="106">
        <f t="shared" ref="P252:AI252" si="708">IFERROR(IF(P250="",
            "",
            IF(COUNT($P250:$XX250)&lt;=4,
               P250,
               IF(OR(P250&gt;(QUARTILE($P250:$XX250,3)+(QUARTILE($P250:$XX250,3)-QUARTILE($P250:$XX250,1))),
                     P250&lt;(QUARTILE($P250:$XX250,1)-(QUARTILE($P250:$XX250,3)-QUARTILE($P250:$XX250,1)))
                  ),
               "DESCARTADO",P250)
             )
  ),P250)</f>
        <v>20.162294022319376</v>
      </c>
      <c r="Q252" s="106">
        <f t="shared" si="708"/>
        <v>15.473327374934613</v>
      </c>
      <c r="R252" s="106">
        <f t="shared" si="708"/>
        <v>12.225070186232712</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198"/>
      <c r="F253" s="93"/>
      <c r="G253" s="200"/>
      <c r="H253"/>
      <c r="I253"/>
      <c r="J253"/>
      <c r="K253" s="66"/>
      <c r="L253" s="29" t="s">
        <v>360</v>
      </c>
      <c r="M253" s="30">
        <f t="shared" ref="M253" si="711">AVERAGE($P252:$XX252)</f>
        <v>15.953563861162232</v>
      </c>
      <c r="N253" s="71"/>
      <c r="O253" s="27" t="str">
        <f t="shared" ref="O253" si="712">"1 POND"</f>
        <v>1 POND</v>
      </c>
      <c r="P253" s="107">
        <f>IF(IFERROR(VLOOKUP(P248,'Tabela de Apoio'!$D:$E,2,FALSE),1)=1,"",P254)</f>
        <v>20.162294022319376</v>
      </c>
      <c r="Q253" s="107">
        <f>IF(IFERROR(VLOOKUP(Q248,'Tabela de Apoio'!$D:$E,2,FALSE),1)=1,"",Q254)</f>
        <v>15.473327374934613</v>
      </c>
      <c r="R253" s="107">
        <f>IF(IFERROR(VLOOKUP(R248,'Tabela de Apoio'!$D:$E,2,FALSE),1)=1,"",R254)</f>
        <v>12.225070186232712</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198"/>
      <c r="F254" s="93"/>
      <c r="G254" s="200"/>
      <c r="H254" s="134">
        <f t="shared" ref="H254" si="713">COUNT($P254:$XX254)</f>
        <v>3</v>
      </c>
      <c r="I254" s="132">
        <f t="shared" ref="I254" si="714">_xlfn.STDEV.P($P253:$XX254)/AVERAGE($P253:$XX254)</f>
        <v>0.20422413681679677</v>
      </c>
      <c r="J254" s="7">
        <f t="shared" ref="J254" si="715">IF(AND(H254&gt;2,
OR(L246="MÉDIA SANEADA",L246="MEDIANA SANEADA",
AND(L246="PREÇO ESTIMADO",NOT(AND(P248="Orçamento",COUNTA(P246:XX246)=COUNTIF(P248:XX248,"Orçamento")))))),
ROW(),0)</f>
        <v>254</v>
      </c>
      <c r="K254" s="66"/>
      <c r="L254" s="29" t="s">
        <v>361</v>
      </c>
      <c r="M254" s="30">
        <f t="shared" ref="M254" si="716">MEDIAN($P252:$XX252)</f>
        <v>15.473327374934613</v>
      </c>
      <c r="N254" s="71"/>
      <c r="O254" s="27" t="str">
        <f t="shared" ref="O254" si="717">"1 RODADA"</f>
        <v>1 RODADA</v>
      </c>
      <c r="P254" s="107">
        <f t="shared" ref="P254:AI254" si="718">IF(P252="","",IF((_xlfn.STDEV.P($P251:$XX252)/AVERAGE($P251:$XX252))&lt;=25%,P252,IF(OR(P252&gt;(AVERAGE($P251:$XX252)+_xlfn.STDEV.P($P251:$XX252)),P252&lt;(AVERAGE($P251:$XX252)-_xlfn.STDEV.P($P251:$XX252))),"DESCARTADO",P252)))</f>
        <v>20.162294022319376</v>
      </c>
      <c r="Q254" s="107">
        <f t="shared" si="718"/>
        <v>15.473327374934613</v>
      </c>
      <c r="R254" s="107">
        <f t="shared" si="718"/>
        <v>12.225070186232712</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198"/>
      <c r="F255" s="93"/>
      <c r="G255" s="200"/>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15.953563861162232</v>
      </c>
      <c r="N255" s="71"/>
      <c r="O255" s="27" t="str">
        <f t="shared" ref="O255" si="720">"2 POND"</f>
        <v>2 POND</v>
      </c>
      <c r="P255" s="107">
        <f>IF(IFERROR(VLOOKUP(P248,'Tabela de Apoio'!$D:$E,2,FALSE),1)=1,"",P256)</f>
        <v>20.162294022319376</v>
      </c>
      <c r="Q255" s="107">
        <f>IF(IFERROR(VLOOKUP(Q248,'Tabela de Apoio'!$D:$E,2,FALSE),1)=1,"",Q256)</f>
        <v>15.473327374934613</v>
      </c>
      <c r="R255" s="107">
        <f>IF(IFERROR(VLOOKUP(R248,'Tabela de Apoio'!$D:$E,2,FALSE),1)=1,"",R256)</f>
        <v>12.225070186232712</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198"/>
      <c r="F256" s="93"/>
      <c r="G256" s="200"/>
      <c r="H256" s="134">
        <f t="shared" ref="H256" si="721">COUNT($P256:$XX256)</f>
        <v>3</v>
      </c>
      <c r="I256" s="132">
        <f t="shared" ref="I256" si="722">_xlfn.STDEV.P($P255:$XX256)/AVERAGE($P255:$XX256)</f>
        <v>0.20422413681679677</v>
      </c>
      <c r="J256" s="7">
        <f t="shared" ref="J256" si="723">IF(AND(H256&gt;2,
OR(L246="MÉDIA SANEADA",L246="MEDIANA SANEADA",
AND(L246="PREÇO ESTIMADO",NOT(AND(P248="Orçamento",COUNTA(P246:XX246)=COUNTIF(P248:XX248,"Orçamento")))))),
ROW(),0)</f>
        <v>256</v>
      </c>
      <c r="K256" s="66"/>
      <c r="L256" s="29" t="s">
        <v>362</v>
      </c>
      <c r="M256" s="30">
        <f t="shared" ref="M256" si="724" xml:space="preserve">
IF(H254&gt;2,MEDIAN(P253:XX254),
IF(H256&gt;2,MEDIAN(P255:XX256),
IF(H258&gt;2,MEDIAN(P257:XX258),
IF(H260&gt;2,MEDIAN(P259:XX260),
IF(H262&gt;2,MEDIAN(P261:XX262),
IF(H264&gt;2,MEDIAN(P263:XX264),
MEDIAN(P251:XX252)))))))</f>
        <v>15.473327374934613</v>
      </c>
      <c r="N256" s="71"/>
      <c r="O256" s="27" t="str">
        <f t="shared" ref="O256" si="725">"2 RODADA"</f>
        <v>2 RODADA</v>
      </c>
      <c r="P256" s="107">
        <f t="shared" ref="P256:AI256" si="726">IF(P254="","",IF((_xlfn.STDEV.P($P253:$XX254)/AVERAGE($P253:$XX254))&lt;=25%,P254,IF(OR(P254&gt;(AVERAGE($P253:$XX254)+_xlfn.STDEV.P($P253:$XX254)),P254&lt;(AVERAGE($P253:$XX254)-_xlfn.STDEV.P($P253:$XX254))),"DESCARTADO",P254)))</f>
        <v>20.162294022319376</v>
      </c>
      <c r="Q256" s="107">
        <f t="shared" si="726"/>
        <v>15.473327374934613</v>
      </c>
      <c r="R256" s="107">
        <f t="shared" si="726"/>
        <v>12.225070186232712</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198"/>
      <c r="F257" s="93"/>
      <c r="G257" s="200"/>
      <c r="H257"/>
      <c r="I257"/>
      <c r="J257"/>
      <c r="K257" s="66"/>
      <c r="L257" s="29" t="s">
        <v>359</v>
      </c>
      <c r="M257" s="30">
        <f t="shared" ref="M257" si="727">HARMEAN($P251:$XX252)</f>
        <v>15.304249010880351</v>
      </c>
      <c r="N257" s="71"/>
      <c r="O257" s="27" t="str">
        <f t="shared" ref="O257" si="728">"3 POND"</f>
        <v>3 POND</v>
      </c>
      <c r="P257" s="107">
        <f>IF(IFERROR(VLOOKUP(P248,'Tabela de Apoio'!$D:$E,2,FALSE),1)=1,"",P258)</f>
        <v>20.162294022319376</v>
      </c>
      <c r="Q257" s="107">
        <f>IF(IFERROR(VLOOKUP(Q248,'Tabela de Apoio'!$D:$E,2,FALSE),1)=1,"",Q258)</f>
        <v>15.473327374934613</v>
      </c>
      <c r="R257" s="107">
        <f>IF(IFERROR(VLOOKUP(R248,'Tabela de Apoio'!$D:$E,2,FALSE),1)=1,"",R258)</f>
        <v>12.225070186232712</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198"/>
      <c r="F258" s="93"/>
      <c r="G258" s="200"/>
      <c r="H258" s="134">
        <f t="shared" ref="H258" si="729">COUNT($P258:$XX258)</f>
        <v>3</v>
      </c>
      <c r="I258" s="132">
        <f t="shared" ref="I258" si="730">_xlfn.STDEV.P($P257:$XX258)/AVERAGE($P257:$XX258)</f>
        <v>0.20422413681679677</v>
      </c>
      <c r="J258" s="7">
        <f t="shared" ref="J258" si="731">IF(AND(H258&gt;2,
OR(L246="MÉDIA SANEADA",L246="MEDIANA SANEADA",
AND(L246="PREÇO ESTIMADO",NOT(AND(P248="Orçamento",COUNTA(P246:XX246)=COUNTIF(P248:XX248,"Orçamento")))))),
ROW(),0)</f>
        <v>258</v>
      </c>
      <c r="K258" s="66"/>
      <c r="L258" s="29" t="s">
        <v>41</v>
      </c>
      <c r="M258" s="30">
        <f t="shared" ref="M258" si="732">IFERROR(_xlfn.QUARTILE.EXC($P252:$XX252,1),"")</f>
        <v>12.225070186232712</v>
      </c>
      <c r="N258" s="71"/>
      <c r="O258" s="27" t="str">
        <f t="shared" ref="O258" si="733">"3 RODADA"</f>
        <v>3 RODADA</v>
      </c>
      <c r="P258" s="107">
        <f t="shared" ref="P258:AI258" si="734">IF(P256="","",IF((_xlfn.STDEV.P($P255:$XX256)/AVERAGE($P255:$XX256))&lt;=25%,P256,IF(OR(P256&gt;(AVERAGE($P255:$XX256)+_xlfn.STDEV.P($P255:$XX256)),P256&lt;(AVERAGE($P255:$XX256)-_xlfn.STDEV.P($P255:$XX256))),"DESCARTADO",P256)))</f>
        <v>20.162294022319376</v>
      </c>
      <c r="Q258" s="107">
        <f t="shared" si="734"/>
        <v>15.473327374934613</v>
      </c>
      <c r="R258" s="107">
        <f t="shared" si="734"/>
        <v>12.225070186232712</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198"/>
      <c r="F259" s="93"/>
      <c r="G259" s="200"/>
      <c r="H259"/>
      <c r="I259"/>
      <c r="J259"/>
      <c r="K259" s="66"/>
      <c r="L259" s="29" t="s">
        <v>39</v>
      </c>
      <c r="M259" s="30">
        <f t="shared" ref="M259" si="735">IFERROR(_xlfn.QUARTILE.EXC($P252:$XX252,3),"")</f>
        <v>20.162294022319376</v>
      </c>
      <c r="N259" s="71"/>
      <c r="O259" s="27" t="str">
        <f t="shared" ref="O259" si="736">"4 POND"</f>
        <v>4 POND</v>
      </c>
      <c r="P259" s="107">
        <f>IF(IFERROR(VLOOKUP(P248,'Tabela de Apoio'!$D:$E,2,FALSE),1)=1,"",P260)</f>
        <v>20.162294022319376</v>
      </c>
      <c r="Q259" s="107">
        <f>IF(IFERROR(VLOOKUP(Q248,'Tabela de Apoio'!$D:$E,2,FALSE),1)=1,"",Q260)</f>
        <v>15.473327374934613</v>
      </c>
      <c r="R259" s="107">
        <f>IF(IFERROR(VLOOKUP(R248,'Tabela de Apoio'!$D:$E,2,FALSE),1)=1,"",R260)</f>
        <v>12.225070186232712</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198"/>
      <c r="F260" s="93"/>
      <c r="G260" s="200"/>
      <c r="H260" s="134">
        <f t="shared" ref="H260" si="737">COUNT($P260:$XX260)</f>
        <v>3</v>
      </c>
      <c r="I260" s="132">
        <f t="shared" ref="I260" si="738">_xlfn.STDEV.P($P259:$XX260)/AVERAGE($P259:$XX260)</f>
        <v>0.20422413681679677</v>
      </c>
      <c r="J260" s="7">
        <f t="shared" ref="J260" si="739">IF(AND(H260&gt;2,
OR(L246="MÉDIA SANEADA",L246="MEDIANA SANEADA",
AND(L246="PREÇO ESTIMADO",NOT(AND(P248="Orçamento",COUNTA(P246:XX246)=COUNTIF(P248:XX248,"Orçamento")))))),
ROW(),0)</f>
        <v>260</v>
      </c>
      <c r="K260" s="66"/>
      <c r="L260" s="29" t="s">
        <v>42</v>
      </c>
      <c r="M260" s="30">
        <f t="shared" ref="M260" si="740">MIN($P252:$XX252)</f>
        <v>12.225070186232712</v>
      </c>
      <c r="N260" s="71"/>
      <c r="O260" s="27" t="str">
        <f t="shared" ref="O260" si="741">"4 RODADA"</f>
        <v>4 RODADA</v>
      </c>
      <c r="P260" s="107">
        <f t="shared" ref="P260:AI260" si="742">IF(P258="","",IF((_xlfn.STDEV.P($P257:$XX258)/AVERAGE($P257:$XX258))&lt;=25%,P258,IF(OR(P258&gt;(AVERAGE($P257:$XX258)+_xlfn.STDEV.P($P257:$XX258)),P258&lt;(AVERAGE($P257:$XX258)-_xlfn.STDEV.P($P257:$XX258))),"DESCARTADO",P258)))</f>
        <v>20.162294022319376</v>
      </c>
      <c r="Q260" s="107">
        <f t="shared" si="742"/>
        <v>15.473327374934613</v>
      </c>
      <c r="R260" s="107">
        <f t="shared" si="742"/>
        <v>12.225070186232712</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198"/>
      <c r="F261" s="93"/>
      <c r="G261" s="200"/>
      <c r="H261"/>
      <c r="I261"/>
      <c r="J261"/>
      <c r="K261" s="66"/>
      <c r="L261" s="29" t="s">
        <v>40</v>
      </c>
      <c r="M261" s="30">
        <f t="shared" ref="M261" si="743">MAX($P252:$XX252)</f>
        <v>20.162294022319376</v>
      </c>
      <c r="N261" s="71"/>
      <c r="O261" s="27" t="str">
        <f t="shared" ref="O261" si="744">"5 POND"</f>
        <v>5 POND</v>
      </c>
      <c r="P261" s="107">
        <f>IF(IFERROR(VLOOKUP(P248,'Tabela de Apoio'!$D:$E,2,FALSE),1)=1,"",P262)</f>
        <v>20.162294022319376</v>
      </c>
      <c r="Q261" s="107">
        <f>IF(IFERROR(VLOOKUP(Q248,'Tabela de Apoio'!$D:$E,2,FALSE),1)=1,"",Q262)</f>
        <v>15.473327374934613</v>
      </c>
      <c r="R261" s="107">
        <f>IF(IFERROR(VLOOKUP(R248,'Tabela de Apoio'!$D:$E,2,FALSE),1)=1,"",R262)</f>
        <v>12.225070186232712</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198"/>
      <c r="F262" s="93"/>
      <c r="G262" s="200"/>
      <c r="H262" s="134">
        <f t="shared" ref="H262" si="745">COUNT($P262:$XX262)</f>
        <v>3</v>
      </c>
      <c r="I262" s="132">
        <f t="shared" ref="I262" si="746">_xlfn.STDEV.P($P261:$XX262)/AVERAGE($P261:$XX262)</f>
        <v>0.20422413681679677</v>
      </c>
      <c r="J262" s="7">
        <f t="shared" ref="J262" si="747">IF(AND(H262&gt;2,
OR(L246="MÉDIA SANEADA",L246="MEDIANA SANEADA",
AND(L246="PREÇO ESTIMADO",NOT(AND(P248="Orçamento",COUNTA(P246:XX246)=COUNTIF(P248:XX248,"Orçamento")))))),
ROW(),0)</f>
        <v>262</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20.162294022319376</v>
      </c>
      <c r="Q262" s="107">
        <f t="shared" si="749"/>
        <v>15.473327374934613</v>
      </c>
      <c r="R262" s="107">
        <f t="shared" si="749"/>
        <v>12.225070186232712</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198"/>
      <c r="F263" s="93"/>
      <c r="G263" s="200"/>
      <c r="H263"/>
      <c r="I263"/>
      <c r="J263"/>
      <c r="K263" s="66"/>
      <c r="L263" s="22"/>
      <c r="M263" s="22"/>
      <c r="N263" s="71"/>
      <c r="O263" s="27" t="str">
        <f t="shared" ref="O263" si="750">"6 POND"</f>
        <v>6 POND</v>
      </c>
      <c r="P263" s="107">
        <f>IF(IFERROR(VLOOKUP(P248,'Tabela de Apoio'!$D:$E,2,FALSE),1)=1,"",P264)</f>
        <v>20.162294022319376</v>
      </c>
      <c r="Q263" s="107">
        <f>IF(IFERROR(VLOOKUP(Q248,'Tabela de Apoio'!$D:$E,2,FALSE),1)=1,"",Q264)</f>
        <v>15.473327374934613</v>
      </c>
      <c r="R263" s="107">
        <f>IF(IFERROR(VLOOKUP(R248,'Tabela de Apoio'!$D:$E,2,FALSE),1)=1,"",R264)</f>
        <v>12.225070186232712</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198"/>
      <c r="F264" s="93"/>
      <c r="G264" s="200"/>
      <c r="H264" s="134">
        <f t="shared" ref="H264" si="751">COUNT($P264:$XX264)</f>
        <v>3</v>
      </c>
      <c r="I264" s="132">
        <f t="shared" ref="I264" si="752">_xlfn.STDEV.P($P263:$XX264)/AVERAGE($P263:$XX264)</f>
        <v>0.20422413681679677</v>
      </c>
      <c r="J264" s="7">
        <f t="shared" ref="J264" si="753">IF(AND(H264&gt;2,
OR(L246="MÉDIA SANEADA",L246="MEDIANA SANEADA",
AND(L246="PREÇO ESTIMADO",NOT(AND(P248="Orçamento",COUNTA(P246:XX246)=COUNTIF(P248:XX248,"Orçamento")))))),
ROW(),0)</f>
        <v>264</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20.162294022319376</v>
      </c>
      <c r="Q264" s="107">
        <f t="shared" si="755"/>
        <v>15.473327374934613</v>
      </c>
      <c r="R264" s="107">
        <f t="shared" si="755"/>
        <v>12.225070186232712</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198"/>
      <c r="F265" s="136"/>
      <c r="G265" s="200"/>
      <c r="H265" s="203"/>
      <c r="I265" s="203"/>
      <c r="J265" s="204"/>
      <c r="K265" s="67"/>
      <c r="L265" s="1" t="s">
        <v>43</v>
      </c>
      <c r="M265" s="143">
        <f t="shared" ref="M265" si="756">IFERROR(ROUND(M246*M248,2),"")</f>
        <v>3190</v>
      </c>
      <c r="O265" s="27" t="s">
        <v>363</v>
      </c>
      <c r="P265" s="107">
        <f t="shared" ref="P265:AI286" si="757">INDEX(P252:P264,MATCH(MAX($J252:$J264),$J252:$J264,0))</f>
        <v>20.162294022319376</v>
      </c>
      <c r="Q265" s="107">
        <f t="shared" si="757"/>
        <v>15.473327374934613</v>
      </c>
      <c r="R265" s="107">
        <f t="shared" si="757"/>
        <v>12.225070186232712</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84806</v>
      </c>
      <c r="I267" s="181" t="s">
        <v>16</v>
      </c>
      <c r="J267" s="6">
        <f>INDEX('BASE FORMAÇÃO'!K:K,B267+1)</f>
        <v>0</v>
      </c>
      <c r="K267" s="65"/>
      <c r="L267" s="182" t="s">
        <v>10</v>
      </c>
      <c r="M267" s="184">
        <f t="shared" ref="M267" si="760">IF(OR(ISBLANK($O$8),ISBLANK($O$7),ISBLANK($H$8),ISBLANK($O$6),ISBLANK($O$5),ISBLANK($H$5)),"",IFERROR(IF(VLOOKUP(L267,L273:M282,2,FALSE)&lt;1,ROUND(VLOOKUP(L267,L273:M282,2,FALSE),4),ROUND(VLOOKUP(L267,L273:M282,2,FALSE),2)),""))</f>
        <v>25.34</v>
      </c>
      <c r="N267" s="69"/>
      <c r="O267" s="27" t="s">
        <v>17</v>
      </c>
      <c r="P267" s="113">
        <f>(6.92/2)*20</f>
        <v>69.2</v>
      </c>
      <c r="Q267" s="113">
        <f>(30.3/100)*20</f>
        <v>6.06</v>
      </c>
      <c r="R267" s="113">
        <f>(36.62/30)*20</f>
        <v>24.41333333333333</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6">
        <f t="shared" ref="E268" si="762">D267</f>
        <v>13</v>
      </c>
      <c r="F268" s="92"/>
      <c r="G268" s="188" t="s">
        <v>1</v>
      </c>
      <c r="H268" s="191" t="str">
        <f>INDEX('BASE FORMAÇÃO'!C:C,B267+1)</f>
        <v>AZUL DE METILENO 1%, USO FARMACEUTICO, FRASCO COM 20ML APROX</v>
      </c>
      <c r="I268" s="191"/>
      <c r="J268" s="192"/>
      <c r="K268" s="66"/>
      <c r="L268" s="183"/>
      <c r="M268" s="185"/>
      <c r="N268" s="70"/>
      <c r="O268" s="27" t="s">
        <v>13</v>
      </c>
      <c r="P268" s="122">
        <v>46045</v>
      </c>
      <c r="Q268" s="122">
        <v>46161</v>
      </c>
      <c r="R268" s="122">
        <v>45995</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7"/>
      <c r="F269" s="93"/>
      <c r="G269" s="189"/>
      <c r="H269" s="193"/>
      <c r="I269" s="193"/>
      <c r="J269" s="194"/>
      <c r="K269" s="64"/>
      <c r="L269" s="130" t="s">
        <v>44</v>
      </c>
      <c r="M269" s="131">
        <v>100</v>
      </c>
      <c r="N269" s="71"/>
      <c r="O269" s="27" t="s">
        <v>380</v>
      </c>
      <c r="P269" s="114" t="s">
        <v>12</v>
      </c>
      <c r="Q269" s="114" t="s">
        <v>12</v>
      </c>
      <c r="R269" s="114" t="s">
        <v>12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0"/>
      <c r="H270" s="195"/>
      <c r="I270" s="195"/>
      <c r="J270" s="196"/>
      <c r="K270" s="64"/>
      <c r="L270" s="1" t="s">
        <v>2</v>
      </c>
      <c r="M270" s="6" t="str">
        <f>INDEX('BASE FORMAÇÃO'!D:D,B271+1)</f>
        <v>FR</v>
      </c>
      <c r="N270" s="71"/>
      <c r="O270" s="27" t="s">
        <v>381</v>
      </c>
      <c r="P270" s="115" t="s">
        <v>468</v>
      </c>
      <c r="Q270" s="115" t="s">
        <v>468</v>
      </c>
      <c r="R270" s="115" t="s">
        <v>10</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197">
        <f t="shared" ref="E271" si="766">C267</f>
        <v>1</v>
      </c>
      <c r="F271" s="93"/>
      <c r="G271" s="199" t="s">
        <v>304</v>
      </c>
      <c r="H271" s="201"/>
      <c r="I271" s="202"/>
      <c r="J271" s="202"/>
      <c r="K271" s="67"/>
      <c r="L271" s="28" t="s">
        <v>303</v>
      </c>
      <c r="M271" s="133">
        <f t="shared" ref="M271" si="767">IFERROR(INDEX(I273:I285,MATCH(MAX(J273:J285),J273:J285,0)),"")</f>
        <v>0.80008392442583576</v>
      </c>
      <c r="N271" s="71"/>
      <c r="O271" s="27" t="s">
        <v>18</v>
      </c>
      <c r="P271" s="106">
        <f>IF(P267="","",
IF(OR(P269="Orçamento",P268="",MAX('Tabela de Apoio'!$A:$A)&lt;=P268),
P267,
(INDEX('Tabela de Apoio'!$B:$B,MATCH('MAPA DE PREÇOS'!$O$8,'Tabela de Apoio'!$A:$A,1))/INDEX('Tabela de Apoio'!$B:$B,MATCH('MAPA DE PREÇOS'!P268,'Tabela de Apoio'!$A:$A,1)-1))*P267))</f>
        <v>71.578300458309755</v>
      </c>
      <c r="Q271" s="106">
        <f>IF(Q267="","",
IF(OR(Q269="Orçamento",Q268="",MAX('Tabela de Apoio'!$A:$A)&lt;=Q268),
Q267,
(INDEX('Tabela de Apoio'!$B:$B,MATCH('MAPA DE PREÇOS'!$O$8,'Tabela de Apoio'!$A:$A,1))/INDEX('Tabela de Apoio'!$B:$B,MATCH('MAPA DE PREÇOS'!Q268,'Tabela de Apoio'!$A:$A,1)-1))*Q267))</f>
        <v>6.10917508876277</v>
      </c>
      <c r="R271" s="106">
        <f>IF(R267="","",
IF(OR(R269="Orçamento",R268="",MAX('Tabela de Apoio'!$A:$A)&lt;=R268),
R267,
(INDEX('Tabela de Apoio'!$B:$B,MATCH('MAPA DE PREÇOS'!$O$8,'Tabela de Apoio'!$A:$A,1))/INDEX('Tabela de Apoio'!$B:$B,MATCH('MAPA DE PREÇOS'!R268,'Tabela de Apoio'!$A:$A,1)-1))*R267))</f>
        <v>25.335714217308539</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198"/>
      <c r="F272" s="93"/>
      <c r="G272" s="200"/>
      <c r="H272"/>
      <c r="I272"/>
      <c r="J272"/>
      <c r="N272" s="71"/>
      <c r="O272" s="27" t="s">
        <v>375</v>
      </c>
      <c r="P272" s="107">
        <f>IF(IFERROR(VLOOKUP(P269,'Tabela de Apoio'!$D:$E,2,FALSE),1)=1,"",P273)</f>
        <v>71.578300458309755</v>
      </c>
      <c r="Q272" s="107">
        <f>IF(IFERROR(VLOOKUP(Q269,'Tabela de Apoio'!$D:$E,2,FALSE),1)=1,"",Q273)</f>
        <v>6.10917508876277</v>
      </c>
      <c r="R272" s="107">
        <f>IF(IFERROR(VLOOKUP(R269,'Tabela de Apoio'!$D:$E,2,FALSE),1)=1,"",R273)</f>
        <v>25.335714217308539</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198"/>
      <c r="F273" s="93"/>
      <c r="G273" s="200"/>
      <c r="H273" s="134">
        <f t="shared" ref="H273" si="771">COUNT($P273:$XX273)</f>
        <v>3</v>
      </c>
      <c r="I273" s="132">
        <f t="shared" ref="I273" si="772">_xlfn.STDEV.P($P272:$XX273)/AVERAGE($P272:$XX273)</f>
        <v>0.80008392442583576</v>
      </c>
      <c r="J273" s="7">
        <f>ROW()</f>
        <v>273</v>
      </c>
      <c r="K273" s="67"/>
      <c r="L273" s="29" t="s">
        <v>10</v>
      </c>
      <c r="M273" s="30">
        <f t="shared" ref="M273" si="773">IFERROR(
IF(COUNTA(P267:AI267)=COUNTIF(P269:XX269,"Orçamento"),MIN(M278,M275),
IF(M276&lt;&gt;"",M276,
IF(M277&lt;&gt;"",M277,
M275
))),"")</f>
        <v>25.335714217308539</v>
      </c>
      <c r="N273" s="71"/>
      <c r="O273" s="27" t="s">
        <v>376</v>
      </c>
      <c r="P273" s="106">
        <f t="shared" ref="P273:AI273" si="774">IFERROR(IF(P271="",
            "",
            IF(COUNT($P271:$XX271)&lt;=4,
               P271,
               IF(OR(P271&gt;(QUARTILE($P271:$XX271,3)+(QUARTILE($P271:$XX271,3)-QUARTILE($P271:$XX271,1))),
                     P271&lt;(QUARTILE($P271:$XX271,1)-(QUARTILE($P271:$XX271,3)-QUARTILE($P271:$XX271,1)))
                  ),
               "DESCARTADO",P271)
             )
  ),P271)</f>
        <v>71.578300458309755</v>
      </c>
      <c r="Q273" s="106">
        <f t="shared" si="774"/>
        <v>6.10917508876277</v>
      </c>
      <c r="R273" s="106">
        <f t="shared" si="774"/>
        <v>25.335714217308539</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198"/>
      <c r="F274" s="93"/>
      <c r="G274" s="200"/>
      <c r="H274"/>
      <c r="I274"/>
      <c r="J274"/>
      <c r="K274" s="66"/>
      <c r="L274" s="29" t="s">
        <v>360</v>
      </c>
      <c r="M274" s="30">
        <f t="shared" ref="M274" si="777">AVERAGE($P273:$XX273)</f>
        <v>34.341063254793688</v>
      </c>
      <c r="N274" s="71"/>
      <c r="O274" s="27" t="str">
        <f t="shared" ref="O274" si="778">"1 POND"</f>
        <v>1 POND</v>
      </c>
      <c r="P274" s="107" t="str">
        <f>IF(IFERROR(VLOOKUP(P269,'Tabela de Apoio'!$D:$E,2,FALSE),1)=1,"",P275)</f>
        <v>DESCARTADO</v>
      </c>
      <c r="Q274" s="107" t="str">
        <f>IF(IFERROR(VLOOKUP(Q269,'Tabela de Apoio'!$D:$E,2,FALSE),1)=1,"",Q275)</f>
        <v>DESCARTADO</v>
      </c>
      <c r="R274" s="107">
        <f>IF(IFERROR(VLOOKUP(R269,'Tabela de Apoio'!$D:$E,2,FALSE),1)=1,"",R275)</f>
        <v>25.335714217308539</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198"/>
      <c r="F275" s="93"/>
      <c r="G275" s="200"/>
      <c r="H275" s="134">
        <f t="shared" ref="H275" si="779">COUNT($P275:$XX275)</f>
        <v>1</v>
      </c>
      <c r="I275" s="132">
        <f t="shared" ref="I275" si="780">_xlfn.STDEV.P($P274:$XX275)/AVERAGE($P274:$XX275)</f>
        <v>0</v>
      </c>
      <c r="J275" s="7">
        <f t="shared" ref="J275" si="781">IF(AND(H275&gt;2,
OR(L267="MÉDIA SANEADA",L267="MEDIANA SANEADA",
AND(L267="PREÇO ESTIMADO",NOT(AND(P269="Orçamento",COUNTA(P267:XX267)=COUNTIF(P269:XX269,"Orçamento")))))),
ROW(),0)</f>
        <v>0</v>
      </c>
      <c r="K275" s="66"/>
      <c r="L275" s="29" t="s">
        <v>361</v>
      </c>
      <c r="M275" s="30">
        <f t="shared" ref="M275" si="782">MEDIAN($P273:$XX273)</f>
        <v>25.335714217308539</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DESCARTADO</v>
      </c>
      <c r="Q275" s="107" t="str">
        <f t="shared" si="784"/>
        <v>DESCARTADO</v>
      </c>
      <c r="R275" s="107">
        <f t="shared" si="784"/>
        <v>25.335714217308539</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DESCARTADO</v>
      </c>
      <c r="Q276" s="107" t="str">
        <f>IF(IFERROR(VLOOKUP(Q269,'Tabela de Apoio'!$D:$E,2,FALSE),1)=1,"",Q277)</f>
        <v>DESCARTADO</v>
      </c>
      <c r="R276" s="107">
        <f>IF(IFERROR(VLOOKUP(R269,'Tabela de Apoio'!$D:$E,2,FALSE),1)=1,"",R277)</f>
        <v>25.335714217308539</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198"/>
      <c r="F277" s="93"/>
      <c r="G277" s="200"/>
      <c r="H277" s="134">
        <f t="shared" ref="H277" si="787">COUNT($P277:$XX277)</f>
        <v>1</v>
      </c>
      <c r="I277" s="132">
        <f t="shared" ref="I277" si="788">_xlfn.STDEV.P($P276:$XX277)/AVERAGE($P276:$XX277)</f>
        <v>0</v>
      </c>
      <c r="J277" s="7">
        <f t="shared" ref="J277" si="789">IF(AND(H277&gt;2,
OR(L267="MÉDIA SANEADA",L267="MEDIANA SANEADA",
AND(L267="PREÇO ESTIMADO",NOT(AND(P269="Orçamento",COUNTA(P267:XX267)=COUNTIF(P269:XX269,"Orçamento")))))),
ROW(),0)</f>
        <v>0</v>
      </c>
      <c r="K277" s="66"/>
      <c r="L277" s="29" t="s">
        <v>362</v>
      </c>
      <c r="M277" s="30">
        <f t="shared" ref="M277" si="790" xml:space="preserve">
IF(H275&gt;2,MEDIAN(P274:XX275),
IF(H277&gt;2,MEDIAN(P276:XX277),
IF(H279&gt;2,MEDIAN(P278:XX279),
IF(H281&gt;2,MEDIAN(P280:XX281),
IF(H283&gt;2,MEDIAN(P282:XX283),
IF(H285&gt;2,MEDIAN(P284:XX285),
MEDIAN(P272:XX273)))))))</f>
        <v>25.335714217308539</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DESCARTADO</v>
      </c>
      <c r="Q277" s="107" t="str">
        <f t="shared" si="792"/>
        <v>DESCARTADO</v>
      </c>
      <c r="R277" s="107">
        <f t="shared" si="792"/>
        <v>25.335714217308539</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198"/>
      <c r="F278" s="93"/>
      <c r="G278" s="200"/>
      <c r="H278"/>
      <c r="I278"/>
      <c r="J278"/>
      <c r="K278" s="66"/>
      <c r="L278" s="29" t="s">
        <v>359</v>
      </c>
      <c r="M278" s="30">
        <f t="shared" ref="M278" si="793">HARMEAN($P272:$XX273)</f>
        <v>13.816676929165666</v>
      </c>
      <c r="N278" s="71"/>
      <c r="O278" s="27" t="str">
        <f t="shared" ref="O278" si="794">"3 POND"</f>
        <v>3 POND</v>
      </c>
      <c r="P278" s="107" t="str">
        <f>IF(IFERROR(VLOOKUP(P269,'Tabela de Apoio'!$D:$E,2,FALSE),1)=1,"",P279)</f>
        <v>DESCARTADO</v>
      </c>
      <c r="Q278" s="107" t="str">
        <f>IF(IFERROR(VLOOKUP(Q269,'Tabela de Apoio'!$D:$E,2,FALSE),1)=1,"",Q279)</f>
        <v>DESCARTADO</v>
      </c>
      <c r="R278" s="107">
        <f>IF(IFERROR(VLOOKUP(R269,'Tabela de Apoio'!$D:$E,2,FALSE),1)=1,"",R279)</f>
        <v>25.335714217308539</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198"/>
      <c r="F279" s="93"/>
      <c r="G279" s="200"/>
      <c r="H279" s="134">
        <f t="shared" ref="H279" si="795">COUNT($P279:$XX279)</f>
        <v>1</v>
      </c>
      <c r="I279" s="132">
        <f t="shared" ref="I279" si="796">_xlfn.STDEV.P($P278:$XX279)/AVERAGE($P278:$XX279)</f>
        <v>0</v>
      </c>
      <c r="J279" s="7">
        <f t="shared" ref="J279" si="797">IF(AND(H279&gt;2,
OR(L267="MÉDIA SANEADA",L267="MEDIANA SANEADA",
AND(L267="PREÇO ESTIMADO",NOT(AND(P269="Orçamento",COUNTA(P267:XX267)=COUNTIF(P269:XX269,"Orçamento")))))),
ROW(),0)</f>
        <v>0</v>
      </c>
      <c r="K279" s="66"/>
      <c r="L279" s="29" t="s">
        <v>41</v>
      </c>
      <c r="M279" s="30">
        <f t="shared" ref="M279" si="798">IFERROR(_xlfn.QUARTILE.EXC($P273:$XX273,1),"")</f>
        <v>6.10917508876277</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DESCARTADO</v>
      </c>
      <c r="Q279" s="107" t="str">
        <f t="shared" si="800"/>
        <v>DESCARTADO</v>
      </c>
      <c r="R279" s="107">
        <f t="shared" si="800"/>
        <v>25.335714217308539</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198"/>
      <c r="F280" s="93"/>
      <c r="G280" s="200"/>
      <c r="H280"/>
      <c r="I280"/>
      <c r="J280"/>
      <c r="K280" s="66"/>
      <c r="L280" s="29" t="s">
        <v>39</v>
      </c>
      <c r="M280" s="30">
        <f t="shared" ref="M280" si="801">IFERROR(_xlfn.QUARTILE.EXC($P273:$XX273,3),"")</f>
        <v>71.578300458309755</v>
      </c>
      <c r="N280" s="71"/>
      <c r="O280" s="27" t="str">
        <f t="shared" ref="O280" si="802">"4 POND"</f>
        <v>4 POND</v>
      </c>
      <c r="P280" s="107" t="str">
        <f>IF(IFERROR(VLOOKUP(P269,'Tabela de Apoio'!$D:$E,2,FALSE),1)=1,"",P281)</f>
        <v>DESCARTADO</v>
      </c>
      <c r="Q280" s="107" t="str">
        <f>IF(IFERROR(VLOOKUP(Q269,'Tabela de Apoio'!$D:$E,2,FALSE),1)=1,"",Q281)</f>
        <v>DESCARTADO</v>
      </c>
      <c r="R280" s="107">
        <f>IF(IFERROR(VLOOKUP(R269,'Tabela de Apoio'!$D:$E,2,FALSE),1)=1,"",R281)</f>
        <v>25.335714217308539</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198"/>
      <c r="F281" s="93"/>
      <c r="G281" s="200"/>
      <c r="H281" s="134">
        <f t="shared" ref="H281" si="803">COUNT($P281:$XX281)</f>
        <v>1</v>
      </c>
      <c r="I281" s="132">
        <f t="shared" ref="I281" si="804">_xlfn.STDEV.P($P280:$XX281)/AVERAGE($P280:$XX281)</f>
        <v>0</v>
      </c>
      <c r="J281" s="7">
        <f t="shared" ref="J281" si="805">IF(AND(H281&gt;2,
OR(L267="MÉDIA SANEADA",L267="MEDIANA SANEADA",
AND(L267="PREÇO ESTIMADO",NOT(AND(P269="Orçamento",COUNTA(P267:XX267)=COUNTIF(P269:XX269,"Orçamento")))))),
ROW(),0)</f>
        <v>0</v>
      </c>
      <c r="K281" s="66"/>
      <c r="L281" s="29" t="s">
        <v>42</v>
      </c>
      <c r="M281" s="30">
        <f t="shared" ref="M281" si="806">MIN($P273:$XX273)</f>
        <v>6.10917508876277</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DESCARTADO</v>
      </c>
      <c r="Q281" s="107" t="str">
        <f t="shared" si="808"/>
        <v>DESCARTADO</v>
      </c>
      <c r="R281" s="107">
        <f t="shared" si="808"/>
        <v>25.335714217308539</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198"/>
      <c r="F282" s="93"/>
      <c r="G282" s="200"/>
      <c r="H282"/>
      <c r="I282"/>
      <c r="J282"/>
      <c r="K282" s="66"/>
      <c r="L282" s="29" t="s">
        <v>40</v>
      </c>
      <c r="M282" s="30">
        <f t="shared" ref="M282" si="809">MAX($P273:$XX273)</f>
        <v>71.578300458309755</v>
      </c>
      <c r="N282" s="71"/>
      <c r="O282" s="27" t="str">
        <f t="shared" ref="O282" si="810">"5 POND"</f>
        <v>5 POND</v>
      </c>
      <c r="P282" s="107" t="str">
        <f>IF(IFERROR(VLOOKUP(P269,'Tabela de Apoio'!$D:$E,2,FALSE),1)=1,"",P283)</f>
        <v>DESCARTADO</v>
      </c>
      <c r="Q282" s="107" t="str">
        <f>IF(IFERROR(VLOOKUP(Q269,'Tabela de Apoio'!$D:$E,2,FALSE),1)=1,"",Q283)</f>
        <v>DESCARTADO</v>
      </c>
      <c r="R282" s="107">
        <f>IF(IFERROR(VLOOKUP(R269,'Tabela de Apoio'!$D:$E,2,FALSE),1)=1,"",R283)</f>
        <v>25.335714217308539</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198"/>
      <c r="F283" s="93"/>
      <c r="G283" s="200"/>
      <c r="H283" s="134">
        <f t="shared" ref="H283" si="811">COUNT($P283:$XX283)</f>
        <v>1</v>
      </c>
      <c r="I283" s="132">
        <f t="shared" ref="I283" si="812">_xlfn.STDEV.P($P282:$XX283)/AVERAGE($P282:$XX283)</f>
        <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DESCARTADO</v>
      </c>
      <c r="Q283" s="107" t="str">
        <f t="shared" si="815"/>
        <v>DESCARTADO</v>
      </c>
      <c r="R283" s="107">
        <f t="shared" si="815"/>
        <v>25.335714217308539</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198"/>
      <c r="F284" s="93"/>
      <c r="G284" s="200"/>
      <c r="H284"/>
      <c r="I284"/>
      <c r="J284"/>
      <c r="K284" s="66"/>
      <c r="L284" s="22"/>
      <c r="M284" s="22"/>
      <c r="N284" s="71"/>
      <c r="O284" s="27" t="str">
        <f t="shared" ref="O284" si="816">"6 POND"</f>
        <v>6 POND</v>
      </c>
      <c r="P284" s="107" t="str">
        <f>IF(IFERROR(VLOOKUP(P269,'Tabela de Apoio'!$D:$E,2,FALSE),1)=1,"",P285)</f>
        <v>DESCARTADO</v>
      </c>
      <c r="Q284" s="107" t="str">
        <f>IF(IFERROR(VLOOKUP(Q269,'Tabela de Apoio'!$D:$E,2,FALSE),1)=1,"",Q285)</f>
        <v>DESCARTADO</v>
      </c>
      <c r="R284" s="107">
        <f>IF(IFERROR(VLOOKUP(R269,'Tabela de Apoio'!$D:$E,2,FALSE),1)=1,"",R285)</f>
        <v>25.335714217308539</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198"/>
      <c r="F285" s="93"/>
      <c r="G285" s="200"/>
      <c r="H285" s="134">
        <f t="shared" ref="H285" si="817">COUNT($P285:$XX285)</f>
        <v>1</v>
      </c>
      <c r="I285" s="132">
        <f t="shared" ref="I285" si="818">_xlfn.STDEV.P($P284:$XX285)/AVERAGE($P284:$XX285)</f>
        <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DESCARTADO</v>
      </c>
      <c r="Q285" s="107" t="str">
        <f t="shared" si="821"/>
        <v>DESCARTADO</v>
      </c>
      <c r="R285" s="107">
        <f t="shared" si="821"/>
        <v>25.335714217308539</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198"/>
      <c r="F286" s="136"/>
      <c r="G286" s="200"/>
      <c r="H286" s="203" t="s">
        <v>465</v>
      </c>
      <c r="I286" s="203"/>
      <c r="J286" s="204"/>
      <c r="K286" s="67"/>
      <c r="L286" s="1" t="s">
        <v>43</v>
      </c>
      <c r="M286" s="143">
        <f t="shared" ref="M286" si="822">IFERROR(ROUND(M267*M269,2),"")</f>
        <v>2534</v>
      </c>
      <c r="O286" s="27" t="s">
        <v>363</v>
      </c>
      <c r="P286" s="107">
        <f t="shared" ref="P286:R286" si="823">INDEX(P273:P285,MATCH(MAX($J273:$J285),$J273:$J285,0))</f>
        <v>71.578300458309755</v>
      </c>
      <c r="Q286" s="107">
        <f t="shared" si="823"/>
        <v>6.10917508876277</v>
      </c>
      <c r="R286" s="107">
        <f t="shared" si="823"/>
        <v>25.335714217308539</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1101658</v>
      </c>
      <c r="I288" s="181" t="s">
        <v>16</v>
      </c>
      <c r="J288" s="6">
        <f>INDEX('BASE FORMAÇÃO'!K:K,B288+1)</f>
        <v>0</v>
      </c>
      <c r="K288" s="65"/>
      <c r="L288" s="182" t="s">
        <v>10</v>
      </c>
      <c r="M288" s="184">
        <f t="shared" ref="M288" si="826">IF(OR(ISBLANK($O$8),ISBLANK($O$7),ISBLANK($H$8),ISBLANK($O$6),ISBLANK($O$5),ISBLANK($H$5)),"",IFERROR(IF(VLOOKUP(L288,L294:M303,2,FALSE)&lt;1,ROUND(VLOOKUP(L288,L294:M303,2,FALSE),4),ROUND(VLOOKUP(L288,L294:M303,2,FALSE),2)),""))</f>
        <v>80.650000000000006</v>
      </c>
      <c r="N288" s="69"/>
      <c r="O288" s="27" t="s">
        <v>17</v>
      </c>
      <c r="P288" s="113">
        <v>80</v>
      </c>
      <c r="Q288" s="113">
        <v>25.01</v>
      </c>
      <c r="R288" s="113">
        <v>93</v>
      </c>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6">
        <f t="shared" ref="E289" si="828">D288</f>
        <v>14</v>
      </c>
      <c r="F289" s="92"/>
      <c r="G289" s="188" t="s">
        <v>1</v>
      </c>
      <c r="H289" s="191" t="str">
        <f>INDEX('BASE FORMAÇÃO'!C:C,B288+1)</f>
        <v>FENILEFRINA 2,5% + TROPICAMIDA 0,5%, 5 ML, COLÍRIO, FRASCO</v>
      </c>
      <c r="I289" s="191"/>
      <c r="J289" s="192"/>
      <c r="K289" s="66"/>
      <c r="L289" s="183"/>
      <c r="M289" s="185"/>
      <c r="N289" s="70"/>
      <c r="O289" s="27" t="s">
        <v>13</v>
      </c>
      <c r="P289" s="122">
        <v>46149</v>
      </c>
      <c r="Q289" s="122">
        <v>46048</v>
      </c>
      <c r="R289" s="122">
        <v>45973</v>
      </c>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7"/>
      <c r="F290" s="93"/>
      <c r="G290" s="189"/>
      <c r="H290" s="193"/>
      <c r="I290" s="193"/>
      <c r="J290" s="194"/>
      <c r="K290" s="64"/>
      <c r="L290" s="130" t="s">
        <v>44</v>
      </c>
      <c r="M290" s="131">
        <v>15</v>
      </c>
      <c r="N290" s="71"/>
      <c r="O290" s="27" t="s">
        <v>380</v>
      </c>
      <c r="P290" s="114" t="s">
        <v>12</v>
      </c>
      <c r="Q290" s="114" t="s">
        <v>12</v>
      </c>
      <c r="R290" s="114" t="s">
        <v>12</v>
      </c>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0"/>
      <c r="H291" s="195"/>
      <c r="I291" s="195"/>
      <c r="J291" s="196"/>
      <c r="K291" s="64"/>
      <c r="L291" s="1" t="s">
        <v>2</v>
      </c>
      <c r="M291" s="6" t="str">
        <f>INDEX('BASE FORMAÇÃO'!D:D,B292+1)</f>
        <v>FR</v>
      </c>
      <c r="N291" s="71"/>
      <c r="O291" s="27" t="s">
        <v>381</v>
      </c>
      <c r="P291" s="115" t="s">
        <v>10</v>
      </c>
      <c r="Q291" s="115" t="s">
        <v>10</v>
      </c>
      <c r="R291" s="115" t="s">
        <v>10</v>
      </c>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197">
        <f t="shared" ref="E292" si="832">C288</f>
        <v>1</v>
      </c>
      <c r="F292" s="93"/>
      <c r="G292" s="199" t="s">
        <v>304</v>
      </c>
      <c r="H292" s="201"/>
      <c r="I292" s="202"/>
      <c r="J292" s="202"/>
      <c r="K292" s="67"/>
      <c r="L292" s="28" t="s">
        <v>303</v>
      </c>
      <c r="M292" s="133">
        <f t="shared" ref="M292" si="833">IFERROR(INDEX(I294:I306,MATCH(MAX(J294:J306),J294:J306,0)),"")</f>
        <v>0.44761028178678514</v>
      </c>
      <c r="N292" s="71"/>
      <c r="O292" s="27" t="s">
        <v>18</v>
      </c>
      <c r="P292" s="106">
        <f>IF(P288="","",
IF(OR(P290="Orçamento",P289="",MAX('Tabela de Apoio'!$A:$A)&lt;=P289),
P288,
(INDEX('Tabela de Apoio'!$B:$B,MATCH('MAPA DE PREÇOS'!$O$8,'Tabela de Apoio'!$A:$A,1))/INDEX('Tabela de Apoio'!$B:$B,MATCH('MAPA DE PREÇOS'!P289,'Tabela de Apoio'!$A:$A,1)-1))*P288))</f>
        <v>80.649176089277503</v>
      </c>
      <c r="Q292" s="106">
        <f>IF(Q288="","",
IF(OR(Q290="Orçamento",Q289="",MAX('Tabela de Apoio'!$A:$A)&lt;=Q289),
Q288,
(INDEX('Tabela de Apoio'!$B:$B,MATCH('MAPA DE PREÇOS'!$O$8,'Tabela de Apoio'!$A:$A,1))/INDEX('Tabela de Apoio'!$B:$B,MATCH('MAPA DE PREÇOS'!Q289,'Tabela de Apoio'!$A:$A,1)-1))*Q288))</f>
        <v>25.869556278357326</v>
      </c>
      <c r="R292" s="106">
        <f>IF(R288="","",
IF(OR(R290="Orçamento",R289="",MAX('Tabela de Apoio'!$A:$A)&lt;=R289),
R288,
(INDEX('Tabela de Apoio'!$B:$B,MATCH('MAPA DE PREÇOS'!$O$8,'Tabela de Apoio'!$A:$A,1))/INDEX('Tabela de Apoio'!$B:$B,MATCH('MAPA DE PREÇOS'!R289,'Tabela de Apoio'!$A:$A,1)-1))*R288))</f>
        <v>96.687459949386891</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198"/>
      <c r="F293" s="93"/>
      <c r="G293" s="200"/>
      <c r="H293"/>
      <c r="I293"/>
      <c r="J293"/>
      <c r="N293" s="71"/>
      <c r="O293" s="27" t="s">
        <v>375</v>
      </c>
      <c r="P293" s="107">
        <f>IF(IFERROR(VLOOKUP(P290,'Tabela de Apoio'!$D:$E,2,FALSE),1)=1,"",P294)</f>
        <v>80.649176089277503</v>
      </c>
      <c r="Q293" s="107">
        <f>IF(IFERROR(VLOOKUP(Q290,'Tabela de Apoio'!$D:$E,2,FALSE),1)=1,"",Q294)</f>
        <v>25.869556278357326</v>
      </c>
      <c r="R293" s="107">
        <f>IF(IFERROR(VLOOKUP(R290,'Tabela de Apoio'!$D:$E,2,FALSE),1)=1,"",R294)</f>
        <v>96.687459949386891</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198"/>
      <c r="F294" s="93"/>
      <c r="G294" s="200"/>
      <c r="H294" s="134">
        <f t="shared" ref="H294" si="837">COUNT($P294:$XX294)</f>
        <v>3</v>
      </c>
      <c r="I294" s="132">
        <f t="shared" ref="I294" si="838">_xlfn.STDEV.P($P293:$XX294)/AVERAGE($P293:$XX294)</f>
        <v>0.44761028178678514</v>
      </c>
      <c r="J294" s="7">
        <f>ROW()</f>
        <v>294</v>
      </c>
      <c r="K294" s="67"/>
      <c r="L294" s="29" t="s">
        <v>10</v>
      </c>
      <c r="M294" s="30">
        <f t="shared" ref="M294" si="839">IFERROR(
IF(COUNTA(P288:AI288)=COUNTIF(P290:XX290,"Orçamento"),MIN(M299,M296),
IF(M297&lt;&gt;"",M297,
IF(M298&lt;&gt;"",M298,
M296
))),"")</f>
        <v>80.649176089277503</v>
      </c>
      <c r="N294" s="71"/>
      <c r="O294" s="27" t="s">
        <v>376</v>
      </c>
      <c r="P294" s="106">
        <f t="shared" ref="P294:AI294" si="840">IFERROR(IF(P292="",
            "",
            IF(COUNT($P292:$XX292)&lt;=4,
               P292,
               IF(OR(P292&gt;(QUARTILE($P292:$XX292,3)+(QUARTILE($P292:$XX292,3)-QUARTILE($P292:$XX292,1))),
                     P292&lt;(QUARTILE($P292:$XX292,1)-(QUARTILE($P292:$XX292,3)-QUARTILE($P292:$XX292,1)))
                  ),
               "DESCARTADO",P292)
             )
  ),P292)</f>
        <v>80.649176089277503</v>
      </c>
      <c r="Q294" s="106">
        <f t="shared" si="840"/>
        <v>25.869556278357326</v>
      </c>
      <c r="R294" s="106">
        <f t="shared" si="840"/>
        <v>96.687459949386891</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198"/>
      <c r="F295" s="93"/>
      <c r="G295" s="200"/>
      <c r="H295"/>
      <c r="I295"/>
      <c r="J295"/>
      <c r="K295" s="66"/>
      <c r="L295" s="29" t="s">
        <v>360</v>
      </c>
      <c r="M295" s="30">
        <f t="shared" ref="M295" si="843">AVERAGE($P294:$XX294)</f>
        <v>67.73539743900723</v>
      </c>
      <c r="N295" s="71"/>
      <c r="O295" s="27" t="str">
        <f t="shared" ref="O295" si="844">"1 POND"</f>
        <v>1 POND</v>
      </c>
      <c r="P295" s="107">
        <f>IF(IFERROR(VLOOKUP(P290,'Tabela de Apoio'!$D:$E,2,FALSE),1)=1,"",P296)</f>
        <v>80.649176089277503</v>
      </c>
      <c r="Q295" s="107" t="str">
        <f>IF(IFERROR(VLOOKUP(Q290,'Tabela de Apoio'!$D:$E,2,FALSE),1)=1,"",Q296)</f>
        <v>DESCARTADO</v>
      </c>
      <c r="R295" s="107">
        <f>IF(IFERROR(VLOOKUP(R290,'Tabela de Apoio'!$D:$E,2,FALSE),1)=1,"",R296)</f>
        <v>96.687459949386891</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198"/>
      <c r="F296" s="93"/>
      <c r="G296" s="200"/>
      <c r="H296" s="134">
        <f t="shared" ref="H296" si="845">COUNT($P296:$XX296)</f>
        <v>2</v>
      </c>
      <c r="I296" s="132">
        <f t="shared" ref="I296" si="846">_xlfn.STDEV.P($P295:$XX296)/AVERAGE($P295:$XX296)</f>
        <v>9.0439765963602634E-2</v>
      </c>
      <c r="J296" s="7">
        <f t="shared" ref="J296" si="847">IF(AND(H296&gt;2,
OR(L288="MÉDIA SANEADA",L288="MEDIANA SANEADA",
AND(L288="PREÇO ESTIMADO",NOT(AND(P290="Orçamento",COUNTA(P288:XX288)=COUNTIF(P290:XX290,"Orçamento")))))),
ROW(),0)</f>
        <v>0</v>
      </c>
      <c r="K296" s="66"/>
      <c r="L296" s="29" t="s">
        <v>361</v>
      </c>
      <c r="M296" s="30">
        <f t="shared" ref="M296" si="848">MEDIAN($P294:$XX294)</f>
        <v>80.649176089277503</v>
      </c>
      <c r="N296" s="71"/>
      <c r="O296" s="27" t="str">
        <f t="shared" ref="O296" si="849">"1 RODADA"</f>
        <v>1 RODADA</v>
      </c>
      <c r="P296" s="107">
        <f t="shared" ref="P296:AI296" si="850">IF(P294="","",IF((_xlfn.STDEV.P($P293:$XX294)/AVERAGE($P293:$XX294))&lt;=25%,P294,IF(OR(P294&gt;(AVERAGE($P293:$XX294)+_xlfn.STDEV.P($P293:$XX294)),P294&lt;(AVERAGE($P293:$XX294)-_xlfn.STDEV.P($P293:$XX294))),"DESCARTADO",P294)))</f>
        <v>80.649176089277503</v>
      </c>
      <c r="Q296" s="107" t="str">
        <f t="shared" si="850"/>
        <v>DESCARTADO</v>
      </c>
      <c r="R296" s="107">
        <f t="shared" si="850"/>
        <v>96.687459949386891</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f>IF(IFERROR(VLOOKUP(P290,'Tabela de Apoio'!$D:$E,2,FALSE),1)=1,"",P298)</f>
        <v>80.649176089277503</v>
      </c>
      <c r="Q297" s="107" t="str">
        <f>IF(IFERROR(VLOOKUP(Q290,'Tabela de Apoio'!$D:$E,2,FALSE),1)=1,"",Q298)</f>
        <v>DESCARTADO</v>
      </c>
      <c r="R297" s="107">
        <f>IF(IFERROR(VLOOKUP(R290,'Tabela de Apoio'!$D:$E,2,FALSE),1)=1,"",R298)</f>
        <v>96.687459949386891</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198"/>
      <c r="F298" s="93"/>
      <c r="G298" s="200"/>
      <c r="H298" s="134">
        <f t="shared" ref="H298" si="853">COUNT($P298:$XX298)</f>
        <v>2</v>
      </c>
      <c r="I298" s="132">
        <f t="shared" ref="I298" si="854">_xlfn.STDEV.P($P297:$XX298)/AVERAGE($P297:$XX298)</f>
        <v>9.0439765963602634E-2</v>
      </c>
      <c r="J298" s="7">
        <f t="shared" ref="J298" si="855">IF(AND(H298&gt;2,
OR(L288="MÉDIA SANEADA",L288="MEDIANA SANEADA",
AND(L288="PREÇO ESTIMADO",NOT(AND(P290="Orçamento",COUNTA(P288:XX288)=COUNTIF(P290:XX290,"Orçamento")))))),
ROW(),0)</f>
        <v>0</v>
      </c>
      <c r="K298" s="66"/>
      <c r="L298" s="29" t="s">
        <v>362</v>
      </c>
      <c r="M298" s="30">
        <f t="shared" ref="M298" si="856" xml:space="preserve">
IF(H296&gt;2,MEDIAN(P295:XX296),
IF(H298&gt;2,MEDIAN(P297:XX298),
IF(H300&gt;2,MEDIAN(P299:XX300),
IF(H302&gt;2,MEDIAN(P301:XX302),
IF(H304&gt;2,MEDIAN(P303:XX304),
IF(H306&gt;2,MEDIAN(P305:XX306),
MEDIAN(P293:XX294)))))))</f>
        <v>80.649176089277503</v>
      </c>
      <c r="N298" s="71"/>
      <c r="O298" s="27" t="str">
        <f t="shared" ref="O298" si="857">"2 RODADA"</f>
        <v>2 RODADA</v>
      </c>
      <c r="P298" s="107">
        <f t="shared" ref="P298:AI298" si="858">IF(P296="","",IF((_xlfn.STDEV.P($P295:$XX296)/AVERAGE($P295:$XX296))&lt;=25%,P296,IF(OR(P296&gt;(AVERAGE($P295:$XX296)+_xlfn.STDEV.P($P295:$XX296)),P296&lt;(AVERAGE($P295:$XX296)-_xlfn.STDEV.P($P295:$XX296))),"DESCARTADO",P296)))</f>
        <v>80.649176089277503</v>
      </c>
      <c r="Q298" s="107" t="str">
        <f t="shared" si="858"/>
        <v>DESCARTADO</v>
      </c>
      <c r="R298" s="107">
        <f t="shared" si="858"/>
        <v>96.687459949386891</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198"/>
      <c r="F299" s="93"/>
      <c r="G299" s="200"/>
      <c r="H299"/>
      <c r="I299"/>
      <c r="J299"/>
      <c r="K299" s="66"/>
      <c r="L299" s="29" t="s">
        <v>359</v>
      </c>
      <c r="M299" s="30">
        <f t="shared" ref="M299" si="859">HARMEAN($P293:$XX294)</f>
        <v>48.861955287863395</v>
      </c>
      <c r="N299" s="71"/>
      <c r="O299" s="27" t="str">
        <f t="shared" ref="O299" si="860">"3 POND"</f>
        <v>3 POND</v>
      </c>
      <c r="P299" s="107">
        <f>IF(IFERROR(VLOOKUP(P290,'Tabela de Apoio'!$D:$E,2,FALSE),1)=1,"",P300)</f>
        <v>80.649176089277503</v>
      </c>
      <c r="Q299" s="107" t="str">
        <f>IF(IFERROR(VLOOKUP(Q290,'Tabela de Apoio'!$D:$E,2,FALSE),1)=1,"",Q300)</f>
        <v>DESCARTADO</v>
      </c>
      <c r="R299" s="107">
        <f>IF(IFERROR(VLOOKUP(R290,'Tabela de Apoio'!$D:$E,2,FALSE),1)=1,"",R300)</f>
        <v>96.687459949386891</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198"/>
      <c r="F300" s="93"/>
      <c r="G300" s="200"/>
      <c r="H300" s="134">
        <f t="shared" ref="H300" si="861">COUNT($P300:$XX300)</f>
        <v>2</v>
      </c>
      <c r="I300" s="132">
        <f t="shared" ref="I300" si="862">_xlfn.STDEV.P($P299:$XX300)/AVERAGE($P299:$XX300)</f>
        <v>9.0439765963602634E-2</v>
      </c>
      <c r="J300" s="7">
        <f t="shared" ref="J300" si="863">IF(AND(H300&gt;2,
OR(L288="MÉDIA SANEADA",L288="MEDIANA SANEADA",
AND(L288="PREÇO ESTIMADO",NOT(AND(P290="Orçamento",COUNTA(P288:XX288)=COUNTIF(P290:XX290,"Orçamento")))))),
ROW(),0)</f>
        <v>0</v>
      </c>
      <c r="K300" s="66"/>
      <c r="L300" s="29" t="s">
        <v>41</v>
      </c>
      <c r="M300" s="30">
        <f t="shared" ref="M300" si="864">IFERROR(_xlfn.QUARTILE.EXC($P294:$XX294,1),"")</f>
        <v>25.869556278357326</v>
      </c>
      <c r="N300" s="71"/>
      <c r="O300" s="27" t="str">
        <f t="shared" ref="O300" si="865">"3 RODADA"</f>
        <v>3 RODADA</v>
      </c>
      <c r="P300" s="107">
        <f t="shared" ref="P300:AI300" si="866">IF(P298="","",IF((_xlfn.STDEV.P($P297:$XX298)/AVERAGE($P297:$XX298))&lt;=25%,P298,IF(OR(P298&gt;(AVERAGE($P297:$XX298)+_xlfn.STDEV.P($P297:$XX298)),P298&lt;(AVERAGE($P297:$XX298)-_xlfn.STDEV.P($P297:$XX298))),"DESCARTADO",P298)))</f>
        <v>80.649176089277503</v>
      </c>
      <c r="Q300" s="107" t="str">
        <f t="shared" si="866"/>
        <v>DESCARTADO</v>
      </c>
      <c r="R300" s="107">
        <f t="shared" si="866"/>
        <v>96.687459949386891</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198"/>
      <c r="F301" s="93"/>
      <c r="G301" s="200"/>
      <c r="H301"/>
      <c r="I301"/>
      <c r="J301"/>
      <c r="K301" s="66"/>
      <c r="L301" s="29" t="s">
        <v>39</v>
      </c>
      <c r="M301" s="30">
        <f t="shared" ref="M301" si="867">IFERROR(_xlfn.QUARTILE.EXC($P294:$XX294,3),"")</f>
        <v>96.687459949386891</v>
      </c>
      <c r="N301" s="71"/>
      <c r="O301" s="27" t="str">
        <f t="shared" ref="O301" si="868">"4 POND"</f>
        <v>4 POND</v>
      </c>
      <c r="P301" s="107">
        <f>IF(IFERROR(VLOOKUP(P290,'Tabela de Apoio'!$D:$E,2,FALSE),1)=1,"",P302)</f>
        <v>80.649176089277503</v>
      </c>
      <c r="Q301" s="107" t="str">
        <f>IF(IFERROR(VLOOKUP(Q290,'Tabela de Apoio'!$D:$E,2,FALSE),1)=1,"",Q302)</f>
        <v>DESCARTADO</v>
      </c>
      <c r="R301" s="107">
        <f>IF(IFERROR(VLOOKUP(R290,'Tabela de Apoio'!$D:$E,2,FALSE),1)=1,"",R302)</f>
        <v>96.687459949386891</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198"/>
      <c r="F302" s="93"/>
      <c r="G302" s="200"/>
      <c r="H302" s="134">
        <f t="shared" ref="H302" si="869">COUNT($P302:$XX302)</f>
        <v>2</v>
      </c>
      <c r="I302" s="132">
        <f t="shared" ref="I302" si="870">_xlfn.STDEV.P($P301:$XX302)/AVERAGE($P301:$XX302)</f>
        <v>9.0439765963602634E-2</v>
      </c>
      <c r="J302" s="7">
        <f t="shared" ref="J302" si="871">IF(AND(H302&gt;2,
OR(L288="MÉDIA SANEADA",L288="MEDIANA SANEADA",
AND(L288="PREÇO ESTIMADO",NOT(AND(P290="Orçamento",COUNTA(P288:XX288)=COUNTIF(P290:XX290,"Orçamento")))))),
ROW(),0)</f>
        <v>0</v>
      </c>
      <c r="K302" s="66"/>
      <c r="L302" s="29" t="s">
        <v>42</v>
      </c>
      <c r="M302" s="30">
        <f t="shared" ref="M302" si="872">MIN($P294:$XX294)</f>
        <v>25.869556278357326</v>
      </c>
      <c r="N302" s="71"/>
      <c r="O302" s="27" t="str">
        <f t="shared" ref="O302" si="873">"4 RODADA"</f>
        <v>4 RODADA</v>
      </c>
      <c r="P302" s="107">
        <f t="shared" ref="P302:AI302" si="874">IF(P300="","",IF((_xlfn.STDEV.P($P299:$XX300)/AVERAGE($P299:$XX300))&lt;=25%,P300,IF(OR(P300&gt;(AVERAGE($P299:$XX300)+_xlfn.STDEV.P($P299:$XX300)),P300&lt;(AVERAGE($P299:$XX300)-_xlfn.STDEV.P($P299:$XX300))),"DESCARTADO",P300)))</f>
        <v>80.649176089277503</v>
      </c>
      <c r="Q302" s="107" t="str">
        <f t="shared" si="874"/>
        <v>DESCARTADO</v>
      </c>
      <c r="R302" s="107">
        <f t="shared" si="874"/>
        <v>96.687459949386891</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198"/>
      <c r="F303" s="93"/>
      <c r="G303" s="200"/>
      <c r="H303"/>
      <c r="I303"/>
      <c r="J303"/>
      <c r="K303" s="66"/>
      <c r="L303" s="29" t="s">
        <v>40</v>
      </c>
      <c r="M303" s="30">
        <f t="shared" ref="M303" si="875">MAX($P294:$XX294)</f>
        <v>96.687459949386891</v>
      </c>
      <c r="N303" s="71"/>
      <c r="O303" s="27" t="str">
        <f t="shared" ref="O303" si="876">"5 POND"</f>
        <v>5 POND</v>
      </c>
      <c r="P303" s="107">
        <f>IF(IFERROR(VLOOKUP(P290,'Tabela de Apoio'!$D:$E,2,FALSE),1)=1,"",P304)</f>
        <v>80.649176089277503</v>
      </c>
      <c r="Q303" s="107" t="str">
        <f>IF(IFERROR(VLOOKUP(Q290,'Tabela de Apoio'!$D:$E,2,FALSE),1)=1,"",Q304)</f>
        <v>DESCARTADO</v>
      </c>
      <c r="R303" s="107">
        <f>IF(IFERROR(VLOOKUP(R290,'Tabela de Apoio'!$D:$E,2,FALSE),1)=1,"",R304)</f>
        <v>96.687459949386891</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198"/>
      <c r="F304" s="93"/>
      <c r="G304" s="200"/>
      <c r="H304" s="134">
        <f t="shared" ref="H304" si="877">COUNT($P304:$XX304)</f>
        <v>2</v>
      </c>
      <c r="I304" s="132">
        <f t="shared" ref="I304" si="878">_xlfn.STDEV.P($P303:$XX304)/AVERAGE($P303:$XX304)</f>
        <v>9.0439765963602634E-2</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80.649176089277503</v>
      </c>
      <c r="Q304" s="107" t="str">
        <f t="shared" si="881"/>
        <v>DESCARTADO</v>
      </c>
      <c r="R304" s="107">
        <f t="shared" si="881"/>
        <v>96.687459949386891</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198"/>
      <c r="F305" s="93"/>
      <c r="G305" s="200"/>
      <c r="H305"/>
      <c r="I305"/>
      <c r="J305"/>
      <c r="K305" s="66"/>
      <c r="L305" s="22"/>
      <c r="M305" s="22"/>
      <c r="N305" s="71"/>
      <c r="O305" s="27" t="str">
        <f t="shared" ref="O305" si="882">"6 POND"</f>
        <v>6 POND</v>
      </c>
      <c r="P305" s="107">
        <f>IF(IFERROR(VLOOKUP(P290,'Tabela de Apoio'!$D:$E,2,FALSE),1)=1,"",P306)</f>
        <v>80.649176089277503</v>
      </c>
      <c r="Q305" s="107" t="str">
        <f>IF(IFERROR(VLOOKUP(Q290,'Tabela de Apoio'!$D:$E,2,FALSE),1)=1,"",Q306)</f>
        <v>DESCARTADO</v>
      </c>
      <c r="R305" s="107">
        <f>IF(IFERROR(VLOOKUP(R290,'Tabela de Apoio'!$D:$E,2,FALSE),1)=1,"",R306)</f>
        <v>96.687459949386891</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198"/>
      <c r="F306" s="93"/>
      <c r="G306" s="200"/>
      <c r="H306" s="134">
        <f t="shared" ref="H306" si="883">COUNT($P306:$XX306)</f>
        <v>2</v>
      </c>
      <c r="I306" s="132">
        <f t="shared" ref="I306" si="884">_xlfn.STDEV.P($P305:$XX306)/AVERAGE($P305:$XX306)</f>
        <v>9.0439765963602634E-2</v>
      </c>
      <c r="J306" s="7">
        <f t="shared" ref="J306" si="885">IF(AND(H306&gt;2,
OR(L288="MÉDIA SANEADA",L288="MEDIANA SANEADA",
AND(L288="PREÇO ESTIMADO",NOT(AND(P290="Orçamento",COUNTA(P288:XX288)=COUNTIF(P290:XX290,"Orçamento")))))),
ROW(),0)</f>
        <v>0</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80.649176089277503</v>
      </c>
      <c r="Q306" s="107" t="str">
        <f t="shared" si="887"/>
        <v>DESCARTADO</v>
      </c>
      <c r="R306" s="107">
        <f t="shared" si="887"/>
        <v>96.687459949386891</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198"/>
      <c r="F307" s="136"/>
      <c r="G307" s="200"/>
      <c r="H307" s="203"/>
      <c r="I307" s="203"/>
      <c r="J307" s="204"/>
      <c r="K307" s="67"/>
      <c r="L307" s="1" t="s">
        <v>43</v>
      </c>
      <c r="M307" s="143">
        <f t="shared" ref="M307" si="888">IFERROR(ROUND(M288*M290,2),"")</f>
        <v>1209.75</v>
      </c>
      <c r="O307" s="27" t="s">
        <v>363</v>
      </c>
      <c r="P307" s="107">
        <f t="shared" ref="P307:AI328" si="889">INDEX(P294:P306,MATCH(MAX($J294:$J306),$J294:$J306,0))</f>
        <v>80.649176089277503</v>
      </c>
      <c r="Q307" s="107">
        <f t="shared" si="889"/>
        <v>25.869556278357326</v>
      </c>
      <c r="R307" s="107">
        <f t="shared" si="889"/>
        <v>96.687459949386891</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1079672</v>
      </c>
      <c r="I309" s="181" t="s">
        <v>16</v>
      </c>
      <c r="J309" s="6">
        <f>INDEX('BASE FORMAÇÃO'!K:K,B309+1)</f>
        <v>0</v>
      </c>
      <c r="K309" s="65"/>
      <c r="L309" s="182" t="s">
        <v>10</v>
      </c>
      <c r="M309" s="184">
        <f t="shared" ref="M309" si="892">IF(OR(ISBLANK($O$8),ISBLANK($O$7),ISBLANK($H$8),ISBLANK($O$6),ISBLANK($O$5),ISBLANK($H$5)),"",IFERROR(IF(VLOOKUP(L309,L315:M324,2,FALSE)&lt;1,ROUND(VLOOKUP(L309,L315:M324,2,FALSE),4),ROUND(VLOOKUP(L309,L315:M324,2,FALSE),2)),""))</f>
        <v>62.44</v>
      </c>
      <c r="N309" s="69"/>
      <c r="O309" s="27" t="s">
        <v>17</v>
      </c>
      <c r="P309" s="113">
        <v>60</v>
      </c>
      <c r="Q309" s="113">
        <v>39</v>
      </c>
      <c r="R309" s="113">
        <v>41.7</v>
      </c>
      <c r="S309" s="113">
        <v>70</v>
      </c>
      <c r="T309" s="113">
        <v>83.28</v>
      </c>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6">
        <f t="shared" ref="E310" si="894">D309</f>
        <v>15</v>
      </c>
      <c r="F310" s="92"/>
      <c r="G310" s="188" t="s">
        <v>1</v>
      </c>
      <c r="H310" s="191" t="str">
        <f>INDEX('BASE FORMAÇÃO'!C:C,B309+1)</f>
        <v>ALPROSTADIL 20MCG/ML, AMPOLA, 1ML</v>
      </c>
      <c r="I310" s="191"/>
      <c r="J310" s="192"/>
      <c r="K310" s="66"/>
      <c r="L310" s="183"/>
      <c r="M310" s="185"/>
      <c r="N310" s="70"/>
      <c r="O310" s="27" t="s">
        <v>13</v>
      </c>
      <c r="P310" s="122">
        <v>45944</v>
      </c>
      <c r="Q310" s="122">
        <v>46161</v>
      </c>
      <c r="R310" s="122">
        <v>45992</v>
      </c>
      <c r="S310" s="122">
        <v>45940</v>
      </c>
      <c r="T310" s="122">
        <v>46161</v>
      </c>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7"/>
      <c r="F311" s="93"/>
      <c r="G311" s="189"/>
      <c r="H311" s="193"/>
      <c r="I311" s="193"/>
      <c r="J311" s="194"/>
      <c r="K311" s="64"/>
      <c r="L311" s="130" t="s">
        <v>44</v>
      </c>
      <c r="M311" s="131">
        <v>200</v>
      </c>
      <c r="N311" s="71"/>
      <c r="O311" s="27" t="s">
        <v>380</v>
      </c>
      <c r="P311" s="114" t="s">
        <v>12</v>
      </c>
      <c r="Q311" s="114" t="s">
        <v>12</v>
      </c>
      <c r="R311" s="114" t="s">
        <v>12</v>
      </c>
      <c r="S311" s="114" t="s">
        <v>12</v>
      </c>
      <c r="T311" s="114" t="s">
        <v>12</v>
      </c>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0"/>
      <c r="H312" s="195"/>
      <c r="I312" s="195"/>
      <c r="J312" s="196"/>
      <c r="K312" s="64"/>
      <c r="L312" s="1" t="s">
        <v>2</v>
      </c>
      <c r="M312" s="6" t="str">
        <f>INDEX('BASE FORMAÇÃO'!D:D,B313+1)</f>
        <v>AM</v>
      </c>
      <c r="N312" s="71"/>
      <c r="O312" s="27" t="s">
        <v>381</v>
      </c>
      <c r="P312" s="115" t="s">
        <v>467</v>
      </c>
      <c r="Q312" s="115" t="s">
        <v>10</v>
      </c>
      <c r="R312" s="115" t="s">
        <v>10</v>
      </c>
      <c r="S312" s="115" t="s">
        <v>468</v>
      </c>
      <c r="T312" s="115" t="s">
        <v>468</v>
      </c>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197">
        <f t="shared" ref="E313" si="898">C309</f>
        <v>1</v>
      </c>
      <c r="F313" s="93"/>
      <c r="G313" s="199" t="s">
        <v>304</v>
      </c>
      <c r="H313" s="201"/>
      <c r="I313" s="202"/>
      <c r="J313" s="202"/>
      <c r="K313" s="67"/>
      <c r="L313" s="28" t="s">
        <v>303</v>
      </c>
      <c r="M313" s="133">
        <f t="shared" ref="M313" si="899">IFERROR(INDEX(I315:I327,MATCH(MAX(J315:J327),J315:J327,0)),"")</f>
        <v>0.28225897224625984</v>
      </c>
      <c r="N313" s="71"/>
      <c r="O313" s="27" t="s">
        <v>18</v>
      </c>
      <c r="P313" s="106">
        <f>IF(P309="","",
IF(OR(P311="Orçamento",P310="",MAX('Tabela de Apoio'!$A:$A)&lt;=P310),
P309,
(INDEX('Tabela de Apoio'!$B:$B,MATCH('MAPA DE PREÇOS'!$O$8,'Tabela de Apoio'!$A:$A,1))/INDEX('Tabela de Apoio'!$B:$B,MATCH('MAPA DE PREÇOS'!P310,'Tabela de Apoio'!$A:$A,1)-1))*P309))</f>
        <v>62.435120789883484</v>
      </c>
      <c r="Q313" s="106">
        <f>IF(Q309="","",
IF(OR(Q311="Orçamento",Q310="",MAX('Tabela de Apoio'!$A:$A)&lt;=Q310),
Q309,
(INDEX('Tabela de Apoio'!$B:$B,MATCH('MAPA DE PREÇOS'!$O$8,'Tabela de Apoio'!$A:$A,1))/INDEX('Tabela de Apoio'!$B:$B,MATCH('MAPA DE PREÇOS'!Q310,'Tabela de Apoio'!$A:$A,1)-1))*Q309))</f>
        <v>39.31647334352278</v>
      </c>
      <c r="R313" s="106">
        <f>IF(R309="","",
IF(OR(R311="Orçamento",R310="",MAX('Tabela de Apoio'!$A:$A)&lt;=R310),
R309,
(INDEX('Tabela de Apoio'!$B:$B,MATCH('MAPA DE PREÇOS'!$O$8,'Tabela de Apoio'!$A:$A,1))/INDEX('Tabela de Apoio'!$B:$B,MATCH('MAPA DE PREÇOS'!R310,'Tabela de Apoio'!$A:$A,1)-1))*R309))</f>
        <v>43.275503121044494</v>
      </c>
      <c r="S313" s="106">
        <f>IF(S309="","",
IF(OR(S311="Orçamento",S310="",MAX('Tabela de Apoio'!$A:$A)&lt;=S310),
S309,
(INDEX('Tabela de Apoio'!$B:$B,MATCH('MAPA DE PREÇOS'!$O$8,'Tabela de Apoio'!$A:$A,1))/INDEX('Tabela de Apoio'!$B:$B,MATCH('MAPA DE PREÇOS'!S310,'Tabela de Apoio'!$A:$A,1)-1))*S309))</f>
        <v>72.840974254864065</v>
      </c>
      <c r="T313" s="106">
        <f>IF(T309="","",
IF(OR(T311="Orçamento",T310="",MAX('Tabela de Apoio'!$A:$A)&lt;=T310),
T309,
(INDEX('Tabela de Apoio'!$B:$B,MATCH('MAPA DE PREÇOS'!$O$8,'Tabela de Apoio'!$A:$A,1))/INDEX('Tabela de Apoio'!$B:$B,MATCH('MAPA DE PREÇOS'!T310,'Tabela de Apoio'!$A:$A,1)-1))*T309))</f>
        <v>83.955792308937887</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198"/>
      <c r="F314" s="93"/>
      <c r="G314" s="200"/>
      <c r="H314"/>
      <c r="I314"/>
      <c r="J314"/>
      <c r="N314" s="71"/>
      <c r="O314" s="27" t="s">
        <v>375</v>
      </c>
      <c r="P314" s="107">
        <f>IF(IFERROR(VLOOKUP(P311,'Tabela de Apoio'!$D:$E,2,FALSE),1)=1,"",P315)</f>
        <v>62.435120789883484</v>
      </c>
      <c r="Q314" s="107">
        <f>IF(IFERROR(VLOOKUP(Q311,'Tabela de Apoio'!$D:$E,2,FALSE),1)=1,"",Q315)</f>
        <v>39.31647334352278</v>
      </c>
      <c r="R314" s="107">
        <f>IF(IFERROR(VLOOKUP(R311,'Tabela de Apoio'!$D:$E,2,FALSE),1)=1,"",R315)</f>
        <v>43.275503121044494</v>
      </c>
      <c r="S314" s="107">
        <f>IF(IFERROR(VLOOKUP(S311,'Tabela de Apoio'!$D:$E,2,FALSE),1)=1,"",S315)</f>
        <v>72.840974254864065</v>
      </c>
      <c r="T314" s="107">
        <f>IF(IFERROR(VLOOKUP(T311,'Tabela de Apoio'!$D:$E,2,FALSE),1)=1,"",T315)</f>
        <v>83.955792308937887</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198"/>
      <c r="F315" s="93"/>
      <c r="G315" s="200"/>
      <c r="H315" s="134">
        <f t="shared" ref="H315" si="903">COUNT($P315:$XX315)</f>
        <v>5</v>
      </c>
      <c r="I315" s="132">
        <f t="shared" ref="I315" si="904">_xlfn.STDEV.P($P314:$XX315)/AVERAGE($P314:$XX315)</f>
        <v>0.28225897224625984</v>
      </c>
      <c r="J315" s="7">
        <f>ROW()</f>
        <v>315</v>
      </c>
      <c r="K315" s="67"/>
      <c r="L315" s="29" t="s">
        <v>10</v>
      </c>
      <c r="M315" s="30">
        <f t="shared" ref="M315" si="905">IFERROR(
IF(COUNTA(P309:AI309)=COUNTIF(P311:XX311,"Orçamento"),MIN(M320,M317),
IF(M318&lt;&gt;"",M318,
IF(M319&lt;&gt;"",M319,
M317
))),"")</f>
        <v>62.435120789883484</v>
      </c>
      <c r="N315" s="71"/>
      <c r="O315" s="27" t="s">
        <v>376</v>
      </c>
      <c r="P315" s="106">
        <f t="shared" ref="P315:AI315" si="906">IFERROR(IF(P313="",
            "",
            IF(COUNT($P313:$XX313)&lt;=4,
               P313,
               IF(OR(P313&gt;(QUARTILE($P313:$XX313,3)+(QUARTILE($P313:$XX313,3)-QUARTILE($P313:$XX313,1))),
                     P313&lt;(QUARTILE($P313:$XX313,1)-(QUARTILE($P313:$XX313,3)-QUARTILE($P313:$XX313,1)))
                  ),
               "DESCARTADO",P313)
             )
  ),P313)</f>
        <v>62.435120789883484</v>
      </c>
      <c r="Q315" s="106">
        <f t="shared" si="906"/>
        <v>39.31647334352278</v>
      </c>
      <c r="R315" s="106">
        <f t="shared" si="906"/>
        <v>43.275503121044494</v>
      </c>
      <c r="S315" s="106">
        <f t="shared" si="906"/>
        <v>72.840974254864065</v>
      </c>
      <c r="T315" s="106">
        <f t="shared" si="906"/>
        <v>83.955792308937887</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198"/>
      <c r="F316" s="93"/>
      <c r="G316" s="200"/>
      <c r="H316"/>
      <c r="I316"/>
      <c r="J316"/>
      <c r="K316" s="66"/>
      <c r="L316" s="29" t="s">
        <v>360</v>
      </c>
      <c r="M316" s="30">
        <f t="shared" ref="M316" si="909">AVERAGE($P315:$XX315)</f>
        <v>60.364772763650535</v>
      </c>
      <c r="N316" s="71"/>
      <c r="O316" s="27" t="str">
        <f t="shared" ref="O316" si="910">"1 POND"</f>
        <v>1 POND</v>
      </c>
      <c r="P316" s="107">
        <f>IF(IFERROR(VLOOKUP(P311,'Tabela de Apoio'!$D:$E,2,FALSE),1)=1,"",P317)</f>
        <v>62.435120789883484</v>
      </c>
      <c r="Q316" s="107" t="str">
        <f>IF(IFERROR(VLOOKUP(Q311,'Tabela de Apoio'!$D:$E,2,FALSE),1)=1,"",Q317)</f>
        <v>DESCARTADO</v>
      </c>
      <c r="R316" s="107" t="str">
        <f>IF(IFERROR(VLOOKUP(R311,'Tabela de Apoio'!$D:$E,2,FALSE),1)=1,"",R317)</f>
        <v>DESCARTADO</v>
      </c>
      <c r="S316" s="107">
        <f>IF(IFERROR(VLOOKUP(S311,'Tabela de Apoio'!$D:$E,2,FALSE),1)=1,"",S317)</f>
        <v>72.840974254864065</v>
      </c>
      <c r="T316" s="107" t="str">
        <f>IF(IFERROR(VLOOKUP(T311,'Tabela de Apoio'!$D:$E,2,FALSE),1)=1,"",T317)</f>
        <v>DESCARTADO</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198"/>
      <c r="F317" s="93"/>
      <c r="G317" s="200"/>
      <c r="H317" s="134">
        <f t="shared" ref="H317" si="911">COUNT($P317:$XX317)</f>
        <v>2</v>
      </c>
      <c r="I317" s="132">
        <f t="shared" ref="I317" si="912">_xlfn.STDEV.P($P316:$XX317)/AVERAGE($P316:$XX317)</f>
        <v>7.6923076923076927E-2</v>
      </c>
      <c r="J317" s="7">
        <f t="shared" ref="J317" si="913">IF(AND(H317&gt;2,
OR(L309="MÉDIA SANEADA",L309="MEDIANA SANEADA",
AND(L309="PREÇO ESTIMADO",NOT(AND(P311="Orçamento",COUNTA(P309:XX309)=COUNTIF(P311:XX311,"Orçamento")))))),
ROW(),0)</f>
        <v>0</v>
      </c>
      <c r="K317" s="66"/>
      <c r="L317" s="29" t="s">
        <v>361</v>
      </c>
      <c r="M317" s="30">
        <f t="shared" ref="M317" si="914">MEDIAN($P315:$XX315)</f>
        <v>62.435120789883484</v>
      </c>
      <c r="N317" s="71"/>
      <c r="O317" s="27" t="str">
        <f t="shared" ref="O317" si="915">"1 RODADA"</f>
        <v>1 RODADA</v>
      </c>
      <c r="P317" s="107">
        <f t="shared" ref="P317:AI317" si="916">IF(P315="","",IF((_xlfn.STDEV.P($P314:$XX315)/AVERAGE($P314:$XX315))&lt;=25%,P315,IF(OR(P315&gt;(AVERAGE($P314:$XX315)+_xlfn.STDEV.P($P314:$XX315)),P315&lt;(AVERAGE($P314:$XX315)-_xlfn.STDEV.P($P314:$XX315))),"DESCARTADO",P315)))</f>
        <v>62.435120789883484</v>
      </c>
      <c r="Q317" s="107" t="str">
        <f t="shared" si="916"/>
        <v>DESCARTADO</v>
      </c>
      <c r="R317" s="107" t="str">
        <f t="shared" si="916"/>
        <v>DESCARTADO</v>
      </c>
      <c r="S317" s="107">
        <f t="shared" si="916"/>
        <v>72.840974254864065</v>
      </c>
      <c r="T317" s="107" t="str">
        <f t="shared" si="916"/>
        <v>DESCARTADO</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f>IF(IFERROR(VLOOKUP(P311,'Tabela de Apoio'!$D:$E,2,FALSE),1)=1,"",P319)</f>
        <v>62.435120789883484</v>
      </c>
      <c r="Q318" s="107" t="str">
        <f>IF(IFERROR(VLOOKUP(Q311,'Tabela de Apoio'!$D:$E,2,FALSE),1)=1,"",Q319)</f>
        <v>DESCARTADO</v>
      </c>
      <c r="R318" s="107" t="str">
        <f>IF(IFERROR(VLOOKUP(R311,'Tabela de Apoio'!$D:$E,2,FALSE),1)=1,"",R319)</f>
        <v>DESCARTADO</v>
      </c>
      <c r="S318" s="107">
        <f>IF(IFERROR(VLOOKUP(S311,'Tabela de Apoio'!$D:$E,2,FALSE),1)=1,"",S319)</f>
        <v>72.840974254864065</v>
      </c>
      <c r="T318" s="107" t="str">
        <f>IF(IFERROR(VLOOKUP(T311,'Tabela de Apoio'!$D:$E,2,FALSE),1)=1,"",T319)</f>
        <v>DESCARTADO</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198"/>
      <c r="F319" s="93"/>
      <c r="G319" s="200"/>
      <c r="H319" s="134">
        <f t="shared" ref="H319" si="919">COUNT($P319:$XX319)</f>
        <v>2</v>
      </c>
      <c r="I319" s="132">
        <f t="shared" ref="I319" si="920">_xlfn.STDEV.P($P318:$XX319)/AVERAGE($P318:$XX319)</f>
        <v>7.6923076923076927E-2</v>
      </c>
      <c r="J319" s="7">
        <f t="shared" ref="J319" si="921">IF(AND(H319&gt;2,
OR(L309="MÉDIA SANEADA",L309="MEDIANA SANEADA",
AND(L309="PREÇO ESTIMADO",NOT(AND(P311="Orçamento",COUNTA(P309:XX309)=COUNTIF(P311:XX311,"Orçamento")))))),
ROW(),0)</f>
        <v>0</v>
      </c>
      <c r="K319" s="66"/>
      <c r="L319" s="29" t="s">
        <v>362</v>
      </c>
      <c r="M319" s="30">
        <f t="shared" ref="M319" si="922" xml:space="preserve">
IF(H317&gt;2,MEDIAN(P316:XX317),
IF(H319&gt;2,MEDIAN(P318:XX319),
IF(H321&gt;2,MEDIAN(P320:XX321),
IF(H323&gt;2,MEDIAN(P322:XX323),
IF(H325&gt;2,MEDIAN(P324:XX325),
IF(H327&gt;2,MEDIAN(P326:XX327),
MEDIAN(P314:XX315)))))))</f>
        <v>62.435120789883484</v>
      </c>
      <c r="N319" s="71"/>
      <c r="O319" s="27" t="str">
        <f t="shared" ref="O319" si="923">"2 RODADA"</f>
        <v>2 RODADA</v>
      </c>
      <c r="P319" s="107">
        <f t="shared" ref="P319:AI319" si="924">IF(P317="","",IF((_xlfn.STDEV.P($P316:$XX317)/AVERAGE($P316:$XX317))&lt;=25%,P317,IF(OR(P317&gt;(AVERAGE($P316:$XX317)+_xlfn.STDEV.P($P316:$XX317)),P317&lt;(AVERAGE($P316:$XX317)-_xlfn.STDEV.P($P316:$XX317))),"DESCARTADO",P317)))</f>
        <v>62.435120789883484</v>
      </c>
      <c r="Q319" s="107" t="str">
        <f t="shared" si="924"/>
        <v>DESCARTADO</v>
      </c>
      <c r="R319" s="107" t="str">
        <f t="shared" si="924"/>
        <v>DESCARTADO</v>
      </c>
      <c r="S319" s="107">
        <f t="shared" si="924"/>
        <v>72.840974254864065</v>
      </c>
      <c r="T319" s="107" t="str">
        <f t="shared" si="924"/>
        <v>DESCARTADO</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198"/>
      <c r="F320" s="93"/>
      <c r="G320" s="200"/>
      <c r="H320"/>
      <c r="I320"/>
      <c r="J320"/>
      <c r="K320" s="66"/>
      <c r="L320" s="29" t="s">
        <v>359</v>
      </c>
      <c r="M320" s="30">
        <f t="shared" ref="M320" si="925">HARMEAN($P314:$XX315)</f>
        <v>55.433241332048006</v>
      </c>
      <c r="N320" s="71"/>
      <c r="O320" s="27" t="str">
        <f t="shared" ref="O320" si="926">"3 POND"</f>
        <v>3 POND</v>
      </c>
      <c r="P320" s="107">
        <f>IF(IFERROR(VLOOKUP(P311,'Tabela de Apoio'!$D:$E,2,FALSE),1)=1,"",P321)</f>
        <v>62.435120789883484</v>
      </c>
      <c r="Q320" s="107" t="str">
        <f>IF(IFERROR(VLOOKUP(Q311,'Tabela de Apoio'!$D:$E,2,FALSE),1)=1,"",Q321)</f>
        <v>DESCARTADO</v>
      </c>
      <c r="R320" s="107" t="str">
        <f>IF(IFERROR(VLOOKUP(R311,'Tabela de Apoio'!$D:$E,2,FALSE),1)=1,"",R321)</f>
        <v>DESCARTADO</v>
      </c>
      <c r="S320" s="107">
        <f>IF(IFERROR(VLOOKUP(S311,'Tabela de Apoio'!$D:$E,2,FALSE),1)=1,"",S321)</f>
        <v>72.840974254864065</v>
      </c>
      <c r="T320" s="107" t="str">
        <f>IF(IFERROR(VLOOKUP(T311,'Tabela de Apoio'!$D:$E,2,FALSE),1)=1,"",T321)</f>
        <v>DESCARTADO</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198"/>
      <c r="F321" s="93"/>
      <c r="G321" s="200"/>
      <c r="H321" s="134">
        <f t="shared" ref="H321" si="927">COUNT($P321:$XX321)</f>
        <v>2</v>
      </c>
      <c r="I321" s="132">
        <f t="shared" ref="I321" si="928">_xlfn.STDEV.P($P320:$XX321)/AVERAGE($P320:$XX321)</f>
        <v>7.6923076923076927E-2</v>
      </c>
      <c r="J321" s="7">
        <f t="shared" ref="J321" si="929">IF(AND(H321&gt;2,
OR(L309="MÉDIA SANEADA",L309="MEDIANA SANEADA",
AND(L309="PREÇO ESTIMADO",NOT(AND(P311="Orçamento",COUNTA(P309:XX309)=COUNTIF(P311:XX311,"Orçamento")))))),
ROW(),0)</f>
        <v>0</v>
      </c>
      <c r="K321" s="66"/>
      <c r="L321" s="29" t="s">
        <v>41</v>
      </c>
      <c r="M321" s="30">
        <f t="shared" ref="M321" si="930">IFERROR(_xlfn.QUARTILE.EXC($P315:$XX315,1),"")</f>
        <v>41.295988232283634</v>
      </c>
      <c r="N321" s="71"/>
      <c r="O321" s="27" t="str">
        <f t="shared" ref="O321" si="931">"3 RODADA"</f>
        <v>3 RODADA</v>
      </c>
      <c r="P321" s="107">
        <f t="shared" ref="P321:AI321" si="932">IF(P319="","",IF((_xlfn.STDEV.P($P318:$XX319)/AVERAGE($P318:$XX319))&lt;=25%,P319,IF(OR(P319&gt;(AVERAGE($P318:$XX319)+_xlfn.STDEV.P($P318:$XX319)),P319&lt;(AVERAGE($P318:$XX319)-_xlfn.STDEV.P($P318:$XX319))),"DESCARTADO",P319)))</f>
        <v>62.435120789883484</v>
      </c>
      <c r="Q321" s="107" t="str">
        <f t="shared" si="932"/>
        <v>DESCARTADO</v>
      </c>
      <c r="R321" s="107" t="str">
        <f t="shared" si="932"/>
        <v>DESCARTADO</v>
      </c>
      <c r="S321" s="107">
        <f t="shared" si="932"/>
        <v>72.840974254864065</v>
      </c>
      <c r="T321" s="107" t="str">
        <f t="shared" si="932"/>
        <v>DESCARTADO</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198"/>
      <c r="F322" s="93"/>
      <c r="G322" s="200"/>
      <c r="H322"/>
      <c r="I322"/>
      <c r="J322"/>
      <c r="K322" s="66"/>
      <c r="L322" s="29" t="s">
        <v>39</v>
      </c>
      <c r="M322" s="30">
        <f t="shared" ref="M322" si="933">IFERROR(_xlfn.QUARTILE.EXC($P315:$XX315,3),"")</f>
        <v>78.398383281900976</v>
      </c>
      <c r="N322" s="71"/>
      <c r="O322" s="27" t="str">
        <f t="shared" ref="O322" si="934">"4 POND"</f>
        <v>4 POND</v>
      </c>
      <c r="P322" s="107">
        <f>IF(IFERROR(VLOOKUP(P311,'Tabela de Apoio'!$D:$E,2,FALSE),1)=1,"",P323)</f>
        <v>62.435120789883484</v>
      </c>
      <c r="Q322" s="107" t="str">
        <f>IF(IFERROR(VLOOKUP(Q311,'Tabela de Apoio'!$D:$E,2,FALSE),1)=1,"",Q323)</f>
        <v>DESCARTADO</v>
      </c>
      <c r="R322" s="107" t="str">
        <f>IF(IFERROR(VLOOKUP(R311,'Tabela de Apoio'!$D:$E,2,FALSE),1)=1,"",R323)</f>
        <v>DESCARTADO</v>
      </c>
      <c r="S322" s="107">
        <f>IF(IFERROR(VLOOKUP(S311,'Tabela de Apoio'!$D:$E,2,FALSE),1)=1,"",S323)</f>
        <v>72.840974254864065</v>
      </c>
      <c r="T322" s="107" t="str">
        <f>IF(IFERROR(VLOOKUP(T311,'Tabela de Apoio'!$D:$E,2,FALSE),1)=1,"",T323)</f>
        <v>DESCARTADO</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198"/>
      <c r="F323" s="93"/>
      <c r="G323" s="200"/>
      <c r="H323" s="134">
        <f t="shared" ref="H323" si="935">COUNT($P323:$XX323)</f>
        <v>2</v>
      </c>
      <c r="I323" s="132">
        <f t="shared" ref="I323" si="936">_xlfn.STDEV.P($P322:$XX323)/AVERAGE($P322:$XX323)</f>
        <v>7.6923076923076927E-2</v>
      </c>
      <c r="J323" s="7">
        <f t="shared" ref="J323" si="937">IF(AND(H323&gt;2,
OR(L309="MÉDIA SANEADA",L309="MEDIANA SANEADA",
AND(L309="PREÇO ESTIMADO",NOT(AND(P311="Orçamento",COUNTA(P309:XX309)=COUNTIF(P311:XX311,"Orçamento")))))),
ROW(),0)</f>
        <v>0</v>
      </c>
      <c r="K323" s="66"/>
      <c r="L323" s="29" t="s">
        <v>42</v>
      </c>
      <c r="M323" s="30">
        <f t="shared" ref="M323" si="938">MIN($P315:$XX315)</f>
        <v>39.31647334352278</v>
      </c>
      <c r="N323" s="71"/>
      <c r="O323" s="27" t="str">
        <f t="shared" ref="O323" si="939">"4 RODADA"</f>
        <v>4 RODADA</v>
      </c>
      <c r="P323" s="107">
        <f t="shared" ref="P323:AI323" si="940">IF(P321="","",IF((_xlfn.STDEV.P($P320:$XX321)/AVERAGE($P320:$XX321))&lt;=25%,P321,IF(OR(P321&gt;(AVERAGE($P320:$XX321)+_xlfn.STDEV.P($P320:$XX321)),P321&lt;(AVERAGE($P320:$XX321)-_xlfn.STDEV.P($P320:$XX321))),"DESCARTADO",P321)))</f>
        <v>62.435120789883484</v>
      </c>
      <c r="Q323" s="107" t="str">
        <f t="shared" si="940"/>
        <v>DESCARTADO</v>
      </c>
      <c r="R323" s="107" t="str">
        <f t="shared" si="940"/>
        <v>DESCARTADO</v>
      </c>
      <c r="S323" s="107">
        <f t="shared" si="940"/>
        <v>72.840974254864065</v>
      </c>
      <c r="T323" s="107" t="str">
        <f t="shared" si="940"/>
        <v>DESCARTADO</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198"/>
      <c r="F324" s="93"/>
      <c r="G324" s="200"/>
      <c r="H324"/>
      <c r="I324"/>
      <c r="J324"/>
      <c r="K324" s="66"/>
      <c r="L324" s="29" t="s">
        <v>40</v>
      </c>
      <c r="M324" s="30">
        <f t="shared" ref="M324" si="941">MAX($P315:$XX315)</f>
        <v>83.955792308937887</v>
      </c>
      <c r="N324" s="71"/>
      <c r="O324" s="27" t="str">
        <f t="shared" ref="O324" si="942">"5 POND"</f>
        <v>5 POND</v>
      </c>
      <c r="P324" s="107">
        <f>IF(IFERROR(VLOOKUP(P311,'Tabela de Apoio'!$D:$E,2,FALSE),1)=1,"",P325)</f>
        <v>62.435120789883484</v>
      </c>
      <c r="Q324" s="107" t="str">
        <f>IF(IFERROR(VLOOKUP(Q311,'Tabela de Apoio'!$D:$E,2,FALSE),1)=1,"",Q325)</f>
        <v>DESCARTADO</v>
      </c>
      <c r="R324" s="107" t="str">
        <f>IF(IFERROR(VLOOKUP(R311,'Tabela de Apoio'!$D:$E,2,FALSE),1)=1,"",R325)</f>
        <v>DESCARTADO</v>
      </c>
      <c r="S324" s="107">
        <f>IF(IFERROR(VLOOKUP(S311,'Tabela de Apoio'!$D:$E,2,FALSE),1)=1,"",S325)</f>
        <v>72.840974254864065</v>
      </c>
      <c r="T324" s="107" t="str">
        <f>IF(IFERROR(VLOOKUP(T311,'Tabela de Apoio'!$D:$E,2,FALSE),1)=1,"",T325)</f>
        <v>DESCARTADO</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198"/>
      <c r="F325" s="93"/>
      <c r="G325" s="200"/>
      <c r="H325" s="134">
        <f t="shared" ref="H325" si="943">COUNT($P325:$XX325)</f>
        <v>2</v>
      </c>
      <c r="I325" s="132">
        <f t="shared" ref="I325" si="944">_xlfn.STDEV.P($P324:$XX325)/AVERAGE($P324:$XX325)</f>
        <v>7.6923076923076927E-2</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62.435120789883484</v>
      </c>
      <c r="Q325" s="107" t="str">
        <f t="shared" si="947"/>
        <v>DESCARTADO</v>
      </c>
      <c r="R325" s="107" t="str">
        <f t="shared" si="947"/>
        <v>DESCARTADO</v>
      </c>
      <c r="S325" s="107">
        <f t="shared" si="947"/>
        <v>72.840974254864065</v>
      </c>
      <c r="T325" s="107" t="str">
        <f t="shared" si="947"/>
        <v>DESCARTADO</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198"/>
      <c r="F326" s="93"/>
      <c r="G326" s="200"/>
      <c r="H326"/>
      <c r="I326"/>
      <c r="J326"/>
      <c r="K326" s="66"/>
      <c r="L326" s="22"/>
      <c r="M326" s="22"/>
      <c r="N326" s="71"/>
      <c r="O326" s="27" t="str">
        <f t="shared" ref="O326" si="948">"6 POND"</f>
        <v>6 POND</v>
      </c>
      <c r="P326" s="107">
        <f>IF(IFERROR(VLOOKUP(P311,'Tabela de Apoio'!$D:$E,2,FALSE),1)=1,"",P327)</f>
        <v>62.435120789883484</v>
      </c>
      <c r="Q326" s="107" t="str">
        <f>IF(IFERROR(VLOOKUP(Q311,'Tabela de Apoio'!$D:$E,2,FALSE),1)=1,"",Q327)</f>
        <v>DESCARTADO</v>
      </c>
      <c r="R326" s="107" t="str">
        <f>IF(IFERROR(VLOOKUP(R311,'Tabela de Apoio'!$D:$E,2,FALSE),1)=1,"",R327)</f>
        <v>DESCARTADO</v>
      </c>
      <c r="S326" s="107">
        <f>IF(IFERROR(VLOOKUP(S311,'Tabela de Apoio'!$D:$E,2,FALSE),1)=1,"",S327)</f>
        <v>72.840974254864065</v>
      </c>
      <c r="T326" s="107" t="str">
        <f>IF(IFERROR(VLOOKUP(T311,'Tabela de Apoio'!$D:$E,2,FALSE),1)=1,"",T327)</f>
        <v>DESCARTADO</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198"/>
      <c r="F327" s="93"/>
      <c r="G327" s="200"/>
      <c r="H327" s="134">
        <f t="shared" ref="H327" si="949">COUNT($P327:$XX327)</f>
        <v>2</v>
      </c>
      <c r="I327" s="132">
        <f t="shared" ref="I327" si="950">_xlfn.STDEV.P($P326:$XX327)/AVERAGE($P326:$XX327)</f>
        <v>7.6923076923076927E-2</v>
      </c>
      <c r="J327" s="7">
        <f t="shared" ref="J327" si="951">IF(AND(H327&gt;2,
OR(L309="MÉDIA SANEADA",L309="MEDIANA SANEADA",
AND(L309="PREÇO ESTIMADO",NOT(AND(P311="Orçamento",COUNTA(P309:XX309)=COUNTIF(P311:XX311,"Orçamento")))))),
ROW(),0)</f>
        <v>0</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62.435120789883484</v>
      </c>
      <c r="Q327" s="107" t="str">
        <f t="shared" si="953"/>
        <v>DESCARTADO</v>
      </c>
      <c r="R327" s="107" t="str">
        <f t="shared" si="953"/>
        <v>DESCARTADO</v>
      </c>
      <c r="S327" s="107">
        <f t="shared" si="953"/>
        <v>72.840974254864065</v>
      </c>
      <c r="T327" s="107" t="str">
        <f t="shared" si="953"/>
        <v>DESCARTADO</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198"/>
      <c r="F328" s="136"/>
      <c r="G328" s="200"/>
      <c r="H328" s="203"/>
      <c r="I328" s="203"/>
      <c r="J328" s="204"/>
      <c r="K328" s="67"/>
      <c r="L328" s="1" t="s">
        <v>43</v>
      </c>
      <c r="M328" s="143">
        <f t="shared" ref="M328" si="954">IFERROR(ROUND(M309*M311,2),"")</f>
        <v>12488</v>
      </c>
      <c r="O328" s="27" t="s">
        <v>363</v>
      </c>
      <c r="P328" s="107">
        <f t="shared" ref="P328:R328" si="955">INDEX(P315:P327,MATCH(MAX($J315:$J327),$J315:$J327,0))</f>
        <v>62.435120789883484</v>
      </c>
      <c r="Q328" s="107">
        <f t="shared" si="955"/>
        <v>39.31647334352278</v>
      </c>
      <c r="R328" s="107">
        <f t="shared" si="955"/>
        <v>43.275503121044494</v>
      </c>
      <c r="S328" s="107">
        <f t="shared" si="889"/>
        <v>72.840974254864065</v>
      </c>
      <c r="T328" s="107">
        <f t="shared" si="889"/>
        <v>83.955792308937887</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2013492</v>
      </c>
      <c r="I330" s="181" t="s">
        <v>16</v>
      </c>
      <c r="J330" s="6">
        <f>INDEX('BASE FORMAÇÃO'!K:K,B330+1)</f>
        <v>0</v>
      </c>
      <c r="K330" s="65"/>
      <c r="L330" s="182" t="s">
        <v>10</v>
      </c>
      <c r="M330" s="184">
        <f t="shared" ref="M330" si="958">IF(OR(ISBLANK($O$8),ISBLANK($O$7),ISBLANK($H$8),ISBLANK($O$6),ISBLANK($O$5),ISBLANK($H$5)),"",IFERROR(IF(VLOOKUP(L330,L336:M345,2,FALSE)&lt;1,ROUND(VLOOKUP(L330,L336:M345,2,FALSE),4),ROUND(VLOOKUP(L330,L336:M345,2,FALSE),2)),""))</f>
        <v>64.06</v>
      </c>
      <c r="N330" s="69"/>
      <c r="O330" s="27" t="s">
        <v>17</v>
      </c>
      <c r="P330" s="113">
        <v>62</v>
      </c>
      <c r="Q330" s="113">
        <v>59</v>
      </c>
      <c r="R330" s="113">
        <f>(40/5)*10</f>
        <v>80</v>
      </c>
      <c r="S330" s="113">
        <v>47.58</v>
      </c>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6">
        <f t="shared" ref="E331" si="960">D330</f>
        <v>16</v>
      </c>
      <c r="F331" s="92"/>
      <c r="G331" s="188" t="s">
        <v>1</v>
      </c>
      <c r="H331" s="191" t="str">
        <f>INDEX('BASE FORMAÇÃO'!C:C,B330+1)</f>
        <v>IODOPOVIDONA 2,5% + VEÍCULO ESTÉRIL QSP 10ML, SOLUÇÃO OFTÁLMICA, FRASCO</v>
      </c>
      <c r="I331" s="191"/>
      <c r="J331" s="192"/>
      <c r="K331" s="66"/>
      <c r="L331" s="183"/>
      <c r="M331" s="185"/>
      <c r="N331" s="70"/>
      <c r="O331" s="27" t="s">
        <v>13</v>
      </c>
      <c r="P331" s="122">
        <v>46108</v>
      </c>
      <c r="Q331" s="122">
        <v>46000</v>
      </c>
      <c r="R331" s="122">
        <v>45944</v>
      </c>
      <c r="S331" s="122">
        <v>46141</v>
      </c>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7"/>
      <c r="F332" s="93"/>
      <c r="G332" s="189"/>
      <c r="H332" s="193"/>
      <c r="I332" s="193"/>
      <c r="J332" s="194"/>
      <c r="K332" s="64"/>
      <c r="L332" s="130" t="s">
        <v>44</v>
      </c>
      <c r="M332" s="131">
        <v>100</v>
      </c>
      <c r="N332" s="71"/>
      <c r="O332" s="27" t="s">
        <v>380</v>
      </c>
      <c r="P332" s="114" t="s">
        <v>12</v>
      </c>
      <c r="Q332" s="114" t="s">
        <v>12</v>
      </c>
      <c r="R332" s="114" t="s">
        <v>12</v>
      </c>
      <c r="S332" s="114" t="s">
        <v>12</v>
      </c>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0"/>
      <c r="H333" s="195"/>
      <c r="I333" s="195"/>
      <c r="J333" s="196"/>
      <c r="K333" s="64"/>
      <c r="L333" s="1" t="s">
        <v>2</v>
      </c>
      <c r="M333" s="6" t="str">
        <f>INDEX('BASE FORMAÇÃO'!D:D,B334+1)</f>
        <v>FR</v>
      </c>
      <c r="N333" s="71"/>
      <c r="O333" s="27" t="s">
        <v>381</v>
      </c>
      <c r="P333" s="115" t="s">
        <v>467</v>
      </c>
      <c r="Q333" s="115" t="s">
        <v>10</v>
      </c>
      <c r="R333" s="115" t="s">
        <v>10</v>
      </c>
      <c r="S333" s="115" t="s">
        <v>10</v>
      </c>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197">
        <f t="shared" ref="E334" si="964">C330</f>
        <v>1</v>
      </c>
      <c r="F334" s="93"/>
      <c r="G334" s="199" t="s">
        <v>304</v>
      </c>
      <c r="H334" s="201"/>
      <c r="I334" s="202"/>
      <c r="J334" s="202"/>
      <c r="K334" s="67"/>
      <c r="L334" s="28" t="s">
        <v>303</v>
      </c>
      <c r="M334" s="133">
        <f t="shared" ref="M334" si="965">IFERROR(INDEX(I336:I348,MATCH(MAX(J336:J348),J336:J348,0)),"")</f>
        <v>0.19517106324901687</v>
      </c>
      <c r="N334" s="71"/>
      <c r="O334" s="27" t="s">
        <v>18</v>
      </c>
      <c r="P334" s="106">
        <f>IF(P330="","",
IF(OR(P332="Orçamento",P331="",MAX('Tabela de Apoio'!$A:$A)&lt;=P331),
P330,
(INDEX('Tabela de Apoio'!$B:$B,MATCH('MAPA DE PREÇOS'!$O$8,'Tabela de Apoio'!$A:$A,1))/INDEX('Tabela de Apoio'!$B:$B,MATCH('MAPA DE PREÇOS'!P331,'Tabela de Apoio'!$A:$A,1)-1))*P330))</f>
        <v>63.475624054943303</v>
      </c>
      <c r="Q334" s="106">
        <f>IF(Q330="","",
IF(OR(Q332="Orçamento",Q331="",MAX('Tabela de Apoio'!$A:$A)&lt;=Q331),
Q330,
(INDEX('Tabela de Apoio'!$B:$B,MATCH('MAPA DE PREÇOS'!$O$8,'Tabela de Apoio'!$A:$A,1))/INDEX('Tabela de Apoio'!$B:$B,MATCH('MAPA DE PREÇOS'!Q331,'Tabela de Apoio'!$A:$A,1)-1))*Q330))</f>
        <v>61.229129116106108</v>
      </c>
      <c r="R334" s="106">
        <f>IF(R330="","",
IF(OR(R332="Orçamento",R331="",MAX('Tabela de Apoio'!$A:$A)&lt;=R331),
R330,
(INDEX('Tabela de Apoio'!$B:$B,MATCH('MAPA DE PREÇOS'!$O$8,'Tabela de Apoio'!$A:$A,1))/INDEX('Tabela de Apoio'!$B:$B,MATCH('MAPA DE PREÇOS'!R331,'Tabela de Apoio'!$A:$A,1)-1))*R330))</f>
        <v>83.246827719844646</v>
      </c>
      <c r="S334" s="106">
        <f>IF(S330="","",
IF(OR(S332="Orçamento",S331="",MAX('Tabela de Apoio'!$A:$A)&lt;=S331),
S330,
(INDEX('Tabela de Apoio'!$B:$B,MATCH('MAPA DE PREÇOS'!$O$8,'Tabela de Apoio'!$A:$A,1))/INDEX('Tabela de Apoio'!$B:$B,MATCH('MAPA DE PREÇOS'!S331,'Tabela de Apoio'!$A:$A,1)-1))*S330))</f>
        <v>48.287501792451955</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198"/>
      <c r="F335" s="93"/>
      <c r="G335" s="200"/>
      <c r="H335"/>
      <c r="I335"/>
      <c r="J335"/>
      <c r="N335" s="71"/>
      <c r="O335" s="27" t="s">
        <v>375</v>
      </c>
      <c r="P335" s="107">
        <f>IF(IFERROR(VLOOKUP(P332,'Tabela de Apoio'!$D:$E,2,FALSE),1)=1,"",P336)</f>
        <v>63.475624054943303</v>
      </c>
      <c r="Q335" s="107">
        <f>IF(IFERROR(VLOOKUP(Q332,'Tabela de Apoio'!$D:$E,2,FALSE),1)=1,"",Q336)</f>
        <v>61.229129116106108</v>
      </c>
      <c r="R335" s="107">
        <f>IF(IFERROR(VLOOKUP(R332,'Tabela de Apoio'!$D:$E,2,FALSE),1)=1,"",R336)</f>
        <v>83.246827719844646</v>
      </c>
      <c r="S335" s="107">
        <f>IF(IFERROR(VLOOKUP(S332,'Tabela de Apoio'!$D:$E,2,FALSE),1)=1,"",S336)</f>
        <v>48.287501792451955</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198"/>
      <c r="F336" s="93"/>
      <c r="G336" s="200"/>
      <c r="H336" s="134">
        <f t="shared" ref="H336" si="969">COUNT($P336:$XX336)</f>
        <v>4</v>
      </c>
      <c r="I336" s="132">
        <f t="shared" ref="I336" si="970">_xlfn.STDEV.P($P335:$XX336)/AVERAGE($P335:$XX336)</f>
        <v>0.19517106324901687</v>
      </c>
      <c r="J336" s="7">
        <f>ROW()</f>
        <v>336</v>
      </c>
      <c r="K336" s="67"/>
      <c r="L336" s="29" t="s">
        <v>10</v>
      </c>
      <c r="M336" s="30">
        <f t="shared" ref="M336" si="971">IFERROR(
IF(COUNTA(P330:AI330)=COUNTIF(P332:XX332,"Orçamento"),MIN(M341,M338),
IF(M339&lt;&gt;"",M339,
IF(M340&lt;&gt;"",M340,
M338
))),"")</f>
        <v>64.0597706708365</v>
      </c>
      <c r="N336" s="71"/>
      <c r="O336" s="27" t="s">
        <v>376</v>
      </c>
      <c r="P336" s="106">
        <f t="shared" ref="P336:AI336" si="972">IFERROR(IF(P334="",
            "",
            IF(COUNT($P334:$XX334)&lt;=4,
               P334,
               IF(OR(P334&gt;(QUARTILE($P334:$XX334,3)+(QUARTILE($P334:$XX334,3)-QUARTILE($P334:$XX334,1))),
                     P334&lt;(QUARTILE($P334:$XX334,1)-(QUARTILE($P334:$XX334,3)-QUARTILE($P334:$XX334,1)))
                  ),
               "DESCARTADO",P334)
             )
  ),P334)</f>
        <v>63.475624054943303</v>
      </c>
      <c r="Q336" s="106">
        <f t="shared" si="972"/>
        <v>61.229129116106108</v>
      </c>
      <c r="R336" s="106">
        <f t="shared" si="972"/>
        <v>83.246827719844646</v>
      </c>
      <c r="S336" s="106">
        <f t="shared" si="972"/>
        <v>48.287501792451955</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198"/>
      <c r="F337" s="93"/>
      <c r="G337" s="200"/>
      <c r="H337"/>
      <c r="I337"/>
      <c r="J337"/>
      <c r="K337" s="66"/>
      <c r="L337" s="29" t="s">
        <v>360</v>
      </c>
      <c r="M337" s="30">
        <f t="shared" ref="M337" si="975">AVERAGE($P336:$XX336)</f>
        <v>64.0597706708365</v>
      </c>
      <c r="N337" s="71"/>
      <c r="O337" s="27" t="str">
        <f t="shared" ref="O337" si="976">"1 POND"</f>
        <v>1 POND</v>
      </c>
      <c r="P337" s="107">
        <f>IF(IFERROR(VLOOKUP(P332,'Tabela de Apoio'!$D:$E,2,FALSE),1)=1,"",P338)</f>
        <v>63.475624054943303</v>
      </c>
      <c r="Q337" s="107">
        <f>IF(IFERROR(VLOOKUP(Q332,'Tabela de Apoio'!$D:$E,2,FALSE),1)=1,"",Q338)</f>
        <v>61.229129116106108</v>
      </c>
      <c r="R337" s="107">
        <f>IF(IFERROR(VLOOKUP(R332,'Tabela de Apoio'!$D:$E,2,FALSE),1)=1,"",R338)</f>
        <v>83.246827719844646</v>
      </c>
      <c r="S337" s="107">
        <f>IF(IFERROR(VLOOKUP(S332,'Tabela de Apoio'!$D:$E,2,FALSE),1)=1,"",S338)</f>
        <v>48.287501792451955</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198"/>
      <c r="F338" s="93"/>
      <c r="G338" s="200"/>
      <c r="H338" s="134">
        <f t="shared" ref="H338" si="977">COUNT($P338:$XX338)</f>
        <v>4</v>
      </c>
      <c r="I338" s="132">
        <f t="shared" ref="I338" si="978">_xlfn.STDEV.P($P337:$XX338)/AVERAGE($P337:$XX338)</f>
        <v>0.19517106324901687</v>
      </c>
      <c r="J338" s="7">
        <f t="shared" ref="J338" si="979">IF(AND(H338&gt;2,
OR(L330="MÉDIA SANEADA",L330="MEDIANA SANEADA",
AND(L330="PREÇO ESTIMADO",NOT(AND(P332="Orçamento",COUNTA(P330:XX330)=COUNTIF(P332:XX332,"Orçamento")))))),
ROW(),0)</f>
        <v>338</v>
      </c>
      <c r="K338" s="66"/>
      <c r="L338" s="29" t="s">
        <v>361</v>
      </c>
      <c r="M338" s="30">
        <f t="shared" ref="M338" si="980">MEDIAN($P336:$XX336)</f>
        <v>62.352376585524709</v>
      </c>
      <c r="N338" s="71"/>
      <c r="O338" s="27" t="str">
        <f t="shared" ref="O338" si="981">"1 RODADA"</f>
        <v>1 RODADA</v>
      </c>
      <c r="P338" s="107">
        <f t="shared" ref="P338:AI338" si="982">IF(P336="","",IF((_xlfn.STDEV.P($P335:$XX336)/AVERAGE($P335:$XX336))&lt;=25%,P336,IF(OR(P336&gt;(AVERAGE($P335:$XX336)+_xlfn.STDEV.P($P335:$XX336)),P336&lt;(AVERAGE($P335:$XX336)-_xlfn.STDEV.P($P335:$XX336))),"DESCARTADO",P336)))</f>
        <v>63.475624054943303</v>
      </c>
      <c r="Q338" s="107">
        <f t="shared" si="982"/>
        <v>61.229129116106108</v>
      </c>
      <c r="R338" s="107">
        <f t="shared" si="982"/>
        <v>83.246827719844646</v>
      </c>
      <c r="S338" s="107">
        <f t="shared" si="982"/>
        <v>48.287501792451955</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198"/>
      <c r="F339" s="93"/>
      <c r="G339" s="200"/>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64.0597706708365</v>
      </c>
      <c r="N339" s="71"/>
      <c r="O339" s="27" t="str">
        <f t="shared" ref="O339" si="984">"2 POND"</f>
        <v>2 POND</v>
      </c>
      <c r="P339" s="107">
        <f>IF(IFERROR(VLOOKUP(P332,'Tabela de Apoio'!$D:$E,2,FALSE),1)=1,"",P340)</f>
        <v>63.475624054943303</v>
      </c>
      <c r="Q339" s="107">
        <f>IF(IFERROR(VLOOKUP(Q332,'Tabela de Apoio'!$D:$E,2,FALSE),1)=1,"",Q340)</f>
        <v>61.229129116106108</v>
      </c>
      <c r="R339" s="107">
        <f>IF(IFERROR(VLOOKUP(R332,'Tabela de Apoio'!$D:$E,2,FALSE),1)=1,"",R340)</f>
        <v>83.246827719844646</v>
      </c>
      <c r="S339" s="107">
        <f>IF(IFERROR(VLOOKUP(S332,'Tabela de Apoio'!$D:$E,2,FALSE),1)=1,"",S340)</f>
        <v>48.287501792451955</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198"/>
      <c r="F340" s="93"/>
      <c r="G340" s="200"/>
      <c r="H340" s="134">
        <f t="shared" ref="H340" si="985">COUNT($P340:$XX340)</f>
        <v>4</v>
      </c>
      <c r="I340" s="132">
        <f t="shared" ref="I340" si="986">_xlfn.STDEV.P($P339:$XX340)/AVERAGE($P339:$XX340)</f>
        <v>0.19517106324901687</v>
      </c>
      <c r="J340" s="7">
        <f t="shared" ref="J340" si="987">IF(AND(H340&gt;2,
OR(L330="MÉDIA SANEADA",L330="MEDIANA SANEADA",
AND(L330="PREÇO ESTIMADO",NOT(AND(P332="Orçamento",COUNTA(P330:XX330)=COUNTIF(P332:XX332,"Orçamento")))))),
ROW(),0)</f>
        <v>340</v>
      </c>
      <c r="K340" s="66"/>
      <c r="L340" s="29" t="s">
        <v>362</v>
      </c>
      <c r="M340" s="30">
        <f t="shared" ref="M340" si="988" xml:space="preserve">
IF(H338&gt;2,MEDIAN(P337:XX338),
IF(H340&gt;2,MEDIAN(P339:XX340),
IF(H342&gt;2,MEDIAN(P341:XX342),
IF(H344&gt;2,MEDIAN(P343:XX344),
IF(H346&gt;2,MEDIAN(P345:XX346),
IF(H348&gt;2,MEDIAN(P347:XX348),
MEDIAN(P335:XX336)))))))</f>
        <v>62.352376585524709</v>
      </c>
      <c r="N340" s="71"/>
      <c r="O340" s="27" t="str">
        <f t="shared" ref="O340" si="989">"2 RODADA"</f>
        <v>2 RODADA</v>
      </c>
      <c r="P340" s="107">
        <f t="shared" ref="P340:AI340" si="990">IF(P338="","",IF((_xlfn.STDEV.P($P337:$XX338)/AVERAGE($P337:$XX338))&lt;=25%,P338,IF(OR(P338&gt;(AVERAGE($P337:$XX338)+_xlfn.STDEV.P($P337:$XX338)),P338&lt;(AVERAGE($P337:$XX338)-_xlfn.STDEV.P($P337:$XX338))),"DESCARTADO",P338)))</f>
        <v>63.475624054943303</v>
      </c>
      <c r="Q340" s="107">
        <f t="shared" si="990"/>
        <v>61.229129116106108</v>
      </c>
      <c r="R340" s="107">
        <f t="shared" si="990"/>
        <v>83.246827719844646</v>
      </c>
      <c r="S340" s="107">
        <f t="shared" si="990"/>
        <v>48.287501792451955</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198"/>
      <c r="F341" s="93"/>
      <c r="G341" s="200"/>
      <c r="H341"/>
      <c r="I341"/>
      <c r="J341"/>
      <c r="K341" s="66"/>
      <c r="L341" s="29" t="s">
        <v>359</v>
      </c>
      <c r="M341" s="30">
        <f t="shared" ref="M341" si="991">HARMEAN($P335:$XX336)</f>
        <v>61.720835113782229</v>
      </c>
      <c r="N341" s="71"/>
      <c r="O341" s="27" t="str">
        <f t="shared" ref="O341" si="992">"3 POND"</f>
        <v>3 POND</v>
      </c>
      <c r="P341" s="107">
        <f>IF(IFERROR(VLOOKUP(P332,'Tabela de Apoio'!$D:$E,2,FALSE),1)=1,"",P342)</f>
        <v>63.475624054943303</v>
      </c>
      <c r="Q341" s="107">
        <f>IF(IFERROR(VLOOKUP(Q332,'Tabela de Apoio'!$D:$E,2,FALSE),1)=1,"",Q342)</f>
        <v>61.229129116106108</v>
      </c>
      <c r="R341" s="107">
        <f>IF(IFERROR(VLOOKUP(R332,'Tabela de Apoio'!$D:$E,2,FALSE),1)=1,"",R342)</f>
        <v>83.246827719844646</v>
      </c>
      <c r="S341" s="107">
        <f>IF(IFERROR(VLOOKUP(S332,'Tabela de Apoio'!$D:$E,2,FALSE),1)=1,"",S342)</f>
        <v>48.287501792451955</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198"/>
      <c r="F342" s="93"/>
      <c r="G342" s="200"/>
      <c r="H342" s="134">
        <f t="shared" ref="H342" si="993">COUNT($P342:$XX342)</f>
        <v>4</v>
      </c>
      <c r="I342" s="132">
        <f t="shared" ref="I342" si="994">_xlfn.STDEV.P($P341:$XX342)/AVERAGE($P341:$XX342)</f>
        <v>0.19517106324901687</v>
      </c>
      <c r="J342" s="7">
        <f t="shared" ref="J342" si="995">IF(AND(H342&gt;2,
OR(L330="MÉDIA SANEADA",L330="MEDIANA SANEADA",
AND(L330="PREÇO ESTIMADO",NOT(AND(P332="Orçamento",COUNTA(P330:XX330)=COUNTIF(P332:XX332,"Orçamento")))))),
ROW(),0)</f>
        <v>342</v>
      </c>
      <c r="K342" s="66"/>
      <c r="L342" s="29" t="s">
        <v>41</v>
      </c>
      <c r="M342" s="30">
        <f t="shared" ref="M342" si="996">IFERROR(_xlfn.QUARTILE.EXC($P336:$XX336,1),"")</f>
        <v>51.522908623365495</v>
      </c>
      <c r="N342" s="71"/>
      <c r="O342" s="27" t="str">
        <f t="shared" ref="O342" si="997">"3 RODADA"</f>
        <v>3 RODADA</v>
      </c>
      <c r="P342" s="107">
        <f t="shared" ref="P342:AI342" si="998">IF(P340="","",IF((_xlfn.STDEV.P($P339:$XX340)/AVERAGE($P339:$XX340))&lt;=25%,P340,IF(OR(P340&gt;(AVERAGE($P339:$XX340)+_xlfn.STDEV.P($P339:$XX340)),P340&lt;(AVERAGE($P339:$XX340)-_xlfn.STDEV.P($P339:$XX340))),"DESCARTADO",P340)))</f>
        <v>63.475624054943303</v>
      </c>
      <c r="Q342" s="107">
        <f t="shared" si="998"/>
        <v>61.229129116106108</v>
      </c>
      <c r="R342" s="107">
        <f t="shared" si="998"/>
        <v>83.246827719844646</v>
      </c>
      <c r="S342" s="107">
        <f t="shared" si="998"/>
        <v>48.287501792451955</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198"/>
      <c r="F343" s="93"/>
      <c r="G343" s="200"/>
      <c r="H343"/>
      <c r="I343"/>
      <c r="J343"/>
      <c r="K343" s="66"/>
      <c r="L343" s="29" t="s">
        <v>39</v>
      </c>
      <c r="M343" s="30">
        <f t="shared" ref="M343" si="999">IFERROR(_xlfn.QUARTILE.EXC($P336:$XX336,3),"")</f>
        <v>78.304026803619308</v>
      </c>
      <c r="N343" s="71"/>
      <c r="O343" s="27" t="str">
        <f t="shared" ref="O343" si="1000">"4 POND"</f>
        <v>4 POND</v>
      </c>
      <c r="P343" s="107">
        <f>IF(IFERROR(VLOOKUP(P332,'Tabela de Apoio'!$D:$E,2,FALSE),1)=1,"",P344)</f>
        <v>63.475624054943303</v>
      </c>
      <c r="Q343" s="107">
        <f>IF(IFERROR(VLOOKUP(Q332,'Tabela de Apoio'!$D:$E,2,FALSE),1)=1,"",Q344)</f>
        <v>61.229129116106108</v>
      </c>
      <c r="R343" s="107">
        <f>IF(IFERROR(VLOOKUP(R332,'Tabela de Apoio'!$D:$E,2,FALSE),1)=1,"",R344)</f>
        <v>83.246827719844646</v>
      </c>
      <c r="S343" s="107">
        <f>IF(IFERROR(VLOOKUP(S332,'Tabela de Apoio'!$D:$E,2,FALSE),1)=1,"",S344)</f>
        <v>48.287501792451955</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198"/>
      <c r="F344" s="93"/>
      <c r="G344" s="200"/>
      <c r="H344" s="134">
        <f t="shared" ref="H344" si="1001">COUNT($P344:$XX344)</f>
        <v>4</v>
      </c>
      <c r="I344" s="132">
        <f t="shared" ref="I344" si="1002">_xlfn.STDEV.P($P343:$XX344)/AVERAGE($P343:$XX344)</f>
        <v>0.19517106324901687</v>
      </c>
      <c r="J344" s="7">
        <f t="shared" ref="J344" si="1003">IF(AND(H344&gt;2,
OR(L330="MÉDIA SANEADA",L330="MEDIANA SANEADA",
AND(L330="PREÇO ESTIMADO",NOT(AND(P332="Orçamento",COUNTA(P330:XX330)=COUNTIF(P332:XX332,"Orçamento")))))),
ROW(),0)</f>
        <v>344</v>
      </c>
      <c r="K344" s="66"/>
      <c r="L344" s="29" t="s">
        <v>42</v>
      </c>
      <c r="M344" s="30">
        <f t="shared" ref="M344" si="1004">MIN($P336:$XX336)</f>
        <v>48.287501792451955</v>
      </c>
      <c r="N344" s="71"/>
      <c r="O344" s="27" t="str">
        <f t="shared" ref="O344" si="1005">"4 RODADA"</f>
        <v>4 RODADA</v>
      </c>
      <c r="P344" s="107">
        <f t="shared" ref="P344:AI344" si="1006">IF(P342="","",IF((_xlfn.STDEV.P($P341:$XX342)/AVERAGE($P341:$XX342))&lt;=25%,P342,IF(OR(P342&gt;(AVERAGE($P341:$XX342)+_xlfn.STDEV.P($P341:$XX342)),P342&lt;(AVERAGE($P341:$XX342)-_xlfn.STDEV.P($P341:$XX342))),"DESCARTADO",P342)))</f>
        <v>63.475624054943303</v>
      </c>
      <c r="Q344" s="107">
        <f t="shared" si="1006"/>
        <v>61.229129116106108</v>
      </c>
      <c r="R344" s="107">
        <f t="shared" si="1006"/>
        <v>83.246827719844646</v>
      </c>
      <c r="S344" s="107">
        <f t="shared" si="1006"/>
        <v>48.287501792451955</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198"/>
      <c r="F345" s="93"/>
      <c r="G345" s="200"/>
      <c r="H345"/>
      <c r="I345"/>
      <c r="J345"/>
      <c r="K345" s="66"/>
      <c r="L345" s="29" t="s">
        <v>40</v>
      </c>
      <c r="M345" s="30">
        <f t="shared" ref="M345" si="1007">MAX($P336:$XX336)</f>
        <v>83.246827719844646</v>
      </c>
      <c r="N345" s="71"/>
      <c r="O345" s="27" t="str">
        <f t="shared" ref="O345" si="1008">"5 POND"</f>
        <v>5 POND</v>
      </c>
      <c r="P345" s="107">
        <f>IF(IFERROR(VLOOKUP(P332,'Tabela de Apoio'!$D:$E,2,FALSE),1)=1,"",P346)</f>
        <v>63.475624054943303</v>
      </c>
      <c r="Q345" s="107">
        <f>IF(IFERROR(VLOOKUP(Q332,'Tabela de Apoio'!$D:$E,2,FALSE),1)=1,"",Q346)</f>
        <v>61.229129116106108</v>
      </c>
      <c r="R345" s="107">
        <f>IF(IFERROR(VLOOKUP(R332,'Tabela de Apoio'!$D:$E,2,FALSE),1)=1,"",R346)</f>
        <v>83.246827719844646</v>
      </c>
      <c r="S345" s="107">
        <f>IF(IFERROR(VLOOKUP(S332,'Tabela de Apoio'!$D:$E,2,FALSE),1)=1,"",S346)</f>
        <v>48.287501792451955</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198"/>
      <c r="F346" s="93"/>
      <c r="G346" s="200"/>
      <c r="H346" s="134">
        <f t="shared" ref="H346" si="1009">COUNT($P346:$XX346)</f>
        <v>4</v>
      </c>
      <c r="I346" s="132">
        <f t="shared" ref="I346" si="1010">_xlfn.STDEV.P($P345:$XX346)/AVERAGE($P345:$XX346)</f>
        <v>0.19517106324901687</v>
      </c>
      <c r="J346" s="7">
        <f t="shared" ref="J346" si="1011">IF(AND(H346&gt;2,
OR(L330="MÉDIA SANEADA",L330="MEDIANA SANEADA",
AND(L330="PREÇO ESTIMADO",NOT(AND(P332="Orçamento",COUNTA(P330:XX330)=COUNTIF(P332:XX332,"Orçamento")))))),
ROW(),0)</f>
        <v>346</v>
      </c>
      <c r="K346" s="66"/>
      <c r="N346" s="71"/>
      <c r="O346" s="27" t="str">
        <f t="shared" ref="O346" si="1012">"5 RODADA"</f>
        <v>5 RODADA</v>
      </c>
      <c r="P346" s="107">
        <f t="shared" ref="P346:AI346" si="1013">IF(P344="","",IF((_xlfn.STDEV.P($P343:$XX344)/AVERAGE($P343:$XX344))&lt;=25%,P344,IF(OR(P344&gt;(AVERAGE($P343:$XX344)+_xlfn.STDEV.P($P343:$XX344)),P344&lt;(AVERAGE($P343:$XX344)-_xlfn.STDEV.P($P343:$XX344))),"DESCARTADO",P344)))</f>
        <v>63.475624054943303</v>
      </c>
      <c r="Q346" s="107">
        <f t="shared" si="1013"/>
        <v>61.229129116106108</v>
      </c>
      <c r="R346" s="107">
        <f t="shared" si="1013"/>
        <v>83.246827719844646</v>
      </c>
      <c r="S346" s="107">
        <f t="shared" si="1013"/>
        <v>48.287501792451955</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198"/>
      <c r="F347" s="93"/>
      <c r="G347" s="200"/>
      <c r="H347"/>
      <c r="I347"/>
      <c r="J347"/>
      <c r="K347" s="66"/>
      <c r="L347" s="22"/>
      <c r="M347" s="22"/>
      <c r="N347" s="71"/>
      <c r="O347" s="27" t="str">
        <f t="shared" ref="O347" si="1014">"6 POND"</f>
        <v>6 POND</v>
      </c>
      <c r="P347" s="107">
        <f>IF(IFERROR(VLOOKUP(P332,'Tabela de Apoio'!$D:$E,2,FALSE),1)=1,"",P348)</f>
        <v>63.475624054943303</v>
      </c>
      <c r="Q347" s="107">
        <f>IF(IFERROR(VLOOKUP(Q332,'Tabela de Apoio'!$D:$E,2,FALSE),1)=1,"",Q348)</f>
        <v>61.229129116106108</v>
      </c>
      <c r="R347" s="107">
        <f>IF(IFERROR(VLOOKUP(R332,'Tabela de Apoio'!$D:$E,2,FALSE),1)=1,"",R348)</f>
        <v>83.246827719844646</v>
      </c>
      <c r="S347" s="107">
        <f>IF(IFERROR(VLOOKUP(S332,'Tabela de Apoio'!$D:$E,2,FALSE),1)=1,"",S348)</f>
        <v>48.287501792451955</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198"/>
      <c r="F348" s="93"/>
      <c r="G348" s="200"/>
      <c r="H348" s="134">
        <f t="shared" ref="H348" si="1015">COUNT($P348:$XX348)</f>
        <v>4</v>
      </c>
      <c r="I348" s="132">
        <f t="shared" ref="I348" si="1016">_xlfn.STDEV.P($P347:$XX348)/AVERAGE($P347:$XX348)</f>
        <v>0.19517106324901687</v>
      </c>
      <c r="J348" s="7">
        <f t="shared" ref="J348" si="1017">IF(AND(H348&gt;2,
OR(L330="MÉDIA SANEADA",L330="MEDIANA SANEADA",
AND(L330="PREÇO ESTIMADO",NOT(AND(P332="Orçamento",COUNTA(P330:XX330)=COUNTIF(P332:XX332,"Orçamento")))))),
ROW(),0)</f>
        <v>348</v>
      </c>
      <c r="N348" s="71"/>
      <c r="O348" s="27" t="str">
        <f t="shared" ref="O348" si="1018">"6 RODADA"</f>
        <v>6 RODADA</v>
      </c>
      <c r="P348" s="107">
        <f t="shared" ref="P348:AI348" si="1019">IFERROR(IF(P346="","",IF((_xlfn.STDEV.P($P345:$XX346)/AVERAGE($P345:$XX346))&lt;=25%,P346,IF(OR(P346&gt;(AVERAGE($P345:$XX346)+_xlfn.STDEV.P($P345:$XX346)),P346&lt;(AVERAGE($P345:$XX346)-_xlfn.STDEV.P($P345:$XX346))),"DESCARTADO",P346))),)</f>
        <v>63.475624054943303</v>
      </c>
      <c r="Q348" s="107">
        <f t="shared" si="1019"/>
        <v>61.229129116106108</v>
      </c>
      <c r="R348" s="107">
        <f t="shared" si="1019"/>
        <v>83.246827719844646</v>
      </c>
      <c r="S348" s="107">
        <f t="shared" si="1019"/>
        <v>48.287501792451955</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198"/>
      <c r="F349" s="136"/>
      <c r="G349" s="200"/>
      <c r="H349" s="203" t="s">
        <v>466</v>
      </c>
      <c r="I349" s="203"/>
      <c r="J349" s="204"/>
      <c r="K349" s="67"/>
      <c r="L349" s="1" t="s">
        <v>43</v>
      </c>
      <c r="M349" s="143">
        <f t="shared" ref="M349" si="1020">IFERROR(ROUND(M330*M332,2),"")</f>
        <v>6406</v>
      </c>
      <c r="O349" s="27" t="s">
        <v>363</v>
      </c>
      <c r="P349" s="107">
        <f t="shared" ref="P349:AI370" si="1021">INDEX(P336:P348,MATCH(MAX($J336:$J348),$J336:$J348,0))</f>
        <v>63.475624054943303</v>
      </c>
      <c r="Q349" s="107">
        <f t="shared" si="1021"/>
        <v>61.229129116106108</v>
      </c>
      <c r="R349" s="107">
        <f t="shared" si="1021"/>
        <v>83.246827719844646</v>
      </c>
      <c r="S349" s="107">
        <f t="shared" si="1021"/>
        <v>48.287501792451955</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R39" r:id="rId1" location="polycard_client=search-desktop&amp;be_origin=backend&amp;overlay_label=not_apply&amp;search_layout=grid&amp;position=6&amp;type=product&amp;tracking_id=d79c32bc-491b-46a7-8261-b1b6f59fc4b0&amp;wid=MLB1711394564&amp;sid=search" display="mercadolivre" xr:uid="{2374797E-2519-43C2-A0E1-7E666E721D29}"/>
    <hyperlink ref="S144" r:id="rId2" xr:uid="{2871E084-C036-44C6-AE7F-0DA5A888C419}"/>
    <hyperlink ref="T144" r:id="rId3" xr:uid="{63008154-D239-43E6-A737-90A62D395472}"/>
    <hyperlink ref="Q165" r:id="rId4" xr:uid="{D082A9C9-3784-401A-8F7A-27C923E78BFE}"/>
    <hyperlink ref="R165" r:id="rId5" xr:uid="{BD03D524-2B93-4AD1-8B25-C1FB340C87B4}"/>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6"/>
  <headerFooter alignWithMargins="0"/>
  <drawing r:id="rId7"/>
  <legacyDrawing r:id="rId8"/>
  <mc:AlternateContent xmlns:mc="http://schemas.openxmlformats.org/markup-compatibility/2006">
    <mc:Choice Requires="x14">
      <controls>
        <mc:AlternateContent xmlns:mc="http://schemas.openxmlformats.org/markup-compatibility/2006">
          <mc:Choice Requires="x14">
            <control shapeId="3074" r:id="rId9"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J29" sqref="J29"/>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PROCURADORIA-GERAL DO MUNICÍPIO (PGM)</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1101294</v>
      </c>
      <c r="G8" s="145" t="str">
        <f>IF($B7="","",IF($C8=$C5,IF('BASE EDITAL'!$C$2="",INDEX('MAPA DE PREÇOS'!H:H,MATCH(EDITAL!B8,'MAPA DE PREÇOS'!B:B,0)+1),UPPER(INDEX('BASE EDITAL'!$C:$C,EDITAL!B8+1))),IF($C8=$C6,"Especificação do Objeto","")))</f>
        <v>ACIDO ACETICO 5%, 150ML (USO EXTERNO)</v>
      </c>
      <c r="H8" s="84" t="str">
        <f>IF($B7="","",IF($C8=$C5,INDEX('MAPA DE PREÇOS'!$M:$M,MATCH($B8,'MAPA DE PREÇOS'!$B:$B)-16),IF($C8=$C6,"Unidade","")))</f>
        <v>FR</v>
      </c>
      <c r="I8" s="84">
        <f>IF($B7="","",IF($C8=$C5,INDEX('MAPA DE PREÇOS'!$M:$M,MATCH($B8,'MAPA DE PREÇOS'!$B:$B)-17),IF($C8=$C6,"Quant.","")))</f>
        <v>115</v>
      </c>
      <c r="J8" s="60">
        <f>IF(AND(COUNTBLANK($B5:$B7)=2,$B7="",$B6="",MAX(C:C)&gt;1),"Total Estimado",IF($B7="","",IF($C8=$C5,INDEX('MAPA DE PREÇOS'!$M:$M,MATCH($B8,'MAPA DE PREÇOS'!$B:$B)-19),IF($C8=$C6,"Valor Unit. (R$)",IF(AND($C8&lt;&gt;$C7,$J7&lt;&gt;""),IF(MAX(C:C)=1,"Total Estimado","Subtotal"),"")))))</f>
        <v>22.85</v>
      </c>
      <c r="K8" s="75">
        <f>IFERROR(IF(AND(COUNTBLANK($B5:$B7)=2,$B7="",$B6="",MAX($C:$C)&gt;1),SUM($K$3:K7)/2,IF($B7="","",IF($C8=$C5,ROUND(J8*I8,2),IF($C8=$C6,"Total Item (R$)",IF(AND($C8&lt;&gt;$C7,$J7&lt;&gt;""),SUMIFS(K:K,$C:$C,C7,J:J,"&lt;&gt;Subtotal"),""))))),"")</f>
        <v>2627.75</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1101310</v>
      </c>
      <c r="G9" s="145" t="str">
        <f>IF($B8="","",IF($C9=$C6,IF('BASE EDITAL'!$C$2="",INDEX('MAPA DE PREÇOS'!H:H,MATCH(EDITAL!B9,'MAPA DE PREÇOS'!B:B,0)+1),UPPER(INDEX('BASE EDITAL'!$C:$C,EDITAL!B9+1))),IF($C9=$C7,"Especificação do Objeto","")))</f>
        <v>ÁCIDO TRICLOROACÉTICO 40%, 10ML (USO EXTERNO). INDICAR MARCA.</v>
      </c>
      <c r="H9" s="84" t="str">
        <f>IF($B8="","",IF($C9=$C6,INDEX('MAPA DE PREÇOS'!$M:$M,MATCH($B9,'MAPA DE PREÇOS'!$B:$B)-16),IF($C9=$C7,"Unidade","")))</f>
        <v>FR</v>
      </c>
      <c r="I9" s="84">
        <f>IF($B8="","",IF($C9=$C6,INDEX('MAPA DE PREÇOS'!$M:$M,MATCH($B9,'MAPA DE PREÇOS'!$B:$B)-17),IF($C9=$C7,"Quant.","")))</f>
        <v>80</v>
      </c>
      <c r="J9" s="60">
        <f>IF(AND(COUNTBLANK($B6:$B8)=2,$B8="",$B7="",MAX(C:C)&gt;1),"Total Estimado",IF($B8="","",IF($C9=$C6,INDEX('MAPA DE PREÇOS'!$M:$M,MATCH($B9,'MAPA DE PREÇOS'!$B:$B)-19),IF($C9=$C7,"Valor Unit. (R$)",IF(AND($C9&lt;&gt;$C8,$J8&lt;&gt;""),IF(MAX(C:C)=1,"Total Estimado","Subtotal"),"")))))</f>
        <v>20.99</v>
      </c>
      <c r="K9" s="75">
        <f>IFERROR(IF(AND(COUNTBLANK($B6:$B8)=2,$B8="",$B7="",MAX(C:C)&gt;1),SUM($K$3:K8)/2,IF($B8="","",IF($C9=$C6,ROUND(J9*I9,2),IF($C9=$C7,"Total Item (R$)",IF(AND($C9&lt;&gt;$C8,$J8&lt;&gt;""),SUMIFS(K:K,C:C,C8,J:J,"&lt;&gt;Subtotal"),""))))),"")</f>
        <v>1679.2</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1101674</v>
      </c>
      <c r="G10" s="145" t="str">
        <f>IF($B9="","",IF($C10=$C7,IF('BASE EDITAL'!$C$2="",INDEX('MAPA DE PREÇOS'!H:H,MATCH(EDITAL!B10,'MAPA DE PREÇOS'!B:B,0)+1),UPPER(INDEX('BASE EDITAL'!$C:$C,EDITAL!B10+1))),IF($C10=$C8,"Especificação do Objeto","")))</f>
        <v>ÁCIDO TRICLOROACÉTICO 50%, 10ML (USO EXTERNO). INDICAR MARCA.</v>
      </c>
      <c r="H10" s="84" t="str">
        <f>IF($B9="","",IF($C10=$C7,INDEX('MAPA DE PREÇOS'!$M:$M,MATCH($B10,'MAPA DE PREÇOS'!$B:$B)-16),IF($C10=$C8,"Unidade","")))</f>
        <v>FR</v>
      </c>
      <c r="I10" s="84">
        <f>IF($B9="","",IF($C10=$C7,INDEX('MAPA DE PREÇOS'!$M:$M,MATCH($B10,'MAPA DE PREÇOS'!$B:$B)-17),IF($C10=$C8,"Quant.","")))</f>
        <v>105</v>
      </c>
      <c r="J10" s="60">
        <f>IF(AND(COUNTBLANK($B7:$B9)=2,$B9="",$B8="",MAX(C:C)&gt;1),"Total Estimado",IF($B9="","",IF($C10=$C7,INDEX('MAPA DE PREÇOS'!$M:$M,MATCH($B10,'MAPA DE PREÇOS'!$B:$B)-19),IF($C10=$C8,"Valor Unit. (R$)",IF(AND($C10&lt;&gt;$C9,$J9&lt;&gt;""),IF(MAX(C:C)=1,"Total Estimado","Subtotal"),"")))))</f>
        <v>27.18</v>
      </c>
      <c r="K10" s="75">
        <f>IFERROR(IF(AND(COUNTBLANK($B7:$B9)=2,$B9="",$B8="",MAX(C:C)&gt;1),SUM($K$3:K9)/2,IF($B9="","",IF($C10=$C7,ROUND(J10*I10,2),IF($C10=$C8,"Total Item (R$)",IF(AND($C10&lt;&gt;$C9,$J9&lt;&gt;""),SUMIFS(K:K,C:C,C9,J:J,"&lt;&gt;Subtotal"),""))))),"")</f>
        <v>2853.9</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1101328</v>
      </c>
      <c r="G11" s="145" t="str">
        <f>IF($B10="","",IF($C11=$C8,IF('BASE EDITAL'!$C$2="",INDEX('MAPA DE PREÇOS'!H:H,MATCH(EDITAL!B11,'MAPA DE PREÇOS'!B:B,0)+1),UPPER(INDEX('BASE EDITAL'!$C:$C,EDITAL!B11+1))),IF($C11=$C9,"Especificação do Objeto","")))</f>
        <v>ÁCIDO TRICLOROACÉTICO 80%, 10ML (USO EXTERNO). INDICAR MARCA.</v>
      </c>
      <c r="H11" s="84" t="str">
        <f>IF($B10="","",IF($C11=$C8,INDEX('MAPA DE PREÇOS'!$M:$M,MATCH($B11,'MAPA DE PREÇOS'!$B:$B)-16),IF($C11=$C9,"Unidade","")))</f>
        <v>FR</v>
      </c>
      <c r="I11" s="84">
        <f>IF($B10="","",IF($C11=$C8,INDEX('MAPA DE PREÇOS'!$M:$M,MATCH($B11,'MAPA DE PREÇOS'!$B:$B)-17),IF($C11=$C9,"Quant.","")))</f>
        <v>1100</v>
      </c>
      <c r="J11" s="60">
        <f>IF(AND(COUNTBLANK($B8:$B10)=2,$B10="",$B9="",MAX(C:C)&gt;1),"Total Estimado",IF($B10="","",IF($C11=$C8,INDEX('MAPA DE PREÇOS'!$M:$M,MATCH($B11,'MAPA DE PREÇOS'!$B:$B)-19),IF($C11=$C9,"Valor Unit. (R$)",IF(AND($C11&lt;&gt;$C10,$J10&lt;&gt;""),IF(MAX(C:C)=1,"Total Estimado","Subtotal"),"")))))</f>
        <v>29.58</v>
      </c>
      <c r="K11" s="75">
        <f>IFERROR(IF(AND(COUNTBLANK($B8:$B10)=2,$B10="",$B9="",MAX(C:C)&gt;1),SUM($K$3:K10)/2,IF($B10="","",IF($C11=$C8,ROUND(J11*I11,2),IF($C11=$C9,"Total Item (R$)",IF(AND($C11&lt;&gt;$C10,$J10&lt;&gt;""),SUMIFS(K:K,C:C,C10,J:J,"&lt;&gt;Subtotal"),""))))),"")</f>
        <v>32538</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1101377</v>
      </c>
      <c r="G12" s="145" t="str">
        <f>IF($B11="","",IF($C12=$C9,IF('BASE EDITAL'!$C$2="",INDEX('MAPA DE PREÇOS'!H:H,MATCH(EDITAL!B12,'MAPA DE PREÇOS'!B:B,0)+1),UPPER(INDEX('BASE EDITAL'!$C:$C,EDITAL!B12+1))),IF($C12=$C10,"Especificação do Objeto","")))</f>
        <v>CARVÃO ATIVADO, 25G, PÓ (USO INTERNO)</v>
      </c>
      <c r="H12" s="84" t="str">
        <f>IF($B11="","",IF($C12=$C9,INDEX('MAPA DE PREÇOS'!$M:$M,MATCH($B12,'MAPA DE PREÇOS'!$B:$B)-16),IF($C12=$C10,"Unidade","")))</f>
        <v>FR</v>
      </c>
      <c r="I12" s="84">
        <f>IF($B11="","",IF($C12=$C9,INDEX('MAPA DE PREÇOS'!$M:$M,MATCH($B12,'MAPA DE PREÇOS'!$B:$B)-17),IF($C12=$C10,"Quant.","")))</f>
        <v>610</v>
      </c>
      <c r="J12" s="60">
        <f>IF(AND(COUNTBLANK($B9:$B11)=2,$B11="",$B10="",MAX(C:C)&gt;1),"Total Estimado",IF($B11="","",IF($C12=$C9,INDEX('MAPA DE PREÇOS'!$M:$M,MATCH($B12,'MAPA DE PREÇOS'!$B:$B)-19),IF($C12=$C10,"Valor Unit. (R$)",IF(AND($C12&lt;&gt;$C11,$J11&lt;&gt;""),IF(MAX(C:C)=1,"Total Estimado","Subtotal"),"")))))</f>
        <v>22.91</v>
      </c>
      <c r="K12" s="75">
        <f>IFERROR(IF(AND(COUNTBLANK($B9:$B11)=2,$B11="",$B10="",MAX(C:C)&gt;1),SUM($K$3:K11)/2,IF($B11="","",IF($C12=$C9,ROUND(J12*I12,2),IF($C12=$C10,"Total Item (R$)",IF(AND($C12&lt;&gt;$C11,$J11&lt;&gt;""),SUMIFS(K:K,C:C,C11,J:J,"&lt;&gt;Subtotal"),""))))),"")</f>
        <v>13975.1</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1101435</v>
      </c>
      <c r="G13" s="145" t="str">
        <f>IF($B12="","",IF($C13=$C10,IF('BASE EDITAL'!$C$2="",INDEX('MAPA DE PREÇOS'!H:H,MATCH(EDITAL!B13,'MAPA DE PREÇOS'!B:B,0)+1),UPPER(INDEX('BASE EDITAL'!$C:$C,EDITAL!B13+1))),IF($C13=$C11,"Especificação do Objeto","")))</f>
        <v>HIDROXIDO DE POTASSIO 10%, SOLUCAO AQUOSA, 1LITRO (USO EXTERNO)</v>
      </c>
      <c r="H13" s="84" t="str">
        <f>IF($B12="","",IF($C13=$C10,INDEX('MAPA DE PREÇOS'!$M:$M,MATCH($B13,'MAPA DE PREÇOS'!$B:$B)-16),IF($C13=$C11,"Unidade","")))</f>
        <v>FR</v>
      </c>
      <c r="I13" s="84">
        <f>IF($B12="","",IF($C13=$C10,INDEX('MAPA DE PREÇOS'!$M:$M,MATCH($B13,'MAPA DE PREÇOS'!$B:$B)-17),IF($C13=$C11,"Quant.","")))</f>
        <v>10</v>
      </c>
      <c r="J13" s="60">
        <f>IF(AND(COUNTBLANK($B10:$B12)=2,$B12="",$B11="",MAX(C:C)&gt;1),"Total Estimado",IF($B12="","",IF($C13=$C10,INDEX('MAPA DE PREÇOS'!$M:$M,MATCH($B13,'MAPA DE PREÇOS'!$B:$B)-19),IF($C13=$C11,"Valor Unit. (R$)",IF(AND($C13&lt;&gt;$C12,$J12&lt;&gt;""),IF(MAX(C:C)=1,"Total Estimado","Subtotal"),"")))))</f>
        <v>197.01</v>
      </c>
      <c r="K13" s="75">
        <f>IFERROR(IF(AND(COUNTBLANK($B10:$B12)=2,$B12="",$B11="",MAX(C:C)&gt;1),SUM($K$3:K12)/2,IF($B12="","",IF($C13=$C10,ROUND(J13*I13,2),IF($C13=$C11,"Total Item (R$)",IF(AND($C13&lt;&gt;$C12,$J12&lt;&gt;""),SUMIFS(K:K,C:C,C12,J:J,"&lt;&gt;Subtotal"),""))))),"")</f>
        <v>1970.1</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1101476</v>
      </c>
      <c r="G14" s="145" t="str">
        <f>IF($B13="","",IF($C14=$C11,IF('BASE EDITAL'!$C$2="",INDEX('MAPA DE PREÇOS'!H:H,MATCH(EDITAL!B14,'MAPA DE PREÇOS'!B:B,0)+1),UPPER(INDEX('BASE EDITAL'!$C:$C,EDITAL!B14+1))),IF($C14=$C12,"Especificação do Objeto","")))</f>
        <v>LANETTE + URÉIA 10%, LOÇÃO, 100ML (USO EXTERNO). INDICAR MARCA.</v>
      </c>
      <c r="H14" s="84" t="str">
        <f>IF($B13="","",IF($C14=$C11,INDEX('MAPA DE PREÇOS'!$M:$M,MATCH($B14,'MAPA DE PREÇOS'!$B:$B)-16),IF($C14=$C12,"Unidade","")))</f>
        <v>FR</v>
      </c>
      <c r="I14" s="84">
        <f>IF($B13="","",IF($C14=$C11,INDEX('MAPA DE PREÇOS'!$M:$M,MATCH($B14,'MAPA DE PREÇOS'!$B:$B)-17),IF($C14=$C12,"Quant.","")))</f>
        <v>2850</v>
      </c>
      <c r="J14" s="60">
        <f>IF(AND(COUNTBLANK($B11:$B13)=2,$B13="",$B12="",MAX(C:C)&gt;1),"Total Estimado",IF($B13="","",IF($C14=$C11,INDEX('MAPA DE PREÇOS'!$M:$M,MATCH($B14,'MAPA DE PREÇOS'!$B:$B)-19),IF($C14=$C12,"Valor Unit. (R$)",IF(AND($C14&lt;&gt;$C13,$J13&lt;&gt;""),IF(MAX(C:C)=1,"Total Estimado","Subtotal"),"")))))</f>
        <v>27</v>
      </c>
      <c r="K14" s="75">
        <f>IFERROR(IF(AND(COUNTBLANK($B11:$B13)=2,$B13="",$B12="",MAX(C:C)&gt;1),SUM($K$3:K13)/2,IF($B13="","",IF($C14=$C11,ROUND(J14*I14,2),IF($C14=$C12,"Total Item (R$)",IF(AND($C14&lt;&gt;$C13,$J13&lt;&gt;""),SUMIFS(K:K,C:C,C13,J:J,"&lt;&gt;Subtotal"),""))))),"")</f>
        <v>76950</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1101468</v>
      </c>
      <c r="G15" s="145" t="str">
        <f>IF($B14="","",IF($C15=$C12,IF('BASE EDITAL'!$C$2="",INDEX('MAPA DE PREÇOS'!H:H,MATCH(EDITAL!B15,'MAPA DE PREÇOS'!B:B,0)+1),UPPER(INDEX('BASE EDITAL'!$C:$C,EDITAL!B15+1))),IF($C15=$C13,"Especificação do Objeto","")))</f>
        <v>LANETTE, LOÇÃO, 100ML (USO EXTERNO). INDICAR MARCA.</v>
      </c>
      <c r="H15" s="84" t="str">
        <f>IF($B14="","",IF($C15=$C12,INDEX('MAPA DE PREÇOS'!$M:$M,MATCH($B15,'MAPA DE PREÇOS'!$B:$B)-16),IF($C15=$C13,"Unidade","")))</f>
        <v>FR</v>
      </c>
      <c r="I15" s="84">
        <f>IF($B14="","",IF($C15=$C12,INDEX('MAPA DE PREÇOS'!$M:$M,MATCH($B15,'MAPA DE PREÇOS'!$B:$B)-17),IF($C15=$C13,"Quant.","")))</f>
        <v>2400</v>
      </c>
      <c r="J15" s="60">
        <f>IF(AND(COUNTBLANK($B12:$B14)=2,$B14="",$B13="",MAX(C:C)&gt;1),"Total Estimado",IF($B14="","",IF($C15=$C12,INDEX('MAPA DE PREÇOS'!$M:$M,MATCH($B15,'MAPA DE PREÇOS'!$B:$B)-19),IF($C15=$C13,"Valor Unit. (R$)",IF(AND($C15&lt;&gt;$C14,$J14&lt;&gt;""),IF(MAX(C:C)=1,"Total Estimado","Subtotal"),"")))))</f>
        <v>26.99</v>
      </c>
      <c r="K15" s="75">
        <f>IFERROR(IF(AND(COUNTBLANK($B12:$B14)=2,$B14="",$B13="",MAX(C:C)&gt;1),SUM($K$3:K14)/2,IF($B14="","",IF($C15=$C12,ROUND(J15*I15,2),IF($C15=$C13,"Total Item (R$)",IF(AND($C15&lt;&gt;$C14,$J14&lt;&gt;""),SUMIFS(K:K,C:C,C14,J:J,"&lt;&gt;Subtotal"),""))))),"")</f>
        <v>64776</v>
      </c>
      <c r="L15" s="75" t="str">
        <f t="shared" si="1"/>
        <v/>
      </c>
    </row>
    <row r="16" spans="2:14"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1101492</v>
      </c>
      <c r="G16" s="145" t="str">
        <f>IF($B15="","",IF($C16=$C13,IF('BASE EDITAL'!$C$2="",INDEX('MAPA DE PREÇOS'!H:H,MATCH(EDITAL!B16,'MAPA DE PREÇOS'!B:B,0)+1),UPPER(INDEX('BASE EDITAL'!$C:$C,EDITAL!B16+1))),IF($C16=$C14,"Especificação do Objeto","")))</f>
        <v>NITRATO DE PRATA, BASTAO, 2,5G (USO EXTERNO)</v>
      </c>
      <c r="H16" s="84" t="str">
        <f>IF($B15="","",IF($C16=$C13,INDEX('MAPA DE PREÇOS'!$M:$M,MATCH($B16,'MAPA DE PREÇOS'!$B:$B)-16),IF($C16=$C14,"Unidade","")))</f>
        <v>PC</v>
      </c>
      <c r="I16" s="84">
        <f>IF($B15="","",IF($C16=$C13,INDEX('MAPA DE PREÇOS'!$M:$M,MATCH($B16,'MAPA DE PREÇOS'!$B:$B)-17),IF($C16=$C14,"Quant.","")))</f>
        <v>110</v>
      </c>
      <c r="J16" s="60">
        <f>IF(AND(COUNTBLANK($B13:$B15)=2,$B15="",$B14="",MAX(C:C)&gt;1),"Total Estimado",IF($B15="","",IF($C16=$C13,INDEX('MAPA DE PREÇOS'!$M:$M,MATCH($B16,'MAPA DE PREÇOS'!$B:$B)-19),IF($C16=$C14,"Valor Unit. (R$)",IF(AND($C16&lt;&gt;$C15,$J15&lt;&gt;""),IF(MAX(C:C)=1,"Total Estimado","Subtotal"),"")))))</f>
        <v>22.19</v>
      </c>
      <c r="K16" s="75">
        <f>IFERROR(IF(AND(COUNTBLANK($B13:$B15)=2,$B15="",$B14="",MAX(C:C)&gt;1),SUM($K$3:K15)/2,IF($B15="","",IF($C16=$C13,ROUND(J16*I16,2),IF($C16=$C14,"Total Item (R$)",IF(AND($C16&lt;&gt;$C15,$J15&lt;&gt;""),SUMIFS(K:K,C:C,C15,J:J,"&lt;&gt;Subtotal"),""))))),"")</f>
        <v>2440.9</v>
      </c>
      <c r="L16" s="75" t="str">
        <f t="shared" si="1"/>
        <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1101518</v>
      </c>
      <c r="G17" s="145" t="str">
        <f>IF($B16="","",IF($C17=$C14,IF('BASE EDITAL'!$C$2="",INDEX('MAPA DE PREÇOS'!H:H,MATCH(EDITAL!B17,'MAPA DE PREÇOS'!B:B,0)+1),UPPER(INDEX('BASE EDITAL'!$C:$C,EDITAL!B17+1))),IF($C17=$C15,"Especificação do Objeto","")))</f>
        <v>PERCLORETO FÉRRICO 49%, GEL, 15G (USO EXTERNO). INDICAR MARCA.</v>
      </c>
      <c r="H17" s="84" t="str">
        <f>IF($B16="","",IF($C17=$C14,INDEX('MAPA DE PREÇOS'!$M:$M,MATCH($B17,'MAPA DE PREÇOS'!$B:$B)-16),IF($C17=$C15,"Unidade","")))</f>
        <v>PO</v>
      </c>
      <c r="I17" s="84">
        <f>IF($B16="","",IF($C17=$C14,INDEX('MAPA DE PREÇOS'!$M:$M,MATCH($B17,'MAPA DE PREÇOS'!$B:$B)-17),IF($C17=$C15,"Quant.","")))</f>
        <v>25</v>
      </c>
      <c r="J17" s="60">
        <f>IF(AND(COUNTBLANK($B14:$B16)=2,$B16="",$B15="",MAX(C:C)&gt;1),"Total Estimado",IF($B16="","",IF($C17=$C14,INDEX('MAPA DE PREÇOS'!$M:$M,MATCH($B17,'MAPA DE PREÇOS'!$B:$B)-19),IF($C17=$C15,"Valor Unit. (R$)",IF(AND($C17&lt;&gt;$C16,$J16&lt;&gt;""),IF(MAX(C:C)=1,"Total Estimado","Subtotal"),"")))))</f>
        <v>46.83</v>
      </c>
      <c r="K17" s="75">
        <f>IFERROR(IF(AND(COUNTBLANK($B14:$B16)=2,$B16="",$B15="",MAX(C:C)&gt;1),SUM($K$3:K16)/2,IF($B16="","",IF($C17=$C14,ROUND(J17*I17,2),IF($C17=$C15,"Total Item (R$)",IF(AND($C17&lt;&gt;$C16,$J16&lt;&gt;""),SUMIFS(K:K,C:C,C16,J:J,"&lt;&gt;Subtotal"),""))))),"")</f>
        <v>1170.75</v>
      </c>
      <c r="L17" s="75" t="str">
        <f t="shared" si="1"/>
        <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1101575</v>
      </c>
      <c r="G18" s="145" t="str">
        <f>IF($B17="","",IF($C18=$C15,IF('BASE EDITAL'!$C$2="",INDEX('MAPA DE PREÇOS'!H:H,MATCH(EDITAL!B18,'MAPA DE PREÇOS'!B:B,0)+1),UPPER(INDEX('BASE EDITAL'!$C:$C,EDITAL!B18+1))),IF($C18=$C16,"Especificação do Objeto","")))</f>
        <v>SOLUÇÃO DE SCHILLER, 1 Litro (USO EXTERNO). INDICAR MARCA.</v>
      </c>
      <c r="H18" s="84" t="str">
        <f>IF($B17="","",IF($C18=$C15,INDEX('MAPA DE PREÇOS'!$M:$M,MATCH($B18,'MAPA DE PREÇOS'!$B:$B)-16),IF($C18=$C16,"Unidade","")))</f>
        <v>FR</v>
      </c>
      <c r="I18" s="84">
        <f>IF($B17="","",IF($C18=$C15,INDEX('MAPA DE PREÇOS'!$M:$M,MATCH($B18,'MAPA DE PREÇOS'!$B:$B)-17),IF($C18=$C16,"Quant.","")))</f>
        <v>90</v>
      </c>
      <c r="J18" s="60">
        <f>IF(AND(COUNTBLANK($B15:$B17)=2,$B17="",$B16="",MAX(C:C)&gt;1),"Total Estimado",IF($B17="","",IF($C18=$C15,INDEX('MAPA DE PREÇOS'!$M:$M,MATCH($B18,'MAPA DE PREÇOS'!$B:$B)-19),IF($C18=$C16,"Valor Unit. (R$)",IF(AND($C18&lt;&gt;$C17,$J17&lt;&gt;""),IF(MAX(C:C)=1,"Total Estimado","Subtotal"),"")))))</f>
        <v>136.5</v>
      </c>
      <c r="K18" s="75">
        <f>IFERROR(IF(AND(COUNTBLANK($B15:$B17)=2,$B17="",$B16="",MAX(C:C)&gt;1),SUM($K$3:K17)/2,IF($B17="","",IF($C18=$C15,ROUND(J18*I18,2),IF($C18=$C16,"Total Item (R$)",IF(AND($C18&lt;&gt;$C17,$J17&lt;&gt;""),SUMIFS(K:K,C:C,C17,J:J,"&lt;&gt;Subtotal"),""))))),"")</f>
        <v>12285</v>
      </c>
      <c r="L18" s="75" t="str">
        <f t="shared" si="1"/>
        <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1100536</v>
      </c>
      <c r="G19" s="145" t="str">
        <f>IF($B18="","",IF($C19=$C16,IF('BASE EDITAL'!$C$2="",INDEX('MAPA DE PREÇOS'!H:H,MATCH(EDITAL!B19,'MAPA DE PREÇOS'!B:B,0)+1),UPPER(INDEX('BASE EDITAL'!$C:$C,EDITAL!B19+1))),IF($C19=$C17,"Especificação do Objeto","")))</f>
        <v>AZUL DE METILENO, 2%, 2ML, SOLUÇÃO INJETÁVEL, AMPOLA OU FRASCO-AMPOLA</v>
      </c>
      <c r="H19" s="84" t="str">
        <f>IF($B18="","",IF($C19=$C16,INDEX('MAPA DE PREÇOS'!$M:$M,MATCH($B19,'MAPA DE PREÇOS'!$B:$B)-16),IF($C19=$C17,"Unidade","")))</f>
        <v>FR</v>
      </c>
      <c r="I19" s="84">
        <f>IF($B18="","",IF($C19=$C16,INDEX('MAPA DE PREÇOS'!$M:$M,MATCH($B19,'MAPA DE PREÇOS'!$B:$B)-17),IF($C19=$C17,"Quant.","")))</f>
        <v>200</v>
      </c>
      <c r="J19" s="60">
        <f>IF(AND(COUNTBLANK($B16:$B18)=2,$B18="",$B17="",MAX(C:C)&gt;1),"Total Estimado",IF($B18="","",IF($C19=$C16,INDEX('MAPA DE PREÇOS'!$M:$M,MATCH($B19,'MAPA DE PREÇOS'!$B:$B)-19),IF($C19=$C17,"Valor Unit. (R$)",IF(AND($C19&lt;&gt;$C18,$J18&lt;&gt;""),IF(MAX(C:C)=1,"Total Estimado","Subtotal"),"")))))</f>
        <v>15.95</v>
      </c>
      <c r="K19" s="75">
        <f>IFERROR(IF(AND(COUNTBLANK($B16:$B18)=2,$B18="",$B17="",MAX(C:C)&gt;1),SUM($K$3:K18)/2,IF($B18="","",IF($C19=$C16,ROUND(J19*I19,2),IF($C19=$C17,"Total Item (R$)",IF(AND($C19&lt;&gt;$C18,$J18&lt;&gt;""),SUMIFS(K:K,C:C,C18,J:J,"&lt;&gt;Subtotal"),""))))),"")</f>
        <v>3190</v>
      </c>
      <c r="L19" s="75" t="str">
        <f t="shared" si="1"/>
        <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84806</v>
      </c>
      <c r="G20" s="145" t="str">
        <f>IF($B19="","",IF($C20=$C17,IF('BASE EDITAL'!$C$2="",INDEX('MAPA DE PREÇOS'!H:H,MATCH(EDITAL!B20,'MAPA DE PREÇOS'!B:B,0)+1),UPPER(INDEX('BASE EDITAL'!$C:$C,EDITAL!B20+1))),IF($C20=$C18,"Especificação do Objeto","")))</f>
        <v>AZUL DE METILENO 1%, USO FARMACEUTICO, FRASCO COM 20ML APROX</v>
      </c>
      <c r="H20" s="84" t="str">
        <f>IF($B19="","",IF($C20=$C17,INDEX('MAPA DE PREÇOS'!$M:$M,MATCH($B20,'MAPA DE PREÇOS'!$B:$B)-16),IF($C20=$C18,"Unidade","")))</f>
        <v>FR</v>
      </c>
      <c r="I20" s="84">
        <f>IF($B19="","",IF($C20=$C17,INDEX('MAPA DE PREÇOS'!$M:$M,MATCH($B20,'MAPA DE PREÇOS'!$B:$B)-17),IF($C20=$C18,"Quant.","")))</f>
        <v>100</v>
      </c>
      <c r="J20" s="60">
        <f>IF(AND(COUNTBLANK($B17:$B19)=2,$B19="",$B18="",MAX(C:C)&gt;1),"Total Estimado",IF($B19="","",IF($C20=$C17,INDEX('MAPA DE PREÇOS'!$M:$M,MATCH($B20,'MAPA DE PREÇOS'!$B:$B)-19),IF($C20=$C18,"Valor Unit. (R$)",IF(AND($C20&lt;&gt;$C19,$J19&lt;&gt;""),IF(MAX(C:C)=1,"Total Estimado","Subtotal"),"")))))</f>
        <v>25.34</v>
      </c>
      <c r="K20" s="75">
        <f>IFERROR(IF(AND(COUNTBLANK($B17:$B19)=2,$B19="",$B18="",MAX(C:C)&gt;1),SUM($K$3:K19)/2,IF($B19="","",IF($C20=$C17,ROUND(J20*I20,2),IF($C20=$C18,"Total Item (R$)",IF(AND($C20&lt;&gt;$C19,$J19&lt;&gt;""),SUMIFS(K:K,C:C,C19,J:J,"&lt;&gt;Subtotal"),""))))),"")</f>
        <v>2534</v>
      </c>
      <c r="L20" s="75" t="str">
        <f t="shared" si="1"/>
        <v/>
      </c>
    </row>
    <row r="21" spans="2:12"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1101658</v>
      </c>
      <c r="G21" s="145" t="str">
        <f>IF($B20="","",IF($C21=$C18,IF('BASE EDITAL'!$C$2="",INDEX('MAPA DE PREÇOS'!H:H,MATCH(EDITAL!B21,'MAPA DE PREÇOS'!B:B,0)+1),UPPER(INDEX('BASE EDITAL'!$C:$C,EDITAL!B21+1))),IF($C21=$C19,"Especificação do Objeto","")))</f>
        <v>FENILEFRINA 2,5% + TROPICAMIDA 0,5%, 5 ML, COLÍRIO, FRASCO</v>
      </c>
      <c r="H21" s="84" t="str">
        <f>IF($B20="","",IF($C21=$C18,INDEX('MAPA DE PREÇOS'!$M:$M,MATCH($B21,'MAPA DE PREÇOS'!$B:$B)-16),IF($C21=$C19,"Unidade","")))</f>
        <v>FR</v>
      </c>
      <c r="I21" s="84">
        <f>IF($B20="","",IF($C21=$C18,INDEX('MAPA DE PREÇOS'!$M:$M,MATCH($B21,'MAPA DE PREÇOS'!$B:$B)-17),IF($C21=$C19,"Quant.","")))</f>
        <v>15</v>
      </c>
      <c r="J21" s="60">
        <f>IF(AND(COUNTBLANK($B18:$B20)=2,$B20="",$B19="",MAX(C:C)&gt;1),"Total Estimado",IF($B20="","",IF($C21=$C18,INDEX('MAPA DE PREÇOS'!$M:$M,MATCH($B21,'MAPA DE PREÇOS'!$B:$B)-19),IF($C21=$C19,"Valor Unit. (R$)",IF(AND($C21&lt;&gt;$C20,$J20&lt;&gt;""),IF(MAX(C:C)=1,"Total Estimado","Subtotal"),"")))))</f>
        <v>80.650000000000006</v>
      </c>
      <c r="K21" s="75">
        <f>IFERROR(IF(AND(COUNTBLANK($B18:$B20)=2,$B20="",$B19="",MAX(C:C)&gt;1),SUM($K$3:K20)/2,IF($B20="","",IF($C21=$C18,ROUND(J21*I21,2),IF($C21=$C19,"Total Item (R$)",IF(AND($C21&lt;&gt;$C20,$J20&lt;&gt;""),SUMIFS(K:K,C:C,C20,J:J,"&lt;&gt;Subtotal"),""))))),"")</f>
        <v>1209.75</v>
      </c>
      <c r="L21" s="75" t="str">
        <f t="shared" si="1"/>
        <v/>
      </c>
    </row>
    <row r="22" spans="2:12"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1079672</v>
      </c>
      <c r="G22" s="145" t="str">
        <f>IF($B21="","",IF($C22=$C19,IF('BASE EDITAL'!$C$2="",INDEX('MAPA DE PREÇOS'!H:H,MATCH(EDITAL!B22,'MAPA DE PREÇOS'!B:B,0)+1),UPPER(INDEX('BASE EDITAL'!$C:$C,EDITAL!B22+1))),IF($C22=$C20,"Especificação do Objeto","")))</f>
        <v>ALPROSTADIL 20MCG/ML, AMPOLA, 1ML</v>
      </c>
      <c r="H22" s="84" t="str">
        <f>IF($B21="","",IF($C22=$C19,INDEX('MAPA DE PREÇOS'!$M:$M,MATCH($B22,'MAPA DE PREÇOS'!$B:$B)-16),IF($C22=$C20,"Unidade","")))</f>
        <v>AM</v>
      </c>
      <c r="I22" s="84">
        <f>IF($B21="","",IF($C22=$C19,INDEX('MAPA DE PREÇOS'!$M:$M,MATCH($B22,'MAPA DE PREÇOS'!$B:$B)-17),IF($C22=$C20,"Quant.","")))</f>
        <v>200</v>
      </c>
      <c r="J22" s="60">
        <f>IF(AND(COUNTBLANK($B19:$B21)=2,$B21="",$B20="",MAX(C:C)&gt;1),"Total Estimado",IF($B21="","",IF($C22=$C19,INDEX('MAPA DE PREÇOS'!$M:$M,MATCH($B22,'MAPA DE PREÇOS'!$B:$B)-19),IF($C22=$C20,"Valor Unit. (R$)",IF(AND($C22&lt;&gt;$C21,$J21&lt;&gt;""),IF(MAX(C:C)=1,"Total Estimado","Subtotal"),"")))))</f>
        <v>62.44</v>
      </c>
      <c r="K22" s="75">
        <f>IFERROR(IF(AND(COUNTBLANK($B19:$B21)=2,$B21="",$B20="",MAX(C:C)&gt;1),SUM($K$3:K21)/2,IF($B21="","",IF($C22=$C19,ROUND(J22*I22,2),IF($C22=$C20,"Total Item (R$)",IF(AND($C22&lt;&gt;$C21,$J21&lt;&gt;""),SUMIFS(K:K,C:C,C21,J:J,"&lt;&gt;Subtotal"),""))))),"")</f>
        <v>12488</v>
      </c>
      <c r="L22" s="75" t="str">
        <f t="shared" si="1"/>
        <v/>
      </c>
    </row>
    <row r="23" spans="2:12"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2013492</v>
      </c>
      <c r="G23" s="145" t="str">
        <f>IF($B22="","",IF($C23=$C20,IF('BASE EDITAL'!$C$2="",INDEX('MAPA DE PREÇOS'!H:H,MATCH(EDITAL!B23,'MAPA DE PREÇOS'!B:B,0)+1),UPPER(INDEX('BASE EDITAL'!$C:$C,EDITAL!B23+1))),IF($C23=$C21,"Especificação do Objeto","")))</f>
        <v>IODOPOVIDONA 2,5% + VEÍCULO ESTÉRIL QSP 10ML, SOLUÇÃO OFTÁLMICA, FRASCO</v>
      </c>
      <c r="H23" s="84" t="str">
        <f>IF($B22="","",IF($C23=$C20,INDEX('MAPA DE PREÇOS'!$M:$M,MATCH($B23,'MAPA DE PREÇOS'!$B:$B)-16),IF($C23=$C21,"Unidade","")))</f>
        <v>FR</v>
      </c>
      <c r="I23" s="84">
        <f>IF($B22="","",IF($C23=$C20,INDEX('MAPA DE PREÇOS'!$M:$M,MATCH($B23,'MAPA DE PREÇOS'!$B:$B)-17),IF($C23=$C21,"Quant.","")))</f>
        <v>100</v>
      </c>
      <c r="J23" s="60">
        <f>IF(AND(COUNTBLANK($B20:$B22)=2,$B22="",$B21="",MAX(C:C)&gt;1),"Total Estimado",IF($B22="","",IF($C23=$C20,INDEX('MAPA DE PREÇOS'!$M:$M,MATCH($B23,'MAPA DE PREÇOS'!$B:$B)-19),IF($C23=$C21,"Valor Unit. (R$)",IF(AND($C23&lt;&gt;$C22,$J22&lt;&gt;""),IF(MAX(C:C)=1,"Total Estimado","Subtotal"),"")))))</f>
        <v>64.06</v>
      </c>
      <c r="K23" s="75">
        <f>IFERROR(IF(AND(COUNTBLANK($B20:$B22)=2,$B22="",$B21="",MAX(C:C)&gt;1),SUM($K$3:K22)/2,IF($B22="","",IF($C23=$C20,ROUND(J23*I23,2),IF($C23=$C21,"Total Item (R$)",IF(AND($C23&lt;&gt;$C22,$J22&lt;&gt;""),SUMIFS(K:K,C:C,C22,J:J,"&lt;&gt;Subtotal"),""))))),"")</f>
        <v>6406</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Total Estimado</v>
      </c>
      <c r="K24" s="75">
        <f>IFERROR(IF(AND(COUNTBLANK($B21:$B23)=2,$B23="",$B22="",MAX(C:C)&gt;1),SUM($K$3:K23)/2,IF($B23="","",IF($C24=$C21,ROUND(J24*I24,2),IF($C24=$C22,"Total Item (R$)",IF(AND($C24&lt;&gt;$C23,$J23&lt;&gt;""),SUMIFS(K:K,C:C,C23,J:J,"&lt;&gt;Subtotal"),""))))),"")</f>
        <v>239094.44999999998</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PROCURADORIA-GERAL DO MUNICÍPIO (PGM)</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1101294</v>
      </c>
      <c r="G8" s="83" t="str">
        <f>IF($B7="","",IF($C8=$C5,IF('BASE EDITAL'!$C$2="",INDEX('MAPA DE PREÇOS'!H:H,MATCH(EDITAL!B8,'MAPA DE PREÇOS'!B:B,0)+1),UPPER(INDEX('BASE EDITAL'!$C:$C,EDITAL!B8+1))),IF($C8=$C6,"Especificação do Objeto","")))</f>
        <v>ACIDO ACETICO 5%, 150ML (USO EXTERNO)</v>
      </c>
      <c r="H8" s="84" t="str">
        <f>IF($B7="","",IF($C8=$C5,INDEX('MAPA DE PREÇOS'!$M:$M,MATCH($B8,'MAPA DE PREÇOS'!$B:$B)-16),IF($C8=$C6,"Unidade","")))</f>
        <v>FR</v>
      </c>
      <c r="I8" s="84">
        <f>IF($B7="","",IF($C8=$C5,INDEX('MAPA DE PREÇOS'!$M:$M,MATCH($B8,'MAPA DE PREÇOS'!$B:$B)-17),IF($C8=$C6,"Quant.","")))</f>
        <v>115</v>
      </c>
      <c r="J8" s="60">
        <f>IF(J7="Total Mensal","Total Acumulado",IF($B7="","",IF($C8=$C5,INDEX('MAPA DE PREÇOS'!$M:$M,MATCH($B8,'MAPA DE PREÇOS'!$B:$B)-19),IF($C8=$C6,"Valor Unit. (R$)",IF(AND($C8&lt;&gt;$C7,$J7&lt;&gt;""),"Total Mensal","")))))</f>
        <v>22.85</v>
      </c>
      <c r="K8" s="75">
        <f>IF(J8="","",IF(J8="Total Mensal","-",IF(J8="Total Acumulado",SUM(K$7:K7),I8*J8)))</f>
        <v>2627.75</v>
      </c>
      <c r="L8" s="112">
        <f>IF(J8="","",IF(J8="Total Mensal","-",IF(J8="Total Acumulado",SUM(L$7:L7),K8/SUMIF(J:J,"Total Acumulado",K:K))))</f>
        <v>1.099042658664808E-2</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1101310</v>
      </c>
      <c r="G9" s="83" t="str">
        <f>IF($B8="","",IF($C9=$C6,IF('BASE EDITAL'!$C$2="",INDEX('MAPA DE PREÇOS'!H:H,MATCH(EDITAL!B9,'MAPA DE PREÇOS'!B:B,0)+1),UPPER(INDEX('BASE EDITAL'!$C:$C,EDITAL!B9+1))),IF($C9=$C7,"Especificação do Objeto","")))</f>
        <v>ÁCIDO TRICLOROACÉTICO 40%, 10ML (USO EXTERNO). INDICAR MARCA.</v>
      </c>
      <c r="H9" s="84" t="str">
        <f>IF($B8="","",IF($C9=$C6,INDEX('MAPA DE PREÇOS'!$M:$M,MATCH($B9,'MAPA DE PREÇOS'!$B:$B)-16),IF($C9=$C7,"Unidade","")))</f>
        <v>FR</v>
      </c>
      <c r="I9" s="84">
        <f>IF($B8="","",IF($C9=$C6,INDEX('MAPA DE PREÇOS'!$M:$M,MATCH($B9,'MAPA DE PREÇOS'!$B:$B)-17),IF($C9=$C7,"Quant.","")))</f>
        <v>80</v>
      </c>
      <c r="J9" s="60">
        <f>IF(J8="Total Mensal","Total Acumulado",IF($B8="","",IF($C9=$C6,INDEX('MAPA DE PREÇOS'!$M:$M,MATCH($B9,'MAPA DE PREÇOS'!$B:$B)-19),IF($C9=$C7,"Valor Unit. (R$)",IF(AND($C9&lt;&gt;$C8,$J8&lt;&gt;""),"Total Mensal","")))))</f>
        <v>20.99</v>
      </c>
      <c r="K9" s="75">
        <f>IF(J9="","",IF(J9="Total Mensal","-",IF(J9="Total Acumulado",SUM(K$7:K8),I9*J9)))</f>
        <v>1679.1999999999998</v>
      </c>
      <c r="L9" s="112">
        <f>IF(J9="","",IF(J9="Total Mensal","-",IF(J9="Total Acumulado",SUM(L$7:L8),K9/SUMIF(J:J,"Total Acumulado",K:K))))</f>
        <v>7.0231659496905931E-3</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1101674</v>
      </c>
      <c r="G10" s="83" t="str">
        <f>IF($B9="","",IF($C10=$C7,IF('BASE EDITAL'!$C$2="",INDEX('MAPA DE PREÇOS'!H:H,MATCH(EDITAL!B10,'MAPA DE PREÇOS'!B:B,0)+1),UPPER(INDEX('BASE EDITAL'!$C:$C,EDITAL!B10+1))),IF($C10=$C8,"Especificação do Objeto","")))</f>
        <v>ÁCIDO TRICLOROACÉTICO 50%, 10ML (USO EXTERNO). INDICAR MARCA.</v>
      </c>
      <c r="H10" s="84" t="str">
        <f>IF($B9="","",IF($C10=$C7,INDEX('MAPA DE PREÇOS'!$M:$M,MATCH($B10,'MAPA DE PREÇOS'!$B:$B)-16),IF($C10=$C8,"Unidade","")))</f>
        <v>FR</v>
      </c>
      <c r="I10" s="84">
        <f>IF($B9="","",IF($C10=$C7,INDEX('MAPA DE PREÇOS'!$M:$M,MATCH($B10,'MAPA DE PREÇOS'!$B:$B)-17),IF($C10=$C8,"Quant.","")))</f>
        <v>105</v>
      </c>
      <c r="J10" s="60">
        <f>IF(J9="Total Mensal","Total Acumulado",IF($B9="","",IF($C10=$C7,INDEX('MAPA DE PREÇOS'!$M:$M,MATCH($B10,'MAPA DE PREÇOS'!$B:$B)-19),IF($C10=$C8,"Valor Unit. (R$)",IF(AND($C10&lt;&gt;$C9,$J9&lt;&gt;""),"Total Mensal","")))))</f>
        <v>27.18</v>
      </c>
      <c r="K10" s="75">
        <f>IF(J10="","",IF(J10="Total Mensal","-",IF(J10="Total Acumulado",SUM(K$7:K9),I10*J10)))</f>
        <v>2853.9</v>
      </c>
      <c r="L10" s="112">
        <f>IF(J10="","",IF(J10="Total Mensal","-",IF(J10="Total Acumulado",SUM(L$7:L9),K10/SUMIF(J:J,"Total Acumulado",K:K))))</f>
        <v>1.1936287103276551E-2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1101328</v>
      </c>
      <c r="G11" s="83" t="str">
        <f>IF($B10="","",IF($C11=$C8,IF('BASE EDITAL'!$C$2="",INDEX('MAPA DE PREÇOS'!H:H,MATCH(EDITAL!B11,'MAPA DE PREÇOS'!B:B,0)+1),UPPER(INDEX('BASE EDITAL'!$C:$C,EDITAL!B11+1))),IF($C11=$C9,"Especificação do Objeto","")))</f>
        <v>ÁCIDO TRICLOROACÉTICO 80%, 10ML (USO EXTERNO). INDICAR MARCA.</v>
      </c>
      <c r="H11" s="84" t="str">
        <f>IF($B10="","",IF($C11=$C8,INDEX('MAPA DE PREÇOS'!$M:$M,MATCH($B11,'MAPA DE PREÇOS'!$B:$B)-16),IF($C11=$C9,"Unidade","")))</f>
        <v>FR</v>
      </c>
      <c r="I11" s="84">
        <f>IF($B10="","",IF($C11=$C8,INDEX('MAPA DE PREÇOS'!$M:$M,MATCH($B11,'MAPA DE PREÇOS'!$B:$B)-17),IF($C11=$C9,"Quant.","")))</f>
        <v>1100</v>
      </c>
      <c r="J11" s="60">
        <f>IF(J10="Total Mensal","Total Acumulado",IF($B10="","",IF($C11=$C8,INDEX('MAPA DE PREÇOS'!$M:$M,MATCH($B11,'MAPA DE PREÇOS'!$B:$B)-19),IF($C11=$C9,"Valor Unit. (R$)",IF(AND($C11&lt;&gt;$C10,$J10&lt;&gt;""),"Total Mensal","")))))</f>
        <v>29.58</v>
      </c>
      <c r="K11" s="75">
        <f>IF(J11="","",IF(J11="Total Mensal","-",IF(J11="Total Acumulado",SUM(K$7:K10),I11*J11)))</f>
        <v>32537.999999999996</v>
      </c>
      <c r="L11" s="112">
        <f>IF(J11="","",IF(J11="Total Mensal","-",IF(J11="Total Acumulado",SUM(L$7:L10),K11/SUMIF(J:J,"Total Acumulado",K:K))))</f>
        <v>0.1360884788417297</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1101377</v>
      </c>
      <c r="G12" s="83" t="str">
        <f>IF($B11="","",IF($C12=$C9,IF('BASE EDITAL'!$C$2="",INDEX('MAPA DE PREÇOS'!H:H,MATCH(EDITAL!B12,'MAPA DE PREÇOS'!B:B,0)+1),UPPER(INDEX('BASE EDITAL'!$C:$C,EDITAL!B12+1))),IF($C12=$C10,"Especificação do Objeto","")))</f>
        <v>CARVÃO ATIVADO, 25G, PÓ (USO INTERNO)</v>
      </c>
      <c r="H12" s="84" t="str">
        <f>IF($B11="","",IF($C12=$C9,INDEX('MAPA DE PREÇOS'!$M:$M,MATCH($B12,'MAPA DE PREÇOS'!$B:$B)-16),IF($C12=$C10,"Unidade","")))</f>
        <v>FR</v>
      </c>
      <c r="I12" s="84">
        <f>IF($B11="","",IF($C12=$C9,INDEX('MAPA DE PREÇOS'!$M:$M,MATCH($B12,'MAPA DE PREÇOS'!$B:$B)-17),IF($C12=$C10,"Quant.","")))</f>
        <v>610</v>
      </c>
      <c r="J12" s="60">
        <f>IF(J11="Total Mensal","Total Acumulado",IF($B11="","",IF($C12=$C9,INDEX('MAPA DE PREÇOS'!$M:$M,MATCH($B12,'MAPA DE PREÇOS'!$B:$B)-19),IF($C12=$C10,"Valor Unit. (R$)",IF(AND($C12&lt;&gt;$C11,$J11&lt;&gt;""),"Total Mensal","")))))</f>
        <v>22.91</v>
      </c>
      <c r="K12" s="75">
        <f>IF(J12="","",IF(J12="Total Mensal","-",IF(J12="Total Acumulado",SUM(K$7:K11),I12*J12)))</f>
        <v>13975.1</v>
      </c>
      <c r="L12" s="112">
        <f>IF(J12="","",IF(J12="Total Mensal","-",IF(J12="Total Acumulado",SUM(L$7:L11),K12/SUMIF(J:J,"Total Acumulado",K:K))))</f>
        <v>5.845012295350227E-2</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1101435</v>
      </c>
      <c r="G13" s="83" t="str">
        <f>IF($B12="","",IF($C13=$C10,IF('BASE EDITAL'!$C$2="",INDEX('MAPA DE PREÇOS'!H:H,MATCH(EDITAL!B13,'MAPA DE PREÇOS'!B:B,0)+1),UPPER(INDEX('BASE EDITAL'!$C:$C,EDITAL!B13+1))),IF($C13=$C11,"Especificação do Objeto","")))</f>
        <v>HIDROXIDO DE POTASSIO 10%, SOLUCAO AQUOSA, 1LITRO (USO EXTERNO)</v>
      </c>
      <c r="H13" s="84" t="str">
        <f>IF($B12="","",IF($C13=$C10,INDEX('MAPA DE PREÇOS'!$M:$M,MATCH($B13,'MAPA DE PREÇOS'!$B:$B)-16),IF($C13=$C11,"Unidade","")))</f>
        <v>FR</v>
      </c>
      <c r="I13" s="84">
        <f>IF($B12="","",IF($C13=$C10,INDEX('MAPA DE PREÇOS'!$M:$M,MATCH($B13,'MAPA DE PREÇOS'!$B:$B)-17),IF($C13=$C11,"Quant.","")))</f>
        <v>10</v>
      </c>
      <c r="J13" s="60">
        <f>IF(J12="Total Mensal","Total Acumulado",IF($B12="","",IF($C13=$C10,INDEX('MAPA DE PREÇOS'!$M:$M,MATCH($B13,'MAPA DE PREÇOS'!$B:$B)-19),IF($C13=$C11,"Valor Unit. (R$)",IF(AND($C13&lt;&gt;$C12,$J12&lt;&gt;""),"Total Mensal","")))))</f>
        <v>197.01</v>
      </c>
      <c r="K13" s="75">
        <f>IF(J13="","",IF(J13="Total Mensal","-",IF(J13="Total Acumulado",SUM(K$7:K12),I13*J13)))</f>
        <v>1970.1</v>
      </c>
      <c r="L13" s="112">
        <f>IF(J13="","",IF(J13="Total Mensal","-",IF(J13="Total Acumulado",SUM(L$7:L12),K13/SUMIF(J:J,"Total Acumulado",K:K))))</f>
        <v>8.2398399460966165E-3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1101476</v>
      </c>
      <c r="G14" s="83" t="str">
        <f>IF($B13="","",IF($C14=$C11,IF('BASE EDITAL'!$C$2="",INDEX('MAPA DE PREÇOS'!H:H,MATCH(EDITAL!B14,'MAPA DE PREÇOS'!B:B,0)+1),UPPER(INDEX('BASE EDITAL'!$C:$C,EDITAL!B14+1))),IF($C14=$C12,"Especificação do Objeto","")))</f>
        <v>LANETTE + URÉIA 10%, LOÇÃO, 100ML (USO EXTERNO). INDICAR MARCA.</v>
      </c>
      <c r="H14" s="84" t="str">
        <f>IF($B13="","",IF($C14=$C11,INDEX('MAPA DE PREÇOS'!$M:$M,MATCH($B14,'MAPA DE PREÇOS'!$B:$B)-16),IF($C14=$C12,"Unidade","")))</f>
        <v>FR</v>
      </c>
      <c r="I14" s="84">
        <f>IF($B13="","",IF($C14=$C11,INDEX('MAPA DE PREÇOS'!$M:$M,MATCH($B14,'MAPA DE PREÇOS'!$B:$B)-17),IF($C14=$C12,"Quant.","")))</f>
        <v>2850</v>
      </c>
      <c r="J14" s="60">
        <f>IF(J13="Total Mensal","Total Acumulado",IF($B13="","",IF($C14=$C11,INDEX('MAPA DE PREÇOS'!$M:$M,MATCH($B14,'MAPA DE PREÇOS'!$B:$B)-19),IF($C14=$C12,"Valor Unit. (R$)",IF(AND($C14&lt;&gt;$C13,$J13&lt;&gt;""),"Total Mensal","")))))</f>
        <v>27</v>
      </c>
      <c r="K14" s="75">
        <f>IF(J14="","",IF(J14="Total Mensal","-",IF(J14="Total Acumulado",SUM(K$7:K13),I14*J14)))</f>
        <v>76950</v>
      </c>
      <c r="L14" s="112">
        <f>IF(J14="","",IF(J14="Total Mensal","-",IF(J14="Total Acumulado",SUM(L$7:L13),K14/SUMIF(J:J,"Total Acumulado",K:K))))</f>
        <v>0.32183934005996379</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1101468</v>
      </c>
      <c r="G15" s="83" t="str">
        <f>IF($B14="","",IF($C15=$C12,IF('BASE EDITAL'!$C$2="",INDEX('MAPA DE PREÇOS'!H:H,MATCH(EDITAL!B15,'MAPA DE PREÇOS'!B:B,0)+1),UPPER(INDEX('BASE EDITAL'!$C:$C,EDITAL!B15+1))),IF($C15=$C13,"Especificação do Objeto","")))</f>
        <v>LANETTE, LOÇÃO, 100ML (USO EXTERNO). INDICAR MARCA.</v>
      </c>
      <c r="H15" s="84" t="str">
        <f>IF($B14="","",IF($C15=$C12,INDEX('MAPA DE PREÇOS'!$M:$M,MATCH($B15,'MAPA DE PREÇOS'!$B:$B)-16),IF($C15=$C13,"Unidade","")))</f>
        <v>FR</v>
      </c>
      <c r="I15" s="84">
        <f>IF($B14="","",IF($C15=$C12,INDEX('MAPA DE PREÇOS'!$M:$M,MATCH($B15,'MAPA DE PREÇOS'!$B:$B)-17),IF($C15=$C13,"Quant.","")))</f>
        <v>2400</v>
      </c>
      <c r="J15" s="60">
        <f>IF(J14="Total Mensal","Total Acumulado",IF($B14="","",IF($C15=$C12,INDEX('MAPA DE PREÇOS'!$M:$M,MATCH($B15,'MAPA DE PREÇOS'!$B:$B)-19),IF($C15=$C13,"Valor Unit. (R$)",IF(AND($C15&lt;&gt;$C14,$J14&lt;&gt;""),"Total Mensal","")))))</f>
        <v>26.99</v>
      </c>
      <c r="K15" s="75">
        <f>IF(J15="","",IF(J15="Total Mensal","-",IF(J15="Total Acumulado",SUM(K$7:K14),I15*J15)))</f>
        <v>64775.999999999993</v>
      </c>
      <c r="L15" s="112">
        <f>IF(J15="","",IF(J15="Total Mensal","-",IF(J15="Total Acumulado",SUM(L$7:L14),K15/SUMIF(J:J,"Total Acumulado",K:K))))</f>
        <v>0.27092222341421979</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1101492</v>
      </c>
      <c r="G16" s="83" t="str">
        <f>IF($B15="","",IF($C16=$C13,IF('BASE EDITAL'!$C$2="",INDEX('MAPA DE PREÇOS'!H:H,MATCH(EDITAL!B16,'MAPA DE PREÇOS'!B:B,0)+1),UPPER(INDEX('BASE EDITAL'!$C:$C,EDITAL!B16+1))),IF($C16=$C14,"Especificação do Objeto","")))</f>
        <v>NITRATO DE PRATA, BASTAO, 2,5G (USO EXTERNO)</v>
      </c>
      <c r="H16" s="84" t="str">
        <f>IF($B15="","",IF($C16=$C13,INDEX('MAPA DE PREÇOS'!$M:$M,MATCH($B16,'MAPA DE PREÇOS'!$B:$B)-16),IF($C16=$C14,"Unidade","")))</f>
        <v>PC</v>
      </c>
      <c r="I16" s="84">
        <f>IF($B15="","",IF($C16=$C13,INDEX('MAPA DE PREÇOS'!$M:$M,MATCH($B16,'MAPA DE PREÇOS'!$B:$B)-17),IF($C16=$C14,"Quant.","")))</f>
        <v>110</v>
      </c>
      <c r="J16" s="60">
        <f>IF(J15="Total Mensal","Total Acumulado",IF($B15="","",IF($C16=$C13,INDEX('MAPA DE PREÇOS'!$M:$M,MATCH($B16,'MAPA DE PREÇOS'!$B:$B)-19),IF($C16=$C14,"Valor Unit. (R$)",IF(AND($C16&lt;&gt;$C15,$J15&lt;&gt;""),"Total Mensal","")))))</f>
        <v>22.19</v>
      </c>
      <c r="K16" s="75">
        <f>IF(J16="","",IF(J16="Total Mensal","-",IF(J16="Total Acumulado",SUM(K$7:K15),I16*J16)))</f>
        <v>2440.9</v>
      </c>
      <c r="L16" s="112">
        <f>IF(J16="","",IF(J16="Total Mensal","-",IF(J16="Total Acumulado",SUM(L$7:L15),K16/SUMIF(J:J,"Total Acumulado",K:K))))</f>
        <v>1.0208936259290001E-2</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1101518</v>
      </c>
      <c r="G17" s="83" t="str">
        <f>IF($B16="","",IF($C17=$C14,IF('BASE EDITAL'!$C$2="",INDEX('MAPA DE PREÇOS'!H:H,MATCH(EDITAL!B17,'MAPA DE PREÇOS'!B:B,0)+1),UPPER(INDEX('BASE EDITAL'!$C:$C,EDITAL!B17+1))),IF($C17=$C15,"Especificação do Objeto","")))</f>
        <v>PERCLORETO FÉRRICO 49%, GEL, 15G (USO EXTERNO). INDICAR MARCA.</v>
      </c>
      <c r="H17" s="84" t="str">
        <f>IF($B16="","",IF($C17=$C14,INDEX('MAPA DE PREÇOS'!$M:$M,MATCH($B17,'MAPA DE PREÇOS'!$B:$B)-16),IF($C17=$C15,"Unidade","")))</f>
        <v>PO</v>
      </c>
      <c r="I17" s="84">
        <f>IF($B16="","",IF($C17=$C14,INDEX('MAPA DE PREÇOS'!$M:$M,MATCH($B17,'MAPA DE PREÇOS'!$B:$B)-17),IF($C17=$C15,"Quant.","")))</f>
        <v>25</v>
      </c>
      <c r="J17" s="60">
        <f>IF(J16="Total Mensal","Total Acumulado",IF($B16="","",IF($C17=$C14,INDEX('MAPA DE PREÇOS'!$M:$M,MATCH($B17,'MAPA DE PREÇOS'!$B:$B)-19),IF($C17=$C15,"Valor Unit. (R$)",IF(AND($C17&lt;&gt;$C16,$J16&lt;&gt;""),"Total Mensal","")))))</f>
        <v>46.83</v>
      </c>
      <c r="K17" s="75">
        <f>IF(J17="","",IF(J17="Total Mensal","-",IF(J17="Total Acumulado",SUM(K$7:K16),I17*J17)))</f>
        <v>1170.75</v>
      </c>
      <c r="L17" s="112">
        <f>IF(J17="","",IF(J17="Total Mensal","-",IF(J17="Total Acumulado",SUM(L$7:L16),K17/SUMIF(J:J,"Total Acumulado",K:K))))</f>
        <v>4.8966004857076357E-3</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1101575</v>
      </c>
      <c r="G18" s="83" t="str">
        <f>IF($B17="","",IF($C18=$C15,IF('BASE EDITAL'!$C$2="",INDEX('MAPA DE PREÇOS'!H:H,MATCH(EDITAL!B18,'MAPA DE PREÇOS'!B:B,0)+1),UPPER(INDEX('BASE EDITAL'!$C:$C,EDITAL!B18+1))),IF($C18=$C16,"Especificação do Objeto","")))</f>
        <v>SOLUÇÃO DE SCHILLER, 1 Litro (USO EXTERNO). INDICAR MARCA.</v>
      </c>
      <c r="H18" s="84" t="str">
        <f>IF($B17="","",IF($C18=$C15,INDEX('MAPA DE PREÇOS'!$M:$M,MATCH($B18,'MAPA DE PREÇOS'!$B:$B)-16),IF($C18=$C16,"Unidade","")))</f>
        <v>FR</v>
      </c>
      <c r="I18" s="84">
        <f>IF($B17="","",IF($C18=$C15,INDEX('MAPA DE PREÇOS'!$M:$M,MATCH($B18,'MAPA DE PREÇOS'!$B:$B)-17),IF($C18=$C16,"Quant.","")))</f>
        <v>90</v>
      </c>
      <c r="J18" s="60">
        <f>IF(J17="Total Mensal","Total Acumulado",IF($B17="","",IF($C18=$C15,INDEX('MAPA DE PREÇOS'!$M:$M,MATCH($B18,'MAPA DE PREÇOS'!$B:$B)-19),IF($C18=$C16,"Valor Unit. (R$)",IF(AND($C18&lt;&gt;$C17,$J17&lt;&gt;""),"Total Mensal","")))))</f>
        <v>136.5</v>
      </c>
      <c r="K18" s="75">
        <f>IF(J18="","",IF(J18="Total Mensal","-",IF(J18="Total Acumulado",SUM(K$7:K17),I18*J18)))</f>
        <v>12285</v>
      </c>
      <c r="L18" s="112">
        <f>IF(J18="","",IF(J18="Total Mensal","-",IF(J18="Total Acumulado",SUM(L$7:L17),K18/SUMIF(J:J,"Total Acumulado",K:K))))</f>
        <v>5.1381368325362636E-2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1100536</v>
      </c>
      <c r="G19" s="83" t="str">
        <f>IF($B18="","",IF($C19=$C16,IF('BASE EDITAL'!$C$2="",INDEX('MAPA DE PREÇOS'!H:H,MATCH(EDITAL!B19,'MAPA DE PREÇOS'!B:B,0)+1),UPPER(INDEX('BASE EDITAL'!$C:$C,EDITAL!B19+1))),IF($C19=$C17,"Especificação do Objeto","")))</f>
        <v>AZUL DE METILENO, 2%, 2ML, SOLUÇÃO INJETÁVEL, AMPOLA OU FRASCO-AMPOLA</v>
      </c>
      <c r="H19" s="84" t="str">
        <f>IF($B18="","",IF($C19=$C16,INDEX('MAPA DE PREÇOS'!$M:$M,MATCH($B19,'MAPA DE PREÇOS'!$B:$B)-16),IF($C19=$C17,"Unidade","")))</f>
        <v>FR</v>
      </c>
      <c r="I19" s="84">
        <f>IF($B18="","",IF($C19=$C16,INDEX('MAPA DE PREÇOS'!$M:$M,MATCH($B19,'MAPA DE PREÇOS'!$B:$B)-17),IF($C19=$C17,"Quant.","")))</f>
        <v>200</v>
      </c>
      <c r="J19" s="60">
        <f>IF(J18="Total Mensal","Total Acumulado",IF($B18="","",IF($C19=$C16,INDEX('MAPA DE PREÇOS'!$M:$M,MATCH($B19,'MAPA DE PREÇOS'!$B:$B)-19),IF($C19=$C17,"Valor Unit. (R$)",IF(AND($C19&lt;&gt;$C18,$J18&lt;&gt;""),"Total Mensal","")))))</f>
        <v>15.95</v>
      </c>
      <c r="K19" s="75">
        <f>IF(J19="","",IF(J19="Total Mensal","-",IF(J19="Total Acumulado",SUM(K$7:K18),I19*J19)))</f>
        <v>3190</v>
      </c>
      <c r="L19" s="112">
        <f>IF(J19="","",IF(J19="Total Mensal","-",IF(J19="Total Acumulado",SUM(L$7:L18),K19/SUMIF(J:J,"Total Acumulado",K:K))))</f>
        <v>1.3342007729581344E-2</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84806</v>
      </c>
      <c r="G20" s="83" t="str">
        <f>IF($B19="","",IF($C20=$C17,IF('BASE EDITAL'!$C$2="",INDEX('MAPA DE PREÇOS'!H:H,MATCH(EDITAL!B20,'MAPA DE PREÇOS'!B:B,0)+1),UPPER(INDEX('BASE EDITAL'!$C:$C,EDITAL!B20+1))),IF($C20=$C18,"Especificação do Objeto","")))</f>
        <v>AZUL DE METILENO 1%, USO FARMACEUTICO, FRASCO COM 20ML APROX</v>
      </c>
      <c r="H20" s="84" t="str">
        <f>IF($B19="","",IF($C20=$C17,INDEX('MAPA DE PREÇOS'!$M:$M,MATCH($B20,'MAPA DE PREÇOS'!$B:$B)-16),IF($C20=$C18,"Unidade","")))</f>
        <v>FR</v>
      </c>
      <c r="I20" s="84">
        <f>IF($B19="","",IF($C20=$C17,INDEX('MAPA DE PREÇOS'!$M:$M,MATCH($B20,'MAPA DE PREÇOS'!$B:$B)-17),IF($C20=$C18,"Quant.","")))</f>
        <v>100</v>
      </c>
      <c r="J20" s="60">
        <f>IF(J19="Total Mensal","Total Acumulado",IF($B19="","",IF($C20=$C17,INDEX('MAPA DE PREÇOS'!$M:$M,MATCH($B20,'MAPA DE PREÇOS'!$B:$B)-19),IF($C20=$C18,"Valor Unit. (R$)",IF(AND($C20&lt;&gt;$C19,$J19&lt;&gt;""),"Total Mensal","")))))</f>
        <v>25.34</v>
      </c>
      <c r="K20" s="75">
        <f>IF(J20="","",IF(J20="Total Mensal","-",IF(J20="Total Acumulado",SUM(K$7:K19),I20*J20)))</f>
        <v>2534</v>
      </c>
      <c r="L20" s="112">
        <f>IF(J20="","",IF(J20="Total Mensal","-",IF(J20="Total Acumulado",SUM(L$7:L19),K20/SUMIF(J:J,"Total Acumulado",K:K))))</f>
        <v>1.0598322127510698E-2</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1101658</v>
      </c>
      <c r="G21" s="83" t="str">
        <f>IF($B20="","",IF($C21=$C18,IF('BASE EDITAL'!$C$2="",INDEX('MAPA DE PREÇOS'!H:H,MATCH(EDITAL!B21,'MAPA DE PREÇOS'!B:B,0)+1),UPPER(INDEX('BASE EDITAL'!$C:$C,EDITAL!B21+1))),IF($C21=$C19,"Especificação do Objeto","")))</f>
        <v>FENILEFRINA 2,5% + TROPICAMIDA 0,5%, 5 ML, COLÍRIO, FRASCO</v>
      </c>
      <c r="H21" s="84" t="str">
        <f>IF($B20="","",IF($C21=$C18,INDEX('MAPA DE PREÇOS'!$M:$M,MATCH($B21,'MAPA DE PREÇOS'!$B:$B)-16),IF($C21=$C19,"Unidade","")))</f>
        <v>FR</v>
      </c>
      <c r="I21" s="84">
        <f>IF($B20="","",IF($C21=$C18,INDEX('MAPA DE PREÇOS'!$M:$M,MATCH($B21,'MAPA DE PREÇOS'!$B:$B)-17),IF($C21=$C19,"Quant.","")))</f>
        <v>15</v>
      </c>
      <c r="J21" s="60">
        <f>IF(J20="Total Mensal","Total Acumulado",IF($B20="","",IF($C21=$C18,INDEX('MAPA DE PREÇOS'!$M:$M,MATCH($B21,'MAPA DE PREÇOS'!$B:$B)-19),IF($C21=$C19,"Valor Unit. (R$)",IF(AND($C21&lt;&gt;$C20,$J20&lt;&gt;""),"Total Mensal","")))))</f>
        <v>80.650000000000006</v>
      </c>
      <c r="K21" s="75">
        <f>IF(J21="","",IF(J21="Total Mensal","-",IF(J21="Total Acumulado",SUM(K$7:K20),I21*J21)))</f>
        <v>1209.75</v>
      </c>
      <c r="L21" s="112">
        <f>IF(J21="","",IF(J21="Total Mensal","-",IF(J21="Total Acumulado",SUM(L$7:L20),K21/SUMIF(J:J,"Total Acumulado",K:K))))</f>
        <v>5.0597159407087871E-3</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1079672</v>
      </c>
      <c r="G22" s="83" t="str">
        <f>IF($B21="","",IF($C22=$C19,IF('BASE EDITAL'!$C$2="",INDEX('MAPA DE PREÇOS'!H:H,MATCH(EDITAL!B22,'MAPA DE PREÇOS'!B:B,0)+1),UPPER(INDEX('BASE EDITAL'!$C:$C,EDITAL!B22+1))),IF($C22=$C20,"Especificação do Objeto","")))</f>
        <v>ALPROSTADIL 20MCG/ML, AMPOLA, 1ML</v>
      </c>
      <c r="H22" s="84" t="str">
        <f>IF($B21="","",IF($C22=$C19,INDEX('MAPA DE PREÇOS'!$M:$M,MATCH($B22,'MAPA DE PREÇOS'!$B:$B)-16),IF($C22=$C20,"Unidade","")))</f>
        <v>AM</v>
      </c>
      <c r="I22" s="84">
        <f>IF($B21="","",IF($C22=$C19,INDEX('MAPA DE PREÇOS'!$M:$M,MATCH($B22,'MAPA DE PREÇOS'!$B:$B)-17),IF($C22=$C20,"Quant.","")))</f>
        <v>200</v>
      </c>
      <c r="J22" s="60">
        <f>IF(J21="Total Mensal","Total Acumulado",IF($B21="","",IF($C22=$C19,INDEX('MAPA DE PREÇOS'!$M:$M,MATCH($B22,'MAPA DE PREÇOS'!$B:$B)-19),IF($C22=$C20,"Valor Unit. (R$)",IF(AND($C22&lt;&gt;$C21,$J21&lt;&gt;""),"Total Mensal","")))))</f>
        <v>62.44</v>
      </c>
      <c r="K22" s="75">
        <f>IF(J22="","",IF(J22="Total Mensal","-",IF(J22="Total Acumulado",SUM(K$7:K21),I22*J22)))</f>
        <v>12488</v>
      </c>
      <c r="L22" s="112">
        <f>IF(J22="","",IF(J22="Total Mensal","-",IF(J22="Total Acumulado",SUM(L$7:L21),K22/SUMIF(J:J,"Total Acumulado",K:K))))</f>
        <v>5.2230405180881449E-2</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2013492</v>
      </c>
      <c r="G23" s="83" t="str">
        <f>IF($B22="","",IF($C23=$C20,IF('BASE EDITAL'!$C$2="",INDEX('MAPA DE PREÇOS'!H:H,MATCH(EDITAL!B23,'MAPA DE PREÇOS'!B:B,0)+1),UPPER(INDEX('BASE EDITAL'!$C:$C,EDITAL!B23+1))),IF($C23=$C21,"Especificação do Objeto","")))</f>
        <v>IODOPOVIDONA 2,5% + VEÍCULO ESTÉRIL QSP 10ML, SOLUÇÃO OFTÁLMICA, FRASCO</v>
      </c>
      <c r="H23" s="84" t="str">
        <f>IF($B22="","",IF($C23=$C20,INDEX('MAPA DE PREÇOS'!$M:$M,MATCH($B23,'MAPA DE PREÇOS'!$B:$B)-16),IF($C23=$C21,"Unidade","")))</f>
        <v>FR</v>
      </c>
      <c r="I23" s="84">
        <f>IF($B22="","",IF($C23=$C20,INDEX('MAPA DE PREÇOS'!$M:$M,MATCH($B23,'MAPA DE PREÇOS'!$B:$B)-17),IF($C23=$C21,"Quant.","")))</f>
        <v>100</v>
      </c>
      <c r="J23" s="60">
        <f>IF(J22="Total Mensal","Total Acumulado",IF($B22="","",IF($C23=$C20,INDEX('MAPA DE PREÇOS'!$M:$M,MATCH($B23,'MAPA DE PREÇOS'!$B:$B)-19),IF($C23=$C21,"Valor Unit. (R$)",IF(AND($C23&lt;&gt;$C22,$J22&lt;&gt;""),"Total Mensal","")))))</f>
        <v>64.06</v>
      </c>
      <c r="K23" s="75">
        <f>IF(J23="","",IF(J23="Total Mensal","-",IF(J23="Total Acumulado",SUM(K$7:K22),I23*J23)))</f>
        <v>6406</v>
      </c>
      <c r="L23" s="112">
        <f>IF(J23="","",IF(J23="Total Mensal","-",IF(J23="Total Acumulado",SUM(L$7:L22),K23/SUMIF(J:J,"Total Acumulado",K:K))))</f>
        <v>2.6792759095830121E-2</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Total Mensal</v>
      </c>
      <c r="K24" s="75" t="str">
        <f>IF(J24="","",IF(J24="Total Mensal","-",IF(J24="Total Acumulado",SUM(K$7:K23),I24*J24)))</f>
        <v>-</v>
      </c>
      <c r="L24" s="112" t="str">
        <f>IF(J24="","",IF(J24="Total Mensal","-",IF(J24="Total Acumulado",SUM(L$7:L23),K24/SUMIF(J:J,"Total Acumulado",K:K))))</f>
        <v>-</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Total Acumulado</v>
      </c>
      <c r="K25" s="75">
        <f>IF(J25="","",IF(J25="Total Mensal","-",IF(J25="Total Acumulado",SUM(K$7:K24),I25*J25)))</f>
        <v>239094.44999999998</v>
      </c>
      <c r="L25" s="112">
        <f>IF(J25="","",IF(J25="Total Mensal","-",IF(J25="Total Acumulado",SUM(L$7:L24),K25/SUMIF(J:J,"Total Acumulado",K:K))))</f>
        <v>1</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27" sqref="J27"/>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82.42578125"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1.099042658664808E-2</v>
      </c>
      <c r="D6" s="42">
        <f>IFERROR(IF(C6=C5,IF(D5="","",D5+0.000000001),C6),"")</f>
        <v>1.099042658664808E-2</v>
      </c>
      <c r="E6" s="41">
        <f t="shared" ref="E6:E37" si="0">IFERROR(INDEX(B:B,MATCH(LARGE(D:D,ROW()-5),D:D,0)),"")</f>
        <v>7</v>
      </c>
      <c r="F6" s="41">
        <f>IFERROR(VLOOKUP($E6,'MAPA DE PREÇOS'!$B:$D,2,FALSE),"")</f>
        <v>1</v>
      </c>
      <c r="G6" s="41">
        <f>IFERROR(VLOOKUP($E6,'MAPA DE PREÇOS'!$B:$D,3,FALSE),"")</f>
        <v>7</v>
      </c>
      <c r="H6" s="41">
        <f t="array" ref="H6">IFERROR(IF(E6="","",INDEX('MAPA DE PREÇOS'!H:H,0+MATCH(ABC!E6,'MAPA DE PREÇOS'!B:B,0))),"")</f>
        <v>1101476</v>
      </c>
      <c r="I6" t="str">
        <f>IF(E6="","",INDEX('MAPA DE PREÇOS'!H:H,MATCH(ABC!E6,'MAPA DE PREÇOS'!B:B,0)+1))</f>
        <v>LANETTE + URÉIA 10%, LOÇÃO, 100ML (USO EXTERNO). INDICAR MARCA.</v>
      </c>
      <c r="J6" s="41" t="str">
        <f>IFERROR(IF(E6="","",INDEX('MAPA DE PREÇOS'!M:M,3+MATCH(ABC!E6,'MAPA DE PREÇOS'!B:B,0))),"")</f>
        <v>FR</v>
      </c>
      <c r="K6" s="52">
        <f t="array" ref="K6">IFERROR(IF(E6="","",INDEX('MAPA DE PREÇOS'!M:M,2+MATCH(ABC!E6,'MAPA DE PREÇOS'!B:B,0))),"")</f>
        <v>2850</v>
      </c>
      <c r="L6" s="53">
        <f t="array" ref="L6">IFERROR(IF(AND(E5&lt;&gt;"",E6=""),"TOTAL ESTIMADO",INDEX('MAPA DE PREÇOS'!M:M,0+MATCH(ABC!E6,'MAPA DE PREÇOS'!B:B,0))),"")</f>
        <v>27</v>
      </c>
      <c r="M6" s="54">
        <f>IFERROR(IF(AND(E5&lt;&gt;"",E6=""),SUM($M$5:M5),INDEX('MAPA DE PREÇOS'!M:M,19+MATCH(ABC!E6,'MAPA DE PREÇOS'!B:B,0))),"")</f>
        <v>76950</v>
      </c>
      <c r="N6" s="90">
        <f t="shared" ref="N6:N37" si="1">IFERROR(VLOOKUP(E6,$B:$C,2),"")</f>
        <v>0.32183934005996379</v>
      </c>
      <c r="O6" s="90">
        <f>N6</f>
        <v>0.32183934005996379</v>
      </c>
      <c r="P6" s="54" t="str">
        <f>IF(O6="","",IF(OR(N6&gt;=$S$6,O6&lt;=$S$6),"A",IF(O6&lt;=SUM($S$6:$S$7),"B","C")))</f>
        <v>A</v>
      </c>
      <c r="R6" s="156" t="s">
        <v>310</v>
      </c>
      <c r="S6" s="157">
        <v>0.8</v>
      </c>
      <c r="T6" s="156">
        <f>COUNTIF($P$6:$P$107,$R6)</f>
        <v>4</v>
      </c>
      <c r="U6" s="158">
        <f>SUMIFS($M$6:$M$107,$P$6:$P$107,$R6)</f>
        <v>188239.1</v>
      </c>
    </row>
    <row r="7" spans="1:21" x14ac:dyDescent="0.25">
      <c r="B7" s="41">
        <v>2</v>
      </c>
      <c r="C7" s="42">
        <f>IFERROR(INDEX('MAPA DE PREÇOS'!M:M,MATCH(B7,'MAPA DE PREÇOS'!B:B,0)+19)/(SUMPRODUCT(EDITAL!I:I,EDITAL!J:J)),"")</f>
        <v>7.023165949690594E-3</v>
      </c>
      <c r="D7" s="42">
        <f t="shared" ref="D7:D70" si="2">IFERROR(IF(C7=C6,IF(D6="","",D6+0.000000001),C7),"")</f>
        <v>7.023165949690594E-3</v>
      </c>
      <c r="E7" s="41">
        <f t="shared" si="0"/>
        <v>8</v>
      </c>
      <c r="F7" s="41">
        <f>IFERROR(VLOOKUP($E7,'MAPA DE PREÇOS'!$B:$D,2,FALSE),"")</f>
        <v>1</v>
      </c>
      <c r="G7" s="41">
        <f>IFERROR(VLOOKUP($E7,'MAPA DE PREÇOS'!$B:$D,3,FALSE),"")</f>
        <v>8</v>
      </c>
      <c r="H7" s="41">
        <f t="array" ref="H7">IFERROR(IF(E7="","",INDEX('MAPA DE PREÇOS'!H:H,0+MATCH(ABC!E7,'MAPA DE PREÇOS'!B:B,0))),"")</f>
        <v>1101468</v>
      </c>
      <c r="I7" t="str">
        <f>IF(E7="","",INDEX('MAPA DE PREÇOS'!H:H,MATCH(ABC!E7,'MAPA DE PREÇOS'!B:B,0)+1))</f>
        <v>LANETTE, LOÇÃO, 100ML (USO EXTERNO). INDICAR MARCA.</v>
      </c>
      <c r="J7" s="41" t="str">
        <f>IFERROR(IF(E7="","",INDEX('MAPA DE PREÇOS'!M:M,3+MATCH(ABC!E7,'MAPA DE PREÇOS'!B:B,0))),"")</f>
        <v>FR</v>
      </c>
      <c r="K7" s="52">
        <f t="array" ref="K7">IFERROR(IF(E7="","",INDEX('MAPA DE PREÇOS'!M:M,2+MATCH(ABC!E7,'MAPA DE PREÇOS'!B:B,0))),"")</f>
        <v>2400</v>
      </c>
      <c r="L7" s="53">
        <f t="array" ref="L7">IFERROR(IF(AND(E6&lt;&gt;"",E7=""),"TOTAL ESTIMADO",INDEX('MAPA DE PREÇOS'!M:M,0+MATCH(ABC!E7,'MAPA DE PREÇOS'!B:B,0))),"")</f>
        <v>26.99</v>
      </c>
      <c r="M7" s="54">
        <f>IFERROR(IF(AND(E6&lt;&gt;"",E7=""),SUM($M$5:M6),INDEX('MAPA DE PREÇOS'!M:M,19+MATCH(ABC!E7,'MAPA DE PREÇOS'!B:B,0))),"")</f>
        <v>64776</v>
      </c>
      <c r="N7" s="90">
        <f t="shared" si="1"/>
        <v>0.27092222341421979</v>
      </c>
      <c r="O7" s="90">
        <f>IFERROR(N7+O6,"")</f>
        <v>0.59276156347418363</v>
      </c>
      <c r="P7" s="54" t="str">
        <f t="shared" ref="P7:P70" si="3">IF(O7="","",IF(OR(N7&gt;=$S$6,O7&lt;=$S$6),"A",IF(O7&lt;=SUM($S$6:$S$7),"B","C")))</f>
        <v>A</v>
      </c>
      <c r="R7" s="159" t="s">
        <v>311</v>
      </c>
      <c r="S7" s="160">
        <v>0.15</v>
      </c>
      <c r="T7" s="159">
        <f>COUNTIF($P$6:$P$107,$R7)</f>
        <v>5</v>
      </c>
      <c r="U7" s="161">
        <f>SUMIFS($M$6:$M$107,$P$6:$P$107,$R7)</f>
        <v>37222.9</v>
      </c>
    </row>
    <row r="8" spans="1:21" x14ac:dyDescent="0.25">
      <c r="B8" s="41">
        <v>3</v>
      </c>
      <c r="C8" s="42">
        <f>IFERROR(INDEX('MAPA DE PREÇOS'!M:M,MATCH(B8,'MAPA DE PREÇOS'!B:B,0)+19)/(SUMPRODUCT(EDITAL!I:I,EDITAL!J:J)),"")</f>
        <v>1.1936287103276551E-2</v>
      </c>
      <c r="D8" s="42">
        <f t="shared" si="2"/>
        <v>1.1936287103276551E-2</v>
      </c>
      <c r="E8" s="41">
        <f t="shared" si="0"/>
        <v>4</v>
      </c>
      <c r="F8" s="41">
        <f>IFERROR(VLOOKUP($E8,'MAPA DE PREÇOS'!$B:$D,2,FALSE),"")</f>
        <v>1</v>
      </c>
      <c r="G8" s="41">
        <f>IFERROR(VLOOKUP($E8,'MAPA DE PREÇOS'!$B:$D,3,FALSE),"")</f>
        <v>4</v>
      </c>
      <c r="H8" s="41">
        <f t="array" ref="H8">IFERROR(IF(E8="","",INDEX('MAPA DE PREÇOS'!H:H,0+MATCH(ABC!E8,'MAPA DE PREÇOS'!B:B,0))),"")</f>
        <v>1101328</v>
      </c>
      <c r="I8" t="str">
        <f>IF(E8="","",INDEX('MAPA DE PREÇOS'!H:H,MATCH(ABC!E8,'MAPA DE PREÇOS'!B:B,0)+1))</f>
        <v>ÁCIDO TRICLOROACÉTICO 80%, 10ML (USO EXTERNO). INDICAR MARCA.</v>
      </c>
      <c r="J8" s="41" t="str">
        <f>IFERROR(IF(E8="","",INDEX('MAPA DE PREÇOS'!M:M,3+MATCH(ABC!E8,'MAPA DE PREÇOS'!B:B,0))),"")</f>
        <v>FR</v>
      </c>
      <c r="K8" s="52">
        <f t="array" ref="K8">IFERROR(IF(E8="","",INDEX('MAPA DE PREÇOS'!M:M,2+MATCH(ABC!E8,'MAPA DE PREÇOS'!B:B,0))),"")</f>
        <v>1100</v>
      </c>
      <c r="L8" s="53">
        <f t="array" ref="L8">IFERROR(IF(AND(E7&lt;&gt;"",E8=""),"TOTAL ESTIMADO",INDEX('MAPA DE PREÇOS'!M:M,0+MATCH(ABC!E8,'MAPA DE PREÇOS'!B:B,0))),"")</f>
        <v>29.58</v>
      </c>
      <c r="M8" s="54">
        <f>IFERROR(IF(AND(E7&lt;&gt;"",E8=""),SUM($M$5:M7),INDEX('MAPA DE PREÇOS'!M:M,19+MATCH(ABC!E8,'MAPA DE PREÇOS'!B:B,0))),"")</f>
        <v>32538</v>
      </c>
      <c r="N8" s="90">
        <f t="shared" si="1"/>
        <v>0.1360884788417297</v>
      </c>
      <c r="O8" s="90">
        <f t="shared" ref="O8:O71" si="4">IFERROR(N8+O7,"")</f>
        <v>0.72885004231591333</v>
      </c>
      <c r="P8" s="54" t="str">
        <f t="shared" si="3"/>
        <v>A</v>
      </c>
      <c r="R8" s="153" t="s">
        <v>312</v>
      </c>
      <c r="S8" s="154">
        <v>0.05</v>
      </c>
      <c r="T8" s="153">
        <f>COUNTIF($P$6:$P$107,$R8)</f>
        <v>7</v>
      </c>
      <c r="U8" s="155">
        <f>SUMIFS($M$6:$M$107,$P$6:$P$107,$R8)</f>
        <v>13632.45</v>
      </c>
    </row>
    <row r="9" spans="1:21" x14ac:dyDescent="0.25">
      <c r="B9" s="41">
        <v>4</v>
      </c>
      <c r="C9" s="42">
        <f>IFERROR(INDEX('MAPA DE PREÇOS'!M:M,MATCH(B9,'MAPA DE PREÇOS'!B:B,0)+19)/(SUMPRODUCT(EDITAL!I:I,EDITAL!J:J)),"")</f>
        <v>0.1360884788417297</v>
      </c>
      <c r="D9" s="42">
        <f t="shared" si="2"/>
        <v>0.1360884788417297</v>
      </c>
      <c r="E9" s="41">
        <f t="shared" si="0"/>
        <v>5</v>
      </c>
      <c r="F9" s="41">
        <f>IFERROR(VLOOKUP($E9,'MAPA DE PREÇOS'!$B:$D,2,FALSE),"")</f>
        <v>1</v>
      </c>
      <c r="G9" s="41">
        <f>IFERROR(VLOOKUP($E9,'MAPA DE PREÇOS'!$B:$D,3,FALSE),"")</f>
        <v>5</v>
      </c>
      <c r="H9" s="41">
        <f t="array" ref="H9">IFERROR(IF(E9="","",INDEX('MAPA DE PREÇOS'!H:H,0+MATCH(ABC!E9,'MAPA DE PREÇOS'!B:B,0))),"")</f>
        <v>1101377</v>
      </c>
      <c r="I9" t="str">
        <f>IF(E9="","",INDEX('MAPA DE PREÇOS'!H:H,MATCH(ABC!E9,'MAPA DE PREÇOS'!B:B,0)+1))</f>
        <v>CARVÃO ATIVADO, 25G, PÓ (USO INTERNO)</v>
      </c>
      <c r="J9" s="41" t="str">
        <f>IFERROR(IF(E9="","",INDEX('MAPA DE PREÇOS'!M:M,3+MATCH(ABC!E9,'MAPA DE PREÇOS'!B:B,0))),"")</f>
        <v>FR</v>
      </c>
      <c r="K9" s="52">
        <f t="array" ref="K9">IFERROR(IF(E9="","",INDEX('MAPA DE PREÇOS'!M:M,2+MATCH(ABC!E9,'MAPA DE PREÇOS'!B:B,0))),"")</f>
        <v>610</v>
      </c>
      <c r="L9" s="53">
        <f t="array" ref="L9">IFERROR(IF(AND(E8&lt;&gt;"",E9=""),"TOTAL ESTIMADO",INDEX('MAPA DE PREÇOS'!M:M,0+MATCH(ABC!E9,'MAPA DE PREÇOS'!B:B,0))),"")</f>
        <v>22.91</v>
      </c>
      <c r="M9" s="54">
        <f>IFERROR(IF(AND(E8&lt;&gt;"",E9=""),SUM($M$5:M8),INDEX('MAPA DE PREÇOS'!M:M,19+MATCH(ABC!E9,'MAPA DE PREÇOS'!B:B,0))),"")</f>
        <v>13975.1</v>
      </c>
      <c r="N9" s="90">
        <f t="shared" si="1"/>
        <v>5.845012295350227E-2</v>
      </c>
      <c r="O9" s="90">
        <f t="shared" si="4"/>
        <v>0.7873001652694156</v>
      </c>
      <c r="P9" s="54" t="str">
        <f t="shared" si="3"/>
        <v>A</v>
      </c>
    </row>
    <row r="10" spans="1:21" x14ac:dyDescent="0.25">
      <c r="B10" s="41">
        <v>5</v>
      </c>
      <c r="C10" s="42">
        <f>IFERROR(INDEX('MAPA DE PREÇOS'!M:M,MATCH(B10,'MAPA DE PREÇOS'!B:B,0)+19)/(SUMPRODUCT(EDITAL!I:I,EDITAL!J:J)),"")</f>
        <v>5.845012295350227E-2</v>
      </c>
      <c r="D10" s="42">
        <f t="shared" si="2"/>
        <v>5.845012295350227E-2</v>
      </c>
      <c r="E10" s="41">
        <f t="shared" si="0"/>
        <v>15</v>
      </c>
      <c r="F10" s="41">
        <f>IFERROR(VLOOKUP($E10,'MAPA DE PREÇOS'!$B:$D,2,FALSE),"")</f>
        <v>1</v>
      </c>
      <c r="G10" s="41">
        <f>IFERROR(VLOOKUP($E10,'MAPA DE PREÇOS'!$B:$D,3,FALSE),"")</f>
        <v>15</v>
      </c>
      <c r="H10" s="41">
        <f t="array" ref="H10">IFERROR(IF(E10="","",INDEX('MAPA DE PREÇOS'!H:H,0+MATCH(ABC!E10,'MAPA DE PREÇOS'!B:B,0))),"")</f>
        <v>1079672</v>
      </c>
      <c r="I10" t="str">
        <f>IF(E10="","",INDEX('MAPA DE PREÇOS'!H:H,MATCH(ABC!E10,'MAPA DE PREÇOS'!B:B,0)+1))</f>
        <v>ALPROSTADIL 20MCG/ML, AMPOLA, 1ML</v>
      </c>
      <c r="J10" s="41" t="str">
        <f>IFERROR(IF(E10="","",INDEX('MAPA DE PREÇOS'!M:M,3+MATCH(ABC!E10,'MAPA DE PREÇOS'!B:B,0))),"")</f>
        <v>AM</v>
      </c>
      <c r="K10" s="52">
        <f t="array" ref="K10">IFERROR(IF(E10="","",INDEX('MAPA DE PREÇOS'!M:M,2+MATCH(ABC!E10,'MAPA DE PREÇOS'!B:B,0))),"")</f>
        <v>200</v>
      </c>
      <c r="L10" s="53">
        <f t="array" ref="L10">IFERROR(IF(AND(E9&lt;&gt;"",E10=""),"TOTAL ESTIMADO",INDEX('MAPA DE PREÇOS'!M:M,0+MATCH(ABC!E10,'MAPA DE PREÇOS'!B:B,0))),"")</f>
        <v>62.44</v>
      </c>
      <c r="M10" s="54">
        <f>IFERROR(IF(AND(E9&lt;&gt;"",E10=""),SUM($M$5:M9),INDEX('MAPA DE PREÇOS'!M:M,19+MATCH(ABC!E10,'MAPA DE PREÇOS'!B:B,0))),"")</f>
        <v>12488</v>
      </c>
      <c r="N10" s="90">
        <f t="shared" si="1"/>
        <v>5.2230405180881449E-2</v>
      </c>
      <c r="O10" s="90">
        <f t="shared" si="4"/>
        <v>0.839530570450297</v>
      </c>
      <c r="P10" s="54" t="str">
        <f t="shared" si="3"/>
        <v>B</v>
      </c>
    </row>
    <row r="11" spans="1:21" x14ac:dyDescent="0.25">
      <c r="B11" s="41">
        <v>6</v>
      </c>
      <c r="C11" s="42">
        <f>IFERROR(INDEX('MAPA DE PREÇOS'!M:M,MATCH(B11,'MAPA DE PREÇOS'!B:B,0)+19)/(SUMPRODUCT(EDITAL!I:I,EDITAL!J:J)),"")</f>
        <v>8.2398399460966165E-3</v>
      </c>
      <c r="D11" s="42">
        <f t="shared" si="2"/>
        <v>8.2398399460966165E-3</v>
      </c>
      <c r="E11" s="41">
        <f t="shared" si="0"/>
        <v>11</v>
      </c>
      <c r="F11" s="41">
        <f>IFERROR(VLOOKUP($E11,'MAPA DE PREÇOS'!$B:$D,2,FALSE),"")</f>
        <v>1</v>
      </c>
      <c r="G11" s="41">
        <f>IFERROR(VLOOKUP($E11,'MAPA DE PREÇOS'!$B:$D,3,FALSE),"")</f>
        <v>11</v>
      </c>
      <c r="H11" s="41">
        <f t="array" ref="H11">IFERROR(IF(E11="","",INDEX('MAPA DE PREÇOS'!H:H,0+MATCH(ABC!E11,'MAPA DE PREÇOS'!B:B,0))),"")</f>
        <v>1101575</v>
      </c>
      <c r="I11" t="str">
        <f>IF(E11="","",INDEX('MAPA DE PREÇOS'!H:H,MATCH(ABC!E11,'MAPA DE PREÇOS'!B:B,0)+1))</f>
        <v>SOLUÇÃO DE SCHILLER, 1 Litro (USO EXTERNO). INDICAR MARCA.</v>
      </c>
      <c r="J11" s="41" t="str">
        <f>IFERROR(IF(E11="","",INDEX('MAPA DE PREÇOS'!M:M,3+MATCH(ABC!E11,'MAPA DE PREÇOS'!B:B,0))),"")</f>
        <v>FR</v>
      </c>
      <c r="K11" s="52">
        <f t="array" ref="K11">IFERROR(IF(E11="","",INDEX('MAPA DE PREÇOS'!M:M,2+MATCH(ABC!E11,'MAPA DE PREÇOS'!B:B,0))),"")</f>
        <v>90</v>
      </c>
      <c r="L11" s="53">
        <f t="array" ref="L11">IFERROR(IF(AND(E10&lt;&gt;"",E11=""),"TOTAL ESTIMADO",INDEX('MAPA DE PREÇOS'!M:M,0+MATCH(ABC!E11,'MAPA DE PREÇOS'!B:B,0))),"")</f>
        <v>136.5</v>
      </c>
      <c r="M11" s="54">
        <f>IFERROR(IF(AND(E10&lt;&gt;"",E11=""),SUM($M$5:M10),INDEX('MAPA DE PREÇOS'!M:M,19+MATCH(ABC!E11,'MAPA DE PREÇOS'!B:B,0))),"")</f>
        <v>12285</v>
      </c>
      <c r="N11" s="90">
        <f t="shared" si="1"/>
        <v>5.1381368325362636E-2</v>
      </c>
      <c r="O11" s="90">
        <f t="shared" si="4"/>
        <v>0.89091193877565966</v>
      </c>
      <c r="P11" s="54" t="str">
        <f t="shared" si="3"/>
        <v>B</v>
      </c>
    </row>
    <row r="12" spans="1:21" x14ac:dyDescent="0.25">
      <c r="B12" s="41">
        <v>7</v>
      </c>
      <c r="C12" s="42">
        <f>IFERROR(INDEX('MAPA DE PREÇOS'!M:M,MATCH(B12,'MAPA DE PREÇOS'!B:B,0)+19)/(SUMPRODUCT(EDITAL!I:I,EDITAL!J:J)),"")</f>
        <v>0.32183934005996379</v>
      </c>
      <c r="D12" s="42">
        <f t="shared" si="2"/>
        <v>0.32183934005996379</v>
      </c>
      <c r="E12" s="41">
        <f t="shared" si="0"/>
        <v>16</v>
      </c>
      <c r="F12" s="41">
        <f>IFERROR(VLOOKUP($E12,'MAPA DE PREÇOS'!$B:$D,2,FALSE),"")</f>
        <v>1</v>
      </c>
      <c r="G12" s="41">
        <f>IFERROR(VLOOKUP($E12,'MAPA DE PREÇOS'!$B:$D,3,FALSE),"")</f>
        <v>16</v>
      </c>
      <c r="H12" s="41">
        <f t="array" ref="H12">IFERROR(IF(E12="","",INDEX('MAPA DE PREÇOS'!H:H,0+MATCH(ABC!E12,'MAPA DE PREÇOS'!B:B,0))),"")</f>
        <v>2013492</v>
      </c>
      <c r="I12" t="str">
        <f>IF(E12="","",INDEX('MAPA DE PREÇOS'!H:H,MATCH(ABC!E12,'MAPA DE PREÇOS'!B:B,0)+1))</f>
        <v>IODOPOVIDONA 2,5% + VEÍCULO ESTÉRIL QSP 10ML, SOLUÇÃO OFTÁLMICA, FRASCO</v>
      </c>
      <c r="J12" s="41" t="str">
        <f>IFERROR(IF(E12="","",INDEX('MAPA DE PREÇOS'!M:M,3+MATCH(ABC!E12,'MAPA DE PREÇOS'!B:B,0))),"")</f>
        <v>FR</v>
      </c>
      <c r="K12" s="52">
        <f t="array" ref="K12">IFERROR(IF(E12="","",INDEX('MAPA DE PREÇOS'!M:M,2+MATCH(ABC!E12,'MAPA DE PREÇOS'!B:B,0))),"")</f>
        <v>100</v>
      </c>
      <c r="L12" s="53">
        <f t="array" ref="L12">IFERROR(IF(AND(E11&lt;&gt;"",E12=""),"TOTAL ESTIMADO",INDEX('MAPA DE PREÇOS'!M:M,0+MATCH(ABC!E12,'MAPA DE PREÇOS'!B:B,0))),"")</f>
        <v>64.06</v>
      </c>
      <c r="M12" s="54">
        <f>IFERROR(IF(AND(E11&lt;&gt;"",E12=""),SUM($M$5:M11),INDEX('MAPA DE PREÇOS'!M:M,19+MATCH(ABC!E12,'MAPA DE PREÇOS'!B:B,0))),"")</f>
        <v>6406</v>
      </c>
      <c r="N12" s="90">
        <f t="shared" si="1"/>
        <v>2.6792759095830121E-2</v>
      </c>
      <c r="O12" s="90">
        <f t="shared" si="4"/>
        <v>0.91770469787148978</v>
      </c>
      <c r="P12" s="54" t="str">
        <f t="shared" si="3"/>
        <v>B</v>
      </c>
    </row>
    <row r="13" spans="1:21" x14ac:dyDescent="0.25">
      <c r="B13" s="41">
        <v>8</v>
      </c>
      <c r="C13" s="42">
        <f>IFERROR(INDEX('MAPA DE PREÇOS'!M:M,MATCH(B13,'MAPA DE PREÇOS'!B:B,0)+19)/(SUMPRODUCT(EDITAL!I:I,EDITAL!J:J)),"")</f>
        <v>0.27092222341421979</v>
      </c>
      <c r="D13" s="42">
        <f t="shared" si="2"/>
        <v>0.27092222341421979</v>
      </c>
      <c r="E13" s="41">
        <f t="shared" si="0"/>
        <v>12</v>
      </c>
      <c r="F13" s="41">
        <f>IFERROR(VLOOKUP($E13,'MAPA DE PREÇOS'!$B:$D,2,FALSE),"")</f>
        <v>1</v>
      </c>
      <c r="G13" s="41">
        <f>IFERROR(VLOOKUP($E13,'MAPA DE PREÇOS'!$B:$D,3,FALSE),"")</f>
        <v>12</v>
      </c>
      <c r="H13" s="41">
        <f t="array" ref="H13">IFERROR(IF(E13="","",INDEX('MAPA DE PREÇOS'!H:H,0+MATCH(ABC!E13,'MAPA DE PREÇOS'!B:B,0))),"")</f>
        <v>1100536</v>
      </c>
      <c r="I13" t="str">
        <f>IF(E13="","",INDEX('MAPA DE PREÇOS'!H:H,MATCH(ABC!E13,'MAPA DE PREÇOS'!B:B,0)+1))</f>
        <v>AZUL DE METILENO, 2%, 2ML, SOLUÇÃO INJETÁVEL, AMPOLA OU FRASCO-AMPOLA</v>
      </c>
      <c r="J13" s="41" t="str">
        <f>IFERROR(IF(E13="","",INDEX('MAPA DE PREÇOS'!M:M,3+MATCH(ABC!E13,'MAPA DE PREÇOS'!B:B,0))),"")</f>
        <v>FR</v>
      </c>
      <c r="K13" s="52">
        <f t="array" ref="K13">IFERROR(IF(E13="","",INDEX('MAPA DE PREÇOS'!M:M,2+MATCH(ABC!E13,'MAPA DE PREÇOS'!B:B,0))),"")</f>
        <v>200</v>
      </c>
      <c r="L13" s="53">
        <f t="array" ref="L13">IFERROR(IF(AND(E12&lt;&gt;"",E13=""),"TOTAL ESTIMADO",INDEX('MAPA DE PREÇOS'!M:M,0+MATCH(ABC!E13,'MAPA DE PREÇOS'!B:B,0))),"")</f>
        <v>15.95</v>
      </c>
      <c r="M13" s="54">
        <f>IFERROR(IF(AND(E12&lt;&gt;"",E13=""),SUM($M$5:M12),INDEX('MAPA DE PREÇOS'!M:M,19+MATCH(ABC!E13,'MAPA DE PREÇOS'!B:B,0))),"")</f>
        <v>3190</v>
      </c>
      <c r="N13" s="90">
        <f t="shared" si="1"/>
        <v>1.3342007729581344E-2</v>
      </c>
      <c r="O13" s="90">
        <f t="shared" si="4"/>
        <v>0.93104670560107117</v>
      </c>
      <c r="P13" s="54" t="str">
        <f t="shared" si="3"/>
        <v>B</v>
      </c>
    </row>
    <row r="14" spans="1:21" x14ac:dyDescent="0.25">
      <c r="B14" s="41">
        <v>9</v>
      </c>
      <c r="C14" s="42">
        <f>IFERROR(INDEX('MAPA DE PREÇOS'!M:M,MATCH(B14,'MAPA DE PREÇOS'!B:B,0)+19)/(SUMPRODUCT(EDITAL!I:I,EDITAL!J:J)),"")</f>
        <v>1.0208936259290001E-2</v>
      </c>
      <c r="D14" s="42">
        <f t="shared" si="2"/>
        <v>1.0208936259290001E-2</v>
      </c>
      <c r="E14" s="41">
        <f t="shared" si="0"/>
        <v>3</v>
      </c>
      <c r="F14" s="41">
        <f>IFERROR(VLOOKUP($E14,'MAPA DE PREÇOS'!$B:$D,2,FALSE),"")</f>
        <v>1</v>
      </c>
      <c r="G14" s="41">
        <f>IFERROR(VLOOKUP($E14,'MAPA DE PREÇOS'!$B:$D,3,FALSE),"")</f>
        <v>3</v>
      </c>
      <c r="H14" s="41">
        <f t="array" ref="H14">IFERROR(IF(E14="","",INDEX('MAPA DE PREÇOS'!H:H,0+MATCH(ABC!E14,'MAPA DE PREÇOS'!B:B,0))),"")</f>
        <v>1101674</v>
      </c>
      <c r="I14" t="str">
        <f>IF(E14="","",INDEX('MAPA DE PREÇOS'!H:H,MATCH(ABC!E14,'MAPA DE PREÇOS'!B:B,0)+1))</f>
        <v>ÁCIDO TRICLOROACÉTICO 50%, 10ML (USO EXTERNO). INDICAR MARCA.</v>
      </c>
      <c r="J14" s="41" t="str">
        <f>IFERROR(IF(E14="","",INDEX('MAPA DE PREÇOS'!M:M,3+MATCH(ABC!E14,'MAPA DE PREÇOS'!B:B,0))),"")</f>
        <v>FR</v>
      </c>
      <c r="K14" s="52">
        <f t="array" ref="K14">IFERROR(IF(E14="","",INDEX('MAPA DE PREÇOS'!M:M,2+MATCH(ABC!E14,'MAPA DE PREÇOS'!B:B,0))),"")</f>
        <v>105</v>
      </c>
      <c r="L14" s="53">
        <f t="array" ref="L14">IFERROR(IF(AND(E13&lt;&gt;"",E14=""),"TOTAL ESTIMADO",INDEX('MAPA DE PREÇOS'!M:M,0+MATCH(ABC!E14,'MAPA DE PREÇOS'!B:B,0))),"")</f>
        <v>27.18</v>
      </c>
      <c r="M14" s="54">
        <f>IFERROR(IF(AND(E13&lt;&gt;"",E14=""),SUM($M$5:M13),INDEX('MAPA DE PREÇOS'!M:M,19+MATCH(ABC!E14,'MAPA DE PREÇOS'!B:B,0))),"")</f>
        <v>2853.9</v>
      </c>
      <c r="N14" s="90">
        <f t="shared" si="1"/>
        <v>1.1936287103276551E-2</v>
      </c>
      <c r="O14" s="90">
        <f t="shared" si="4"/>
        <v>0.94298299270434771</v>
      </c>
      <c r="P14" s="54" t="str">
        <f t="shared" si="3"/>
        <v>B</v>
      </c>
    </row>
    <row r="15" spans="1:21" x14ac:dyDescent="0.25">
      <c r="B15" s="41">
        <v>10</v>
      </c>
      <c r="C15" s="42">
        <f>IFERROR(INDEX('MAPA DE PREÇOS'!M:M,MATCH(B15,'MAPA DE PREÇOS'!B:B,0)+19)/(SUMPRODUCT(EDITAL!I:I,EDITAL!J:J)),"")</f>
        <v>4.8966004857076357E-3</v>
      </c>
      <c r="D15" s="42">
        <f t="shared" si="2"/>
        <v>4.8966004857076357E-3</v>
      </c>
      <c r="E15" s="41">
        <f t="shared" si="0"/>
        <v>1</v>
      </c>
      <c r="F15" s="41">
        <f>IFERROR(VLOOKUP($E15,'MAPA DE PREÇOS'!$B:$D,2,FALSE),"")</f>
        <v>1</v>
      </c>
      <c r="G15" s="41">
        <f>IFERROR(VLOOKUP($E15,'MAPA DE PREÇOS'!$B:$D,3,FALSE),"")</f>
        <v>1</v>
      </c>
      <c r="H15" s="41">
        <f t="array" ref="H15">IFERROR(IF(E15="","",INDEX('MAPA DE PREÇOS'!H:H,0+MATCH(ABC!E15,'MAPA DE PREÇOS'!B:B,0))),"")</f>
        <v>1101294</v>
      </c>
      <c r="I15" t="str">
        <f>IF(E15="","",INDEX('MAPA DE PREÇOS'!H:H,MATCH(ABC!E15,'MAPA DE PREÇOS'!B:B,0)+1))</f>
        <v>ACIDO ACETICO 5%, 150ML (USO EXTERNO)</v>
      </c>
      <c r="J15" s="41" t="str">
        <f>IFERROR(IF(E15="","",INDEX('MAPA DE PREÇOS'!M:M,3+MATCH(ABC!E15,'MAPA DE PREÇOS'!B:B,0))),"")</f>
        <v>FR</v>
      </c>
      <c r="K15" s="52">
        <f t="array" ref="K15">IFERROR(IF(E15="","",INDEX('MAPA DE PREÇOS'!M:M,2+MATCH(ABC!E15,'MAPA DE PREÇOS'!B:B,0))),"")</f>
        <v>115</v>
      </c>
      <c r="L15" s="53">
        <f t="array" ref="L15">IFERROR(IF(AND(E14&lt;&gt;"",E15=""),"TOTAL ESTIMADO",INDEX('MAPA DE PREÇOS'!M:M,0+MATCH(ABC!E15,'MAPA DE PREÇOS'!B:B,0))),"")</f>
        <v>22.85</v>
      </c>
      <c r="M15" s="54">
        <f>IFERROR(IF(AND(E14&lt;&gt;"",E15=""),SUM($M$5:M14),INDEX('MAPA DE PREÇOS'!M:M,19+MATCH(ABC!E15,'MAPA DE PREÇOS'!B:B,0))),"")</f>
        <v>2627.75</v>
      </c>
      <c r="N15" s="90">
        <f t="shared" si="1"/>
        <v>1.099042658664808E-2</v>
      </c>
      <c r="O15" s="90">
        <f t="shared" si="4"/>
        <v>0.95397341929099577</v>
      </c>
      <c r="P15" s="54" t="str">
        <f t="shared" si="3"/>
        <v>C</v>
      </c>
    </row>
    <row r="16" spans="1:21" x14ac:dyDescent="0.25">
      <c r="B16" s="41">
        <v>11</v>
      </c>
      <c r="C16" s="42">
        <f>IFERROR(INDEX('MAPA DE PREÇOS'!M:M,MATCH(B16,'MAPA DE PREÇOS'!B:B,0)+19)/(SUMPRODUCT(EDITAL!I:I,EDITAL!J:J)),"")</f>
        <v>5.1381368325362636E-2</v>
      </c>
      <c r="D16" s="42">
        <f t="shared" si="2"/>
        <v>5.1381368325362636E-2</v>
      </c>
      <c r="E16" s="41">
        <f t="shared" si="0"/>
        <v>13</v>
      </c>
      <c r="F16" s="41">
        <f>IFERROR(VLOOKUP($E16,'MAPA DE PREÇOS'!$B:$D,2,FALSE),"")</f>
        <v>1</v>
      </c>
      <c r="G16" s="41">
        <f>IFERROR(VLOOKUP($E16,'MAPA DE PREÇOS'!$B:$D,3,FALSE),"")</f>
        <v>13</v>
      </c>
      <c r="H16" s="41">
        <f t="array" ref="H16">IFERROR(IF(E16="","",INDEX('MAPA DE PREÇOS'!H:H,0+MATCH(ABC!E16,'MAPA DE PREÇOS'!B:B,0))),"")</f>
        <v>84806</v>
      </c>
      <c r="I16" t="str">
        <f>IF(E16="","",INDEX('MAPA DE PREÇOS'!H:H,MATCH(ABC!E16,'MAPA DE PREÇOS'!B:B,0)+1))</f>
        <v>AZUL DE METILENO 1%, USO FARMACEUTICO, FRASCO COM 20ML APROX</v>
      </c>
      <c r="J16" s="41" t="str">
        <f>IFERROR(IF(E16="","",INDEX('MAPA DE PREÇOS'!M:M,3+MATCH(ABC!E16,'MAPA DE PREÇOS'!B:B,0))),"")</f>
        <v>FR</v>
      </c>
      <c r="K16" s="52">
        <f t="array" ref="K16">IFERROR(IF(E16="","",INDEX('MAPA DE PREÇOS'!M:M,2+MATCH(ABC!E16,'MAPA DE PREÇOS'!B:B,0))),"")</f>
        <v>100</v>
      </c>
      <c r="L16" s="53">
        <f t="array" ref="L16">IFERROR(IF(AND(E15&lt;&gt;"",E16=""),"TOTAL ESTIMADO",INDEX('MAPA DE PREÇOS'!M:M,0+MATCH(ABC!E16,'MAPA DE PREÇOS'!B:B,0))),"")</f>
        <v>25.34</v>
      </c>
      <c r="M16" s="54">
        <f>IFERROR(IF(AND(E15&lt;&gt;"",E16=""),SUM($M$5:M15),INDEX('MAPA DE PREÇOS'!M:M,19+MATCH(ABC!E16,'MAPA DE PREÇOS'!B:B,0))),"")</f>
        <v>2534</v>
      </c>
      <c r="N16" s="90">
        <f t="shared" si="1"/>
        <v>1.0598322127510698E-2</v>
      </c>
      <c r="O16" s="90">
        <f t="shared" si="4"/>
        <v>0.96457174141850643</v>
      </c>
      <c r="P16" s="54" t="str">
        <f t="shared" si="3"/>
        <v>C</v>
      </c>
    </row>
    <row r="17" spans="2:16" x14ac:dyDescent="0.25">
      <c r="B17" s="41">
        <v>12</v>
      </c>
      <c r="C17" s="42">
        <f>IFERROR(INDEX('MAPA DE PREÇOS'!M:M,MATCH(B17,'MAPA DE PREÇOS'!B:B,0)+19)/(SUMPRODUCT(EDITAL!I:I,EDITAL!J:J)),"")</f>
        <v>1.3342007729581344E-2</v>
      </c>
      <c r="D17" s="42">
        <f t="shared" si="2"/>
        <v>1.3342007729581344E-2</v>
      </c>
      <c r="E17" s="41">
        <f t="shared" si="0"/>
        <v>9</v>
      </c>
      <c r="F17" s="41">
        <f>IFERROR(VLOOKUP($E17,'MAPA DE PREÇOS'!$B:$D,2,FALSE),"")</f>
        <v>1</v>
      </c>
      <c r="G17" s="41">
        <f>IFERROR(VLOOKUP($E17,'MAPA DE PREÇOS'!$B:$D,3,FALSE),"")</f>
        <v>9</v>
      </c>
      <c r="H17" s="41">
        <f t="array" ref="H17">IFERROR(IF(E17="","",INDEX('MAPA DE PREÇOS'!H:H,0+MATCH(ABC!E17,'MAPA DE PREÇOS'!B:B,0))),"")</f>
        <v>1101492</v>
      </c>
      <c r="I17" t="str">
        <f>IF(E17="","",INDEX('MAPA DE PREÇOS'!H:H,MATCH(ABC!E17,'MAPA DE PREÇOS'!B:B,0)+1))</f>
        <v>NITRATO DE PRATA, BASTAO, 2,5G (USO EXTERNO)</v>
      </c>
      <c r="J17" s="41" t="str">
        <f>IFERROR(IF(E17="","",INDEX('MAPA DE PREÇOS'!M:M,3+MATCH(ABC!E17,'MAPA DE PREÇOS'!B:B,0))),"")</f>
        <v>PC</v>
      </c>
      <c r="K17" s="52">
        <f t="array" ref="K17">IFERROR(IF(E17="","",INDEX('MAPA DE PREÇOS'!M:M,2+MATCH(ABC!E17,'MAPA DE PREÇOS'!B:B,0))),"")</f>
        <v>110</v>
      </c>
      <c r="L17" s="53">
        <f t="array" ref="L17">IFERROR(IF(AND(E16&lt;&gt;"",E17=""),"TOTAL ESTIMADO",INDEX('MAPA DE PREÇOS'!M:M,0+MATCH(ABC!E17,'MAPA DE PREÇOS'!B:B,0))),"")</f>
        <v>22.19</v>
      </c>
      <c r="M17" s="54">
        <f>IFERROR(IF(AND(E16&lt;&gt;"",E17=""),SUM($M$5:M16),INDEX('MAPA DE PREÇOS'!M:M,19+MATCH(ABC!E17,'MAPA DE PREÇOS'!B:B,0))),"")</f>
        <v>2440.9</v>
      </c>
      <c r="N17" s="90">
        <f t="shared" si="1"/>
        <v>1.0208936259290001E-2</v>
      </c>
      <c r="O17" s="90">
        <f t="shared" si="4"/>
        <v>0.97478067767779641</v>
      </c>
      <c r="P17" s="54" t="str">
        <f t="shared" si="3"/>
        <v>C</v>
      </c>
    </row>
    <row r="18" spans="2:16" x14ac:dyDescent="0.25">
      <c r="B18" s="41">
        <v>13</v>
      </c>
      <c r="C18" s="42">
        <f>IFERROR(INDEX('MAPA DE PREÇOS'!M:M,MATCH(B18,'MAPA DE PREÇOS'!B:B,0)+19)/(SUMPRODUCT(EDITAL!I:I,EDITAL!J:J)),"")</f>
        <v>1.0598322127510698E-2</v>
      </c>
      <c r="D18" s="42">
        <f t="shared" si="2"/>
        <v>1.0598322127510698E-2</v>
      </c>
      <c r="E18" s="41">
        <f t="shared" si="0"/>
        <v>6</v>
      </c>
      <c r="F18" s="41">
        <f>IFERROR(VLOOKUP($E18,'MAPA DE PREÇOS'!$B:$D,2,FALSE),"")</f>
        <v>1</v>
      </c>
      <c r="G18" s="41">
        <f>IFERROR(VLOOKUP($E18,'MAPA DE PREÇOS'!$B:$D,3,FALSE),"")</f>
        <v>6</v>
      </c>
      <c r="H18" s="41">
        <f t="array" ref="H18">IFERROR(IF(E18="","",INDEX('MAPA DE PREÇOS'!H:H,0+MATCH(ABC!E18,'MAPA DE PREÇOS'!B:B,0))),"")</f>
        <v>1101435</v>
      </c>
      <c r="I18" t="str">
        <f>IF(E18="","",INDEX('MAPA DE PREÇOS'!H:H,MATCH(ABC!E18,'MAPA DE PREÇOS'!B:B,0)+1))</f>
        <v>HIDROXIDO DE POTASSIO 10%, SOLUCAO AQUOSA, 1LITRO (USO EXTERNO)</v>
      </c>
      <c r="J18" s="41" t="str">
        <f>IFERROR(IF(E18="","",INDEX('MAPA DE PREÇOS'!M:M,3+MATCH(ABC!E18,'MAPA DE PREÇOS'!B:B,0))),"")</f>
        <v>FR</v>
      </c>
      <c r="K18" s="52">
        <f t="array" ref="K18">IFERROR(IF(E18="","",INDEX('MAPA DE PREÇOS'!M:M,2+MATCH(ABC!E18,'MAPA DE PREÇOS'!B:B,0))),"")</f>
        <v>10</v>
      </c>
      <c r="L18" s="53">
        <f t="array" ref="L18">IFERROR(IF(AND(E17&lt;&gt;"",E18=""),"TOTAL ESTIMADO",INDEX('MAPA DE PREÇOS'!M:M,0+MATCH(ABC!E18,'MAPA DE PREÇOS'!B:B,0))),"")</f>
        <v>197.01</v>
      </c>
      <c r="M18" s="54">
        <f>IFERROR(IF(AND(E17&lt;&gt;"",E18=""),SUM($M$5:M17),INDEX('MAPA DE PREÇOS'!M:M,19+MATCH(ABC!E18,'MAPA DE PREÇOS'!B:B,0))),"")</f>
        <v>1970.1</v>
      </c>
      <c r="N18" s="90">
        <f t="shared" si="1"/>
        <v>8.2398399460966165E-3</v>
      </c>
      <c r="O18" s="90">
        <f t="shared" si="4"/>
        <v>0.98302051762389309</v>
      </c>
      <c r="P18" s="54" t="str">
        <f t="shared" si="3"/>
        <v>C</v>
      </c>
    </row>
    <row r="19" spans="2:16" x14ac:dyDescent="0.25">
      <c r="B19" s="41">
        <v>14</v>
      </c>
      <c r="C19" s="42">
        <f>IFERROR(INDEX('MAPA DE PREÇOS'!M:M,MATCH(B19,'MAPA DE PREÇOS'!B:B,0)+19)/(SUMPRODUCT(EDITAL!I:I,EDITAL!J:J)),"")</f>
        <v>5.0597159407087871E-3</v>
      </c>
      <c r="D19" s="42">
        <f t="shared" si="2"/>
        <v>5.0597159407087871E-3</v>
      </c>
      <c r="E19" s="41">
        <f t="shared" si="0"/>
        <v>2</v>
      </c>
      <c r="F19" s="41">
        <f>IFERROR(VLOOKUP($E19,'MAPA DE PREÇOS'!$B:$D,2,FALSE),"")</f>
        <v>1</v>
      </c>
      <c r="G19" s="41">
        <f>IFERROR(VLOOKUP($E19,'MAPA DE PREÇOS'!$B:$D,3,FALSE),"")</f>
        <v>2</v>
      </c>
      <c r="H19" s="41">
        <f t="array" ref="H19">IFERROR(IF(E19="","",INDEX('MAPA DE PREÇOS'!H:H,0+MATCH(ABC!E19,'MAPA DE PREÇOS'!B:B,0))),"")</f>
        <v>1101310</v>
      </c>
      <c r="I19" t="str">
        <f>IF(E19="","",INDEX('MAPA DE PREÇOS'!H:H,MATCH(ABC!E19,'MAPA DE PREÇOS'!B:B,0)+1))</f>
        <v>ÁCIDO TRICLOROACÉTICO 40%, 10ML (USO EXTERNO). INDICAR MARCA.</v>
      </c>
      <c r="J19" s="41" t="str">
        <f>IFERROR(IF(E19="","",INDEX('MAPA DE PREÇOS'!M:M,3+MATCH(ABC!E19,'MAPA DE PREÇOS'!B:B,0))),"")</f>
        <v>FR</v>
      </c>
      <c r="K19" s="52">
        <f t="array" ref="K19">IFERROR(IF(E19="","",INDEX('MAPA DE PREÇOS'!M:M,2+MATCH(ABC!E19,'MAPA DE PREÇOS'!B:B,0))),"")</f>
        <v>80</v>
      </c>
      <c r="L19" s="53">
        <f t="array" ref="L19">IFERROR(IF(AND(E18&lt;&gt;"",E19=""),"TOTAL ESTIMADO",INDEX('MAPA DE PREÇOS'!M:M,0+MATCH(ABC!E19,'MAPA DE PREÇOS'!B:B,0))),"")</f>
        <v>20.99</v>
      </c>
      <c r="M19" s="54">
        <f>IFERROR(IF(AND(E18&lt;&gt;"",E19=""),SUM($M$5:M18),INDEX('MAPA DE PREÇOS'!M:M,19+MATCH(ABC!E19,'MAPA DE PREÇOS'!B:B,0))),"")</f>
        <v>1679.2</v>
      </c>
      <c r="N19" s="90">
        <f t="shared" si="1"/>
        <v>7.023165949690594E-3</v>
      </c>
      <c r="O19" s="90">
        <f t="shared" si="4"/>
        <v>0.99004368357358363</v>
      </c>
      <c r="P19" s="54" t="str">
        <f t="shared" si="3"/>
        <v>C</v>
      </c>
    </row>
    <row r="20" spans="2:16" x14ac:dyDescent="0.25">
      <c r="B20" s="41">
        <v>15</v>
      </c>
      <c r="C20" s="42">
        <f>IFERROR(INDEX('MAPA DE PREÇOS'!M:M,MATCH(B20,'MAPA DE PREÇOS'!B:B,0)+19)/(SUMPRODUCT(EDITAL!I:I,EDITAL!J:J)),"")</f>
        <v>5.2230405180881449E-2</v>
      </c>
      <c r="D20" s="42">
        <f t="shared" si="2"/>
        <v>5.2230405180881449E-2</v>
      </c>
      <c r="E20" s="41">
        <f t="shared" si="0"/>
        <v>14</v>
      </c>
      <c r="F20" s="41">
        <f>IFERROR(VLOOKUP($E20,'MAPA DE PREÇOS'!$B:$D,2,FALSE),"")</f>
        <v>1</v>
      </c>
      <c r="G20" s="41">
        <f>IFERROR(VLOOKUP($E20,'MAPA DE PREÇOS'!$B:$D,3,FALSE),"")</f>
        <v>14</v>
      </c>
      <c r="H20" s="41">
        <f t="array" ref="H20">IFERROR(IF(E20="","",INDEX('MAPA DE PREÇOS'!H:H,0+MATCH(ABC!E20,'MAPA DE PREÇOS'!B:B,0))),"")</f>
        <v>1101658</v>
      </c>
      <c r="I20" t="str">
        <f>IF(E20="","",INDEX('MAPA DE PREÇOS'!H:H,MATCH(ABC!E20,'MAPA DE PREÇOS'!B:B,0)+1))</f>
        <v>FENILEFRINA 2,5% + TROPICAMIDA 0,5%, 5 ML, COLÍRIO, FRASCO</v>
      </c>
      <c r="J20" s="41" t="str">
        <f>IFERROR(IF(E20="","",INDEX('MAPA DE PREÇOS'!M:M,3+MATCH(ABC!E20,'MAPA DE PREÇOS'!B:B,0))),"")</f>
        <v>FR</v>
      </c>
      <c r="K20" s="52">
        <f t="array" ref="K20">IFERROR(IF(E20="","",INDEX('MAPA DE PREÇOS'!M:M,2+MATCH(ABC!E20,'MAPA DE PREÇOS'!B:B,0))),"")</f>
        <v>15</v>
      </c>
      <c r="L20" s="53">
        <f t="array" ref="L20">IFERROR(IF(AND(E19&lt;&gt;"",E20=""),"TOTAL ESTIMADO",INDEX('MAPA DE PREÇOS'!M:M,0+MATCH(ABC!E20,'MAPA DE PREÇOS'!B:B,0))),"")</f>
        <v>80.650000000000006</v>
      </c>
      <c r="M20" s="54">
        <f>IFERROR(IF(AND(E19&lt;&gt;"",E20=""),SUM($M$5:M19),INDEX('MAPA DE PREÇOS'!M:M,19+MATCH(ABC!E20,'MAPA DE PREÇOS'!B:B,0))),"")</f>
        <v>1209.75</v>
      </c>
      <c r="N20" s="90">
        <f t="shared" si="1"/>
        <v>5.0597159407087871E-3</v>
      </c>
      <c r="O20" s="90">
        <f t="shared" si="4"/>
        <v>0.99510339951429239</v>
      </c>
      <c r="P20" s="54" t="str">
        <f t="shared" si="3"/>
        <v>C</v>
      </c>
    </row>
    <row r="21" spans="2:16" x14ac:dyDescent="0.25">
      <c r="B21" s="41">
        <v>16</v>
      </c>
      <c r="C21" s="42">
        <f>IFERROR(INDEX('MAPA DE PREÇOS'!M:M,MATCH(B21,'MAPA DE PREÇOS'!B:B,0)+19)/(SUMPRODUCT(EDITAL!I:I,EDITAL!J:J)),"")</f>
        <v>2.6792759095830121E-2</v>
      </c>
      <c r="D21" s="42">
        <f t="shared" si="2"/>
        <v>2.6792759095830121E-2</v>
      </c>
      <c r="E21" s="41">
        <f t="shared" si="0"/>
        <v>10</v>
      </c>
      <c r="F21" s="41">
        <f>IFERROR(VLOOKUP($E21,'MAPA DE PREÇOS'!$B:$D,2,FALSE),"")</f>
        <v>1</v>
      </c>
      <c r="G21" s="41">
        <f>IFERROR(VLOOKUP($E21,'MAPA DE PREÇOS'!$B:$D,3,FALSE),"")</f>
        <v>10</v>
      </c>
      <c r="H21" s="41">
        <f t="array" ref="H21">IFERROR(IF(E21="","",INDEX('MAPA DE PREÇOS'!H:H,0+MATCH(ABC!E21,'MAPA DE PREÇOS'!B:B,0))),"")</f>
        <v>1101518</v>
      </c>
      <c r="I21" t="str">
        <f>IF(E21="","",INDEX('MAPA DE PREÇOS'!H:H,MATCH(ABC!E21,'MAPA DE PREÇOS'!B:B,0)+1))</f>
        <v>PERCLORETO FÉRRICO 49%, GEL, 15G (USO EXTERNO). INDICAR MARCA.</v>
      </c>
      <c r="J21" s="41" t="str">
        <f>IFERROR(IF(E21="","",INDEX('MAPA DE PREÇOS'!M:M,3+MATCH(ABC!E21,'MAPA DE PREÇOS'!B:B,0))),"")</f>
        <v>PO</v>
      </c>
      <c r="K21" s="52">
        <f t="array" ref="K21">IFERROR(IF(E21="","",INDEX('MAPA DE PREÇOS'!M:M,2+MATCH(ABC!E21,'MAPA DE PREÇOS'!B:B,0))),"")</f>
        <v>25</v>
      </c>
      <c r="L21" s="53">
        <f t="array" ref="L21">IFERROR(IF(AND(E20&lt;&gt;"",E21=""),"TOTAL ESTIMADO",INDEX('MAPA DE PREÇOS'!M:M,0+MATCH(ABC!E21,'MAPA DE PREÇOS'!B:B,0))),"")</f>
        <v>46.83</v>
      </c>
      <c r="M21" s="54">
        <f>IFERROR(IF(AND(E20&lt;&gt;"",E21=""),SUM($M$5:M20),INDEX('MAPA DE PREÇOS'!M:M,19+MATCH(ABC!E21,'MAPA DE PREÇOS'!B:B,0))),"")</f>
        <v>1170.75</v>
      </c>
      <c r="N21" s="90">
        <f t="shared" si="1"/>
        <v>4.8966004857076357E-3</v>
      </c>
      <c r="O21" s="90">
        <f t="shared" si="4"/>
        <v>1</v>
      </c>
      <c r="P21" s="54" t="str">
        <f t="shared" si="3"/>
        <v>C</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TOTAL ESTIMADO</v>
      </c>
      <c r="M22" s="54">
        <f>IFERROR(IF(AND(E21&lt;&gt;"",E22=""),SUM($M$5:M21),INDEX('MAPA DE PREÇOS'!M:M,19+MATCH(ABC!E22,'MAPA DE PREÇOS'!B:B,0))),"")</f>
        <v>239094.45</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4" customFormat="1" ht="64.900000000000006" customHeight="1" x14ac:dyDescent="0.25">
      <c r="B40" s="278" t="s">
        <v>391</v>
      </c>
      <c r="C40" s="278"/>
      <c r="D40" s="278"/>
    </row>
    <row r="41" spans="2:4" s="164" customFormat="1" ht="64.900000000000006" customHeight="1" x14ac:dyDescent="0.25">
      <c r="B41" s="278"/>
      <c r="C41" s="278"/>
      <c r="D41" s="278"/>
    </row>
    <row r="42" spans="2:4" s="164" customFormat="1" ht="64.900000000000006" customHeight="1" x14ac:dyDescent="0.25">
      <c r="B42" s="278"/>
      <c r="C42" s="278"/>
      <c r="D42" s="278"/>
    </row>
    <row r="43" spans="2:4" s="164" customFormat="1" ht="64.900000000000006" customHeight="1" x14ac:dyDescent="0.25">
      <c r="B43" s="278"/>
      <c r="C43" s="278"/>
      <c r="D43" s="278"/>
    </row>
    <row r="44" spans="2:4" s="164" customFormat="1" ht="64.900000000000006" customHeight="1" x14ac:dyDescent="0.25">
      <c r="B44" s="278"/>
      <c r="C44" s="278"/>
      <c r="D44" s="278"/>
    </row>
    <row r="45" spans="2:4" s="164"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93" sqref="A393"/>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2026-08-14T13:37:41Z</dcterms:modified>
</cp:coreProperties>
</file>