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EstaPasta_de_trabalho" defaultThemeVersion="124226"/>
  <xr:revisionPtr revIDLastSave="0" documentId="13_ncr:1_{6B9E5E06-3623-452A-BBEA-2FC51C37A0C4}" xr6:coauthVersionLast="47" xr6:coauthVersionMax="47" xr10:uidLastSave="{00000000-0000-0000-0000-000000000000}"/>
  <bookViews>
    <workbookView xWindow="-120" yWindow="-120" windowWidth="21840" windowHeight="13020" firstSheet="2" activeTab="2"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P42" i="2" s="1"/>
  <c r="P44" i="2" s="1"/>
  <c r="P46" i="2" s="1"/>
  <c r="P48" i="2" s="1"/>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M1643" i="2" l="1"/>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Q50" i="2"/>
  <c r="Q52" i="2" s="1"/>
  <c r="Q54" i="2" s="1"/>
  <c r="M127" i="2"/>
  <c r="M132" i="2"/>
  <c r="M47" i="2"/>
  <c r="M42" i="2" s="1"/>
  <c r="I42" i="2"/>
  <c r="P50" i="2"/>
  <c r="M51" i="2"/>
  <c r="M50" i="2"/>
  <c r="AA44" i="2"/>
  <c r="AA46" i="2" s="1"/>
  <c r="AA48" i="2" s="1"/>
  <c r="AA50" i="2" s="1"/>
  <c r="AA52" i="2" s="1"/>
  <c r="AA54" i="2" s="1"/>
  <c r="M44" i="2"/>
  <c r="M49" i="2"/>
  <c r="T46" i="2"/>
  <c r="T48" i="2" s="1"/>
  <c r="T50" i="2" s="1"/>
  <c r="T52" i="2" s="1"/>
  <c r="T54" i="2" s="1"/>
  <c r="M23" i="13"/>
  <c r="I443" i="2" l="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822" i="2" l="1"/>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M45" i="2"/>
  <c r="H1671" i="2"/>
  <c r="J1671" i="2" s="1"/>
  <c r="I1671"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166" i="2" l="1"/>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6"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AE601" i="2" l="1"/>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R21" i="2" s="1"/>
  <c r="S19" i="2"/>
  <c r="S21" i="2" s="1"/>
  <c r="T19" i="2"/>
  <c r="U19" i="2"/>
  <c r="R2029" i="2" l="1"/>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W580" i="2" l="1"/>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676" i="2" l="1"/>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2113" i="2" l="1"/>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U8" i="12" s="1"/>
  <c r="AJ8" i="12"/>
  <c r="AD8" i="12"/>
  <c r="Z8" i="12"/>
  <c r="N8" i="12"/>
  <c r="AB8" i="12"/>
  <c r="AF8" i="12"/>
  <c r="F9" i="11"/>
  <c r="H9" i="11"/>
  <c r="L9" i="11"/>
  <c r="I9" i="11"/>
  <c r="B10" i="11"/>
  <c r="G9" i="11"/>
  <c r="I9" i="12"/>
  <c r="G9" i="12"/>
  <c r="H9" i="12"/>
  <c r="B10" i="12"/>
  <c r="F9" i="12"/>
  <c r="AE8" i="12" l="1"/>
  <c r="Y8" i="12"/>
  <c r="AA8" i="12"/>
  <c r="AG8" i="12"/>
  <c r="AK8" i="12"/>
  <c r="S8" i="12"/>
  <c r="W8" i="12"/>
  <c r="Q8" i="12"/>
  <c r="O8" i="12"/>
  <c r="AC8" i="12"/>
  <c r="AI8" i="12"/>
  <c r="D10" i="12"/>
  <c r="C10" i="12"/>
  <c r="D10" i="11"/>
  <c r="C10" i="11"/>
  <c r="K9" i="12"/>
  <c r="L9" i="12"/>
  <c r="B11" i="12" l="1"/>
  <c r="G10" i="12"/>
  <c r="F10" i="12"/>
  <c r="I10" i="12"/>
  <c r="H10" i="12"/>
  <c r="J10" i="12"/>
  <c r="L10" i="11"/>
  <c r="I10" i="11"/>
  <c r="H10" i="11"/>
  <c r="G10" i="11"/>
  <c r="F10" i="11"/>
  <c r="B11" i="11"/>
  <c r="C11" i="11" s="1"/>
  <c r="R9" i="12" l="1"/>
  <c r="S9" i="12" s="1"/>
  <c r="AB9" i="12"/>
  <c r="AD9" i="12"/>
  <c r="N9" i="12"/>
  <c r="O9" i="12" s="1"/>
  <c r="AH9" i="12"/>
  <c r="AI9" i="12" s="1"/>
  <c r="AJ9" i="12"/>
  <c r="AK9" i="12" s="1"/>
  <c r="Z9" i="12"/>
  <c r="C11" i="12"/>
  <c r="B12" i="12" s="1"/>
  <c r="C12" i="12" s="1"/>
  <c r="D11" i="12"/>
  <c r="F11" i="11"/>
  <c r="I11" i="11"/>
  <c r="L11" i="11"/>
  <c r="G11" i="11"/>
  <c r="H11" i="11"/>
  <c r="D11" i="11"/>
  <c r="E11" i="11" s="1"/>
  <c r="K10" i="12"/>
  <c r="H11" i="12"/>
  <c r="I11" i="12"/>
  <c r="E11" i="12"/>
  <c r="G11" i="12"/>
  <c r="F11" i="12"/>
  <c r="O10" i="12"/>
  <c r="Q10" i="12" s="1"/>
  <c r="S10" i="12" s="1"/>
  <c r="U10" i="12" s="1"/>
  <c r="W10" i="12" s="1"/>
  <c r="Y10" i="12" s="1"/>
  <c r="AA10" i="12" s="1"/>
  <c r="AC10" i="12" s="1"/>
  <c r="AE10" i="12" s="1"/>
  <c r="AG10" i="12" s="1"/>
  <c r="AI10" i="12" s="1"/>
  <c r="AK10" i="12" s="1"/>
  <c r="J11" i="12"/>
  <c r="AB11" i="12" s="1"/>
  <c r="AC11" i="12" s="1"/>
  <c r="B12" i="11"/>
  <c r="V9" i="12" l="1"/>
  <c r="W9" i="12" s="1"/>
  <c r="T9" i="12"/>
  <c r="U9" i="12" s="1"/>
  <c r="P9" i="12"/>
  <c r="AF9" i="12"/>
  <c r="X9" i="12"/>
  <c r="Y9" i="12"/>
  <c r="AG9" i="12"/>
  <c r="Q9" i="12"/>
  <c r="AC9" i="12"/>
  <c r="AE9" i="12"/>
  <c r="AA9" i="12"/>
  <c r="D12" i="12"/>
  <c r="AJ11" i="12"/>
  <c r="AK11" i="12" s="1"/>
  <c r="AH11" i="12"/>
  <c r="AI11" i="12" s="1"/>
  <c r="L11" i="12"/>
  <c r="AD11" i="12"/>
  <c r="AE11" i="12" s="1"/>
  <c r="N11" i="12"/>
  <c r="O11" i="12" s="1"/>
  <c r="B13" i="12"/>
  <c r="F12" i="12"/>
  <c r="I12" i="12"/>
  <c r="G12" i="12"/>
  <c r="H12" i="12"/>
  <c r="R11" i="12"/>
  <c r="S11" i="12" s="1"/>
  <c r="V11" i="12"/>
  <c r="W11" i="12" s="1"/>
  <c r="P11" i="12"/>
  <c r="Q11" i="12" s="1"/>
  <c r="T11" i="12"/>
  <c r="U11" i="12" s="1"/>
  <c r="AF11" i="12"/>
  <c r="AG11" i="12" s="1"/>
  <c r="X11" i="12"/>
  <c r="Y11" i="12" s="1"/>
  <c r="K11" i="12"/>
  <c r="J12" i="12"/>
  <c r="Z11" i="12"/>
  <c r="AA11" i="12" s="1"/>
  <c r="C12" i="11"/>
  <c r="D12" i="11"/>
  <c r="V12" i="12" l="1"/>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B14" i="12" l="1"/>
  <c r="E13" i="12"/>
  <c r="F13" i="12"/>
  <c r="H13" i="12"/>
  <c r="I13" i="12"/>
  <c r="G13" i="12"/>
  <c r="AD13" i="12"/>
  <c r="AE13" i="12" s="1"/>
  <c r="Z13" i="12"/>
  <c r="AA13" i="12" s="1"/>
  <c r="AF13" i="12"/>
  <c r="AG13" i="12" s="1"/>
  <c r="AB13" i="12"/>
  <c r="AC13" i="12" s="1"/>
  <c r="P13" i="12"/>
  <c r="Q13" i="12" s="1"/>
  <c r="X13" i="12"/>
  <c r="Y13" i="12" s="1"/>
  <c r="K13" i="12"/>
  <c r="T13" i="12"/>
  <c r="U13" i="12" s="1"/>
  <c r="L13" i="12"/>
  <c r="R13" i="12"/>
  <c r="S13" i="12" s="1"/>
  <c r="V13" i="12"/>
  <c r="W13" i="12" s="1"/>
  <c r="AJ13" i="12"/>
  <c r="AK13" i="12" s="1"/>
  <c r="AH13" i="12"/>
  <c r="AI13" i="12" s="1"/>
  <c r="D13" i="11"/>
  <c r="C13" i="11"/>
  <c r="D14" i="12" l="1"/>
  <c r="C14" i="12"/>
  <c r="G13" i="11"/>
  <c r="F13" i="11"/>
  <c r="E13" i="11"/>
  <c r="H13" i="11"/>
  <c r="L13" i="11"/>
  <c r="I13" i="11"/>
  <c r="E14" i="12"/>
  <c r="H14" i="12"/>
  <c r="I14" i="12"/>
  <c r="F14" i="12"/>
  <c r="B14" i="11"/>
  <c r="G14" i="12" s="1"/>
  <c r="J14" i="12" l="1"/>
  <c r="B15" i="12"/>
  <c r="C14" i="11"/>
  <c r="D14" i="11"/>
  <c r="AD14" i="12" l="1"/>
  <c r="AC14" i="12"/>
  <c r="AJ14" i="12"/>
  <c r="Q14" i="12"/>
  <c r="X14" i="12"/>
  <c r="V14" i="12"/>
  <c r="AI14" i="12"/>
  <c r="S14" i="12"/>
  <c r="L14" i="12"/>
  <c r="AA14" i="12"/>
  <c r="AG14" i="12"/>
  <c r="T14" i="12"/>
  <c r="AB14" i="12"/>
  <c r="AH14" i="12"/>
  <c r="P14" i="12"/>
  <c r="R14" i="12"/>
  <c r="AF14" i="12"/>
  <c r="AK14" i="12"/>
  <c r="W14" i="12"/>
  <c r="N14" i="12"/>
  <c r="AE14" i="12"/>
  <c r="Y14" i="12"/>
  <c r="K14" i="12"/>
  <c r="O14" i="12"/>
  <c r="Z14" i="12"/>
  <c r="U14" i="12"/>
  <c r="D15" i="12"/>
  <c r="C15" i="12"/>
  <c r="B16" i="12" s="1"/>
  <c r="J15" i="12"/>
  <c r="AJ15" i="12" s="1"/>
  <c r="AK15" i="12" s="1"/>
  <c r="I15" i="12"/>
  <c r="H15" i="12"/>
  <c r="F15" i="12"/>
  <c r="E15" i="12"/>
  <c r="G14" i="11"/>
  <c r="H14" i="11"/>
  <c r="I14" i="11"/>
  <c r="F14" i="11"/>
  <c r="L14" i="11"/>
  <c r="E14" i="11"/>
  <c r="B15" i="11"/>
  <c r="D16" i="12" l="1"/>
  <c r="C16" i="12"/>
  <c r="W15" i="12"/>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J16" i="12"/>
  <c r="S16" i="12" s="1"/>
  <c r="G15" i="12"/>
  <c r="D15" i="11"/>
  <c r="C15" i="11"/>
  <c r="E16" i="12" l="1"/>
  <c r="B17" i="12"/>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7" i="12" l="1"/>
  <c r="C17" i="12"/>
  <c r="B18" i="12" s="1"/>
  <c r="D16" i="11"/>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C18" i="12" l="1"/>
  <c r="D18" i="12"/>
  <c r="G17" i="12"/>
  <c r="H18" i="12"/>
  <c r="E18" i="12"/>
  <c r="I18" i="12"/>
  <c r="F18" i="12"/>
  <c r="C17" i="11"/>
  <c r="D17" i="11"/>
  <c r="J18" i="12" l="1"/>
  <c r="B19" i="12"/>
  <c r="C19" i="12" s="1"/>
  <c r="D19" i="12"/>
  <c r="B18" i="11"/>
  <c r="F17" i="11"/>
  <c r="L17" i="11"/>
  <c r="G17" i="11"/>
  <c r="H17" i="11"/>
  <c r="E17" i="11"/>
  <c r="I17" i="11"/>
  <c r="AK18" i="12" l="1"/>
  <c r="L18" i="12"/>
  <c r="AG18" i="12"/>
  <c r="AJ18" i="12"/>
  <c r="Y18" i="12"/>
  <c r="P18" i="12"/>
  <c r="AB18" i="12"/>
  <c r="AE18" i="12"/>
  <c r="AF18" i="12"/>
  <c r="Q18" i="12"/>
  <c r="AA18" i="12"/>
  <c r="N18" i="12"/>
  <c r="O18" i="12"/>
  <c r="AD18" i="12"/>
  <c r="AC18" i="12"/>
  <c r="S18" i="12"/>
  <c r="K18" i="12"/>
  <c r="T18" i="12"/>
  <c r="W18" i="12"/>
  <c r="R18" i="12"/>
  <c r="AH18" i="12"/>
  <c r="X18" i="12"/>
  <c r="U18" i="12"/>
  <c r="Z18" i="12"/>
  <c r="AI18" i="12"/>
  <c r="V18" i="12"/>
  <c r="E19" i="12"/>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R68" i="12" l="1"/>
  <c r="S68" i="12" s="1"/>
  <c r="L8" i="12"/>
  <c r="L10" i="12" s="1"/>
  <c r="N10" i="12" s="1"/>
  <c r="P10" i="12" s="1"/>
  <c r="R10" i="12" s="1"/>
  <c r="T10" i="12" s="1"/>
  <c r="V10" i="12" s="1"/>
  <c r="X10" i="12" s="1"/>
  <c r="Z10" i="12" s="1"/>
  <c r="AB10" i="12" s="1"/>
  <c r="AD10" i="12" s="1"/>
  <c r="AF10" i="12" s="1"/>
  <c r="AH10" i="12" s="1"/>
  <c r="AJ10"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9" i="11" l="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<sst xmlns="http://schemas.openxmlformats.org/spreadsheetml/2006/main" count="3447" uniqueCount="440">
  <si>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</si>
  <si>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</si>
  <si>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</si>
  <si>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</si>
  <si>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</si>
  <si>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</si>
  <si>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</si>
  <si>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</si>
  <si>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</si>
  <si>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</si>
  <si>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</si>
  <si>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</si>
  <si>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</si>
  <si>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</si>
  <si>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</si>
  <si>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</si>
  <si>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</si>
  <si>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</si>
  <si>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</si>
  <si>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</si>
  <si>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</si>
  <si>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</si>
  <si>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</si>
  <si>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</si>
  <si>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</si>
  <si>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</si>
  <si>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</si>
  <si>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</si>
  <si>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</si>
  <si>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</si>
  <si>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</si>
  <si>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</si>
  <si>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</si>
  <si>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</si>
  <si>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</si>
  <si>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</si>
  <si>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</si>
  <si>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</si>
  <si>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</si>
  <si>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</si>
  <si>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</si>
  <si>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</si>
  <si>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</si>
  <si>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</si>
  <si>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</si>
  <si>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</si>
  <si>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</si>
  <si>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</si>
  <si>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</si>
  <si>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</si>
  <si>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</si>
  <si>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</si>
  <si>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</si>
  <si>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</si>
  <si>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</si>
  <si>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</si>
  <si>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</si>
  <si>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</si>
  <si>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</si>
  <si>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</si>
  <si>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</si>
  <si>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</si>
  <si>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</si>
  <si>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</si>
  <si>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</si>
  <si>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</si>
  <si>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</si>
  <si>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</si>
  <si>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</si>
  <si>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</si>
  <si>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</si>
  <si>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</si>
  <si>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</si>
  <si>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</si>
  <si>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</si>
  <si>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</si>
  <si>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</si>
  <si>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</si>
  <si>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</si>
  <si>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</si>
  <si>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</si>
  <si>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</si>
  <si>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</si>
  <si>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</si>
  <si>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</si>
  <si>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</si>
  <si>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</si>
  <si>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</si>
  <si>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</si>
  <si>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</si>
  <si>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</si>
  <si>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</si>
  <si>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</si>
  <si>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</si>
  <si>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</si>
  <si>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</si>
  <si>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</si>
  <si>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</si>
  <si>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</si>
  <si>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</si>
  <si>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</si>
  <si>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</si>
  <si>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</si>
  <si>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</si>
  <si>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</si>
  <si>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</si>
  <si>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</si>
  <si>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</si>
  <si>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</si>
  <si>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</si>
  <si>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</si>
  <si>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</si>
  <si>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</si>
  <si>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</si>
  <si>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</si>
  <si>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</si>
  <si>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</si>
  <si>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</si>
  <si>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</si>
  <si>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</si>
  <si>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</si>
  <si>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</si>
  <si>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</si>
  <si>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</si>
  <si>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</si>
  <si>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</si>
  <si>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</si>
  <si>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</si>
  <si>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</si>
  <si>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</si>
  <si>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</si>
  <si>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</si>
  <si>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</si>
  <si>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</si>
  <si>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</si>
  <si>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</si>
  <si>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</si>
  <si>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</si>
  <si>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</si>
  <si>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</si>
  <si>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</si>
  <si>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</si>
  <si>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</si>
  <si>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</si>
  <si>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</si>
  <si>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</si>
  <si>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</si>
  <si>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</si>
  <si>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</si>
  <si>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</si>
  <si>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</si>
  <si>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</si>
  <si>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</si>
  <si>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</si>
  <si>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</si>
  <si>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</si>
  <si>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</si>
  <si>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</si>
  <si>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</si>
  <si>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</si>
  <si>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</si>
  <si>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</si>
  <si>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</si>
  <si>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</si>
  <si>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</si>
  <si>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</si>
  <si>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</si>
  <si>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</si>
  <si>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</si>
  <si>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</si>
  <si>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</si>
  <si>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</si>
  <si>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</si>
  <si>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</si>
  <si>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</si>
  <si>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</si>
  <si>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</si>
  <si>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</si>
  <si>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</si>
  <si>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</si>
  <si>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</si>
  <si>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</si>
  <si>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</si>
  <si>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</si>
  <si>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</si>
  <si>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</si>
  <si>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</si>
  <si>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</si>
  <si>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</si>
  <si>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</si>
  <si>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</si>
  <si>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</si>
  <si>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</si>
  <si>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</si>
  <si>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</si>
  <si>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</si>
  <si>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</si>
  <si>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</si>
  <si>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</si>
  <si>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</si>
  <si>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</si>
  <si>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</si>
  <si>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</si>
  <si>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</si>
  <si>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</si>
  <si>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</si>
  <si>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</si>
  <si>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</si>
  <si>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</si>
  <si>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</si>
  <si>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</si>
  <si>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</si>
  <si>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</si>
  <si>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</si>
  <si>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</si>
  <si>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</si>
  <si>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</si>
  <si>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</si>
  <si>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</si>
  <si>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</si>
  <si>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</si>
  <si>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</si>
  <si>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</si>
  <si>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</si>
  <si>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</si>
  <si>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</si>
  <si>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</si>
  <si>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</si>
  <si>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</si>
  <si>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</si>
  <si>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</si>
  <si>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</si>
  <si>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</si>
  <si>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</si>
  <si>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</si>
  <si>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</si>
  <si>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</si>
  <si>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</si>
  <si>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</si>
  <si>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</si>
  <si>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</si>
  <si>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</si>
  <si>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</si>
  <si>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</si>
  <si>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</si>
  <si>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</si>
  <si>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</si>
  <si>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</si>
  <si>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</si>
  <si>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</si>
  <si>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</si>
  <si>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</si>
  <si>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</si>
  <si>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</si>
  <si>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</si>
  <si>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</si>
  <si>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</si>
  <si>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</si>
  <si>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</si>
  <si>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</si>
  <si>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</si>
  <si>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</si>
  <si>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</si>
  <si>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</si>
  <si>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</si>
  <si>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</si>
  <si>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</si>
  <si>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</si>
  <si>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</si>
  <si>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</si>
  <si>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</si>
  <si>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</si>
  <si>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</si>
  <si>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</si>
  <si>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</si>
  <si>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</si>
  <si>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</si>
  <si>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</si>
  <si>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</si>
  <si>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</si>
  <si>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</si>
  <si>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</si>
  <si>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</si>
  <si>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</si>
  <si>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</si>
  <si>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</si>
  <si>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</si>
  <si>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</si>
  <si>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</si>
  <si>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</si>
  <si>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</si>
  <si>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</si>
  <si>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</si>
  <si>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</si>
  <si>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</si>
  <si>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</si>
  <si>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</si>
  <si>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</si>
  <si>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</si>
  <si>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</si>
  <si>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</si>
  <si>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</si>
  <si>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</si>
  <si>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</si>
  <si>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</si>
  <si>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</si>
  <si>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</si>
  <si>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</si>
  <si>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</si>
  <si>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</si>
  <si>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</si>
  <si>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</si>
  <si>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</si>
  <si>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</si>
  <si>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</si>
  <si>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</si>
  <si>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</si>
  <si>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</si>
  <si>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</si>
  <si>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</si>
  <si>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</si>
  <si>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</si>
  <si>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</si>
  <si>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</si>
  <si>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</si>
  <si>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</si>
  <si>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</si>
  <si>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</si>
  <si>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</si>
  <si>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</si>
  <si>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</si>
  <si>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</si>
  <si>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</si>
  <si>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</si>
  <si>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</si>
  <si>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</si>
  <si>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</si>
  <si>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</si>
  <si>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</si>
  <si>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</si>
  <si>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</si>
  <si>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</si>
  <si>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</si>
  <si>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</si>
  <si>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</si>
  <si>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</si>
  <si>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</si>
  <si>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</si>
  <si>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</si>
  <si>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</si>
  <si>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</si>
  <si>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</si>
  <si>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</si>
  <si>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</si>
  <si>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</si>
  <si>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</si>
  <si>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</si>
  <si>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</si>
  <si>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</si>
  <si>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</si>
  <si>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</si>
  <si>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</si>
  <si>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</si>
  <si>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</si>
  <si>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</si>
  <si>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</si>
  <si>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</si>
  <si>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</si>
  <si>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</si>
  <si>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</si>
  <si>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</si>
  <si>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</si>
  <si>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</si>
  <si>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</si>
  <si>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</si>
  <si>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</si>
  <si>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</si>
  <si>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</si>
  <si>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</si>
  <si>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</si>
  <si>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</si>
  <si>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</si>
  <si>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</si>
  <si>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</si>
  <si>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</si>
  <si>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</si>
  <si>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</si>
  <si>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</si>
  <si>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</si>
  <si>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</si>
  <si>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</si>
  <si>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</si>
  <si>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</si>
  <si>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</si>
  <si>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</si>
  <si>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</si>
  <si>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</si>
  <si>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</si>
  <si>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</si>
  <si>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</si>
  <si>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</si>
  <si>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</si>
  <si>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</si>
  <si>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</si>
  <si>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</si>
  <si>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</si>
  <si>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</si>
  <si>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</si>
  <si>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</si>
  <si>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</si>
  <si>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</si>
  <si>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</si>
  <si>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</si>
  <si>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</si>
  <si>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</si>
  <si>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</si>
  <si>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</si>
  <si>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</si>
  <si>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</si>
  <si>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</si>
  <si>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</si>
  <si>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</si>
  <si>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</si>
  <si>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</si>
  <si>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</si>
  <si>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</si>
  <si>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</si>
  <si>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</si>
  <si>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</si>
  <si>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</si>
  <si>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</si>
  <si>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</si>
  <si>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</si>
  <si>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26.0.000086141-2</t>
  </si>
  <si>
    <t>UASE</t>
  </si>
  <si>
    <t>Vitória Antonielli Silveira</t>
  </si>
  <si>
    <t>Cartão VR</t>
  </si>
  <si>
    <t>SEI 39828787</t>
  </si>
  <si>
    <t>SEI 39905864</t>
  </si>
  <si>
    <t>SEI 40209149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</si>
</sst>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8">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wrapText="1"/>
      <protection locked="0"/>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abSelected="1" topLeftCell="A4" zoomScale="85" zoomScaleNormal="85" workbookViewId="0">
      <selection activeCell="R18" sqref="R18"/>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5" t="str">
        <f>CONCATENATE("PREFEITURA MUNICIPAL DE PORTO ALEGRE
",H5,"
MAPA DE PREÇOS - ", UPPER(TEXT(MAX('Tabela de Apoio'!A:A),"MMM/AA")))</f>
        <v>PREFEITURA MUNICIPAL DE PORTO ALEGRE
SECRETARIA MUNICIPAL DE GOVERNANÇA CIDADÃ E DESENVOLVIMENTO RURAL (SMGOV)
MAPA DE PREÇOS - MAI/26</v>
      </c>
      <c r="F2" s="205"/>
      <c r="G2" s="205"/>
      <c r="H2" s="205"/>
      <c r="I2" s="205"/>
      <c r="J2" s="205"/>
      <c r="K2" s="205"/>
      <c r="L2" s="205"/>
      <c r="M2" s="205"/>
      <c r="N2" s="205"/>
      <c r="O2" s="205"/>
      <c r="P2" s="205"/>
      <c r="Q2" s="205"/>
      <c r="R2" s="205"/>
      <c r="S2" s="205"/>
      <c r="T2" s="205"/>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7" t="s">
        <v>326</v>
      </c>
      <c r="F4" s="218"/>
      <c r="G4" s="218"/>
      <c r="H4" s="218"/>
      <c r="I4" s="218"/>
      <c r="J4" s="219"/>
      <c r="K4" s="95"/>
      <c r="L4" s="218" t="s">
        <v>325</v>
      </c>
      <c r="M4" s="218"/>
      <c r="N4" s="218"/>
      <c r="O4" s="218"/>
      <c r="P4" s="219"/>
      <c r="Q4" s="98"/>
      <c r="R4" s="213" t="s">
        <v>14</v>
      </c>
      <c r="S4" s="213"/>
      <c r="T4" s="213"/>
      <c r="U4" s="213"/>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08" t="s">
        <v>407</v>
      </c>
      <c r="I5" s="208"/>
      <c r="J5" s="208"/>
      <c r="K5" s="141"/>
      <c r="L5" s="216" t="s">
        <v>321</v>
      </c>
      <c r="M5" s="206"/>
      <c r="N5" s="206"/>
      <c r="O5" s="209" t="s">
        <v>434</v>
      </c>
      <c r="P5" s="210"/>
      <c r="Q5" s="98"/>
      <c r="R5" s="214" t="s">
        <v>383</v>
      </c>
      <c r="S5" s="214"/>
      <c r="T5" s="214"/>
      <c r="U5" s="21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12"/>
      <c r="I6" s="212"/>
      <c r="J6" s="212"/>
      <c r="K6" s="142"/>
      <c r="L6" s="216" t="s">
        <v>352</v>
      </c>
      <c r="M6" s="206"/>
      <c r="N6" s="206"/>
      <c r="O6" s="209" t="s">
        <v>435</v>
      </c>
      <c r="P6" s="210"/>
      <c r="Q6" s="98"/>
      <c r="R6" s="214"/>
      <c r="S6" s="214"/>
      <c r="T6" s="214"/>
      <c r="U6" s="21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07" t="s">
        <v>433</v>
      </c>
      <c r="I7" s="208"/>
      <c r="J7" s="208"/>
      <c r="K7" s="141"/>
      <c r="L7" s="216" t="s">
        <v>351</v>
      </c>
      <c r="M7" s="206"/>
      <c r="N7" s="206"/>
      <c r="O7" s="209">
        <v>1663011</v>
      </c>
      <c r="P7" s="210"/>
      <c r="Q7" s="98"/>
      <c r="R7" s="214"/>
      <c r="S7" s="214"/>
      <c r="T7" s="214"/>
      <c r="U7" s="21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1</v>
      </c>
      <c r="C8" s="124"/>
      <c r="D8" s="124"/>
      <c r="E8" s="206" t="s">
        <v>33</v>
      </c>
      <c r="F8" s="206"/>
      <c r="G8" s="206"/>
      <c r="H8" s="225">
        <f>MIN(MAX(COUNTA('BASE FORMAÇÃO'!C:C)-1,1),100)</f>
        <v>1</v>
      </c>
      <c r="I8" s="226"/>
      <c r="J8" s="227"/>
      <c r="K8" s="141"/>
      <c r="L8" s="228" t="s">
        <v>301</v>
      </c>
      <c r="M8" s="229"/>
      <c r="N8" s="230"/>
      <c r="O8" s="220">
        <v>46204</v>
      </c>
      <c r="P8" s="221"/>
      <c r="Q8" s="97"/>
      <c r="R8" s="215" t="s">
        <v>379</v>
      </c>
      <c r="S8" s="215"/>
      <c r="T8" s="215"/>
      <c r="U8" s="21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24">
        <f>SUMIF(L:L,"TOTAL ITEM",M:M)</f>
        <v>28500</v>
      </c>
      <c r="I9" s="224"/>
      <c r="J9" s="224"/>
      <c r="K9" s="141"/>
      <c r="L9" s="217"/>
      <c r="M9" s="218"/>
      <c r="N9" s="219"/>
      <c r="O9" s="222"/>
      <c r="P9" s="223"/>
      <c r="Q9" s="97"/>
      <c r="R9" s="215"/>
      <c r="S9" s="215"/>
      <c r="T9" s="215"/>
      <c r="U9" s="21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3" t="s">
        <v>314</v>
      </c>
      <c r="F11" s="65"/>
      <c r="G11" s="213" t="s">
        <v>324</v>
      </c>
      <c r="H11" s="213"/>
      <c r="I11" s="213"/>
      <c r="J11" s="213"/>
      <c r="K11" s="65"/>
      <c r="L11" s="213" t="s">
        <v>10</v>
      </c>
      <c r="M11" s="213"/>
      <c r="N11" s="68"/>
      <c r="O11" s="211"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3"/>
      <c r="F12" s="65"/>
      <c r="G12" s="213"/>
      <c r="H12" s="213"/>
      <c r="I12" s="213"/>
      <c r="J12" s="213"/>
      <c r="K12" s="65"/>
      <c r="L12" s="213"/>
      <c r="M12" s="213"/>
      <c r="N12" s="69"/>
      <c r="O12" s="211"/>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2" t="s">
        <v>10</v>
      </c>
      <c r="M15" s="184">
        <f>IF(OR(ISBLANK($O$8),ISBLANK($O$7),ISBLANK($H$8),ISBLANK($O$6),ISBLANK($O$5),ISBLANK($H$5)),"",IFERROR(IF(VLOOKUP(L15,L21:M30,2,FALSE)&lt;1,ROUND(VLOOKUP(L15,L21:M30,2,FALSE),4),ROUND(VLOOKUP(L15,L21:M30,2,FALSE),2)),""))</f>
        <v>28500</v>
      </c>
      <c r="N15" s="69"/>
      <c r="O15" s="27" t="s">
        <v>17</v>
      </c>
      <c r="P15" s="113">
        <v>28500</v>
      </c>
      <c r="Q15" s="113">
        <v>28500</v>
      </c>
      <c r="R15" s="113">
        <v>28500</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191" t="s">
        <v>436</v>
      </c>
      <c r="I16" s="191"/>
      <c r="J16" s="192"/>
      <c r="K16" s="66"/>
      <c r="L16" s="183"/>
      <c r="M16" s="185"/>
      <c r="N16" s="70"/>
      <c r="O16" s="27" t="s">
        <v>13</v>
      </c>
      <c r="P16" s="122">
        <v>46188</v>
      </c>
      <c r="Q16" s="122">
        <v>46192</v>
      </c>
      <c r="R16" s="122">
        <v>46203</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1</v>
      </c>
      <c r="N17" s="71"/>
      <c r="O17" s="27" t="s">
        <v>380</v>
      </c>
      <c r="P17" s="114" t="s">
        <v>377</v>
      </c>
      <c r="Q17" s="114" t="s">
        <v>377</v>
      </c>
      <c r="R17" s="114" t="s">
        <v>377</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
        <v>290</v>
      </c>
      <c r="N18" s="71"/>
      <c r="O18" s="27" t="s">
        <v>381</v>
      </c>
      <c r="P18" s="115" t="s">
        <v>437</v>
      </c>
      <c r="Q18" s="115" t="s">
        <v>438</v>
      </c>
      <c r="R18" s="115" t="s">
        <v>439</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v>
      </c>
      <c r="N19" s="71"/>
      <c r="O19" s="27" t="s">
        <v>18</v>
      </c>
      <c r="P19" s="106">
        <f>IF(P15="","",
IF(OR(P17="Orçamento",P16="",MAX('Tabela de Apoio'!$A:$A)&lt;=P16),
P15,
(INDEX('Tabela de Apoio'!$B:$B,MATCH('MAPA DE PREÇOS'!$O$8,'Tabela de Apoio'!$A:$A,1))/INDEX('Tabela de Apoio'!$B:$B,MATCH('MAPA DE PREÇOS'!P16,'Tabela de Apoio'!$A:$A,1)-1))*P15))</f>
        <v>28500</v>
      </c>
      <c r="Q19" s="106">
        <f>IF(Q15="","",
IF(OR(Q17="Orçamento",Q16="",MAX('Tabela de Apoio'!$A:$A)&lt;=Q16),
Q15,
(INDEX('Tabela de Apoio'!$B:$B,MATCH('MAPA DE PREÇOS'!$O$8,'Tabela de Apoio'!$A:$A,1))/INDEX('Tabela de Apoio'!$B:$B,MATCH('MAPA DE PREÇOS'!Q16,'Tabela de Apoio'!$A:$A,1)-1))*Q15))</f>
        <v>28500</v>
      </c>
      <c r="R19" s="106">
        <f>IF(R15="","",
IF(OR(R17="Orçamento",R16="",MAX('Tabela de Apoio'!$A:$A)&lt;=R16),
R15,
(INDEX('Tabela de Apoio'!$B:$B,MATCH('MAPA DE PREÇOS'!$O$8,'Tabela de Apoio'!$A:$A,1))/INDEX('Tabela de Apoio'!$B:$B,MATCH('MAPA DE PREÇOS'!R16,'Tabela de Apoio'!$A:$A,1)-1))*R15))</f>
        <v>28500</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t="str">
        <f>IF(IFERROR(VLOOKUP(P17,'Tabela de Apoio'!$D:$E,2,FALSE),1)=1,"",P21)</f>
        <v/>
      </c>
      <c r="Q20" s="107" t="str">
        <f>IF(IFERROR(VLOOKUP(Q17,'Tabela de Apoio'!$D:$E,2,FALSE),1)=1,"",Q21)</f>
        <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3</v>
      </c>
      <c r="I21" s="132">
        <f>_xlfn.STDEV.P($P20:$XX21)/AVERAGE($P20:$XX21)</f>
        <v>0</v>
      </c>
      <c r="J21" s="7">
        <f>ROW()</f>
        <v>21</v>
      </c>
      <c r="K21" s="67"/>
      <c r="L21" s="29" t="s">
        <v>10</v>
      </c>
      <c r="M21" s="30">
        <f>IFERROR(
IF(COUNTA(P15:AI15)=COUNTIF(P17:XX17,"Orçamento"),MIN(M26,M23),
IF(M24&lt;&gt;"",M24,
IF(M25&lt;&gt;"",M25,
M23
))),"")</f>
        <v>28500</v>
      </c>
      <c r="N21" s="71"/>
      <c r="O21" s="27" t="s">
        <v>376</v>
      </c>
      <c r="P21" s="106">
        <f>IFERROR(IF(P19="",
            "",
            IF(COUNT($P19:$XX19)&lt;=4,
               P19,
               IF(OR(P19&gt;(QUARTILE($P19:$XX19,3)+(QUARTILE($P19:$XX19,3)-QUARTILE($P19:$XX19,1))),
                     P19&lt;(QUARTILE($P19:$XX19,1)-(QUARTILE($P19:$XX19,3)-QUARTILE($P19:$XX19,1)))
                  ),
               "DESCARTADO",P19)
             )
  ),P19)</f>
        <v>28500</v>
      </c>
      <c r="Q21" s="106">
        <f t="shared" ref="Q21:AI21" si="3">IFERROR(IF(Q19="",
            "",
            IF(COUNT($P19:$XX19)&lt;=4,
               Q19,
               IF(OR(Q19&gt;(QUARTILE($P19:$XX19,3)+(QUARTILE($P19:$XX19,3)-QUARTILE($P19:$XX19,1))),
                     Q19&lt;(QUARTILE($P19:$XX19,1)-(QUARTILE($P19:$XX19,3)-QUARTILE($P19:$XX19,1)))
                  ),
               "DESCARTADO",Q19)
             )
  ),Q19)</f>
        <v>28500</v>
      </c>
      <c r="R21" s="106">
        <f t="shared" si="3"/>
        <v>28500</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28500</v>
      </c>
      <c r="N22" s="71"/>
      <c r="O22" s="27" t="str">
        <f>"1 POND"</f>
        <v>1 POND</v>
      </c>
      <c r="P22" s="107" t="str">
        <f>IF(IFERROR(VLOOKUP(P17,'Tabela de Apoio'!$D:$E,2,FALSE),1)=1,"",P23)</f>
        <v/>
      </c>
      <c r="Q22" s="107" t="str">
        <f>IF(IFERROR(VLOOKUP(Q17,'Tabela de Apoio'!$D:$E,2,FALSE),1)=1,"",Q23)</f>
        <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3</v>
      </c>
      <c r="I23" s="132">
        <f>_xlfn.STDEV.P($P22:$XX23)/AVERAGE($P22:$XX23)</f>
        <v>0</v>
      </c>
      <c r="J23" s="7">
        <f>IF(AND(H23&gt;2,
OR(L15="MÉDIA SANEADA",L15="MEDIANA SANEADA",
AND(L15="PREÇO ESTIMADO",NOT(AND(P17="Orçamento",COUNTA(P15:XX15)=COUNTIF(P17:XX17,"Orçamento")))))),
ROW(),0)</f>
        <v>0</v>
      </c>
      <c r="K23" s="66"/>
      <c r="L23" s="29" t="s">
        <v>361</v>
      </c>
      <c r="M23" s="30">
        <f>MEDIAN($P21:$XX21)</f>
        <v>28500</v>
      </c>
      <c r="N23" s="71"/>
      <c r="O23" s="27" t="str">
        <f>"1 RODADA"</f>
        <v>1 RODADA</v>
      </c>
      <c r="P23" s="107">
        <f>IF(P21="","",IF((_xlfn.STDEV.P($P20:$XX21)/AVERAGE($P20:$XX21))&lt;=25%,P21,IF(OR(P21&gt;(AVERAGE($P20:$XX21)+_xlfn.STDEV.P($P20:$XX21)),P21&lt;(AVERAGE($P20:$XX21)-_xlfn.STDEV.P($P20:$XX21))),"DESCARTADO",P21)))</f>
        <v>28500</v>
      </c>
      <c r="Q23" s="107">
        <f t="shared" ref="Q23:AI23" si="6">IF(Q21="","",IF((_xlfn.STDEV.P($P20:$XX21)/AVERAGE($P20:$XX21))&lt;=25%,Q21,IF(OR(Q21&gt;(AVERAGE($P20:$XX21)+_xlfn.STDEV.P($P20:$XX21)),Q21&lt;(AVERAGE($P20:$XX21)-_xlfn.STDEV.P($P20:$XX21))),"DESCARTADO",Q21)))</f>
        <v>28500</v>
      </c>
      <c r="R23" s="107">
        <f t="shared" si="6"/>
        <v>28500</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28500</v>
      </c>
      <c r="N24" s="71"/>
      <c r="O24" s="27" t="str">
        <f>"2 POND"</f>
        <v>2 POND</v>
      </c>
      <c r="P24" s="107" t="str">
        <f>IF(IFERROR(VLOOKUP(P17,'Tabela de Apoio'!$D:$E,2,FALSE),1)=1,"",P25)</f>
        <v/>
      </c>
      <c r="Q24" s="107" t="str">
        <f>IF(IFERROR(VLOOKUP(Q17,'Tabela de Apoio'!$D:$E,2,FALSE),1)=1,"",Q25)</f>
        <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3</v>
      </c>
      <c r="I25" s="132">
        <f>_xlfn.STDEV.P($P24:$XX25)/AVERAGE($P24:$XX25)</f>
        <v>0</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28500</v>
      </c>
      <c r="N25" s="71"/>
      <c r="O25" s="27" t="str">
        <f>"2 RODADA"</f>
        <v>2 RODADA</v>
      </c>
      <c r="P25" s="107">
        <f>IF(P23="","",IF((_xlfn.STDEV.P($P22:$XX23)/AVERAGE($P22:$XX23))&lt;=25%,P23,IF(OR(P23&gt;(AVERAGE($P22:$XX23)+_xlfn.STDEV.P($P22:$XX23)),P23&lt;(AVERAGE($P22:$XX23)-_xlfn.STDEV.P($P22:$XX23))),"DESCARTADO",P23)))</f>
        <v>28500</v>
      </c>
      <c r="Q25" s="107">
        <f t="shared" ref="Q25:AI25" si="7">IF(Q23="","",IF((_xlfn.STDEV.P($P22:$XX23)/AVERAGE($P22:$XX23))&lt;=25%,Q23,IF(OR(Q23&gt;(AVERAGE($P22:$XX23)+_xlfn.STDEV.P($P22:$XX23)),Q23&lt;(AVERAGE($P22:$XX23)-_xlfn.STDEV.P($P22:$XX23))),"DESCARTADO",Q23)))</f>
        <v>28500</v>
      </c>
      <c r="R25" s="107">
        <f t="shared" si="7"/>
        <v>28500</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28500.000000000004</v>
      </c>
      <c r="N26" s="71"/>
      <c r="O26" s="27" t="str">
        <f>"3 POND"</f>
        <v>3 POND</v>
      </c>
      <c r="P26" s="107" t="str">
        <f>IF(IFERROR(VLOOKUP(P17,'Tabela de Apoio'!$D:$E,2,FALSE),1)=1,"",P27)</f>
        <v/>
      </c>
      <c r="Q26" s="107" t="str">
        <f>IF(IFERROR(VLOOKUP(Q17,'Tabela de Apoio'!$D:$E,2,FALSE),1)=1,"",Q27)</f>
        <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3</v>
      </c>
      <c r="I27" s="132">
        <f>_xlfn.STDEV.P($P26:$XX27)/AVERAGE($P26:$XX27)</f>
        <v>0</v>
      </c>
      <c r="J27" s="7">
        <f>IF(AND(H27&gt;2,
OR(L15="MÉDIA SANEADA",L15="MEDIANA SANEADA",
AND(L15="PREÇO ESTIMADO",NOT(AND(P17="Orçamento",COUNTA(P15:XX15)=COUNTIF(P17:XX17,"Orçamento")))))),
ROW(),0)</f>
        <v>0</v>
      </c>
      <c r="K27" s="66"/>
      <c r="L27" s="29" t="s">
        <v>41</v>
      </c>
      <c r="M27" s="30">
        <f>IFERROR(_xlfn.QUARTILE.EXC($P21:$XX21,1),"")</f>
        <v>28500</v>
      </c>
      <c r="N27" s="71"/>
      <c r="O27" s="27" t="str">
        <f>"3 RODADA"</f>
        <v>3 RODADA</v>
      </c>
      <c r="P27" s="107">
        <f>IF(P25="","",IF((_xlfn.STDEV.P($P24:$XX25)/AVERAGE($P24:$XX25))&lt;=25%,P25,IF(OR(P25&gt;(AVERAGE($P24:$XX25)+_xlfn.STDEV.P($P24:$XX25)),P25&lt;(AVERAGE($P24:$XX25)-_xlfn.STDEV.P($P24:$XX25))),"DESCARTADO",P25)))</f>
        <v>28500</v>
      </c>
      <c r="Q27" s="107">
        <f t="shared" ref="Q27:AI27" si="8">IF(Q25="","",IF((_xlfn.STDEV.P($P24:$XX25)/AVERAGE($P24:$XX25))&lt;=25%,Q25,IF(OR(Q25&gt;(AVERAGE($P24:$XX25)+_xlfn.STDEV.P($P24:$XX25)),Q25&lt;(AVERAGE($P24:$XX25)-_xlfn.STDEV.P($P24:$XX25))),"DESCARTADO",Q25)))</f>
        <v>28500</v>
      </c>
      <c r="R27" s="107">
        <f t="shared" si="8"/>
        <v>28500</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28500</v>
      </c>
      <c r="N28" s="71"/>
      <c r="O28" s="27" t="str">
        <f>"4 POND"</f>
        <v>4 POND</v>
      </c>
      <c r="P28" s="107" t="str">
        <f>IF(IFERROR(VLOOKUP(P17,'Tabela de Apoio'!$D:$E,2,FALSE),1)=1,"",P29)</f>
        <v/>
      </c>
      <c r="Q28" s="107" t="str">
        <f>IF(IFERROR(VLOOKUP(Q17,'Tabela de Apoio'!$D:$E,2,FALSE),1)=1,"",Q29)</f>
        <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3</v>
      </c>
      <c r="I29" s="132">
        <f>_xlfn.STDEV.P($P28:$XX29)/AVERAGE($P28:$XX29)</f>
        <v>0</v>
      </c>
      <c r="J29" s="7">
        <f>IF(AND(H29&gt;2,
OR(L15="MÉDIA SANEADA",L15="MEDIANA SANEADA",
AND(L15="PREÇO ESTIMADO",NOT(AND(P17="Orçamento",COUNTA(P15:XX15)=COUNTIF(P17:XX17,"Orçamento")))))),
ROW(),0)</f>
        <v>0</v>
      </c>
      <c r="K29" s="66"/>
      <c r="L29" s="29" t="s">
        <v>42</v>
      </c>
      <c r="M29" s="30">
        <f>MIN($P21:$XX21)</f>
        <v>28500</v>
      </c>
      <c r="N29" s="71"/>
      <c r="O29" s="27" t="str">
        <f>"4 RODADA"</f>
        <v>4 RODADA</v>
      </c>
      <c r="P29" s="107">
        <f>IF(P27="","",IF((_xlfn.STDEV.P($P26:$XX27)/AVERAGE($P26:$XX27))&lt;=25%,P27,IF(OR(P27&gt;(AVERAGE($P26:$XX27)+_xlfn.STDEV.P($P26:$XX27)),P27&lt;(AVERAGE($P26:$XX27)-_xlfn.STDEV.P($P26:$XX27))),"DESCARTADO",P27)))</f>
        <v>28500</v>
      </c>
      <c r="Q29" s="107">
        <f t="shared" ref="Q29:AI29" si="9">IF(Q27="","",IF((_xlfn.STDEV.P($P26:$XX27)/AVERAGE($P26:$XX27))&lt;=25%,Q27,IF(OR(Q27&gt;(AVERAGE($P26:$XX27)+_xlfn.STDEV.P($P26:$XX27)),Q27&lt;(AVERAGE($P26:$XX27)-_xlfn.STDEV.P($P26:$XX27))),"DESCARTADO",Q27)))</f>
        <v>28500</v>
      </c>
      <c r="R29" s="107">
        <f t="shared" si="9"/>
        <v>28500</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28500</v>
      </c>
      <c r="N30" s="71"/>
      <c r="O30" s="27" t="str">
        <f>"5 POND"</f>
        <v>5 POND</v>
      </c>
      <c r="P30" s="107" t="str">
        <f>IF(IFERROR(VLOOKUP(P17,'Tabela de Apoio'!$D:$E,2,FALSE),1)=1,"",P31)</f>
        <v/>
      </c>
      <c r="Q30" s="107" t="str">
        <f>IF(IFERROR(VLOOKUP(Q17,'Tabela de Apoio'!$D:$E,2,FALSE),1)=1,"",Q31)</f>
        <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3</v>
      </c>
      <c r="I31" s="132">
        <f>_xlfn.STDEV.P($P30:$XX31)/AVERAGE($P30:$XX31)</f>
        <v>0</v>
      </c>
      <c r="J31" s="7">
        <f>IF(AND(H31&gt;2,
OR(L15="MÉDIA SANEADA",L15="MEDIANA SANEADA",
AND(L15="PREÇO ESTIMADO",NOT(AND(P17="Orçamento",COUNTA(P15:XX15)=COUNTIF(P17:XX17,"Orçamento")))))),
ROW(),0)</f>
        <v>0</v>
      </c>
      <c r="K31" s="66"/>
      <c r="N31" s="71"/>
      <c r="O31" s="27" t="str">
        <f>"5 RODADA"</f>
        <v>5 RODADA</v>
      </c>
      <c r="P31" s="107">
        <f>IF(P29="","",IF((_xlfn.STDEV.P($P28:$XX29)/AVERAGE($P28:$XX29))&lt;=25%,P29,IF(OR(P29&gt;(AVERAGE($P28:$XX29)+_xlfn.STDEV.P($P28:$XX29)),P29&lt;(AVERAGE($P28:$XX29)-_xlfn.STDEV.P($P28:$XX29))),"DESCARTADO",P29)))</f>
        <v>28500</v>
      </c>
      <c r="Q31" s="107">
        <f t="shared" ref="Q31:AI31" si="10">IF(Q29="","",IF((_xlfn.STDEV.P($P28:$XX29)/AVERAGE($P28:$XX29))&lt;=25%,Q29,IF(OR(Q29&gt;(AVERAGE($P28:$XX29)+_xlfn.STDEV.P($P28:$XX29)),Q29&lt;(AVERAGE($P28:$XX29)-_xlfn.STDEV.P($P28:$XX29))),"DESCARTADO",Q29)))</f>
        <v>28500</v>
      </c>
      <c r="R31" s="107">
        <f t="shared" si="10"/>
        <v>28500</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t="str">
        <f>IF(IFERROR(VLOOKUP(P17,'Tabela de Apoio'!$D:$E,2,FALSE),1)=1,"",P33)</f>
        <v/>
      </c>
      <c r="Q32" s="107" t="str">
        <f>IF(IFERROR(VLOOKUP(Q17,'Tabela de Apoio'!$D:$E,2,FALSE),1)=1,"",Q33)</f>
        <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3</v>
      </c>
      <c r="I33" s="132">
        <f>_xlfn.STDEV.P($P32:$XX33)/AVERAGE($P32:$XX33)</f>
        <v>0</v>
      </c>
      <c r="J33" s="7">
        <f>IF(AND(H33&gt;2,
OR(L15="MÉDIA SANEADA",L15="MEDIANA SANEADA",
AND(L15="PREÇO ESTIMADO",NOT(AND(P17="Orçamento",COUNTA(P15:XX15)=COUNTIF(P17:XX17,"Orçamento")))))),
ROW(),0)</f>
        <v>0</v>
      </c>
      <c r="N33" s="71"/>
      <c r="O33" s="27" t="str">
        <f>"6 RODADA"</f>
        <v>6 RODADA</v>
      </c>
      <c r="P33" s="107">
        <f>IFERROR(IF(P31="","",IF((_xlfn.STDEV.P($P30:$XX31)/AVERAGE($P30:$XX31))&lt;=25%,P31,IF(OR(P31&gt;(AVERAGE($P30:$XX31)+_xlfn.STDEV.P($P30:$XX31)),P31&lt;(AVERAGE($P30:$XX31)-_xlfn.STDEV.P($P30:$XX31))),"DESCARTADO",P31))),)</f>
        <v>28500</v>
      </c>
      <c r="Q33" s="107">
        <f t="shared" ref="Q33:AI33" si="11">IFERROR(IF(Q31="","",IF((_xlfn.STDEV.P($P30:$XX31)/AVERAGE($P30:$XX31))&lt;=25%,Q31,IF(OR(Q31&gt;(AVERAGE($P30:$XX31)+_xlfn.STDEV.P($P30:$XX31)),Q31&lt;(AVERAGE($P30:$XX31)-_xlfn.STDEV.P($P30:$XX31))),"DESCARTADO",Q31))),)</f>
        <v>28500</v>
      </c>
      <c r="R33" s="107">
        <f t="shared" si="11"/>
        <v>28500</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3">
        <f>IFERROR(ROUND(M15*M17,2),"")</f>
        <v>28500</v>
      </c>
      <c r="O34" s="27" t="s">
        <v>363</v>
      </c>
      <c r="P34" s="107">
        <f>INDEX(P21:P33,MATCH(MAX($J21:$J33),$J21:$J33,0))</f>
        <v>28500</v>
      </c>
      <c r="Q34" s="107">
        <f t="shared" ref="Q34:R34" si="12">INDEX(Q21:Q33,MATCH(MAX($J21:$J33),$J21:$J33,0))</f>
        <v>28500</v>
      </c>
      <c r="R34" s="107">
        <f t="shared" si="12"/>
        <v>28500</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81" t="s">
        <v>432</v>
      </c>
      <c r="J36" s="6" t="e">
        <f>INDEX('BASE FORMAÇÃO'!K:K,B36+1)</f>
        <v>#VALUE!</v>
      </c>
      <c r="K36" s="65"/>
      <c r="L36" s="182" t="s">
        <v>10</v>
      </c>
      <c r="M36" s="184"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86">
        <f t="shared" ref="E37" si="34">D36</f>
        <v>1</v>
      </c>
      <c r="F37" s="92"/>
      <c r="G37" s="188" t="s">
        <v>1</v>
      </c>
      <c r="H37" s="191" t="e">
        <f>INDEX('BASE FORMAÇÃO'!C:C,B36+1)</f>
        <v>#VALUE!</v>
      </c>
      <c r="I37" s="191"/>
      <c r="J37" s="192"/>
      <c r="K37" s="66"/>
      <c r="L37" s="183"/>
      <c r="M37" s="185"/>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87"/>
      <c r="F38" s="93"/>
      <c r="G38" s="189"/>
      <c r="H38" s="193"/>
      <c r="I38" s="193"/>
      <c r="J38" s="194"/>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0"/>
      <c r="H39" s="195"/>
      <c r="I39" s="195"/>
      <c r="J39" s="196"/>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197" t="e">
        <f t="shared" ref="E40" si="38">C36</f>
        <v>#VALUE!</v>
      </c>
      <c r="F40" s="93"/>
      <c r="G40" s="199" t="s">
        <v>304</v>
      </c>
      <c r="H40" s="201"/>
      <c r="I40" s="202"/>
      <c r="J40" s="202"/>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198"/>
      <c r="F41" s="93"/>
      <c r="G41" s="200"/>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198"/>
      <c r="F42" s="93"/>
      <c r="G42" s="200"/>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198"/>
      <c r="F43" s="93"/>
      <c r="G43" s="200"/>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198"/>
      <c r="F44" s="93"/>
      <c r="G44" s="200"/>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198"/>
      <c r="F45" s="93"/>
      <c r="G45" s="200"/>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198"/>
      <c r="F46" s="93"/>
      <c r="G46" s="200"/>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198"/>
      <c r="F47" s="93"/>
      <c r="G47" s="200"/>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198"/>
      <c r="F48" s="93"/>
      <c r="G48" s="200"/>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198"/>
      <c r="F49" s="93"/>
      <c r="G49" s="200"/>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198"/>
      <c r="F50" s="93"/>
      <c r="G50" s="200"/>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198"/>
      <c r="F51" s="93"/>
      <c r="G51" s="200"/>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198"/>
      <c r="F52" s="93"/>
      <c r="G52" s="200"/>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198"/>
      <c r="F53" s="93"/>
      <c r="G53" s="200"/>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198"/>
      <c r="F54" s="93"/>
      <c r="G54" s="200"/>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198"/>
      <c r="F55" s="136"/>
      <c r="G55" s="200"/>
      <c r="H55" s="203"/>
      <c r="I55" s="203"/>
      <c r="J55" s="204"/>
      <c r="K55" s="67"/>
      <c r="L55" s="1" t="s">
        <v>43</v>
      </c>
      <c r="M55" s="143"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1" t="s">
        <v>305</v>
      </c>
      <c r="F2" s="232"/>
      <c r="G2" s="232"/>
      <c r="H2" s="232"/>
      <c r="I2" s="232"/>
      <c r="J2" s="232"/>
      <c r="K2" s="232"/>
      <c r="L2" s="233"/>
    </row>
    <row r="3" spans="2:14" ht="21" x14ac:dyDescent="0.35">
      <c r="E3" s="234" t="str">
        <f>'MAPA DE PREÇOS'!H5</f>
        <v>SECRETARIA MUNICIPAL DE GOVERNANÇA CIDADÃ E DESENVOLVIMENTO RURAL (SMGOV)</v>
      </c>
      <c r="F3" s="235"/>
      <c r="G3" s="235"/>
      <c r="H3" s="235"/>
      <c r="I3" s="235"/>
      <c r="J3" s="235"/>
      <c r="K3" s="235"/>
      <c r="L3" s="236"/>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7" t="str">
        <f t="shared" ref="E5:E36" si="0">IF($B4="","",IF($C5=$C2,D5,IF($C5=$C3,"Item",IF(AND(MAX(C:C)&gt;1,$C5=$C4),CONCATENATE("LOTE ",C5),""))))</f>
        <v/>
      </c>
      <c r="F5" s="238"/>
      <c r="G5" s="238"/>
      <c r="H5" s="238"/>
      <c r="I5" s="238"/>
      <c r="J5" s="238"/>
      <c r="K5" s="238"/>
      <c r="L5" s="239"/>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Cartão VR</v>
      </c>
      <c r="H8" s="84" t="str">
        <f>IF($B7="","",IF($C8=$C5,INDEX('MAPA DE PREÇOS'!$M:$M,MATCH($B8,'MAPA DE PREÇOS'!$B:$B)-16),IF($C8=$C6,"Unidade","")))</f>
        <v>UND</v>
      </c>
      <c r="I8" s="84">
        <f>IF($B7="","",IF($C8=$C5,INDEX('MAPA DE PREÇOS'!$M:$M,MATCH($B8,'MAPA DE PREÇOS'!$B:$B)-17),IF($C8=$C6,"Quant.","")))</f>
        <v>1</v>
      </c>
      <c r="J8" s="60">
        <f>IF(AND(COUNTBLANK($B5:$B7)=2,$B7="",$B6="",MAX(C:C)&gt;1),"Total Estimado",IF($B7="","",IF($C8=$C5,INDEX('MAPA DE PREÇOS'!$M:$M,MATCH($B8,'MAPA DE PREÇOS'!$B:$B)-19),IF($C8=$C6,"Valor Unit. (R$)",IF(AND($C8&lt;&gt;$C7,$J7&lt;&gt;""),IF(MAX(C:C)=1,"Total Estimado","Subtotal"),"")))))</f>
        <v>28500</v>
      </c>
      <c r="K8" s="75">
        <f>IFERROR(IF(AND(COUNTBLANK($B5:$B7)=2,$B7="",$B6="",MAX($C:$C)&gt;1),SUM($K$3:K7)/2,IF($B7="","",IF($C8=$C5,ROUND(J8*I8,2),IF($C8=$C6,"Total Item (R$)",IF(AND($C8&lt;&gt;$C7,$J7&lt;&gt;""),SUMIFS(K:K,$C:$C,C7,J:J,"&lt;&gt;Subtotal"),""))))),"")</f>
        <v>28500</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5"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28500</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0" t="s">
        <v>305</v>
      </c>
      <c r="F2" s="241"/>
      <c r="G2" s="241"/>
      <c r="H2" s="241"/>
      <c r="I2" s="241"/>
      <c r="J2" s="241"/>
      <c r="K2" s="241"/>
      <c r="L2" s="242"/>
      <c r="M2" s="110"/>
    </row>
    <row r="3" spans="2:37" ht="21" x14ac:dyDescent="0.35">
      <c r="E3" s="234" t="str">
        <f>'MAPA DE PREÇOS'!H5</f>
        <v>SECRETARIA MUNICIPAL DE GOVERNANÇA CIDADÃ E DESENVOLVIMENTO RURAL (SMGOV)</v>
      </c>
      <c r="F3" s="235"/>
      <c r="G3" s="235"/>
      <c r="H3" s="235"/>
      <c r="I3" s="235"/>
      <c r="J3" s="235"/>
      <c r="K3" s="235"/>
      <c r="L3" s="236"/>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3" t="s">
        <v>358</v>
      </c>
      <c r="F5" s="244"/>
      <c r="G5" s="244"/>
      <c r="H5" s="244"/>
      <c r="I5" s="244"/>
      <c r="J5" s="244"/>
      <c r="K5" s="244"/>
      <c r="L5" s="245"/>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6" t="s">
        <v>354</v>
      </c>
      <c r="O7" s="247"/>
      <c r="P7" s="246" t="s">
        <v>364</v>
      </c>
      <c r="Q7" s="247"/>
      <c r="R7" s="246" t="s">
        <v>365</v>
      </c>
      <c r="S7" s="247"/>
      <c r="T7" s="246" t="s">
        <v>366</v>
      </c>
      <c r="U7" s="247"/>
      <c r="V7" s="246" t="s">
        <v>367</v>
      </c>
      <c r="W7" s="247"/>
      <c r="X7" s="246" t="s">
        <v>368</v>
      </c>
      <c r="Y7" s="247"/>
      <c r="Z7" s="246" t="s">
        <v>369</v>
      </c>
      <c r="AA7" s="247"/>
      <c r="AB7" s="246" t="s">
        <v>370</v>
      </c>
      <c r="AC7" s="247"/>
      <c r="AD7" s="246" t="s">
        <v>371</v>
      </c>
      <c r="AE7" s="247"/>
      <c r="AF7" s="246" t="s">
        <v>372</v>
      </c>
      <c r="AG7" s="247"/>
      <c r="AH7" s="246" t="s">
        <v>373</v>
      </c>
      <c r="AI7" s="247"/>
      <c r="AJ7" s="246" t="s">
        <v>374</v>
      </c>
      <c r="AK7" s="247"/>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Cartão VR</v>
      </c>
      <c r="H8" s="84" t="str">
        <f>IF($B7="","",IF($C8=$C5,INDEX('MAPA DE PREÇOS'!$M:$M,MATCH($B8,'MAPA DE PREÇOS'!$B:$B)-16),IF($C8=$C6,"Unidade","")))</f>
        <v>UND</v>
      </c>
      <c r="I8" s="84">
        <f>IF($B7="","",IF($C8=$C5,INDEX('MAPA DE PREÇOS'!$M:$M,MATCH($B8,'MAPA DE PREÇOS'!$B:$B)-17),IF($C8=$C6,"Quant.","")))</f>
        <v>1</v>
      </c>
      <c r="J8" s="60">
        <f>IF(J7="Total Mensal","Total Acumulado",IF($B7="","",IF($C8=$C5,INDEX('MAPA DE PREÇOS'!$M:$M,MATCH($B8,'MAPA DE PREÇOS'!$B:$B)-19),IF($C8=$C6,"Valor Unit. (R$)",IF(AND($C8&lt;&gt;$C7,$J7&lt;&gt;""),"Total Mensal","")))))</f>
        <v>28500</v>
      </c>
      <c r="K8" s="75">
        <f>IF(J8="","",IF(J8="Total Mensal","-",IF(J8="Total Acumulado",SUM(K$7:K7),I8*J8)))</f>
        <v>28500</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28500</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8" t="s">
        <v>305</v>
      </c>
      <c r="F2" s="249"/>
      <c r="G2" s="249"/>
      <c r="H2" s="249"/>
      <c r="I2" s="249"/>
      <c r="J2" s="249"/>
      <c r="K2" s="249"/>
      <c r="L2" s="249"/>
      <c r="M2" s="249"/>
      <c r="N2" s="249"/>
      <c r="O2" s="249"/>
      <c r="P2" s="250"/>
    </row>
    <row r="3" spans="1:21" ht="21" x14ac:dyDescent="0.35">
      <c r="A3" s="138"/>
      <c r="E3" s="251" t="str">
        <f>IFERROR('MAPA DE PREÇOS'!H5:J5,"")</f>
        <v/>
      </c>
      <c r="F3" s="252"/>
      <c r="G3" s="252"/>
      <c r="H3" s="252"/>
      <c r="I3" s="252"/>
      <c r="J3" s="252"/>
      <c r="K3" s="252"/>
      <c r="L3" s="252"/>
      <c r="M3" s="252"/>
      <c r="N3" s="252"/>
      <c r="O3" s="252"/>
      <c r="P3" s="253"/>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Cartão VR</v>
      </c>
      <c r="J6" s="41" t="str">
        <f>IFERROR(IF(E6="","",INDEX('MAPA DE PREÇOS'!M:M,3+MATCH(ABC!E6,'MAPA DE PREÇOS'!B:B,0))),"")</f>
        <v>UND</v>
      </c>
      <c r="K6" s="52">
        <f t="array" ref="K6">IFERROR(IF(E6="","",INDEX('MAPA DE PREÇOS'!M:M,2+MATCH(ABC!E6,'MAPA DE PREÇOS'!B:B,0))),"")</f>
        <v>1</v>
      </c>
      <c r="L6" s="53">
        <f t="array" ref="L6">IFERROR(IF(AND(E5&lt;&gt;"",E6=""),"TOTAL ESTIMADO",INDEX('MAPA DE PREÇOS'!M:M,0+MATCH(ABC!E6,'MAPA DE PREÇOS'!B:B,0))),"")</f>
        <v>28500</v>
      </c>
      <c r="M6" s="54">
        <f>IFERROR(IF(AND(E5&lt;&gt;"",E6=""),SUM($M$5:M5),INDEX('MAPA DE PREÇOS'!M:M,19+MATCH(ABC!E6,'MAPA DE PREÇOS'!B:B,0))),"")</f>
        <v>28500</v>
      </c>
      <c r="N6" s="90">
        <f t="shared" ref="N6:N37" si="1">IFERROR(VLOOKUP(E6,$B:$C,2),"")</f>
        <v>1</v>
      </c>
      <c r="O6" s="90">
        <f>N6</f>
        <v>1</v>
      </c>
      <c r="P6" s="54" t="str">
        <f>IF(O6="","",IF(OR(N6&gt;=$S$6,O6&lt;=$S$6),"A",IF(O6&lt;=SUM($S$6:$S$7),"B","C")))</f>
        <v>A</v>
      </c>
      <c r="R6" s="156" t="s">
        <v>310</v>
      </c>
      <c r="S6" s="157">
        <v>0.8</v>
      </c>
      <c r="T6" s="156">
        <f>COUNTIF($P$6:$P$107,$R6)</f>
        <v>1</v>
      </c>
      <c r="U6" s="158">
        <f>SUMIFS($M$6:$M$107,$P$6:$P$107,$R6)</f>
        <v>28500</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28500</v>
      </c>
      <c r="N7" s="90" t="str">
        <f t="shared" si="1"/>
        <v/>
      </c>
      <c r="O7" s="90" t="str">
        <f>IFERROR(N7+O6,"")</f>
        <v/>
      </c>
      <c r="P7" s="54" t="str">
        <f t="shared" ref="P7:P70" si="3">IF(O7="","",IF(OR(N7&gt;=$S$6,O7&lt;=$S$6),"A",IF(O7&lt;=SUM($S$6:$S$7),"B","C")))</f>
        <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3" t="s">
        <v>312</v>
      </c>
      <c r="S8" s="154">
        <v>0.05</v>
      </c>
      <c r="T8" s="153">
        <f>COUNTIF($P$6:$P$107,$R8)</f>
        <v>0</v>
      </c>
      <c r="U8" s="155">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70" t="s">
        <v>35</v>
      </c>
      <c r="C2" s="271"/>
      <c r="D2" s="272"/>
    </row>
    <row r="3" spans="2:4" ht="78" customHeight="1" x14ac:dyDescent="0.2">
      <c r="B3" s="273" t="s">
        <v>384</v>
      </c>
      <c r="C3" s="274"/>
      <c r="D3" s="275"/>
    </row>
    <row r="4" spans="2:4" s="32" customFormat="1" ht="32.1" customHeight="1" x14ac:dyDescent="0.25">
      <c r="B4" s="276" t="s">
        <v>385</v>
      </c>
      <c r="C4" s="276"/>
      <c r="D4" s="276"/>
    </row>
    <row r="5" spans="2:4" ht="61.5" customHeight="1" x14ac:dyDescent="0.2">
      <c r="B5" s="267" t="s">
        <v>386</v>
      </c>
      <c r="C5" s="268"/>
      <c r="D5" s="269"/>
    </row>
    <row r="6" spans="2:4" s="33" customFormat="1" ht="32.1" customHeight="1" x14ac:dyDescent="0.25">
      <c r="B6" s="276" t="s">
        <v>387</v>
      </c>
      <c r="C6" s="276"/>
      <c r="D6" s="276"/>
    </row>
    <row r="7" spans="2:4" ht="61.5" customHeight="1" x14ac:dyDescent="0.2">
      <c r="B7" s="267" t="s">
        <v>388</v>
      </c>
      <c r="C7" s="268"/>
      <c r="D7" s="269"/>
    </row>
    <row r="8" spans="2:4" ht="21.6" customHeight="1" x14ac:dyDescent="0.2">
      <c r="B8" s="254" t="s">
        <v>389</v>
      </c>
      <c r="C8" s="255"/>
      <c r="D8" s="256"/>
    </row>
    <row r="9" spans="2:4" ht="14.25" x14ac:dyDescent="0.2">
      <c r="B9" s="257"/>
      <c r="C9" s="258"/>
      <c r="D9" s="259"/>
    </row>
    <row r="10" spans="2:4" ht="14.25" x14ac:dyDescent="0.2">
      <c r="B10" s="257"/>
      <c r="C10" s="258"/>
      <c r="D10" s="259"/>
    </row>
    <row r="11" spans="2:4" ht="14.25" x14ac:dyDescent="0.2">
      <c r="B11" s="257"/>
      <c r="C11" s="258"/>
      <c r="D11" s="259"/>
    </row>
    <row r="12" spans="2:4" ht="14.25" x14ac:dyDescent="0.2">
      <c r="B12" s="257"/>
      <c r="C12" s="258"/>
      <c r="D12" s="259"/>
    </row>
    <row r="13" spans="2:4" ht="61.5" customHeight="1" x14ac:dyDescent="0.2">
      <c r="B13" s="257"/>
      <c r="C13" s="258"/>
      <c r="D13" s="259"/>
    </row>
    <row r="14" spans="2:4" ht="61.5" customHeight="1" x14ac:dyDescent="0.2">
      <c r="B14" s="257"/>
      <c r="C14" s="258"/>
      <c r="D14" s="259"/>
    </row>
    <row r="15" spans="2:4" ht="61.5" customHeight="1" x14ac:dyDescent="0.2">
      <c r="B15" s="257"/>
      <c r="C15" s="258"/>
      <c r="D15" s="259"/>
    </row>
    <row r="16" spans="2:4" ht="61.5" customHeight="1" x14ac:dyDescent="0.2">
      <c r="B16" s="257"/>
      <c r="C16" s="258"/>
      <c r="D16" s="259"/>
    </row>
    <row r="17" spans="2:4" ht="61.5" customHeight="1" x14ac:dyDescent="0.2">
      <c r="B17" s="257"/>
      <c r="C17" s="258"/>
      <c r="D17" s="259"/>
    </row>
    <row r="18" spans="2:4" ht="61.5" customHeight="1" x14ac:dyDescent="0.2">
      <c r="B18" s="257"/>
      <c r="C18" s="258"/>
      <c r="D18" s="259"/>
    </row>
    <row r="19" spans="2:4" ht="15" customHeight="1" x14ac:dyDescent="0.2">
      <c r="B19" s="257"/>
      <c r="C19" s="258"/>
      <c r="D19" s="259"/>
    </row>
    <row r="20" spans="2:4" ht="15" customHeight="1" x14ac:dyDescent="0.2">
      <c r="B20" s="257"/>
      <c r="C20" s="258"/>
      <c r="D20" s="259"/>
    </row>
    <row r="21" spans="2:4" ht="15" customHeight="1" x14ac:dyDescent="0.2">
      <c r="B21" s="257"/>
      <c r="C21" s="258"/>
      <c r="D21" s="259"/>
    </row>
    <row r="22" spans="2:4" ht="15" customHeight="1" x14ac:dyDescent="0.2">
      <c r="B22" s="257"/>
      <c r="C22" s="258"/>
      <c r="D22" s="259"/>
    </row>
    <row r="23" spans="2:4" ht="15" customHeight="1" x14ac:dyDescent="0.2">
      <c r="B23" s="257"/>
      <c r="C23" s="258"/>
      <c r="D23" s="259"/>
    </row>
    <row r="24" spans="2:4" ht="15" customHeight="1" x14ac:dyDescent="0.2">
      <c r="B24" s="257"/>
      <c r="C24" s="258"/>
      <c r="D24" s="259"/>
    </row>
    <row r="25" spans="2:4" ht="15" customHeight="1" x14ac:dyDescent="0.2">
      <c r="B25" s="257"/>
      <c r="C25" s="258"/>
      <c r="D25" s="259"/>
    </row>
    <row r="26" spans="2:4" ht="15" customHeight="1" x14ac:dyDescent="0.2">
      <c r="B26" s="257"/>
      <c r="C26" s="258"/>
      <c r="D26" s="259"/>
    </row>
    <row r="27" spans="2:4" ht="15" customHeight="1" x14ac:dyDescent="0.2">
      <c r="B27" s="257"/>
      <c r="C27" s="258"/>
      <c r="D27" s="259"/>
    </row>
    <row r="28" spans="2:4" ht="15" customHeight="1" x14ac:dyDescent="0.2">
      <c r="B28" s="257"/>
      <c r="C28" s="258"/>
      <c r="D28" s="259"/>
    </row>
    <row r="29" spans="2:4" ht="15" customHeight="1" x14ac:dyDescent="0.2">
      <c r="B29" s="257"/>
      <c r="C29" s="258"/>
      <c r="D29" s="259"/>
    </row>
    <row r="30" spans="2:4" ht="15" customHeight="1" x14ac:dyDescent="0.2">
      <c r="B30" s="257"/>
      <c r="C30" s="258"/>
      <c r="D30" s="259"/>
    </row>
    <row r="31" spans="2:4" ht="15" customHeight="1" x14ac:dyDescent="0.2">
      <c r="B31" s="257"/>
      <c r="C31" s="258"/>
      <c r="D31" s="259"/>
    </row>
    <row r="32" spans="2:4" ht="15" customHeight="1" x14ac:dyDescent="0.2">
      <c r="B32" s="257"/>
      <c r="C32" s="258"/>
      <c r="D32" s="259"/>
    </row>
    <row r="33" spans="2:4" ht="15" customHeight="1" x14ac:dyDescent="0.2">
      <c r="B33" s="257"/>
      <c r="C33" s="258"/>
      <c r="D33" s="259"/>
    </row>
    <row r="34" spans="2:4" ht="15" customHeight="1" x14ac:dyDescent="0.2">
      <c r="B34" s="257"/>
      <c r="C34" s="258"/>
      <c r="D34" s="259"/>
    </row>
    <row r="35" spans="2:4" ht="15" customHeight="1" x14ac:dyDescent="0.2">
      <c r="B35" s="257"/>
      <c r="C35" s="258"/>
      <c r="D35" s="259"/>
    </row>
    <row r="36" spans="2:4" ht="15" customHeight="1" x14ac:dyDescent="0.2">
      <c r="B36" s="257"/>
      <c r="C36" s="258"/>
      <c r="D36" s="259"/>
    </row>
    <row r="37" spans="2:4" ht="15" customHeight="1" x14ac:dyDescent="0.2">
      <c r="B37" s="257"/>
      <c r="C37" s="258"/>
      <c r="D37" s="259"/>
    </row>
    <row r="38" spans="2:4" s="34" customFormat="1" ht="32.450000000000003" customHeight="1" x14ac:dyDescent="0.2">
      <c r="B38" s="260"/>
      <c r="C38" s="261"/>
      <c r="D38" s="262"/>
    </row>
    <row r="39" spans="2:4" s="32" customFormat="1" ht="32.1" customHeight="1" x14ac:dyDescent="0.25">
      <c r="B39" s="263" t="s">
        <v>390</v>
      </c>
      <c r="C39" s="264"/>
      <c r="D39" s="265"/>
    </row>
    <row r="40" spans="2:4" s="164" customFormat="1" ht="64.900000000000006" customHeight="1" x14ac:dyDescent="0.25">
      <c r="B40" s="266" t="s">
        <v>391</v>
      </c>
      <c r="C40" s="266"/>
      <c r="D40" s="266"/>
    </row>
    <row r="41" spans="2:4" s="164" customFormat="1" ht="64.900000000000006" customHeight="1" x14ac:dyDescent="0.25">
      <c r="B41" s="266"/>
      <c r="C41" s="266"/>
      <c r="D41" s="266"/>
    </row>
    <row r="42" spans="2:4" s="164" customFormat="1" ht="64.900000000000006" customHeight="1" x14ac:dyDescent="0.25">
      <c r="B42" s="266"/>
      <c r="C42" s="266"/>
      <c r="D42" s="266"/>
    </row>
    <row r="43" spans="2:4" s="164" customFormat="1" ht="64.900000000000006" customHeight="1" x14ac:dyDescent="0.25">
      <c r="B43" s="266"/>
      <c r="C43" s="266"/>
      <c r="D43" s="266"/>
    </row>
    <row r="44" spans="2:4" s="164" customFormat="1" ht="64.900000000000006" customHeight="1" x14ac:dyDescent="0.25">
      <c r="B44" s="266"/>
      <c r="C44" s="266"/>
      <c r="D44" s="266"/>
    </row>
    <row r="45" spans="2:4" s="164" customFormat="1" ht="112.15" customHeight="1" x14ac:dyDescent="0.25">
      <c r="B45" s="266"/>
      <c r="C45" s="266"/>
      <c r="D45" s="266"/>
    </row>
    <row r="46" spans="2:4" s="33" customFormat="1" ht="32.1" customHeight="1" x14ac:dyDescent="0.25">
      <c r="B46" s="270" t="s">
        <v>392</v>
      </c>
      <c r="C46" s="271"/>
      <c r="D46" s="272"/>
    </row>
    <row r="47" spans="2:4" ht="140.44999999999999" customHeight="1" x14ac:dyDescent="0.2">
      <c r="B47" s="277" t="s">
        <v>393</v>
      </c>
      <c r="C47" s="278"/>
      <c r="D47" s="279"/>
    </row>
    <row r="48" spans="2:4" s="33" customFormat="1" ht="32.1" customHeight="1" x14ac:dyDescent="0.25">
      <c r="B48" s="276" t="s">
        <v>394</v>
      </c>
      <c r="C48" s="276"/>
      <c r="D48" s="276"/>
    </row>
    <row r="49" spans="2:4" ht="14.25" x14ac:dyDescent="0.2">
      <c r="B49" s="277" t="s">
        <v>395</v>
      </c>
      <c r="C49" s="278"/>
      <c r="D49" s="279"/>
    </row>
    <row r="50" spans="2:4" ht="14.25" x14ac:dyDescent="0.2">
      <c r="B50" s="280"/>
      <c r="C50" s="281"/>
      <c r="D50" s="282"/>
    </row>
    <row r="51" spans="2:4" ht="14.25" x14ac:dyDescent="0.2">
      <c r="B51" s="280"/>
      <c r="C51" s="281"/>
      <c r="D51" s="282"/>
    </row>
    <row r="52" spans="2:4" ht="14.25" x14ac:dyDescent="0.2">
      <c r="B52" s="280"/>
      <c r="C52" s="281"/>
      <c r="D52" s="282"/>
    </row>
    <row r="53" spans="2:4" ht="14.25" x14ac:dyDescent="0.2">
      <c r="B53" s="280"/>
      <c r="C53" s="281"/>
      <c r="D53" s="282"/>
    </row>
    <row r="54" spans="2:4" ht="14.25" x14ac:dyDescent="0.2">
      <c r="B54" s="280"/>
      <c r="C54" s="281"/>
      <c r="D54" s="282"/>
    </row>
    <row r="55" spans="2:4" ht="14.25" x14ac:dyDescent="0.2">
      <c r="B55" s="280"/>
      <c r="C55" s="281"/>
      <c r="D55" s="282"/>
    </row>
    <row r="56" spans="2:4" ht="14.25" x14ac:dyDescent="0.2">
      <c r="B56" s="280"/>
      <c r="C56" s="281"/>
      <c r="D56" s="282"/>
    </row>
    <row r="57" spans="2:4" ht="14.25" x14ac:dyDescent="0.2">
      <c r="B57" s="283"/>
      <c r="C57" s="284"/>
      <c r="D57" s="285"/>
    </row>
    <row r="58" spans="2:4" s="33" customFormat="1" ht="32.1" customHeight="1" x14ac:dyDescent="0.25">
      <c r="B58" s="276" t="s">
        <v>396</v>
      </c>
      <c r="C58" s="276"/>
      <c r="D58" s="276"/>
    </row>
    <row r="59" spans="2:4" ht="14.25" x14ac:dyDescent="0.2">
      <c r="B59" s="277" t="s">
        <v>36</v>
      </c>
      <c r="C59" s="278"/>
      <c r="D59" s="279"/>
    </row>
    <row r="60" spans="2:4" ht="14.25" x14ac:dyDescent="0.2">
      <c r="B60" s="280"/>
      <c r="C60" s="281"/>
      <c r="D60" s="282"/>
    </row>
    <row r="61" spans="2:4" ht="14.25" x14ac:dyDescent="0.2">
      <c r="B61" s="280"/>
      <c r="C61" s="281"/>
      <c r="D61" s="282"/>
    </row>
    <row r="62" spans="2:4" ht="14.25" x14ac:dyDescent="0.2">
      <c r="B62" s="280"/>
      <c r="C62" s="281"/>
      <c r="D62" s="282"/>
    </row>
    <row r="63" spans="2:4" ht="14.25" x14ac:dyDescent="0.2">
      <c r="B63" s="280"/>
      <c r="C63" s="281"/>
      <c r="D63" s="282"/>
    </row>
    <row r="64" spans="2:4" ht="14.25" x14ac:dyDescent="0.2">
      <c r="B64" s="280"/>
      <c r="C64" s="281"/>
      <c r="D64" s="282"/>
    </row>
    <row r="65" spans="2:4" ht="14.25" x14ac:dyDescent="0.2">
      <c r="B65" s="283"/>
      <c r="C65" s="284"/>
      <c r="D65" s="285"/>
    </row>
    <row r="66" spans="2:4" s="33" customFormat="1" ht="32.1" customHeight="1" x14ac:dyDescent="0.25">
      <c r="B66" s="276" t="s">
        <v>397</v>
      </c>
      <c r="C66" s="276"/>
      <c r="D66" s="276"/>
    </row>
    <row r="67" spans="2:4" ht="14.25" x14ac:dyDescent="0.2">
      <c r="B67" s="277" t="s">
        <v>37</v>
      </c>
      <c r="C67" s="278"/>
      <c r="D67" s="279"/>
    </row>
    <row r="68" spans="2:4" ht="14.25" x14ac:dyDescent="0.2">
      <c r="B68" s="280"/>
      <c r="C68" s="281"/>
      <c r="D68" s="282"/>
    </row>
    <row r="69" spans="2:4" ht="14.25" x14ac:dyDescent="0.2">
      <c r="B69" s="280"/>
      <c r="C69" s="281"/>
      <c r="D69" s="282"/>
    </row>
    <row r="70" spans="2:4" ht="14.25" x14ac:dyDescent="0.2">
      <c r="B70" s="283"/>
      <c r="C70" s="284"/>
      <c r="D70" s="285"/>
    </row>
    <row r="71" spans="2:4" s="33" customFormat="1" ht="32.1" customHeight="1" x14ac:dyDescent="0.25">
      <c r="B71" s="276" t="s">
        <v>398</v>
      </c>
      <c r="C71" s="276"/>
      <c r="D71" s="276"/>
    </row>
    <row r="72" spans="2:4" ht="14.25" x14ac:dyDescent="0.2">
      <c r="B72" s="277" t="s">
        <v>34</v>
      </c>
      <c r="C72" s="278"/>
      <c r="D72" s="279"/>
    </row>
    <row r="73" spans="2:4" ht="14.25" x14ac:dyDescent="0.2">
      <c r="B73" s="280"/>
      <c r="C73" s="281"/>
      <c r="D73" s="282"/>
    </row>
    <row r="74" spans="2:4" ht="14.25" x14ac:dyDescent="0.2">
      <c r="B74" s="280"/>
      <c r="C74" s="281"/>
      <c r="D74" s="282"/>
    </row>
    <row r="75" spans="2:4" ht="14.25" x14ac:dyDescent="0.2">
      <c r="B75" s="283"/>
      <c r="C75" s="284"/>
      <c r="D75" s="285"/>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7" t="s">
        <v>326</v>
      </c>
      <c r="F2" s="287"/>
      <c r="G2" s="287"/>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7" t="s">
        <v>327</v>
      </c>
      <c r="F3" s="21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7" t="s">
        <v>321</v>
      </c>
      <c r="F4" s="21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7" t="s">
        <v>320</v>
      </c>
      <c r="F5" s="21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7" t="s">
        <v>322</v>
      </c>
      <c r="F6" s="21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7" t="s">
        <v>352</v>
      </c>
      <c r="F7" s="21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7" t="s">
        <v>351</v>
      </c>
      <c r="F8" s="21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7" t="s">
        <v>431</v>
      </c>
      <c r="F9" s="21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7" t="s">
        <v>301</v>
      </c>
      <c r="F10" s="21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7" t="s">
        <v>323</v>
      </c>
      <c r="F11" s="21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1" t="s">
        <v>305</v>
      </c>
      <c r="F13" s="232"/>
      <c r="G13" s="232"/>
      <c r="H13" s="232"/>
      <c r="I13" s="232"/>
      <c r="J13" s="232"/>
      <c r="K13" s="286"/>
      <c r="L13" s="286"/>
      <c r="M13" s="232"/>
      <c r="N13" s="233"/>
    </row>
    <row r="14" spans="1:163" s="19" customFormat="1" ht="21" x14ac:dyDescent="0.35">
      <c r="B14" s="41"/>
      <c r="C14" s="41"/>
      <c r="D14" s="41"/>
      <c r="E14" s="234">
        <f>G3</f>
        <v>0</v>
      </c>
      <c r="F14" s="235"/>
      <c r="G14" s="235"/>
      <c r="H14" s="235"/>
      <c r="I14" s="235"/>
      <c r="J14" s="235"/>
      <c r="K14" s="235"/>
      <c r="L14" s="235"/>
      <c r="M14" s="235"/>
      <c r="N14" s="236"/>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7"/>
      <c r="F16" s="238"/>
      <c r="G16" s="238"/>
      <c r="H16" s="238"/>
      <c r="I16" s="238"/>
      <c r="J16" s="238"/>
      <c r="K16" s="238"/>
      <c r="L16" s="238"/>
      <c r="M16" s="238"/>
      <c r="N16" s="239"/>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B391" sqref="B391"/>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2026-07-08T13:52:28Z</dcterms:modified>
</cp:coreProperties>
</file>