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EstaPastaDeTrabalho"/>
  <mc:AlternateContent xmlns:mc="http://schemas.openxmlformats.org/markup-compatibility/2006">
    <mc:Choice Requires="x15">
      <x15ac:absPath xmlns:x15ac="http://schemas.microsoft.com/office/spreadsheetml/2010/11/ac" url="C:\Users\hilda.simoes\Desktop\NOVA CONTRATAÇÃO\"/>
    </mc:Choice>
  </mc:AlternateContent>
  <xr:revisionPtr revIDLastSave="0" documentId="8_{F631BEA6-B7D6-438D-8F61-0E6C28B72DD4}" xr6:coauthVersionLast="47" xr6:coauthVersionMax="47" xr10:uidLastSave="{00000000-0000-0000-0000-000000000000}"/>
  <bookViews>
    <workbookView xWindow="28680" yWindow="-120" windowWidth="29040" windowHeight="15720" tabRatio="802" activeTab="3" xr2:uid="{00000000-000D-0000-FFFF-FFFF00000000}"/>
  </bookViews>
  <sheets>
    <sheet name="Mão de Obra" sheetId="25" r:id="rId1"/>
    <sheet name="Mat Individual e Uniformes" sheetId="3" r:id="rId2"/>
    <sheet name="Apoio - Uniforme e EPIs" sheetId="26" state="hidden" r:id="rId3"/>
    <sheet name="Mat Coletivo e Equipamentos" sheetId="9" r:id="rId4"/>
    <sheet name="Apoio - Mat Coletivo e Equip" sheetId="27" state="hidden" r:id="rId5"/>
    <sheet name="Veículos" sheetId="6" state="hidden" r:id="rId6"/>
    <sheet name="Produtividade" sheetId="24" state="hidden" r:id="rId7"/>
    <sheet name="Proposta" sheetId="5" r:id="rId8"/>
    <sheet name="Apoio - Regime de Trabalho" sheetId="1" state="hidden" r:id="rId9"/>
    <sheet name="Apoio - Notas Explicativas" sheetId="8" state="hidden"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Obra'!$B$16:$B$157</definedName>
    <definedName name="_xlnm.Print_Area" localSheetId="6">Produtividade!$B$16:$B$157</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9" l="1"/>
  <c r="G25" i="25"/>
  <c r="G21" i="25"/>
  <c r="F41" i="6"/>
  <c r="G41" i="6"/>
  <c r="H41" i="6"/>
  <c r="I41" i="6"/>
  <c r="E41" i="6"/>
  <c r="F164" i="25"/>
  <c r="G6" i="3" l="1"/>
  <c r="F29" i="25"/>
  <c r="F10" i="1"/>
  <c r="G10" i="1"/>
  <c r="I10" i="1"/>
  <c r="J10" i="1" s="1"/>
  <c r="H12" i="1"/>
  <c r="I12" i="1"/>
  <c r="G12" i="1"/>
  <c r="E17" i="6"/>
  <c r="J111" i="25"/>
  <c r="K111" i="25"/>
  <c r="L111" i="25"/>
  <c r="M111" i="25"/>
  <c r="N111" i="25"/>
  <c r="O111" i="25"/>
  <c r="P111" i="25"/>
  <c r="Q111" i="25"/>
  <c r="R111" i="25"/>
  <c r="S111" i="25"/>
  <c r="T111" i="25"/>
  <c r="U111" i="25"/>
  <c r="V111" i="25"/>
  <c r="W111" i="25"/>
  <c r="X111" i="25"/>
  <c r="J109" i="25"/>
  <c r="K109" i="25"/>
  <c r="L109" i="25"/>
  <c r="M109" i="25"/>
  <c r="N109" i="25"/>
  <c r="O109" i="25"/>
  <c r="P109" i="25"/>
  <c r="Q109" i="25"/>
  <c r="S109" i="25"/>
  <c r="T109" i="25"/>
  <c r="U109" i="25"/>
  <c r="V109" i="25"/>
  <c r="W109" i="25"/>
  <c r="X109" i="25"/>
  <c r="F87" i="25"/>
  <c r="G87" i="25"/>
  <c r="H87" i="25"/>
  <c r="I87" i="25"/>
  <c r="J87" i="25"/>
  <c r="K87" i="25"/>
  <c r="L87" i="25"/>
  <c r="M87" i="25"/>
  <c r="N87" i="25"/>
  <c r="O87" i="25"/>
  <c r="P87" i="25"/>
  <c r="Q87" i="25"/>
  <c r="R87" i="25"/>
  <c r="S87" i="25"/>
  <c r="T87" i="25"/>
  <c r="U87" i="25"/>
  <c r="V87" i="25"/>
  <c r="W87" i="25"/>
  <c r="X87" i="25"/>
  <c r="E87" i="25"/>
  <c r="H10" i="1" l="1"/>
  <c r="J12" i="1"/>
  <c r="D150" i="24" l="1"/>
  <c r="F150" i="25"/>
  <c r="G150" i="25"/>
  <c r="H150" i="25"/>
  <c r="I150" i="25"/>
  <c r="J150" i="25"/>
  <c r="K150" i="25"/>
  <c r="L150" i="25"/>
  <c r="M150" i="25"/>
  <c r="N150" i="25"/>
  <c r="O150" i="25"/>
  <c r="P150" i="25"/>
  <c r="Q150" i="25"/>
  <c r="R150" i="25"/>
  <c r="S150" i="25"/>
  <c r="T150" i="25"/>
  <c r="U150" i="25"/>
  <c r="V150" i="25"/>
  <c r="W150" i="25"/>
  <c r="X150" i="25"/>
  <c r="E164" i="25" l="1"/>
  <c r="H10" i="9" l="1"/>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G7" i="3"/>
  <c r="G8" i="3"/>
  <c r="G9" i="3"/>
  <c r="G10" i="3"/>
  <c r="G11" i="3"/>
  <c r="G12" i="3"/>
  <c r="G13" i="3"/>
  <c r="G14" i="3"/>
  <c r="G15" i="3"/>
  <c r="G16" i="3"/>
  <c r="G17" i="3"/>
  <c r="G18" i="3"/>
  <c r="G19" i="3"/>
  <c r="G20" i="3"/>
  <c r="G21" i="3"/>
  <c r="G22" i="3"/>
  <c r="G23" i="3"/>
  <c r="G24" i="3"/>
  <c r="G25" i="3"/>
  <c r="G26" i="3"/>
  <c r="G27" i="3"/>
  <c r="G28" i="3"/>
  <c r="G29" i="3"/>
  <c r="G30" i="3"/>
  <c r="G31" i="3"/>
  <c r="F7" i="3"/>
  <c r="F8" i="3"/>
  <c r="F9" i="3"/>
  <c r="F10" i="3"/>
  <c r="F11" i="3"/>
  <c r="F12" i="3"/>
  <c r="F13" i="3"/>
  <c r="F14" i="3"/>
  <c r="F15" i="3"/>
  <c r="F16" i="3"/>
  <c r="F17" i="3"/>
  <c r="F18" i="3"/>
  <c r="F19" i="3"/>
  <c r="F20" i="3"/>
  <c r="F21" i="3"/>
  <c r="F22" i="3"/>
  <c r="F23" i="3"/>
  <c r="F24" i="3"/>
  <c r="F25" i="3"/>
  <c r="F26" i="3"/>
  <c r="F27" i="3"/>
  <c r="F28" i="3"/>
  <c r="F29" i="3"/>
  <c r="F30" i="3"/>
  <c r="F31" i="3"/>
  <c r="E6" i="3"/>
  <c r="H6" i="9"/>
  <c r="I6" i="9" l="1"/>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F142" i="24" l="1"/>
  <c r="E142" i="25" l="1"/>
  <c r="F142" i="25"/>
  <c r="F143" i="25"/>
  <c r="G142" i="25"/>
  <c r="H142" i="25"/>
  <c r="I142" i="25"/>
  <c r="J142" i="25"/>
  <c r="K142" i="25"/>
  <c r="L142" i="25"/>
  <c r="M142" i="25"/>
  <c r="N142" i="25"/>
  <c r="O142" i="25"/>
  <c r="P142" i="25"/>
  <c r="Q142" i="25"/>
  <c r="R142" i="25"/>
  <c r="S142" i="25"/>
  <c r="T142" i="25"/>
  <c r="U142" i="25"/>
  <c r="V142" i="25"/>
  <c r="W142" i="25"/>
  <c r="X142" i="25"/>
  <c r="G142" i="24"/>
  <c r="H142" i="24"/>
  <c r="I142" i="24"/>
  <c r="E142" i="24"/>
  <c r="G143" i="24"/>
  <c r="H143" i="24"/>
  <c r="I143" i="24"/>
  <c r="G143" i="25"/>
  <c r="I143" i="25"/>
  <c r="J143" i="25"/>
  <c r="K143" i="25"/>
  <c r="L143" i="25"/>
  <c r="M143" i="25"/>
  <c r="N143" i="25"/>
  <c r="O143" i="25"/>
  <c r="P143" i="25"/>
  <c r="Q143" i="25"/>
  <c r="R143" i="25"/>
  <c r="S143" i="25"/>
  <c r="T143" i="25"/>
  <c r="U143" i="25"/>
  <c r="V143" i="25"/>
  <c r="W143" i="25"/>
  <c r="X143" i="25"/>
  <c r="E76" i="6"/>
  <c r="E109" i="25" l="1"/>
  <c r="E111" i="25" s="1"/>
  <c r="E20" i="25"/>
  <c r="E89" i="25"/>
  <c r="E16" i="9" l="1"/>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21" i="25" l="1"/>
  <c r="E32" i="25" s="1"/>
  <c r="F52" i="6" l="1"/>
  <c r="G52" i="6"/>
  <c r="H52" i="6"/>
  <c r="I52" i="6"/>
  <c r="F51" i="6"/>
  <c r="G51" i="6"/>
  <c r="H51" i="6"/>
  <c r="I51" i="6"/>
  <c r="F37" i="6"/>
  <c r="G37" i="6"/>
  <c r="H37" i="6"/>
  <c r="I37" i="6"/>
  <c r="F38" i="6"/>
  <c r="G38" i="6"/>
  <c r="H38" i="6"/>
  <c r="I38" i="6"/>
  <c r="F42" i="6"/>
  <c r="G42" i="6"/>
  <c r="H42" i="6"/>
  <c r="I42" i="6"/>
  <c r="F45" i="6"/>
  <c r="G45" i="6"/>
  <c r="H45" i="6"/>
  <c r="I45" i="6"/>
  <c r="F46" i="6"/>
  <c r="G46" i="6"/>
  <c r="H46" i="6"/>
  <c r="I46" i="6"/>
  <c r="E45" i="6"/>
  <c r="E37" i="6"/>
  <c r="D5" i="8"/>
  <c r="B8" i="5"/>
  <c r="K216" i="24" l="1"/>
  <c r="K213" i="24"/>
  <c r="K212" i="24"/>
  <c r="K211" i="24"/>
  <c r="E28" i="24"/>
  <c r="K219" i="24"/>
  <c r="K217" i="24"/>
  <c r="K214" i="24"/>
  <c r="K209" i="24"/>
  <c r="K208" i="24"/>
  <c r="K207" i="24"/>
  <c r="K205" i="24"/>
  <c r="K196" i="24"/>
  <c r="K197" i="24"/>
  <c r="K198" i="24"/>
  <c r="K199" i="24"/>
  <c r="K200" i="24"/>
  <c r="K201" i="24"/>
  <c r="K203" i="24"/>
  <c r="K204" i="24"/>
  <c r="K194" i="24"/>
  <c r="K206" i="24"/>
  <c r="K195" i="24"/>
  <c r="K220" i="24"/>
  <c r="D8" i="8" l="1"/>
  <c r="D9" i="8"/>
  <c r="X149" i="25" l="1"/>
  <c r="W149" i="25"/>
  <c r="V149" i="25"/>
  <c r="U149" i="25"/>
  <c r="T149" i="25"/>
  <c r="S149" i="25"/>
  <c r="R149" i="25"/>
  <c r="Q149" i="25"/>
  <c r="P149" i="25"/>
  <c r="O149" i="25"/>
  <c r="N149" i="25"/>
  <c r="M149" i="25"/>
  <c r="L149" i="25"/>
  <c r="K149" i="25"/>
  <c r="J149" i="25"/>
  <c r="I149" i="25"/>
  <c r="I151" i="25" s="1"/>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2" i="25" s="1"/>
  <c r="R20" i="25"/>
  <c r="R44" i="25" s="1"/>
  <c r="R48" i="25" s="1"/>
  <c r="S20" i="25"/>
  <c r="T20" i="25"/>
  <c r="T162" i="25" s="1"/>
  <c r="U20" i="25"/>
  <c r="U44" i="25" s="1"/>
  <c r="U45" i="25" s="1"/>
  <c r="V20" i="25"/>
  <c r="V162" i="25" s="1"/>
  <c r="W20" i="25"/>
  <c r="W162" i="25" s="1"/>
  <c r="X20" i="25"/>
  <c r="X162" i="25" s="1"/>
  <c r="O21" i="25"/>
  <c r="O128" i="25" s="1"/>
  <c r="P21" i="25"/>
  <c r="P39" i="25" s="1"/>
  <c r="Q21" i="25"/>
  <c r="R21" i="25"/>
  <c r="R114" i="25" s="1"/>
  <c r="S21" i="25"/>
  <c r="S165" i="25" s="1"/>
  <c r="T21" i="25"/>
  <c r="U21" i="25"/>
  <c r="U100" i="25" s="1"/>
  <c r="V21" i="25"/>
  <c r="V57" i="25" s="1"/>
  <c r="W21" i="25"/>
  <c r="W57" i="25" s="1"/>
  <c r="X21" i="25"/>
  <c r="X57" i="25" s="1"/>
  <c r="O22" i="25"/>
  <c r="O166" i="25" s="1"/>
  <c r="P22" i="25"/>
  <c r="P166" i="25" s="1"/>
  <c r="Q22" i="25"/>
  <c r="Q166" i="25" s="1"/>
  <c r="R22" i="25"/>
  <c r="R166" i="25" s="1"/>
  <c r="S22" i="25"/>
  <c r="S166" i="25" s="1"/>
  <c r="T22" i="25"/>
  <c r="T166" i="25" s="1"/>
  <c r="U22" i="25"/>
  <c r="U166" i="25" s="1"/>
  <c r="V22" i="25"/>
  <c r="V166" i="25" s="1"/>
  <c r="W22" i="25"/>
  <c r="W166" i="25" s="1"/>
  <c r="X22" i="25"/>
  <c r="X166" i="25" s="1"/>
  <c r="O23" i="25"/>
  <c r="P23" i="25"/>
  <c r="Q23" i="25"/>
  <c r="R23" i="25"/>
  <c r="R109" i="25" s="1"/>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34" i="25"/>
  <c r="P134" i="25"/>
  <c r="Q134" i="25"/>
  <c r="R134" i="25"/>
  <c r="S134" i="25"/>
  <c r="T134" i="25"/>
  <c r="U134" i="25"/>
  <c r="V134" i="25"/>
  <c r="W134" i="25"/>
  <c r="X134" i="25"/>
  <c r="O144" i="25"/>
  <c r="P144" i="25"/>
  <c r="Q144" i="25"/>
  <c r="R144" i="25"/>
  <c r="S144" i="25"/>
  <c r="T144" i="25"/>
  <c r="U144" i="25"/>
  <c r="V144" i="25"/>
  <c r="W144" i="25"/>
  <c r="X144" i="25"/>
  <c r="O151" i="25"/>
  <c r="P151" i="25"/>
  <c r="Q151" i="25"/>
  <c r="Q181" i="25" s="1"/>
  <c r="Q187" i="25" s="1"/>
  <c r="R151" i="25"/>
  <c r="S151" i="25"/>
  <c r="T151" i="25"/>
  <c r="U151" i="25"/>
  <c r="V151" i="25"/>
  <c r="W151" i="25"/>
  <c r="X151" i="25"/>
  <c r="O156" i="25"/>
  <c r="P156" i="25"/>
  <c r="Q156" i="25"/>
  <c r="R156" i="25"/>
  <c r="S156" i="25"/>
  <c r="T156" i="25"/>
  <c r="U156" i="25"/>
  <c r="V156" i="25"/>
  <c r="W156" i="25"/>
  <c r="X156" i="25"/>
  <c r="O157" i="25"/>
  <c r="P157" i="25"/>
  <c r="Q157" i="25"/>
  <c r="R157" i="25"/>
  <c r="S157" i="25"/>
  <c r="T157" i="25"/>
  <c r="U157" i="25"/>
  <c r="V157" i="25"/>
  <c r="W157" i="25"/>
  <c r="X157" i="25"/>
  <c r="O158" i="25"/>
  <c r="P158" i="25"/>
  <c r="Q158" i="25"/>
  <c r="R158" i="25"/>
  <c r="S158" i="25"/>
  <c r="T158" i="25"/>
  <c r="U158" i="25"/>
  <c r="V158" i="25"/>
  <c r="W158" i="25"/>
  <c r="X158" i="25"/>
  <c r="O161" i="25"/>
  <c r="P161" i="25"/>
  <c r="Q161" i="25"/>
  <c r="R161" i="25"/>
  <c r="S161" i="25"/>
  <c r="T161" i="25"/>
  <c r="U161" i="25"/>
  <c r="V161" i="25"/>
  <c r="W161" i="25"/>
  <c r="X161" i="25"/>
  <c r="O164" i="25"/>
  <c r="P164" i="25"/>
  <c r="Q164" i="25"/>
  <c r="R164" i="25"/>
  <c r="S164" i="25"/>
  <c r="T164" i="25"/>
  <c r="U164" i="25"/>
  <c r="V164" i="25"/>
  <c r="W164" i="25"/>
  <c r="X164" i="25"/>
  <c r="O167" i="25"/>
  <c r="P167" i="25"/>
  <c r="Q167" i="25"/>
  <c r="R167" i="25"/>
  <c r="S167" i="25"/>
  <c r="T167" i="25"/>
  <c r="U167" i="25"/>
  <c r="V167" i="25"/>
  <c r="W167" i="25"/>
  <c r="X167" i="25"/>
  <c r="O169" i="25"/>
  <c r="P169" i="25"/>
  <c r="P182" i="25" s="1"/>
  <c r="P188" i="25" s="1"/>
  <c r="Q169" i="25"/>
  <c r="R169" i="25"/>
  <c r="S169" i="25"/>
  <c r="T169" i="25"/>
  <c r="U169" i="25"/>
  <c r="V169" i="25"/>
  <c r="W169" i="25"/>
  <c r="X169" i="25"/>
  <c r="O174" i="25"/>
  <c r="P174" i="25"/>
  <c r="Q174" i="25"/>
  <c r="R174" i="25"/>
  <c r="S174" i="25"/>
  <c r="T174" i="25"/>
  <c r="U174" i="25"/>
  <c r="V174" i="25"/>
  <c r="W174" i="25"/>
  <c r="X174" i="25"/>
  <c r="O175" i="25"/>
  <c r="P175" i="25"/>
  <c r="Q175" i="25"/>
  <c r="R175" i="25"/>
  <c r="S175" i="25"/>
  <c r="T175" i="25"/>
  <c r="U175" i="25"/>
  <c r="V175" i="25"/>
  <c r="W175" i="25"/>
  <c r="X175" i="25"/>
  <c r="O176" i="25"/>
  <c r="O177" i="25" s="1"/>
  <c r="P176" i="25"/>
  <c r="Q176" i="25"/>
  <c r="R176" i="25"/>
  <c r="S176" i="25"/>
  <c r="T176" i="25"/>
  <c r="U176" i="25"/>
  <c r="V176" i="25"/>
  <c r="W176" i="25"/>
  <c r="X176" i="25"/>
  <c r="E59" i="25"/>
  <c r="F59" i="25"/>
  <c r="O3" i="3"/>
  <c r="P3" i="3"/>
  <c r="Q3" i="3"/>
  <c r="R3" i="3"/>
  <c r="S3" i="3"/>
  <c r="F28" i="24"/>
  <c r="G28" i="24"/>
  <c r="H28" i="24"/>
  <c r="H143" i="25" l="1"/>
  <c r="T181" i="25"/>
  <c r="T187" i="25" s="1"/>
  <c r="S181" i="25"/>
  <c r="S187" i="25" s="1"/>
  <c r="Q177" i="25"/>
  <c r="U182" i="25"/>
  <c r="U188" i="25" s="1"/>
  <c r="Q182" i="25"/>
  <c r="Q188" i="25" s="1"/>
  <c r="S182" i="25"/>
  <c r="S188" i="25" s="1"/>
  <c r="U181" i="25"/>
  <c r="U187" i="25" s="1"/>
  <c r="T182" i="25"/>
  <c r="T188" i="25" s="1"/>
  <c r="S177" i="25"/>
  <c r="R177" i="25"/>
  <c r="X181" i="25"/>
  <c r="X187" i="25" s="1"/>
  <c r="V177" i="25"/>
  <c r="U177" i="25"/>
  <c r="X182" i="25"/>
  <c r="X188" i="25" s="1"/>
  <c r="X177" i="25"/>
  <c r="W177" i="25"/>
  <c r="W181" i="25"/>
  <c r="W187" i="25" s="1"/>
  <c r="O182" i="25"/>
  <c r="O188" i="25" s="1"/>
  <c r="P177" i="25"/>
  <c r="U162" i="25"/>
  <c r="V181" i="25"/>
  <c r="V187" i="25" s="1"/>
  <c r="T177" i="25"/>
  <c r="O57" i="25"/>
  <c r="O58" i="25" s="1"/>
  <c r="X114" i="25"/>
  <c r="O112" i="25"/>
  <c r="O39" i="25"/>
  <c r="O165" i="25"/>
  <c r="U165" i="25"/>
  <c r="U128" i="25"/>
  <c r="U57" i="25"/>
  <c r="U58" i="25" s="1"/>
  <c r="U106" i="25"/>
  <c r="U39" i="25"/>
  <c r="P162" i="25"/>
  <c r="V39" i="25"/>
  <c r="V106" i="25"/>
  <c r="X100" i="25"/>
  <c r="O162" i="25"/>
  <c r="X165" i="25"/>
  <c r="X106" i="25"/>
  <c r="X39" i="25"/>
  <c r="T32" i="25"/>
  <c r="T91" i="25" s="1"/>
  <c r="T96" i="25"/>
  <c r="Q44" i="25"/>
  <c r="Q48" i="25" s="1"/>
  <c r="W112" i="25"/>
  <c r="O96" i="25"/>
  <c r="W106" i="25"/>
  <c r="X96" i="25"/>
  <c r="S128" i="25"/>
  <c r="S112" i="25"/>
  <c r="Q32" i="25"/>
  <c r="Q35" i="25" s="1"/>
  <c r="T112" i="25"/>
  <c r="P96" i="25"/>
  <c r="X32" i="25"/>
  <c r="X35" i="25" s="1"/>
  <c r="Q165"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5" i="25"/>
  <c r="S61" i="25"/>
  <c r="Q57" i="25"/>
  <c r="Q58" i="25" s="1"/>
  <c r="S32" i="25"/>
  <c r="S42" i="25" s="1"/>
  <c r="X61" i="25"/>
  <c r="T57" i="25"/>
  <c r="T58" i="25" s="1"/>
  <c r="U96" i="25"/>
  <c r="T128" i="25"/>
  <c r="Q61" i="25"/>
  <c r="O181" i="25"/>
  <c r="O187" i="25" s="1"/>
  <c r="R162" i="25"/>
  <c r="R181" i="25"/>
  <c r="R187" i="25" s="1"/>
  <c r="P181" i="25"/>
  <c r="P187" i="25" s="1"/>
  <c r="R182" i="25"/>
  <c r="R188" i="25" s="1"/>
  <c r="R112" i="25"/>
  <c r="R100" i="25"/>
  <c r="R61" i="25"/>
  <c r="R57" i="25"/>
  <c r="R58" i="25" s="1"/>
  <c r="R128" i="25"/>
  <c r="R106" i="25"/>
  <c r="X58" i="25"/>
  <c r="R45" i="25"/>
  <c r="R165" i="25"/>
  <c r="W58" i="25"/>
  <c r="V58" i="25"/>
  <c r="P112" i="25"/>
  <c r="R32" i="25"/>
  <c r="R91" i="25" s="1"/>
  <c r="W165" i="25"/>
  <c r="S162" i="25"/>
  <c r="W128" i="25"/>
  <c r="P114" i="25"/>
  <c r="P100" i="25"/>
  <c r="O61" i="25"/>
  <c r="O32" i="25"/>
  <c r="O35" i="25" s="1"/>
  <c r="P61" i="25"/>
  <c r="P32" i="25"/>
  <c r="P91" i="25" s="1"/>
  <c r="V165" i="25"/>
  <c r="V128" i="25"/>
  <c r="O114" i="25"/>
  <c r="O100" i="25"/>
  <c r="W39" i="25"/>
  <c r="P106" i="25"/>
  <c r="W61" i="25"/>
  <c r="W114" i="25"/>
  <c r="U112" i="25"/>
  <c r="O106" i="25"/>
  <c r="W100" i="25"/>
  <c r="V61" i="25"/>
  <c r="P45" i="25"/>
  <c r="V32" i="25"/>
  <c r="W182" i="25"/>
  <c r="W188" i="25" s="1"/>
  <c r="V114" i="25"/>
  <c r="V100" i="25"/>
  <c r="U61" i="25"/>
  <c r="X44" i="25"/>
  <c r="U32" i="25"/>
  <c r="U48" i="25"/>
  <c r="V112" i="25"/>
  <c r="W32" i="25"/>
  <c r="W91" i="25" s="1"/>
  <c r="V182" i="25"/>
  <c r="V188" i="25" s="1"/>
  <c r="P165"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V46" i="25" l="1"/>
  <c r="V53" i="25" s="1"/>
  <c r="T46" i="25"/>
  <c r="T53" i="25" s="1"/>
  <c r="S46" i="25"/>
  <c r="S53" i="25" s="1"/>
  <c r="U49" i="25"/>
  <c r="W46" i="25"/>
  <c r="W53" i="25" s="1"/>
  <c r="V49" i="25"/>
  <c r="P49" i="25"/>
  <c r="P46" i="25"/>
  <c r="P53" i="25" s="1"/>
  <c r="R49" i="25"/>
  <c r="I14" i="1"/>
  <c r="H9" i="1"/>
  <c r="H8" i="1"/>
  <c r="G9" i="1"/>
  <c r="G8" i="1"/>
  <c r="G7" i="1"/>
  <c r="G6" i="1"/>
  <c r="G5" i="1"/>
  <c r="I9" i="1"/>
  <c r="I8" i="1"/>
  <c r="L17" i="18"/>
  <c r="H5" i="1"/>
  <c r="H6" i="1"/>
  <c r="H7" i="1"/>
  <c r="H16" i="1"/>
  <c r="H17" i="1"/>
  <c r="H18" i="1"/>
  <c r="I5" i="1"/>
  <c r="I6" i="1"/>
  <c r="I7" i="1"/>
  <c r="I11" i="1"/>
  <c r="I13" i="1"/>
  <c r="I15" i="1"/>
  <c r="I17" i="1"/>
  <c r="I16" i="1"/>
  <c r="I18" i="1"/>
  <c r="G11" i="1"/>
  <c r="J8" i="1" l="1"/>
  <c r="J7" i="1"/>
  <c r="J6" i="1"/>
  <c r="J11" i="1"/>
  <c r="J9" i="1"/>
  <c r="J5" i="1"/>
  <c r="G18" i="1"/>
  <c r="J18" i="1" s="1"/>
  <c r="G17" i="1"/>
  <c r="J17" i="1" s="1"/>
  <c r="G16" i="1"/>
  <c r="J16" i="1" s="1"/>
  <c r="G15" i="1"/>
  <c r="J15" i="1" s="1"/>
  <c r="G13" i="1"/>
  <c r="J13" i="1" s="1"/>
  <c r="G14" i="1"/>
  <c r="J14" i="1" s="1"/>
  <c r="E27" i="24" l="1"/>
  <c r="F27" i="24" s="1"/>
  <c r="G27" i="24"/>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J7" i="5"/>
  <c r="J9" i="5"/>
  <c r="J10" i="5"/>
  <c r="P146" i="8" s="1"/>
  <c r="C7" i="5"/>
  <c r="C6" i="5"/>
  <c r="E42" i="6" l="1"/>
  <c r="E51" i="6"/>
  <c r="E46" i="6"/>
  <c r="K3" i="3"/>
  <c r="L3" i="3"/>
  <c r="M3" i="3"/>
  <c r="J3" i="3"/>
  <c r="B3" i="5" l="1"/>
  <c r="D78" i="6" l="1"/>
  <c r="D15" i="24"/>
  <c r="I20" i="25"/>
  <c r="J20" i="25"/>
  <c r="J44" i="25" s="1"/>
  <c r="J48" i="25" s="1"/>
  <c r="K20" i="25"/>
  <c r="L20" i="25"/>
  <c r="M20" i="25"/>
  <c r="N20" i="25"/>
  <c r="I21" i="25"/>
  <c r="J21" i="25"/>
  <c r="J61" i="25" s="1"/>
  <c r="K21" i="25"/>
  <c r="K61" i="25" s="1"/>
  <c r="L21" i="25"/>
  <c r="L106" i="25" s="1"/>
  <c r="M21" i="25"/>
  <c r="M57" i="25" s="1"/>
  <c r="N21" i="25"/>
  <c r="N61" i="25" s="1"/>
  <c r="I22" i="25"/>
  <c r="J22" i="25"/>
  <c r="J166" i="25" s="1"/>
  <c r="K22" i="25"/>
  <c r="K166" i="25" s="1"/>
  <c r="L22" i="25"/>
  <c r="L166" i="25" s="1"/>
  <c r="M22" i="25"/>
  <c r="N22" i="25"/>
  <c r="N166" i="25" s="1"/>
  <c r="I23" i="25"/>
  <c r="J23" i="25"/>
  <c r="K23" i="25"/>
  <c r="L23" i="25"/>
  <c r="M23" i="25"/>
  <c r="N23" i="25"/>
  <c r="I24" i="25"/>
  <c r="J24" i="25"/>
  <c r="K24" i="25"/>
  <c r="L24" i="25"/>
  <c r="M24" i="25"/>
  <c r="N24" i="25"/>
  <c r="I25" i="25"/>
  <c r="J25" i="25"/>
  <c r="K25" i="25"/>
  <c r="L25" i="25"/>
  <c r="M25" i="25"/>
  <c r="N25" i="25"/>
  <c r="I28" i="25"/>
  <c r="I29" i="25" s="1"/>
  <c r="F21" i="5" s="1"/>
  <c r="J28" i="25"/>
  <c r="K28" i="25"/>
  <c r="L28" i="25"/>
  <c r="M28" i="25"/>
  <c r="N28" i="25"/>
  <c r="J29" i="25"/>
  <c r="F22" i="5" s="1"/>
  <c r="K29" i="25"/>
  <c r="F23" i="5" s="1"/>
  <c r="L29" i="25"/>
  <c r="F24" i="5" s="1"/>
  <c r="M29" i="25"/>
  <c r="F25" i="5" s="1"/>
  <c r="N29" i="25"/>
  <c r="F26" i="5" s="1"/>
  <c r="I34" i="25"/>
  <c r="J34" i="25"/>
  <c r="K34" i="25"/>
  <c r="L34" i="25"/>
  <c r="M34" i="25"/>
  <c r="N34" i="25"/>
  <c r="I37" i="25"/>
  <c r="J37" i="25"/>
  <c r="K37" i="25"/>
  <c r="L37" i="25"/>
  <c r="M37" i="25"/>
  <c r="N37" i="25"/>
  <c r="J55" i="25"/>
  <c r="K55" i="25"/>
  <c r="L55" i="25"/>
  <c r="M55" i="25"/>
  <c r="N55"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J134" i="25"/>
  <c r="K134" i="25"/>
  <c r="L134" i="25"/>
  <c r="M134" i="25"/>
  <c r="N134" i="25"/>
  <c r="I144" i="25"/>
  <c r="J144" i="25"/>
  <c r="K144" i="25"/>
  <c r="L144" i="25"/>
  <c r="M144" i="25"/>
  <c r="N144" i="25"/>
  <c r="J151" i="25"/>
  <c r="K151" i="25"/>
  <c r="L151" i="25"/>
  <c r="M151" i="25"/>
  <c r="N151" i="25"/>
  <c r="J156" i="25"/>
  <c r="K156" i="25"/>
  <c r="L156" i="25"/>
  <c r="M156" i="25"/>
  <c r="N156" i="25"/>
  <c r="J157" i="25"/>
  <c r="K157" i="25"/>
  <c r="L157" i="25"/>
  <c r="M157" i="25"/>
  <c r="N157" i="25"/>
  <c r="J158" i="25"/>
  <c r="K158" i="25"/>
  <c r="L158" i="25"/>
  <c r="M158" i="25"/>
  <c r="N158" i="25"/>
  <c r="J161" i="25"/>
  <c r="K161" i="25"/>
  <c r="L161" i="25"/>
  <c r="M161" i="25"/>
  <c r="N161" i="25"/>
  <c r="I164" i="25"/>
  <c r="J164" i="25"/>
  <c r="K164" i="25"/>
  <c r="L164" i="25"/>
  <c r="M164" i="25"/>
  <c r="N164" i="25"/>
  <c r="J167" i="25"/>
  <c r="K167" i="25"/>
  <c r="L167" i="25"/>
  <c r="M167" i="25"/>
  <c r="N167" i="25"/>
  <c r="J169" i="25"/>
  <c r="K169" i="25"/>
  <c r="L169" i="25"/>
  <c r="M169" i="25"/>
  <c r="N169" i="25"/>
  <c r="J174" i="25"/>
  <c r="G22" i="5" s="1"/>
  <c r="K174" i="25"/>
  <c r="G23" i="5" s="1"/>
  <c r="L174" i="25"/>
  <c r="G24" i="5" s="1"/>
  <c r="M174" i="25"/>
  <c r="G25" i="5" s="1"/>
  <c r="N174" i="25"/>
  <c r="G26" i="5" s="1"/>
  <c r="J175" i="25"/>
  <c r="H22" i="5" s="1"/>
  <c r="K175" i="25"/>
  <c r="H23" i="5" s="1"/>
  <c r="L175" i="25"/>
  <c r="H24" i="5" s="1"/>
  <c r="M175" i="25"/>
  <c r="H25" i="5" s="1"/>
  <c r="N175" i="25"/>
  <c r="H26" i="5" s="1"/>
  <c r="J176" i="25"/>
  <c r="K176" i="25"/>
  <c r="L176" i="25"/>
  <c r="M176" i="25"/>
  <c r="N176" i="25"/>
  <c r="D18" i="5"/>
  <c r="E18" i="5"/>
  <c r="D19" i="5"/>
  <c r="E19" i="5"/>
  <c r="D20" i="5"/>
  <c r="E20" i="5"/>
  <c r="D21" i="5"/>
  <c r="E21" i="5"/>
  <c r="D22" i="5"/>
  <c r="E22" i="5"/>
  <c r="D23" i="5"/>
  <c r="E23" i="5"/>
  <c r="D24" i="5"/>
  <c r="E24" i="5"/>
  <c r="D25" i="5"/>
  <c r="E25" i="5"/>
  <c r="D26" i="5"/>
  <c r="E26" i="5"/>
  <c r="E17" i="5"/>
  <c r="D17" i="5"/>
  <c r="H164" i="25"/>
  <c r="G164" i="25"/>
  <c r="H144" i="25"/>
  <c r="G144" i="25"/>
  <c r="F144"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F19" i="5"/>
  <c r="H25" i="25"/>
  <c r="F25" i="25"/>
  <c r="E25" i="25"/>
  <c r="H24" i="25"/>
  <c r="F24" i="25"/>
  <c r="E24" i="25"/>
  <c r="H21" i="25"/>
  <c r="F21" i="25"/>
  <c r="H20" i="25"/>
  <c r="H44" i="25" s="1"/>
  <c r="H48" i="25" s="1"/>
  <c r="G44" i="25"/>
  <c r="G48" i="25" s="1"/>
  <c r="F20" i="25"/>
  <c r="A2" i="25"/>
  <c r="G62" i="6"/>
  <c r="H62" i="6"/>
  <c r="I62" i="6"/>
  <c r="G63" i="6"/>
  <c r="H63" i="6"/>
  <c r="I63" i="6"/>
  <c r="D61" i="6"/>
  <c r="I109" i="25" l="1"/>
  <c r="I111" i="25" s="1"/>
  <c r="I76" i="6"/>
  <c r="I57" i="25"/>
  <c r="H109" i="25"/>
  <c r="H111" i="25" s="1"/>
  <c r="H76" i="6"/>
  <c r="H57" i="25"/>
  <c r="G109" i="25"/>
  <c r="G111" i="25" s="1"/>
  <c r="G76" i="6"/>
  <c r="F109" i="25"/>
  <c r="F111" i="25" s="1"/>
  <c r="F76" i="6"/>
  <c r="N112" i="25"/>
  <c r="M128" i="25"/>
  <c r="M114" i="25"/>
  <c r="M100" i="25"/>
  <c r="F44" i="25"/>
  <c r="F48" i="25" s="1"/>
  <c r="F88" i="6"/>
  <c r="E88" i="6"/>
  <c r="M182" i="25"/>
  <c r="M188" i="25" s="1"/>
  <c r="N182" i="25"/>
  <c r="N188" i="25" s="1"/>
  <c r="M181" i="25"/>
  <c r="M187" i="25" s="1"/>
  <c r="N181" i="25"/>
  <c r="N187" i="25" s="1"/>
  <c r="N177" i="25"/>
  <c r="I26" i="5" s="1"/>
  <c r="J182" i="25"/>
  <c r="J188" i="25" s="1"/>
  <c r="M177" i="25"/>
  <c r="I25" i="5" s="1"/>
  <c r="L181" i="25"/>
  <c r="L187" i="25" s="1"/>
  <c r="K181" i="25"/>
  <c r="K187" i="25" s="1"/>
  <c r="M96" i="25"/>
  <c r="L177" i="25"/>
  <c r="I24" i="5" s="1"/>
  <c r="K177" i="25"/>
  <c r="I23" i="5" s="1"/>
  <c r="I181" i="25"/>
  <c r="I187" i="25" s="1"/>
  <c r="L182" i="25"/>
  <c r="L188" i="25" s="1"/>
  <c r="K182" i="25"/>
  <c r="K188" i="25" s="1"/>
  <c r="J177" i="25"/>
  <c r="I22" i="5" s="1"/>
  <c r="J181" i="25"/>
  <c r="J187" i="25" s="1"/>
  <c r="M112" i="25"/>
  <c r="J162" i="25"/>
  <c r="M44" i="25"/>
  <c r="M48" i="25" s="1"/>
  <c r="M162" i="25"/>
  <c r="I44" i="25"/>
  <c r="I48" i="25" s="1"/>
  <c r="K162" i="25"/>
  <c r="M32" i="25"/>
  <c r="M42" i="25" s="1"/>
  <c r="M106" i="25"/>
  <c r="M61" i="25"/>
  <c r="M166" i="25"/>
  <c r="K114" i="25"/>
  <c r="K112" i="25"/>
  <c r="J112" i="25"/>
  <c r="I106" i="25"/>
  <c r="K165" i="25"/>
  <c r="K106" i="25"/>
  <c r="K57" i="25"/>
  <c r="K58" i="25" s="1"/>
  <c r="K128" i="25"/>
  <c r="K44" i="25"/>
  <c r="K45" i="25" s="1"/>
  <c r="I32" i="25"/>
  <c r="I35" i="25" s="1"/>
  <c r="I100" i="25"/>
  <c r="N44" i="25"/>
  <c r="N48" i="25" s="1"/>
  <c r="L114" i="25"/>
  <c r="L44" i="25"/>
  <c r="L48" i="25" s="1"/>
  <c r="I96" i="25"/>
  <c r="L57" i="25"/>
  <c r="L58" i="25" s="1"/>
  <c r="N162" i="25"/>
  <c r="J96" i="25"/>
  <c r="N96" i="25"/>
  <c r="L39" i="25"/>
  <c r="L165" i="25"/>
  <c r="K39" i="25"/>
  <c r="K32" i="25"/>
  <c r="K42" i="25" s="1"/>
  <c r="F32" i="25"/>
  <c r="F42" i="25" s="1"/>
  <c r="L100" i="25"/>
  <c r="L61" i="25"/>
  <c r="L112" i="25"/>
  <c r="L128" i="25"/>
  <c r="K100" i="25"/>
  <c r="J45" i="25"/>
  <c r="M165" i="25"/>
  <c r="L162" i="25"/>
  <c r="M39" i="25"/>
  <c r="K96" i="25"/>
  <c r="M58" i="25"/>
  <c r="N32" i="25"/>
  <c r="N91" i="25" s="1"/>
  <c r="N39" i="25"/>
  <c r="N57" i="25"/>
  <c r="N58" i="25" s="1"/>
  <c r="N100" i="25"/>
  <c r="N106" i="25"/>
  <c r="N114" i="25"/>
  <c r="N128" i="25"/>
  <c r="N165" i="25"/>
  <c r="J32" i="25"/>
  <c r="J91" i="25" s="1"/>
  <c r="J39" i="25"/>
  <c r="J57" i="25"/>
  <c r="J58" i="25" s="1"/>
  <c r="J100" i="25"/>
  <c r="J106" i="25"/>
  <c r="J114" i="25"/>
  <c r="J128" i="25"/>
  <c r="J165" i="25"/>
  <c r="L32" i="25"/>
  <c r="L91" i="25" s="1"/>
  <c r="L96" i="25"/>
  <c r="F57" i="25"/>
  <c r="G32" i="25"/>
  <c r="G35" i="25" s="1"/>
  <c r="H96" i="25"/>
  <c r="F96" i="25"/>
  <c r="G57" i="25"/>
  <c r="G96" i="25"/>
  <c r="H29" i="25"/>
  <c r="F20" i="5" s="1"/>
  <c r="H45" i="25"/>
  <c r="E100" i="25"/>
  <c r="E106" i="25"/>
  <c r="F100" i="25"/>
  <c r="F106" i="25"/>
  <c r="G45" i="25"/>
  <c r="H106" i="25"/>
  <c r="H100" i="25"/>
  <c r="G106" i="25"/>
  <c r="H32" i="25"/>
  <c r="H91" i="25" s="1"/>
  <c r="E44" i="25"/>
  <c r="E48" i="25" s="1"/>
  <c r="E57" i="25"/>
  <c r="G100" i="25"/>
  <c r="I39" i="25" l="1"/>
  <c r="G39" i="25"/>
  <c r="G49" i="25" s="1"/>
  <c r="F39" i="25"/>
  <c r="F45" i="25"/>
  <c r="M91" i="25"/>
  <c r="K91" i="25"/>
  <c r="I91" i="25"/>
  <c r="I112" i="25" s="1"/>
  <c r="F91" i="25"/>
  <c r="F112" i="25" s="1"/>
  <c r="G91" i="25"/>
  <c r="G112" i="25" s="1"/>
  <c r="I45" i="25"/>
  <c r="I46" i="25" s="1"/>
  <c r="M45" i="25"/>
  <c r="M35" i="25"/>
  <c r="M49" i="25" s="1"/>
  <c r="L45" i="25"/>
  <c r="I42" i="25"/>
  <c r="I49" i="25"/>
  <c r="N45" i="25"/>
  <c r="K48" i="25"/>
  <c r="F35" i="25"/>
  <c r="K35" i="25"/>
  <c r="K46" i="25" s="1"/>
  <c r="K53" i="25" s="1"/>
  <c r="G42" i="25"/>
  <c r="N35" i="25"/>
  <c r="N42" i="25"/>
  <c r="L42" i="25"/>
  <c r="L35" i="25"/>
  <c r="J35" i="25"/>
  <c r="J49" i="25" s="1"/>
  <c r="J42" i="25"/>
  <c r="H112" i="25"/>
  <c r="E29" i="25"/>
  <c r="F18" i="5"/>
  <c r="H42" i="25"/>
  <c r="H35" i="25"/>
  <c r="E45" i="25"/>
  <c r="H39" i="25"/>
  <c r="G46" i="25" l="1"/>
  <c r="G53" i="25" s="1"/>
  <c r="I53" i="25"/>
  <c r="I56" i="25" s="1"/>
  <c r="I55" i="25"/>
  <c r="F46" i="25"/>
  <c r="F53" i="25" s="1"/>
  <c r="F17" i="5"/>
  <c r="N46" i="25"/>
  <c r="N53" i="25" s="1"/>
  <c r="M46" i="25"/>
  <c r="M53" i="25" s="1"/>
  <c r="F49" i="25"/>
  <c r="J46" i="25"/>
  <c r="J53" i="25" s="1"/>
  <c r="K49" i="25"/>
  <c r="N49" i="25"/>
  <c r="L49" i="25"/>
  <c r="L46" i="25"/>
  <c r="L53" i="25" s="1"/>
  <c r="H46" i="25"/>
  <c r="H53" i="25" s="1"/>
  <c r="H49" i="25"/>
  <c r="G55" i="25" l="1"/>
  <c r="I58" i="25"/>
  <c r="I61" i="25" s="1"/>
  <c r="H55" i="25"/>
  <c r="F55" i="25"/>
  <c r="K36" i="8"/>
  <c r="P36" i="8"/>
  <c r="L36" i="8"/>
  <c r="M36" i="8"/>
  <c r="N36" i="8"/>
  <c r="O36" i="8"/>
  <c r="K37" i="8"/>
  <c r="P37" i="8"/>
  <c r="F7" i="8"/>
  <c r="I128" i="25" l="1"/>
  <c r="F164" i="24"/>
  <c r="G164" i="24"/>
  <c r="H164" i="24"/>
  <c r="E164" i="24"/>
  <c r="Q149" i="8" l="1"/>
  <c r="Q143" i="8"/>
  <c r="D157" i="25" s="1"/>
  <c r="Q92" i="8"/>
  <c r="Q88" i="8"/>
  <c r="Q84" i="8"/>
  <c r="Q70" i="8"/>
  <c r="Q66" i="8"/>
  <c r="Q48" i="8"/>
  <c r="Q44" i="8"/>
  <c r="D75" i="25" s="1"/>
  <c r="Q94" i="8"/>
  <c r="Q86" i="8"/>
  <c r="Q50" i="8"/>
  <c r="Q42" i="8"/>
  <c r="D73" i="25" s="1"/>
  <c r="Q107" i="8"/>
  <c r="Q93" i="8"/>
  <c r="Q85" i="8"/>
  <c r="Q71" i="8"/>
  <c r="Q49" i="8"/>
  <c r="Q41" i="8"/>
  <c r="D72" i="25" s="1"/>
  <c r="Q142" i="8"/>
  <c r="D156" i="25" s="1"/>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J73" i="25"/>
  <c r="N73" i="25"/>
  <c r="K73" i="25"/>
  <c r="L73" i="25"/>
  <c r="I73" i="25"/>
  <c r="M73" i="25"/>
  <c r="J77" i="25"/>
  <c r="N77" i="25"/>
  <c r="K77" i="25"/>
  <c r="L77" i="25"/>
  <c r="I77" i="25"/>
  <c r="M77" i="25"/>
  <c r="K72" i="25"/>
  <c r="L72" i="25"/>
  <c r="I72" i="25"/>
  <c r="J72" i="25"/>
  <c r="N72" i="25"/>
  <c r="M72" i="25"/>
  <c r="K74" i="25"/>
  <c r="L74" i="25"/>
  <c r="N74" i="25"/>
  <c r="M74" i="25"/>
  <c r="J74" i="25"/>
  <c r="I74" i="25"/>
  <c r="K76" i="25"/>
  <c r="L76" i="25"/>
  <c r="J76" i="25"/>
  <c r="I76" i="25"/>
  <c r="M76" i="25"/>
  <c r="N76" i="25"/>
  <c r="D37" i="5"/>
  <c r="F37" i="5"/>
  <c r="D38" i="5"/>
  <c r="F38" i="5"/>
  <c r="D39" i="5"/>
  <c r="F39" i="5"/>
  <c r="D40" i="5"/>
  <c r="F40" i="5"/>
  <c r="F36" i="5"/>
  <c r="D36" i="5"/>
  <c r="E37" i="5"/>
  <c r="E38" i="5"/>
  <c r="E39" i="5"/>
  <c r="E40" i="5"/>
  <c r="E36" i="5"/>
  <c r="G92" i="6" l="1"/>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G144" i="24"/>
  <c r="H144" i="24"/>
  <c r="H59" i="24"/>
  <c r="G59" i="24"/>
  <c r="F59" i="24"/>
  <c r="H37" i="24"/>
  <c r="G37" i="24"/>
  <c r="F37" i="24"/>
  <c r="H34" i="24"/>
  <c r="G34" i="24"/>
  <c r="F34" i="24"/>
  <c r="F62" i="6" l="1"/>
  <c r="F57" i="6"/>
  <c r="F33" i="6"/>
  <c r="I4" i="1" l="1"/>
  <c r="J4" i="1" s="1"/>
  <c r="I3" i="1"/>
  <c r="J3" i="1" s="1"/>
  <c r="E93" i="25" l="1"/>
  <c r="E96" i="25" s="1"/>
  <c r="E39" i="25" l="1"/>
  <c r="E42" i="25"/>
  <c r="E35" i="25"/>
  <c r="E91" i="25"/>
  <c r="E112" i="25" s="1"/>
  <c r="I176" i="24"/>
  <c r="I175" i="24"/>
  <c r="I174" i="24"/>
  <c r="E46" i="25" l="1"/>
  <c r="E53" i="25" s="1"/>
  <c r="E56" i="25" s="1"/>
  <c r="F56" i="25" s="1"/>
  <c r="E143" i="25"/>
  <c r="E144" i="25" s="1"/>
  <c r="E49" i="25"/>
  <c r="H15" i="1"/>
  <c r="H13" i="1"/>
  <c r="H11" i="1"/>
  <c r="F58" i="25" l="1"/>
  <c r="F61" i="25" s="1"/>
  <c r="F72" i="25" s="1"/>
  <c r="G56" i="25"/>
  <c r="E55" i="25"/>
  <c r="E58" i="25" s="1"/>
  <c r="E61" i="25" s="1"/>
  <c r="F93" i="24"/>
  <c r="F96" i="24" s="1"/>
  <c r="G93" i="24"/>
  <c r="G96" i="24" s="1"/>
  <c r="H93" i="24"/>
  <c r="H96" i="24" s="1"/>
  <c r="F74" i="25" l="1"/>
  <c r="F75" i="25"/>
  <c r="F76" i="25"/>
  <c r="F77" i="25"/>
  <c r="F73" i="25"/>
  <c r="H56" i="25"/>
  <c r="H58" i="25" s="1"/>
  <c r="H61" i="25" s="1"/>
  <c r="G58" i="25"/>
  <c r="G61" i="25" s="1"/>
  <c r="E72" i="25"/>
  <c r="E77" i="25"/>
  <c r="E76" i="25"/>
  <c r="E73" i="25"/>
  <c r="E74" i="25"/>
  <c r="E75" i="25"/>
  <c r="J37" i="8"/>
  <c r="J36" i="8"/>
  <c r="G74" i="25" l="1"/>
  <c r="G72" i="25"/>
  <c r="G73" i="25"/>
  <c r="G75" i="25"/>
  <c r="G76" i="25"/>
  <c r="G77" i="25"/>
  <c r="H73" i="25"/>
  <c r="H74" i="25"/>
  <c r="H72" i="25"/>
  <c r="H75" i="25"/>
  <c r="H76" i="25"/>
  <c r="H77" i="25"/>
  <c r="D55" i="6"/>
  <c r="F58" i="6" s="1"/>
  <c r="F63" i="6" s="1"/>
  <c r="I150"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9"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4" i="24"/>
  <c r="I151" i="24"/>
  <c r="I144"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I44" i="24"/>
  <c r="I48" i="24" s="1"/>
  <c r="H20" i="24"/>
  <c r="A2" i="24"/>
  <c r="E32" i="24" l="1"/>
  <c r="E91" i="24" s="1"/>
  <c r="H44" i="24"/>
  <c r="H48" i="24" s="1"/>
  <c r="H32" i="24"/>
  <c r="H100" i="24"/>
  <c r="H106" i="24"/>
  <c r="H57" i="24"/>
  <c r="E100" i="24"/>
  <c r="E106" i="24"/>
  <c r="E57" i="24"/>
  <c r="F100" i="24"/>
  <c r="F106" i="24"/>
  <c r="F32" i="24"/>
  <c r="F91" i="24" s="1"/>
  <c r="F57" i="24"/>
  <c r="G100" i="24"/>
  <c r="G32" i="24"/>
  <c r="G91" i="24" s="1"/>
  <c r="G106" i="24"/>
  <c r="G57" i="24"/>
  <c r="I181" i="24"/>
  <c r="I187" i="24" s="1"/>
  <c r="I177"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2" i="9"/>
  <c r="I13" i="9"/>
  <c r="I14" i="9"/>
  <c r="I15" i="9"/>
  <c r="I16" i="9"/>
  <c r="I17" i="9"/>
  <c r="I18" i="9"/>
  <c r="I19" i="9"/>
  <c r="I20" i="9"/>
  <c r="I21" i="9"/>
  <c r="I22" i="9"/>
  <c r="I23" i="9"/>
  <c r="I24" i="9"/>
  <c r="F9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69" i="6"/>
  <c r="D82" i="25"/>
  <c r="D122" i="25"/>
  <c r="D68" i="6"/>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G128" i="25" l="1"/>
  <c r="H128" i="25"/>
  <c r="E128" i="25"/>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K146" i="8"/>
  <c r="D162" i="25" l="1"/>
  <c r="D74" i="6" s="1"/>
  <c r="Q146" i="8"/>
  <c r="E112" i="24"/>
  <c r="D161" i="25" l="1"/>
  <c r="D73" i="6" s="1"/>
  <c r="H37" i="8"/>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I134" i="25" s="1"/>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6" i="25" s="1"/>
  <c r="T121" i="25"/>
  <c r="T123" i="25" s="1"/>
  <c r="T136" i="25" s="1"/>
  <c r="T137" i="25" s="1"/>
  <c r="T146" i="25" s="1"/>
  <c r="T180" i="25" s="1"/>
  <c r="U121" i="25"/>
  <c r="U123" i="25" s="1"/>
  <c r="U136" i="25" s="1"/>
  <c r="U137" i="25" s="1"/>
  <c r="U146" i="25" s="1"/>
  <c r="U180" i="25" s="1"/>
  <c r="X121" i="25"/>
  <c r="X123" i="25" s="1"/>
  <c r="X136" i="25" s="1"/>
  <c r="X137" i="25" s="1"/>
  <c r="X146" i="25" s="1"/>
  <c r="X180" i="25" s="1"/>
  <c r="V121" i="25"/>
  <c r="V123" i="25" s="1"/>
  <c r="V136" i="25" s="1"/>
  <c r="V137" i="25" s="1"/>
  <c r="V146" i="25" s="1"/>
  <c r="V180" i="25" s="1"/>
  <c r="W121" i="25"/>
  <c r="W123" i="25" s="1"/>
  <c r="W136" i="25" s="1"/>
  <c r="W137" i="25" s="1"/>
  <c r="W146" i="25" s="1"/>
  <c r="W180" i="25" s="1"/>
  <c r="R121" i="25"/>
  <c r="R123" i="25" s="1"/>
  <c r="P121" i="25"/>
  <c r="P123" i="25" s="1"/>
  <c r="P136" i="25" s="1"/>
  <c r="P137" i="25" s="1"/>
  <c r="P146" i="25" s="1"/>
  <c r="P180" i="25" s="1"/>
  <c r="S121" i="25"/>
  <c r="S123" i="25" s="1"/>
  <c r="S136" i="25" s="1"/>
  <c r="S137" i="25" s="1"/>
  <c r="S146" i="25" s="1"/>
  <c r="S180" i="25" s="1"/>
  <c r="Q121" i="25"/>
  <c r="Q123" i="25" s="1"/>
  <c r="Q136" i="25" s="1"/>
  <c r="Q137" i="25" s="1"/>
  <c r="Q146" i="25" s="1"/>
  <c r="Q180" i="25" s="1"/>
  <c r="O121" i="25"/>
  <c r="O123" i="25" s="1"/>
  <c r="O136" i="25" s="1"/>
  <c r="O137" i="25" s="1"/>
  <c r="O146" i="25" s="1"/>
  <c r="O180" i="25" s="1"/>
  <c r="H121" i="25"/>
  <c r="H123" i="25" s="1"/>
  <c r="H136" i="25" s="1"/>
  <c r="L121" i="25"/>
  <c r="L123" i="25" s="1"/>
  <c r="M121" i="25"/>
  <c r="M123" i="25" s="1"/>
  <c r="E121" i="25"/>
  <c r="E123" i="25" s="1"/>
  <c r="E136" i="25" s="1"/>
  <c r="N121" i="25"/>
  <c r="N123" i="25" s="1"/>
  <c r="F121" i="25"/>
  <c r="F123" i="25" s="1"/>
  <c r="G121" i="25"/>
  <c r="G123" i="25" s="1"/>
  <c r="G136" i="25" s="1"/>
  <c r="K121" i="25"/>
  <c r="K123" i="25" s="1"/>
  <c r="I121" i="25"/>
  <c r="I123" i="25" s="1"/>
  <c r="N51" i="8"/>
  <c r="O48" i="8"/>
  <c r="O47" i="8" s="1"/>
  <c r="M38" i="8"/>
  <c r="N106" i="8" l="1"/>
  <c r="N78" i="8"/>
  <c r="O183" i="25"/>
  <c r="O189" i="25" s="1"/>
  <c r="O186" i="25"/>
  <c r="S186" i="25"/>
  <c r="S183" i="25"/>
  <c r="S189" i="25" s="1"/>
  <c r="P186" i="25"/>
  <c r="P183" i="25"/>
  <c r="P189" i="25" s="1"/>
  <c r="R136" i="25"/>
  <c r="R137" i="25" s="1"/>
  <c r="R146" i="25" s="1"/>
  <c r="R180" i="25" s="1"/>
  <c r="W186" i="25"/>
  <c r="W183" i="25"/>
  <c r="W189" i="25" s="1"/>
  <c r="Q183" i="25"/>
  <c r="Q189" i="25" s="1"/>
  <c r="Q186" i="25"/>
  <c r="V186" i="25"/>
  <c r="V183" i="25"/>
  <c r="V189" i="25" s="1"/>
  <c r="X186" i="25"/>
  <c r="X183" i="25"/>
  <c r="X189" i="25" s="1"/>
  <c r="U186" i="25"/>
  <c r="U183" i="25"/>
  <c r="U189" i="25" s="1"/>
  <c r="T186" i="25"/>
  <c r="T183" i="25"/>
  <c r="T189" i="25" s="1"/>
  <c r="I136" i="25"/>
  <c r="I137" i="25" s="1"/>
  <c r="I146" i="25" s="1"/>
  <c r="N136" i="25"/>
  <c r="N137" i="25" s="1"/>
  <c r="N146" i="25" s="1"/>
  <c r="N180" i="25" s="1"/>
  <c r="N183" i="25" s="1"/>
  <c r="N189" i="25" s="1"/>
  <c r="K136" i="25"/>
  <c r="K137" i="25" s="1"/>
  <c r="K146" i="25" s="1"/>
  <c r="M136" i="25"/>
  <c r="M137" i="25" s="1"/>
  <c r="M146" i="25" s="1"/>
  <c r="L136" i="25"/>
  <c r="L137" i="25" s="1"/>
  <c r="L146" i="25" s="1"/>
  <c r="L180" i="25" s="1"/>
  <c r="L183" i="25" s="1"/>
  <c r="J180" i="25"/>
  <c r="J186" i="25" s="1"/>
  <c r="F136" i="25"/>
  <c r="O51" i="8"/>
  <c r="P48" i="8"/>
  <c r="D79" i="25" s="1"/>
  <c r="N38" i="8"/>
  <c r="O106" i="8" l="1"/>
  <c r="O78" i="8"/>
  <c r="R183" i="25"/>
  <c r="R189" i="25" s="1"/>
  <c r="R186" i="25"/>
  <c r="M180" i="25"/>
  <c r="M183" i="25" s="1"/>
  <c r="M189" i="25" s="1"/>
  <c r="K25" i="5" s="1"/>
  <c r="J183" i="25"/>
  <c r="J189" i="25" s="1"/>
  <c r="K22" i="5" s="1"/>
  <c r="N186" i="25"/>
  <c r="L186" i="25"/>
  <c r="K180" i="25"/>
  <c r="K183" i="25" s="1"/>
  <c r="K189" i="25" s="1"/>
  <c r="K23" i="5" s="1"/>
  <c r="L189" i="25"/>
  <c r="K24" i="5" s="1"/>
  <c r="J24" i="5"/>
  <c r="C78" i="25"/>
  <c r="D81" i="25"/>
  <c r="J26" i="5"/>
  <c r="K26" i="5"/>
  <c r="P47" i="8"/>
  <c r="P51" i="8" s="1"/>
  <c r="O38" i="8"/>
  <c r="F134" i="25" l="1"/>
  <c r="F137" i="25" s="1"/>
  <c r="F146" i="25" s="1"/>
  <c r="H134" i="25"/>
  <c r="H137" i="25" s="1"/>
  <c r="H146" i="25" s="1"/>
  <c r="G134" i="25"/>
  <c r="G137" i="25" s="1"/>
  <c r="G146" i="25" s="1"/>
  <c r="P38" i="8"/>
  <c r="P106" i="8"/>
  <c r="P78" i="8"/>
  <c r="J22" i="5"/>
  <c r="E134" i="25"/>
  <c r="E137" i="25" s="1"/>
  <c r="E146" i="25" s="1"/>
  <c r="X81" i="25"/>
  <c r="X83" i="25" s="1"/>
  <c r="R81" i="25"/>
  <c r="R83" i="25" s="1"/>
  <c r="W81" i="25"/>
  <c r="W83" i="25" s="1"/>
  <c r="T81" i="25"/>
  <c r="T83" i="25" s="1"/>
  <c r="U81" i="25"/>
  <c r="U83" i="25" s="1"/>
  <c r="V81" i="25"/>
  <c r="V83" i="25" s="1"/>
  <c r="O81" i="25"/>
  <c r="O83" i="25" s="1"/>
  <c r="S81" i="25"/>
  <c r="S83" i="25" s="1"/>
  <c r="P81" i="25"/>
  <c r="P83" i="25" s="1"/>
  <c r="Q81" i="25"/>
  <c r="Q83" i="25" s="1"/>
  <c r="J25" i="5"/>
  <c r="K186" i="25"/>
  <c r="J23" i="5"/>
  <c r="M186" i="25"/>
  <c r="N81" i="25"/>
  <c r="N83" i="25" s="1"/>
  <c r="L81" i="25"/>
  <c r="L83" i="25" s="1"/>
  <c r="J81" i="25"/>
  <c r="J83" i="25" s="1"/>
  <c r="K81" i="25"/>
  <c r="K83" i="25" s="1"/>
  <c r="M81" i="25"/>
  <c r="M83" i="25" s="1"/>
  <c r="I81" i="25"/>
  <c r="I83" i="25" s="1"/>
  <c r="I114" i="25" s="1"/>
  <c r="E81" i="25"/>
  <c r="E83" i="25" s="1"/>
  <c r="E114" i="25" s="1"/>
  <c r="F81" i="25"/>
  <c r="F83" i="25" s="1"/>
  <c r="F114" i="25" s="1"/>
  <c r="H81" i="25"/>
  <c r="H83" i="25" s="1"/>
  <c r="H114" i="25" s="1"/>
  <c r="G81" i="25"/>
  <c r="G83" i="25" s="1"/>
  <c r="G114" i="25" s="1"/>
  <c r="D134" i="25"/>
  <c r="D161" i="24"/>
  <c r="D162" i="24"/>
  <c r="D117" i="24"/>
  <c r="D74" i="24"/>
  <c r="D75" i="24"/>
  <c r="D136" i="24"/>
  <c r="D77" i="24"/>
  <c r="D118" i="24"/>
  <c r="D66" i="24"/>
  <c r="D80" i="24"/>
  <c r="D130" i="24"/>
  <c r="D132" i="24"/>
  <c r="D72" i="24"/>
  <c r="D73" i="24"/>
  <c r="D79" i="24"/>
  <c r="D157" i="24"/>
  <c r="D122" i="24"/>
  <c r="D128" i="24"/>
  <c r="D120" i="24"/>
  <c r="D119" i="24"/>
  <c r="D67" i="24"/>
  <c r="D76" i="24"/>
  <c r="D82" i="24"/>
  <c r="D135" i="24"/>
  <c r="D156" i="24"/>
  <c r="D129" i="24"/>
  <c r="D133" i="24"/>
  <c r="D131" i="24"/>
  <c r="I156" i="25" l="1"/>
  <c r="I180" i="25"/>
  <c r="F180" i="25"/>
  <c r="G180" i="25"/>
  <c r="G186" i="25" s="1"/>
  <c r="H180" i="25"/>
  <c r="H186" i="25" s="1"/>
  <c r="E180"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86" i="25" l="1"/>
  <c r="I157" i="25"/>
  <c r="I158" i="25" s="1"/>
  <c r="I106" i="8"/>
  <c r="I78" i="8"/>
  <c r="F186" i="25"/>
  <c r="E18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I161" i="25" l="1"/>
  <c r="I166" i="25"/>
  <c r="I162" i="25"/>
  <c r="I165" i="25"/>
  <c r="G68" i="24"/>
  <c r="G69" i="24" s="1"/>
  <c r="G114" i="24" s="1"/>
  <c r="E68" i="24"/>
  <c r="E69" i="24" s="1"/>
  <c r="E114" i="24" s="1"/>
  <c r="I68" i="24"/>
  <c r="I69" i="24" s="1"/>
  <c r="H68" i="24"/>
  <c r="H69" i="24" s="1"/>
  <c r="H114" i="24" s="1"/>
  <c r="F68" i="24"/>
  <c r="F69" i="24" s="1"/>
  <c r="F114" i="24" s="1"/>
  <c r="H134" i="24"/>
  <c r="H137" i="24" s="1"/>
  <c r="H146" i="24" s="1"/>
  <c r="G134" i="24"/>
  <c r="G137" i="24" s="1"/>
  <c r="G146" i="24" s="1"/>
  <c r="F134" i="24"/>
  <c r="F137" i="24" s="1"/>
  <c r="E134" i="24"/>
  <c r="E137" i="24" s="1"/>
  <c r="I114" i="24"/>
  <c r="I134" i="24"/>
  <c r="I137" i="24" s="1"/>
  <c r="I146" i="24" s="1"/>
  <c r="I167" i="25" l="1"/>
  <c r="I169" i="25" s="1"/>
  <c r="I180" i="24"/>
  <c r="I156" i="24"/>
  <c r="I182" i="25" l="1"/>
  <c r="I176" i="25"/>
  <c r="I175" i="25"/>
  <c r="H21" i="5" s="1"/>
  <c r="I186" i="24"/>
  <c r="I157" i="24"/>
  <c r="I158" i="24" s="1"/>
  <c r="F79" i="6"/>
  <c r="F81" i="6" s="1"/>
  <c r="I174" i="25" l="1"/>
  <c r="G21" i="5" s="1"/>
  <c r="I177" i="25"/>
  <c r="I21" i="5" s="1"/>
  <c r="I188" i="25"/>
  <c r="I183" i="25"/>
  <c r="F93" i="6"/>
  <c r="I166" i="24"/>
  <c r="I161" i="24"/>
  <c r="I162" i="24"/>
  <c r="I165" i="24"/>
  <c r="I189" i="25" l="1"/>
  <c r="K21" i="5" s="1"/>
  <c r="J21" i="5"/>
  <c r="F86" i="6"/>
  <c r="H37" i="5" s="1"/>
  <c r="F89" i="6"/>
  <c r="G37" i="5" s="1"/>
  <c r="F98" i="6"/>
  <c r="F94" i="6"/>
  <c r="I167" i="24"/>
  <c r="I169" i="24" s="1"/>
  <c r="I182" i="24" s="1"/>
  <c r="I183" i="24" s="1"/>
  <c r="I37" i="5" l="1"/>
  <c r="F99" i="6"/>
  <c r="I188" i="24"/>
  <c r="J37" i="5" l="1"/>
  <c r="F100" i="6"/>
  <c r="K37" i="5" s="1"/>
  <c r="G29" i="24" l="1"/>
  <c r="H27" i="24"/>
  <c r="H29" i="24" s="1"/>
  <c r="H180" i="24" l="1"/>
  <c r="G180" i="24"/>
  <c r="H186" i="24" l="1"/>
  <c r="G186"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29" i="24" l="1"/>
  <c r="F29" i="24" l="1"/>
  <c r="G26" i="16"/>
  <c r="D26" i="16" s="1"/>
  <c r="G10" i="16"/>
  <c r="D10" i="16" s="1"/>
  <c r="E29" i="16"/>
  <c r="G29" i="16" s="1"/>
  <c r="D29" i="16" s="1"/>
  <c r="G18" i="16"/>
  <c r="D18" i="16" s="1"/>
  <c r="G23" i="16"/>
  <c r="D23" i="16" s="1"/>
  <c r="I28" i="16" l="1"/>
  <c r="J28" i="16" s="1"/>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F48" i="5" l="1"/>
  <c r="F49" i="5"/>
  <c r="F52" i="5"/>
  <c r="G49" i="5"/>
  <c r="G52" i="5"/>
  <c r="G48" i="5"/>
  <c r="F53" i="5"/>
  <c r="H53" i="5"/>
  <c r="H45" i="5"/>
  <c r="G46" i="5"/>
  <c r="G53" i="5"/>
  <c r="F45" i="5"/>
  <c r="F46" i="5"/>
  <c r="H47" i="5"/>
  <c r="F47" i="5"/>
  <c r="G51" i="5"/>
  <c r="H51" i="5"/>
  <c r="H50" i="5"/>
  <c r="G50" i="5"/>
  <c r="H54" i="5" l="1"/>
  <c r="I53" i="5" l="1"/>
  <c r="I50" i="5"/>
  <c r="I46" i="5"/>
  <c r="I48" i="5"/>
  <c r="I47" i="5"/>
  <c r="I51" i="5"/>
  <c r="I52" i="5"/>
  <c r="I49" i="5"/>
  <c r="J53" i="5"/>
  <c r="J49" i="5"/>
  <c r="J52" i="5"/>
  <c r="I45" i="5" l="1"/>
  <c r="J51" i="5"/>
  <c r="J50" i="5"/>
  <c r="J48" i="5"/>
  <c r="J47" i="5"/>
  <c r="J46" i="5"/>
  <c r="J45" i="5"/>
  <c r="J54" i="5" l="1"/>
  <c r="K46" i="5"/>
  <c r="K48" i="5"/>
  <c r="K50" i="5"/>
  <c r="K53" i="5"/>
  <c r="K47" i="5"/>
  <c r="K51" i="5"/>
  <c r="K52" i="5"/>
  <c r="K49" i="5"/>
  <c r="K45" i="5" l="1"/>
  <c r="K54" i="5" s="1"/>
  <c r="E143" i="24"/>
  <c r="E144" i="24" s="1"/>
  <c r="E146" i="24" s="1"/>
  <c r="F143" i="24"/>
  <c r="F144" i="24" s="1"/>
  <c r="F146" i="24" s="1"/>
  <c r="H29" i="3"/>
  <c r="H18" i="3"/>
  <c r="H19" i="3"/>
  <c r="H22" i="3"/>
  <c r="H8" i="3"/>
  <c r="H11" i="3"/>
  <c r="H16" i="3"/>
  <c r="H21" i="3"/>
  <c r="H24" i="3"/>
  <c r="H13" i="3"/>
  <c r="H15" i="3"/>
  <c r="H27" i="3"/>
  <c r="H17" i="3"/>
  <c r="H23" i="3"/>
  <c r="H26" i="3"/>
  <c r="H31" i="3"/>
  <c r="H12" i="3"/>
  <c r="H30" i="3"/>
  <c r="H28" i="3"/>
  <c r="H9" i="3"/>
  <c r="H7" i="3"/>
  <c r="H25" i="3"/>
  <c r="H6" i="3"/>
  <c r="H20" i="3"/>
  <c r="H14" i="3"/>
  <c r="H10" i="3"/>
  <c r="E8" i="3"/>
  <c r="E28" i="3"/>
  <c r="E22" i="3"/>
  <c r="E7" i="3"/>
  <c r="E10" i="3"/>
  <c r="E17" i="3"/>
  <c r="E21" i="3"/>
  <c r="E11" i="3"/>
  <c r="E24" i="3"/>
  <c r="E12" i="3"/>
  <c r="E26" i="3"/>
  <c r="E25" i="3"/>
  <c r="E15" i="3"/>
  <c r="E30" i="3"/>
  <c r="E29" i="3"/>
  <c r="E13" i="3"/>
  <c r="E19" i="3"/>
  <c r="E18" i="3"/>
  <c r="E14" i="3"/>
  <c r="E27" i="3"/>
  <c r="E20" i="3"/>
  <c r="E16" i="3"/>
  <c r="E31" i="3"/>
  <c r="E9" i="3"/>
  <c r="E23" i="3"/>
  <c r="F180" i="24" l="1"/>
  <c r="F186" i="24" s="1"/>
  <c r="E180" i="24"/>
  <c r="E186" i="24" s="1"/>
  <c r="S4" i="3"/>
  <c r="Z4" i="3"/>
  <c r="AA4" i="3"/>
  <c r="P4" i="3"/>
  <c r="AC4" i="3"/>
  <c r="J4" i="3"/>
  <c r="U4" i="3"/>
  <c r="K4" i="3"/>
  <c r="R4" i="3"/>
  <c r="V4" i="3"/>
  <c r="M4" i="3"/>
  <c r="Y4" i="3"/>
  <c r="O4" i="3"/>
  <c r="W4" i="3"/>
  <c r="AB4" i="3"/>
  <c r="X4" i="3"/>
  <c r="N4" i="3"/>
  <c r="Q4" i="3"/>
  <c r="L4" i="3"/>
  <c r="T4" i="3"/>
  <c r="G149" i="24" l="1"/>
  <c r="G150" i="24" s="1"/>
  <c r="G151" i="24" s="1"/>
  <c r="G149" i="25"/>
  <c r="G151" i="25" s="1"/>
  <c r="H149" i="24"/>
  <c r="H150" i="24" s="1"/>
  <c r="H151" i="24" s="1"/>
  <c r="H149" i="25"/>
  <c r="H151" i="25" s="1"/>
  <c r="J58" i="5"/>
  <c r="K58" i="5" s="1"/>
  <c r="F149" i="24"/>
  <c r="F150" i="24" s="1"/>
  <c r="F151" i="24" s="1"/>
  <c r="F149" i="25"/>
  <c r="E149" i="24"/>
  <c r="E150" i="24" s="1"/>
  <c r="E149" i="25"/>
  <c r="H181" i="25" l="1"/>
  <c r="H156" i="25"/>
  <c r="H157" i="25" s="1"/>
  <c r="H158" i="25" s="1"/>
  <c r="G181" i="25"/>
  <c r="G156" i="25"/>
  <c r="G157" i="25" s="1"/>
  <c r="G158" i="25" s="1"/>
  <c r="J59" i="5"/>
  <c r="K59" i="5" s="1"/>
  <c r="G181" i="24"/>
  <c r="G156" i="24"/>
  <c r="H156" i="24"/>
  <c r="H181" i="24"/>
  <c r="F181" i="24"/>
  <c r="F156" i="24"/>
  <c r="E151" i="24"/>
  <c r="G187" i="25" l="1"/>
  <c r="H161" i="25"/>
  <c r="H166" i="25"/>
  <c r="H162" i="25"/>
  <c r="H165" i="25"/>
  <c r="G166" i="25"/>
  <c r="G161" i="25"/>
  <c r="G162" i="25"/>
  <c r="G165" i="25"/>
  <c r="H187" i="25"/>
  <c r="F157" i="24"/>
  <c r="F158" i="24" s="1"/>
  <c r="H187" i="24"/>
  <c r="G157" i="24"/>
  <c r="G158" i="24" s="1"/>
  <c r="F187" i="24"/>
  <c r="H157" i="24"/>
  <c r="H158" i="24" s="1"/>
  <c r="G187" i="24"/>
  <c r="E156" i="24"/>
  <c r="E181" i="24"/>
  <c r="G167" i="25" l="1"/>
  <c r="G169" i="25" s="1"/>
  <c r="G182" i="25" s="1"/>
  <c r="H167" i="25"/>
  <c r="H169" i="25" s="1"/>
  <c r="H165" i="24"/>
  <c r="H161" i="24"/>
  <c r="H166" i="24"/>
  <c r="H162" i="24"/>
  <c r="G165" i="24"/>
  <c r="G166" i="24"/>
  <c r="G161" i="24"/>
  <c r="G162" i="24"/>
  <c r="F162" i="24"/>
  <c r="F161" i="24"/>
  <c r="F165" i="24"/>
  <c r="F166" i="24"/>
  <c r="E187" i="24"/>
  <c r="E157" i="24"/>
  <c r="G176" i="25" l="1"/>
  <c r="G175" i="25"/>
  <c r="H19" i="5" s="1"/>
  <c r="H182" i="25"/>
  <c r="H175" i="25"/>
  <c r="H20" i="5" s="1"/>
  <c r="H176" i="25"/>
  <c r="G177" i="25"/>
  <c r="I19" i="5" s="1"/>
  <c r="G174" i="25"/>
  <c r="G19" i="5" s="1"/>
  <c r="G188" i="25"/>
  <c r="G183" i="25"/>
  <c r="E158" i="24"/>
  <c r="E162" i="24" s="1"/>
  <c r="G167" i="24"/>
  <c r="G169" i="24" s="1"/>
  <c r="G182" i="24" s="1"/>
  <c r="F167" i="24"/>
  <c r="F169" i="24" s="1"/>
  <c r="H167" i="24"/>
  <c r="H169" i="24" s="1"/>
  <c r="G189" i="25" l="1"/>
  <c r="K19" i="5" s="1"/>
  <c r="J19" i="5"/>
  <c r="H174" i="25"/>
  <c r="G20" i="5" s="1"/>
  <c r="H177" i="25"/>
  <c r="I20" i="5" s="1"/>
  <c r="H188" i="25"/>
  <c r="H183" i="25"/>
  <c r="E166" i="24"/>
  <c r="E165" i="24"/>
  <c r="E161" i="24"/>
  <c r="G175" i="24"/>
  <c r="G176" i="24"/>
  <c r="G177" i="24" s="1"/>
  <c r="H182" i="24"/>
  <c r="H175" i="24"/>
  <c r="H176" i="24"/>
  <c r="F182" i="24"/>
  <c r="F176" i="24"/>
  <c r="F175" i="24"/>
  <c r="G188" i="24"/>
  <c r="G183" i="24"/>
  <c r="G189" i="24" s="1"/>
  <c r="H189" i="25" l="1"/>
  <c r="K20" i="5" s="1"/>
  <c r="J20" i="5"/>
  <c r="E167" i="24"/>
  <c r="E169" i="24" s="1"/>
  <c r="G174" i="24"/>
  <c r="G216" i="24" s="1"/>
  <c r="H174" i="24"/>
  <c r="H177" i="24"/>
  <c r="F177" i="24"/>
  <c r="F174" i="24"/>
  <c r="F188" i="24"/>
  <c r="F183" i="24"/>
  <c r="F189" i="24" s="1"/>
  <c r="H188" i="24"/>
  <c r="H183" i="24"/>
  <c r="H189" i="24" s="1"/>
  <c r="G211" i="24" l="1"/>
  <c r="E182" i="24"/>
  <c r="E176" i="24"/>
  <c r="E175" i="24"/>
  <c r="F196" i="24"/>
  <c r="F198" i="24"/>
  <c r="F219" i="24"/>
  <c r="F206" i="24"/>
  <c r="F212" i="24"/>
  <c r="F200" i="24"/>
  <c r="F197" i="24"/>
  <c r="F199" i="24"/>
  <c r="F207" i="24"/>
  <c r="F195" i="24"/>
  <c r="F205" i="24"/>
  <c r="F203" i="24"/>
  <c r="F194" i="24"/>
  <c r="F213" i="24"/>
  <c r="F208" i="24"/>
  <c r="F204" i="24"/>
  <c r="H216" i="24"/>
  <c r="M216" i="24" s="1"/>
  <c r="N216" i="24" s="1"/>
  <c r="O216" i="24" s="1"/>
  <c r="H211" i="24"/>
  <c r="M211" i="24" s="1"/>
  <c r="N211" i="24" s="1"/>
  <c r="O211" i="24" s="1"/>
  <c r="E174" i="24" l="1"/>
  <c r="E177" i="24"/>
  <c r="E201" i="24" s="1"/>
  <c r="E188" i="24"/>
  <c r="E183" i="24"/>
  <c r="E189" i="24" s="1"/>
  <c r="E206" i="24" l="1"/>
  <c r="M206" i="24" s="1"/>
  <c r="N206" i="24" s="1"/>
  <c r="O206" i="24" s="1"/>
  <c r="E219" i="24"/>
  <c r="M219" i="24" s="1"/>
  <c r="N219" i="24" s="1"/>
  <c r="O219" i="24" s="1"/>
  <c r="E197" i="24"/>
  <c r="M197" i="24" s="1"/>
  <c r="N197" i="24" s="1"/>
  <c r="O197" i="24" s="1"/>
  <c r="E194" i="24"/>
  <c r="M194" i="24" s="1"/>
  <c r="N194" i="24" s="1"/>
  <c r="O194" i="24" s="1"/>
  <c r="E205" i="24"/>
  <c r="M205" i="24" s="1"/>
  <c r="N205" i="24" s="1"/>
  <c r="O205" i="24" s="1"/>
  <c r="E213" i="24"/>
  <c r="M213" i="24" s="1"/>
  <c r="N213" i="24" s="1"/>
  <c r="O213" i="24" s="1"/>
  <c r="E203" i="24"/>
  <c r="M203" i="24" s="1"/>
  <c r="N203" i="24" s="1"/>
  <c r="O203" i="24" s="1"/>
  <c r="E199" i="24"/>
  <c r="M199" i="24" s="1"/>
  <c r="N199" i="24" s="1"/>
  <c r="O199" i="24" s="1"/>
  <c r="E195" i="24"/>
  <c r="M195" i="24" s="1"/>
  <c r="N195" i="24" s="1"/>
  <c r="O195" i="24" s="1"/>
  <c r="E208" i="24"/>
  <c r="M208" i="24" s="1"/>
  <c r="N208" i="24" s="1"/>
  <c r="O208" i="24" s="1"/>
  <c r="E207" i="24"/>
  <c r="M207" i="24" s="1"/>
  <c r="N207" i="24" s="1"/>
  <c r="O207" i="24" s="1"/>
  <c r="E200" i="24"/>
  <c r="M200" i="24" s="1"/>
  <c r="N200" i="24" s="1"/>
  <c r="O200" i="24" s="1"/>
  <c r="E212" i="24"/>
  <c r="M212" i="24" s="1"/>
  <c r="N212" i="24" s="1"/>
  <c r="O212" i="24" s="1"/>
  <c r="E198" i="24"/>
  <c r="M198" i="24" s="1"/>
  <c r="N198" i="24" s="1"/>
  <c r="O198" i="24" s="1"/>
  <c r="E204" i="24"/>
  <c r="M204" i="24" s="1"/>
  <c r="N204" i="24" s="1"/>
  <c r="O204" i="24" s="1"/>
  <c r="E196" i="24"/>
  <c r="M196" i="24" s="1"/>
  <c r="N196" i="24" s="1"/>
  <c r="O196" i="24" s="1"/>
  <c r="J11" i="9"/>
  <c r="I11" i="9" s="1"/>
  <c r="I4" i="9" s="1"/>
  <c r="F151" i="25" l="1"/>
  <c r="E150" i="25"/>
  <c r="J60" i="5" s="1"/>
  <c r="E151" i="25" l="1"/>
  <c r="E156" i="25" s="1"/>
  <c r="F156" i="25"/>
  <c r="F181" i="25"/>
  <c r="E181" i="25" l="1"/>
  <c r="E187" i="25" s="1"/>
  <c r="F157" i="25"/>
  <c r="F158" i="25" s="1"/>
  <c r="K60" i="5"/>
  <c r="J62" i="5"/>
  <c r="K62" i="5" s="1"/>
  <c r="F187" i="25"/>
  <c r="E157" i="25"/>
  <c r="J64" i="5" l="1"/>
  <c r="J65" i="5"/>
  <c r="K65" i="5" s="1"/>
  <c r="F165" i="25"/>
  <c r="F162" i="25"/>
  <c r="F161" i="25"/>
  <c r="F166" i="25"/>
  <c r="E158" i="25"/>
  <c r="K64" i="5" l="1"/>
  <c r="E165" i="25"/>
  <c r="E161" i="25"/>
  <c r="E162" i="25"/>
  <c r="E166" i="25"/>
  <c r="F167" i="25"/>
  <c r="F169" i="25" s="1"/>
  <c r="E167" i="25" l="1"/>
  <c r="J66" i="5" s="1"/>
  <c r="F182" i="25"/>
  <c r="F176" i="25"/>
  <c r="F175" i="25"/>
  <c r="H18" i="5" s="1"/>
  <c r="F177" i="25" l="1"/>
  <c r="I18" i="5" s="1"/>
  <c r="F174" i="25"/>
  <c r="G18" i="5" s="1"/>
  <c r="F188" i="25"/>
  <c r="F183" i="25"/>
  <c r="E169" i="25"/>
  <c r="J6" i="9" s="1"/>
  <c r="E182" i="25" l="1"/>
  <c r="E175" i="25"/>
  <c r="H17" i="5" s="1"/>
  <c r="E176" i="25"/>
  <c r="K66" i="5"/>
  <c r="J18" i="5"/>
  <c r="F189" i="25"/>
  <c r="K18" i="5" s="1"/>
  <c r="E177" i="25" l="1"/>
  <c r="I17" i="5" s="1"/>
  <c r="E174" i="25"/>
  <c r="G17" i="5" s="1"/>
  <c r="E188" i="25"/>
  <c r="E183" i="25"/>
  <c r="E189" i="25" l="1"/>
  <c r="K17" i="5" s="1"/>
  <c r="K27" i="5" s="1"/>
  <c r="J17" i="5"/>
  <c r="J27" i="5" s="1"/>
  <c r="J4" i="9" l="1"/>
  <c r="J67" i="5" l="1"/>
  <c r="J31" i="5"/>
  <c r="K31" i="5" s="1"/>
  <c r="K67" i="5" l="1"/>
  <c r="K68" i="5" s="1"/>
  <c r="J68" i="5"/>
  <c r="H72" i="5" s="1"/>
  <c r="K72" i="5" s="1"/>
  <c r="J32" i="5"/>
  <c r="K32" i="5"/>
  <c r="K73" i="5" l="1"/>
  <c r="J72" i="5"/>
  <c r="J7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<sst xmlns="http://schemas.openxmlformats.org/spreadsheetml/2006/main" count="1598" uniqueCount="754">
  <si>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</si>
  <si>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</si>
  <si>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</si>
  <si>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</si>
  <si>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</si>
  <si>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</si>
  <si>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</si>
  <si>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</si>
  <si>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</si>
  <si>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</si>
  <si>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</si>
  <si>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</si>
  <si>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</si>
  <si>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</si>
  <si>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</si>
  <si>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</si>
  <si>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</si>
  <si>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</si>
  <si>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</si>
  <si>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</si>
  <si>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</si>
  <si>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</si>
  <si>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</si>
  <si>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</si>
  <si>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</si>
  <si>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</si>
  <si>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</si>
  <si>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</si>
  <si>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</si>
  <si>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</si>
  <si>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</si>
  <si>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</si>
  <si>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</si>
  <si>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</si>
  <si>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</si>
  <si>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</si>
  <si>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</si>
  <si>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</si>
  <si>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</si>
  <si>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</si>
  <si>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</si>
  <si>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</si>
  <si>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</si>
  <si>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</si>
  <si>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</si>
  <si>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</si>
  <si>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</si>
  <si>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</si>
  <si>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</si>
  <si>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</si>
  <si>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</si>
  <si>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</si>
  <si>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</si>
  <si>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</si>
  <si>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</si>
  <si>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</si>
  <si>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</si>
  <si>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</si>
  <si>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</si>
  <si>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</si>
  <si>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</si>
  <si>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</si>
  <si>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</si>
  <si>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</si>
  <si>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</si>
  <si>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</si>
  <si>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</si>
  <si>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</si>
  <si>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</si>
  <si>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</si>
  <si>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</si>
  <si>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</si>
  <si>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</si>
  <si>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</si>
  <si>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</si>
  <si>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</si>
  <si>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</si>
  <si>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</si>
  <si>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</si>
  <si>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</si>
  <si>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</si>
  <si>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</si>
  <si>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</si>
  <si>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</si>
  <si>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</si>
  <si>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</si>
  <si>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</si>
  <si>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</si>
  <si>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</si>
  <si>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</si>
  <si>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</si>
  <si>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</si>
  <si>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</si>
  <si>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</si>
  <si>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</si>
  <si>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</si>
  <si>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</si>
  <si>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</si>
  <si>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</si>
  <si>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</si>
  <si>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</si>
  <si>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</si>
  <si>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</si>
  <si>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</si>
  <si>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</si>
  <si>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</si>
  <si>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</si>
  <si>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</si>
  <si>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</si>
  <si>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</si>
  <si>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</si>
  <si>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</si>
  <si>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</si>
  <si>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</si>
  <si>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</si>
  <si>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</si>
  <si>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</si>
  <si>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</si>
  <si>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</si>
  <si>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</si>
  <si>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</si>
  <si>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</si>
  <si>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</si>
  <si>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</si>
  <si>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</si>
  <si>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</si>
  <si>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</si>
  <si>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</si>
  <si>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</si>
  <si>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</si>
  <si>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</si>
  <si>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</si>
  <si>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</si>
  <si>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</si>
  <si>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</si>
  <si>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</si>
  <si>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</si>
  <si>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</si>
  <si>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</si>
  <si>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</si>
  <si>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</si>
  <si>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</si>
  <si>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</si>
  <si>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</si>
  <si>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</si>
  <si>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</si>
  <si>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</si>
  <si>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</si>
  <si>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</si>
  <si>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</si>
  <si>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</si>
  <si>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</si>
  <si>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</si>
  <si>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</si>
  <si>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</si>
  <si>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</si>
  <si>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</si>
  <si>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</si>
  <si>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</si>
  <si>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</si>
  <si>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</si>
  <si>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</si>
  <si>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</si>
  <si>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</si>
  <si>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</si>
  <si>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</si>
  <si>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</si>
  <si>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</si>
  <si>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</si>
  <si>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</si>
  <si>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</si>
  <si>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</si>
  <si>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</si>
  <si>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</si>
  <si>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</si>
  <si>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</si>
  <si>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</si>
  <si>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</si>
  <si>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</si>
  <si>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</si>
  <si>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</si>
  <si>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</si>
  <si>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</si>
  <si>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</si>
  <si>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</si>
  <si>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</si>
  <si>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</si>
  <si>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</si>
  <si>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</si>
  <si>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</si>
  <si>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</si>
  <si>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</si>
  <si>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</si>
  <si>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</si>
  <si>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</si>
  <si>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</si>
  <si>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</si>
  <si>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</si>
  <si>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</si>
  <si>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</si>
  <si>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</si>
  <si>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</si>
  <si>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</si>
  <si>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</si>
  <si>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</si>
  <si>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</si>
  <si>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</si>
  <si>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</si>
  <si>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</si>
  <si>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</si>
  <si>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</si>
  <si>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</si>
  <si>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</si>
  <si>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</si>
  <si>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</si>
  <si>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</si>
  <si>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</si>
  <si>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</si>
  <si>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</si>
  <si>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</si>
  <si>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</si>
  <si>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</si>
  <si>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</si>
  <si>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</si>
  <si>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</si>
  <si>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</si>
  <si>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</si>
  <si>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</si>
  <si>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</si>
  <si>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</si>
  <si>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</si>
  <si>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</si>
  <si>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</si>
  <si>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</si>
  <si>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</si>
  <si>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</si>
  <si>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</si>
  <si>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</si>
  <si>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</si>
  <si>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</si>
  <si>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</si>
  <si>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</si>
  <si>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</si>
  <si>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</si>
  <si>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</si>
  <si>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</si>
  <si>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</si>
  <si>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</si>
  <si>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</si>
  <si>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</si>
  <si>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</si>
  <si>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</si>
  <si>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</si>
  <si>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</si>
  <si>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</si>
  <si>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</si>
  <si>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</si>
  <si>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</si>
  <si>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</si>
  <si>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</si>
  <si>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</si>
  <si>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</si>
  <si>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</si>
  <si>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</si>
  <si>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</si>
  <si>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</si>
  <si>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</si>
  <si>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</si>
  <si>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</si>
  <si>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</si>
  <si>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</si>
  <si>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</si>
  <si>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</si>
  <si>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</si>
  <si>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</si>
  <si>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</si>
  <si>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</si>
  <si>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</si>
  <si>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</si>
  <si>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</si>
  <si>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</si>
  <si>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</si>
  <si>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</si>
  <si>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</si>
  <si>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</si>
  <si>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</si>
  <si>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</si>
  <si>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</si>
  <si>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</si>
  <si>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</si>
  <si>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</si>
  <si>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</si>
  <si>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</si>
  <si>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</si>
  <si>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</si>
  <si>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</si>
  <si>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</si>
  <si>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</si>
  <si>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</si>
  <si>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</si>
  <si>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</si>
  <si>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</si>
  <si>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</si>
  <si>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</si>
  <si>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</si>
  <si>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</si>
  <si>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</si>
  <si>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</si>
  <si>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</si>
  <si>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</si>
  <si>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</si>
  <si>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</si>
  <si>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</si>
  <si>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</si>
  <si>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</si>
  <si>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</si>
  <si>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</si>
  <si>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</si>
  <si>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</si>
  <si>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</si>
  <si>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</si>
  <si>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</si>
  <si>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</si>
  <si>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</si>
  <si>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</si>
  <si>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</si>
  <si>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</si>
  <si>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</si>
  <si>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</si>
  <si>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</si>
  <si>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</si>
  <si>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</si>
  <si>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</si>
  <si>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</si>
  <si>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</si>
  <si>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</si>
  <si>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</si>
  <si>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</si>
  <si>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</si>
  <si>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</si>
  <si>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</si>
  <si>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</si>
  <si>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</si>
  <si>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</si>
  <si>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</si>
  <si>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</si>
  <si>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</si>
  <si>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</si>
  <si>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</si>
  <si>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</si>
  <si>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</si>
  <si>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</si>
  <si>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</si>
  <si>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</si>
  <si>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</si>
  <si>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</si>
  <si>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</si>
  <si>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</si>
  <si>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</si>
  <si>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</si>
  <si>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</si>
  <si>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</si>
  <si>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</si>
  <si>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</si>
  <si>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</si>
  <si>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</si>
  <si>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</si>
  <si>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</si>
  <si>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</si>
  <si>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</si>
  <si>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</si>
  <si>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</si>
  <si>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</si>
  <si>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</si>
  <si>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</si>
  <si>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</si>
  <si>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</si>
  <si>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</si>
  <si>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</si>
  <si>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</si>
  <si>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</si>
  <si>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</si>
  <si>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</si>
  <si>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</si>
  <si>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</si>
  <si>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</si>
  <si>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</si>
  <si>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</si>
  <si>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</si>
  <si>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</si>
  <si>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</si>
  <si>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</si>
  <si>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</si>
  <si>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</si>
  <si>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</si>
  <si>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</si>
  <si>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</si>
  <si>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</si>
  <si>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</si>
  <si>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</si>
  <si>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</si>
  <si>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</si>
  <si>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</si>
  <si>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</si>
  <si>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</si>
  <si>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</si>
  <si>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</si>
  <si>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</si>
  <si>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</si>
  <si>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</si>
  <si>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</si>
  <si>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</si>
  <si>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</si>
  <si>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</si>
  <si>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</si>
  <si>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</si>
  <si>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</si>
  <si>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</si>
  <si>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</si>
  <si>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</si>
  <si>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</si>
  <si>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</si>
  <si>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</si>
  <si>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</si>
  <si>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</si>
  <si>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</si>
  <si>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</si>
  <si>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</si>
  <si>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</si>
  <si>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</si>
  <si>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</si>
  <si>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</si>
  <si>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</si>
  <si>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</si>
  <si>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</si>
  <si>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</si>
  <si>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</si>
  <si>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</si>
  <si>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</si>
  <si>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</si>
  <si>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</si>
  <si>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</si>
  <si>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</si>
  <si>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</si>
  <si>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</si>
  <si>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</si>
  <si>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</si>
  <si>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</si>
  <si>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</si>
  <si>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</si>
  <si>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</si>
  <si>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</si>
  <si>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</si>
  <si>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</si>
  <si>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</si>
  <si>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</si>
  <si>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</si>
  <si>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</si>
  <si>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</si>
  <si>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</si>
  <si>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</si>
  <si>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</si>
  <si>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</si>
  <si>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</si>
  <si>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</si>
  <si>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</si>
  <si>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</si>
  <si>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</si>
  <si>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</si>
  <si>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</si>
  <si>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</si>
  <si>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</si>
  <si>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</si>
  <si>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</si>
  <si>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</si>
  <si>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</si>
  <si>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</si>
  <si>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</si>
  <si>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</si>
  <si>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</si>
  <si>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</si>
  <si>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</si>
  <si>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</si>
  <si>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</si>
  <si>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</si>
  <si>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</si>
  <si>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</si>
  <si>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</si>
  <si>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</si>
  <si>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</si>
  <si>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</si>
  <si>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</si>
  <si>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</si>
  <si>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</si>
  <si>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</si>
  <si>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</si>
  <si>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</si>
  <si>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</si>
  <si>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</si>
  <si>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</si>
  <si>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</si>
  <si>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</si>
  <si>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</si>
  <si>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</si>
  <si>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</si>
  <si>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</si>
  <si>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</si>
  <si>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</si>
  <si>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</si>
  <si>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</si>
  <si>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</si>
  <si>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</si>
  <si>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</si>
  <si>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</si>
  <si>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</si>
  <si>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</si>
  <si>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</si>
  <si>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</si>
  <si>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</si>
  <si>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</si>
  <si>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</si>
  <si>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</si>
  <si>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</si>
  <si>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</si>
  <si>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</si>
  <si>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</si>
  <si>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</si>
  <si>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</si>
  <si>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</si>
  <si>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</si>
  <si>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</si>
  <si>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</si>
  <si>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</si>
  <si>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</si>
  <si>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</si>
  <si>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</si>
  <si>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</si>
  <si>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</si>
  <si>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</si>
  <si>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</si>
  <si>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</si>
  <si>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</si>
  <si>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</si>
  <si>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</si>
  <si>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</si>
  <si>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</si>
  <si>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</si>
  <si>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</si>
  <si>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</si>
  <si>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</si>
  <si>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</si>
  <si>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</si>
  <si>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</si>
  <si>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</si>
  <si>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</si>
  <si>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</si>
  <si>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</si>
  <si>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</si>
  <si>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</si>
  <si>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</si>
  <si>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</si>
  <si>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</si>
  <si>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</si>
  <si>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</si>
  <si>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</si>
  <si>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</si>
  <si>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Posto K</t>
  </si>
  <si>
    <t>Posto L</t>
  </si>
  <si>
    <t>Posto M</t>
  </si>
  <si>
    <t>Posto N</t>
  </si>
  <si>
    <t>Posto O</t>
  </si>
  <si>
    <t>Posto P</t>
  </si>
  <si>
    <t>Posto Q</t>
  </si>
  <si>
    <t>Posto T</t>
  </si>
  <si>
    <t>Posto R</t>
  </si>
  <si>
    <t>Posto S</t>
  </si>
  <si>
    <t>DADOS REFERENTES AOS POSTOS</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</si>
  <si>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</si>
  <si>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</si>
  <si>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</si>
  <si>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</si>
  <si>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</si>
  <si>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</si>
  <si>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</si>
  <si>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</si>
  <si>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</si>
  <si>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</si>
  <si>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</si>
  <si>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</si>
  <si>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</si>
  <si>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</si>
  <si>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</si>
  <si>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</si>
  <si>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</si>
  <si>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</si>
  <si>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</si>
  <si>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</si>
  <si>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</si>
  <si>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</si>
  <si>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</si>
  <si>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</si>
  <si>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</si>
  <si>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</si>
  <si>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</si>
  <si>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</si>
  <si>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</si>
  <si>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</si>
  <si>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</si>
  <si>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</si>
  <si>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</si>
  <si>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</si>
  <si>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</si>
  <si>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</si>
  <si>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</si>
  <si>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</si>
  <si>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</si>
  <si>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</si>
  <si>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</si>
  <si>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</si>
  <si>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</si>
  <si>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</si>
  <si>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</si>
  <si>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</si>
  <si>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</si>
  <si>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</si>
  <si>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</si>
  <si>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</si>
  <si>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</si>
  <si>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</si>
  <si>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</si>
  <si>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</si>
  <si>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</si>
  <si>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</si>
  <si>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</si>
  <si>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</si>
  <si>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</si>
  <si>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</si>
  <si>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</si>
  <si>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</si>
  <si>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</si>
  <si>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</si>
  <si>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</si>
  <si>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</si>
  <si>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</si>
  <si>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</si>
  <si>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</si>
  <si>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</si>
  <si>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</si>
  <si>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</si>
  <si>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</si>
  <si>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</si>
  <si>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</si>
  <si>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</si>
  <si>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</si>
  <si>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</si>
  <si>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</si>
  <si>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</si>
  <si>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</si>
  <si>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</si>
  <si>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</si>
  <si>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</si>
  <si>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Valor Unit. (R$)</t>
  </si>
  <si>
    <t>APITO COM CORDÃO</t>
  </si>
  <si>
    <t>BLAZER EM MICROFIBRA</t>
  </si>
  <si>
    <t>BLUSA/SUETER DECOTE V</t>
  </si>
  <si>
    <t xml:space="preserve">BLUSÃO EM MOLETOM </t>
  </si>
  <si>
    <t xml:space="preserve">CALÇA SOCIAL EM MICROFIBRA </t>
  </si>
  <si>
    <t>CAMISA SOCIAL MANGA CURTA EM ALGODÃO</t>
  </si>
  <si>
    <t>CAMISA SOCIAL MANGA LONGA EM ALGODÃO</t>
  </si>
  <si>
    <t xml:space="preserve">CAMISETA MANGA CURTA EM ALGODÃO </t>
  </si>
  <si>
    <t xml:space="preserve">CAMISETA MANGA LONGA EM ALGODÃO </t>
  </si>
  <si>
    <t>CAPA DE CHUVA MANGA LONGA COM CAPUZ</t>
  </si>
  <si>
    <t>CAPA DE COLETE BALÍSTICO</t>
  </si>
  <si>
    <t>COLETE BALÍSTICO</t>
  </si>
  <si>
    <t>GRAVATA OU LENÇO PARA PESCOÇO</t>
  </si>
  <si>
    <t>JAQUETA PARA CÂMARA FRIA</t>
  </si>
  <si>
    <t>LUVA DE PVC COM FORRO ANTIDERRAPANTE</t>
  </si>
  <si>
    <t>LUVA DE VINIL TRANSPARENTE ATÓXICA</t>
  </si>
  <si>
    <t>LUVA DE PVC CANO LONGO 70 CM</t>
  </si>
  <si>
    <t>LUVA TÉRMICA DE SEGURANÇA</t>
  </si>
  <si>
    <t>MÁSCARA CIRÚRGICA TRIPLA DESCARTÁVEL</t>
  </si>
  <si>
    <t>MÁSCARA FACIAL PFF2  OU N95</t>
  </si>
  <si>
    <t>ÓCULOS DE SEGURANÇA</t>
  </si>
  <si>
    <t>PROTETOR SOLAR COM FPS 50, FRASCO COM 120ML</t>
  </si>
  <si>
    <t>TOUCA DESCARTÁVEL COM ELÁSTICO</t>
  </si>
  <si>
    <t>Peça</t>
  </si>
  <si>
    <t>BINÓCULO</t>
  </si>
  <si>
    <t>CASSETETE PR 24 E SUPORTE</t>
  </si>
  <si>
    <t>Conjunto</t>
  </si>
  <si>
    <t>CONTROLE DIGITAL DE PONTO</t>
  </si>
  <si>
    <t>LANTERNA RECARREGÁVEL 19 LEDS</t>
  </si>
  <si>
    <t>PLACA DE SINALIZAÇÃO DE PISO MOLHADO</t>
  </si>
  <si>
    <t>PLANO DE TELEFONIA (CONTROLE COM LIGAÇÕES ILIMITADAS)</t>
  </si>
  <si>
    <t>TELEFONE CELULAR</t>
  </si>
  <si>
    <t>CINTO DE GUARNIÇÃO COM PORTA CASSETETE</t>
  </si>
  <si>
    <t>Tempo  de substituição intrajornada (minutos)</t>
  </si>
  <si>
    <t>peça</t>
  </si>
  <si>
    <t>AVENTAL DE NAPA</t>
  </si>
  <si>
    <t>AVENTAL EM TERGAL</t>
  </si>
  <si>
    <t xml:space="preserve">AVENTAL IMPERMEÁVEL EM PVC </t>
  </si>
  <si>
    <t>BOTA DE SEGURANÇA EM PVC, CANO ¾ , SOLADO ANTIDERRAPANTE</t>
  </si>
  <si>
    <t>par</t>
  </si>
  <si>
    <t xml:space="preserve">BOTA DE SEGURANÇA EM VAQUETA HIDROFUGADA </t>
  </si>
  <si>
    <t>CALÇADO DE SEGURANÇA HIDROFUGADO</t>
  </si>
  <si>
    <t>CALÇADO SOCIAL</t>
  </si>
  <si>
    <t xml:space="preserve">CALÇA OPERACIONAL EM BRIM </t>
  </si>
  <si>
    <t>CINTO (NYLON/COURO)</t>
  </si>
  <si>
    <t xml:space="preserve">JALECO MANGA CURTA BRANCO EM ALGODÃO </t>
  </si>
  <si>
    <t>JALECO  MANGA LONGA BRANCO EM ALGODÃO</t>
  </si>
  <si>
    <t>JAPONA/JAQUETA</t>
  </si>
  <si>
    <t>LUVA DE RASPA DE COURO/VAQUETA</t>
  </si>
  <si>
    <t>MEIA (ALGODÃO, SOCIAL, FINA 3/4 OU MEIA-CALÇA)</t>
  </si>
  <si>
    <t>frasco</t>
  </si>
  <si>
    <t>SAPATO SOCIAL</t>
  </si>
  <si>
    <t>TOUCA EM TELA DE FILÓ</t>
  </si>
  <si>
    <t>mês</t>
  </si>
  <si>
    <t>LIVRO DE OCORRÊNCIAS</t>
  </si>
  <si>
    <t>MUNIÇÃO CALIBRE .38</t>
  </si>
  <si>
    <t>COLDRE</t>
  </si>
  <si>
    <t>JET LOADER</t>
  </si>
  <si>
    <t>Data base para atualização: 05/12/2025</t>
  </si>
  <si>
    <t>Preços oriundos da planilha 36929258 - Processo 24.0.000078625-6</t>
  </si>
  <si>
    <t>REVÓLVER CALIBRE 38</t>
  </si>
  <si>
    <t>Preços oriundos da planilha 36928703 e 36964364 - Processo 24.0.000078625-6</t>
  </si>
  <si>
    <t>Produtividade mensal da eq. Referência</t>
  </si>
  <si>
    <t>Area total anual (m²)</t>
  </si>
  <si>
    <t>Custo médio mensal</t>
  </si>
  <si>
    <t>Roçada, capina e limpeza de áreas externas</t>
  </si>
  <si>
    <t xml:space="preserve">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Excepciona-se dessa regra o posto de engenheiro, cuja remuneração mínima é regulamentada pela Lei nº 4.950-A/1966, que estabelece piso salarial correspondente a seis salários mínimos para jornada de até 6 (seis) horas diárias.
Importante ressaltar que a planilha de custos é baseada em empregados mensalistas, desse modo consideram-se já remunerados os dias de repouso semanal no salário mensal nos termos do § 2º do art. 7º da Lei 605/1949.
 </t>
  </si>
  <si>
    <t>RS000041/2026</t>
  </si>
  <si>
    <t>Nota de Controle Interno nº 002_2025 - Processo 25.0.000125249-9</t>
  </si>
  <si>
    <t>25h (5 dia/sem)</t>
  </si>
  <si>
    <t>Art. 4º, § único, da Lei nº 7.418/85 e Decreto Municipal nº 23.669/2026, Art. 1º, inciso I.</t>
  </si>
  <si>
    <t xml:space="preserve">CRACHÁ DE IDENTIFICAÇÃO </t>
  </si>
  <si>
    <t>Complementar - motorista</t>
  </si>
  <si>
    <t>Custo totais mensais</t>
  </si>
  <si>
    <t>Custo do pneu</t>
  </si>
  <si>
    <t>Livro ponto</t>
  </si>
  <si>
    <t>Máquina Lavadora de alta pressão (Lava-jato)</t>
  </si>
  <si>
    <t>Aspirador depó e água</t>
  </si>
  <si>
    <t>Extensão elétrica min 30m</t>
  </si>
  <si>
    <t>Escada de abrir - 4metros</t>
  </si>
  <si>
    <t>Placa sinalizadora “piso molhado”</t>
  </si>
  <si>
    <t>13 AUXILIARES</t>
  </si>
  <si>
    <t>2 AUXILIARES (SEDE E CECBJ) E 1 SUPERVISOR</t>
  </si>
  <si>
    <t>SEDE</t>
  </si>
  <si>
    <t>SUPERVISOR</t>
  </si>
  <si>
    <t>26.0.000028116-5</t>
  </si>
  <si>
    <t>Contratação de empresa para a prestação de serviços de limpeza e conservação, com fornecimento de equipamentos, e prestação de serviço de copeiragem, para a Secretaria Municipal da Inclusão e Desenvolvimento Humano.</t>
  </si>
  <si>
    <t>Mês</t>
  </si>
  <si>
    <t>Secretaria Municipal da Inclusão e Desenvolvimento Humano SMIDH</t>
  </si>
  <si>
    <t>Enceradeira</t>
  </si>
  <si>
    <t>Escada de abrir - 3metros</t>
  </si>
  <si>
    <t>Mangueira de PVC, p/ jardim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</si>
</sst>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6">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 numFmtId="205" formatCode="00,000.00\ &quot;m²&quot;"/>
    <numFmt numFmtId="206" formatCode="0.00000000"/>
    <numFmt numFmtId="207" formatCode="_-&quot;R$&quot;\ * #,##0.0000_-;\-&quot;R$&quot;\ * #,##0.0000_-;_-&quot;R$&quot;\ * &quot;-&quot;????_-;_-@_-"/>
  </numFmts>
  <fonts count="47">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
      <sz val="11"/>
      <name val="Calibri"/>
      <family val="2"/>
      <charset val="1"/>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98">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right/>
      <top style="hair">
        <color indexed="64"/>
      </top>
      <bottom/>
      <diagonal/>
    </border>
  </borders>
  <cellStyleXfs count="226">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3" fontId="3" fillId="0" borderId="0" applyFill="0" applyBorder="0" applyAlignment="0" applyProtection="0"/>
    <xf numFmtId="43" fontId="1" fillId="0" borderId="0" applyFont="0" applyFill="0" applyBorder="0" applyAlignment="0" applyProtection="0"/>
    <xf numFmtId="43" fontId="12"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2"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cellStyleXfs>
  <cellXfs count="887">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202" fontId="0" fillId="0" borderId="0" xfId="0" applyNumberFormat="1" applyProtection="1">
      <protection locked="0"/>
    </xf>
    <xf numFmtId="203" fontId="0" fillId="0" borderId="0" xfId="0" applyNumberFormat="1" applyProtection="1">
      <protection locked="0"/>
    </xf>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0" fontId="41" fillId="0" borderId="66"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203" fontId="0" fillId="0" borderId="0" xfId="2" applyNumberFormat="1" applyFont="1" applyAlignment="1" applyProtection="1">
      <alignment vertical="center"/>
      <protection locked="0"/>
    </xf>
    <xf numFmtId="4" fontId="0" fillId="0" borderId="0" xfId="0" applyNumberFormat="1"/>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3" xfId="0" applyBorder="1"/>
    <xf numFmtId="0" fontId="0" fillId="0" borderId="85" xfId="0" applyBorder="1"/>
    <xf numFmtId="10" fontId="0" fillId="0" borderId="86" xfId="3" applyNumberFormat="1" applyFont="1" applyBorder="1"/>
    <xf numFmtId="0" fontId="0" fillId="0" borderId="88" xfId="0" applyBorder="1"/>
    <xf numFmtId="0" fontId="0" fillId="0" borderId="89" xfId="0" applyBorder="1"/>
    <xf numFmtId="44" fontId="0" fillId="0" borderId="94" xfId="0" applyNumberFormat="1" applyBorder="1"/>
    <xf numFmtId="44" fontId="0" fillId="0" borderId="95" xfId="0" applyNumberFormat="1" applyBorder="1"/>
    <xf numFmtId="44" fontId="0" fillId="0" borderId="87" xfId="0" applyNumberFormat="1" applyBorder="1"/>
    <xf numFmtId="0" fontId="0" fillId="0" borderId="84" xfId="0" applyBorder="1"/>
    <xf numFmtId="0" fontId="0" fillId="0" borderId="82"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90" xfId="0" applyFont="1" applyFill="1" applyBorder="1" applyAlignment="1">
      <alignment vertical="center"/>
    </xf>
    <xf numFmtId="0" fontId="11" fillId="40" borderId="91" xfId="0" applyFont="1" applyFill="1" applyBorder="1" applyAlignment="1">
      <alignment vertical="center"/>
    </xf>
    <xf numFmtId="0" fontId="11" fillId="40" borderId="86" xfId="0" applyFont="1" applyFill="1" applyBorder="1" applyAlignment="1">
      <alignment vertical="center"/>
    </xf>
    <xf numFmtId="0" fontId="11" fillId="40" borderId="87" xfId="0" applyFont="1" applyFill="1" applyBorder="1" applyAlignment="1">
      <alignment vertical="center"/>
    </xf>
    <xf numFmtId="0" fontId="11" fillId="40" borderId="85" xfId="0" applyFont="1" applyFill="1" applyBorder="1" applyAlignment="1">
      <alignment vertical="center"/>
    </xf>
    <xf numFmtId="10" fontId="0" fillId="0" borderId="92" xfId="0" applyNumberFormat="1" applyBorder="1"/>
    <xf numFmtId="10" fontId="0" fillId="0" borderId="93" xfId="0" applyNumberFormat="1" applyBorder="1"/>
    <xf numFmtId="0" fontId="11" fillId="40" borderId="89" xfId="0" applyFont="1" applyFill="1" applyBorder="1" applyAlignment="1">
      <alignment vertical="center"/>
    </xf>
    <xf numFmtId="44" fontId="11" fillId="40" borderId="89" xfId="0" applyNumberFormat="1" applyFont="1" applyFill="1" applyBorder="1" applyAlignment="1">
      <alignment vertical="center"/>
    </xf>
    <xf numFmtId="10" fontId="11" fillId="40" borderId="92"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96"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9" fontId="11" fillId="40" borderId="87" xfId="3" applyFont="1" applyFill="1" applyBorder="1" applyAlignment="1">
      <alignment vertical="center"/>
    </xf>
    <xf numFmtId="9" fontId="0" fillId="0" borderId="0" xfId="3" applyFont="1"/>
    <xf numFmtId="9" fontId="0" fillId="0" borderId="83" xfId="3" applyFont="1" applyBorder="1"/>
    <xf numFmtId="205" fontId="6" fillId="0" borderId="10" xfId="0" applyNumberFormat="1" applyFont="1" applyBorder="1" applyAlignment="1" applyProtection="1">
      <alignment horizontal="center" vertical="center"/>
      <protection locked="0"/>
    </xf>
    <xf numFmtId="194" fontId="0" fillId="0" borderId="10" xfId="2" applyNumberFormat="1" applyFont="1" applyFill="1" applyBorder="1" applyAlignment="1" applyProtection="1">
      <alignment vertical="center" wrapText="1"/>
      <protection locked="0"/>
    </xf>
    <xf numFmtId="194" fontId="0" fillId="5" borderId="97" xfId="2" applyNumberFormat="1" applyFont="1" applyFill="1" applyBorder="1" applyAlignment="1" applyProtection="1">
      <alignment vertical="center" wrapText="1"/>
      <protection locked="0"/>
    </xf>
    <xf numFmtId="0" fontId="41" fillId="5" borderId="66" xfId="0" applyFont="1" applyFill="1" applyBorder="1"/>
    <xf numFmtId="0" fontId="41" fillId="5" borderId="50" xfId="0" applyFont="1" applyFill="1" applyBorder="1"/>
    <xf numFmtId="44" fontId="0" fillId="5" borderId="66" xfId="2" applyFont="1" applyFill="1" applyBorder="1" applyAlignment="1">
      <alignment horizontal="center" vertical="center" wrapText="1"/>
    </xf>
    <xf numFmtId="44" fontId="0" fillId="5" borderId="50" xfId="2" applyFont="1" applyFill="1" applyBorder="1"/>
    <xf numFmtId="206" fontId="1" fillId="0" borderId="38" xfId="18" applyNumberFormat="1" applyFill="1" applyBorder="1" applyAlignment="1">
      <alignment horizontal="center" vertical="center"/>
    </xf>
    <xf numFmtId="44" fontId="6" fillId="0" borderId="11" xfId="2" applyFont="1" applyBorder="1" applyAlignment="1" applyProtection="1">
      <alignment horizontal="center" vertical="center" wrapText="1"/>
      <protection locked="0"/>
    </xf>
    <xf numFmtId="200" fontId="0" fillId="0" borderId="0" xfId="0" applyNumberFormat="1"/>
    <xf numFmtId="207" fontId="0" fillId="0" borderId="0" xfId="0" applyNumberFormat="1"/>
    <xf numFmtId="44" fontId="0" fillId="0" borderId="0" xfId="2" applyFont="1" applyBorder="1" applyAlignment="1">
      <alignment horizontal="center"/>
    </xf>
    <xf numFmtId="44" fontId="0" fillId="0" borderId="1" xfId="2" applyFont="1" applyBorder="1" applyAlignment="1">
      <alignment horizontal="center"/>
    </xf>
    <xf numFmtId="44" fontId="1" fillId="0" borderId="0" xfId="2" applyFont="1" applyBorder="1" applyProtection="1"/>
    <xf numFmtId="44" fontId="6" fillId="0" borderId="1" xfId="2" applyFont="1" applyBorder="1" applyProtection="1"/>
    <xf numFmtId="44" fontId="0" fillId="0" borderId="76" xfId="2" applyFont="1" applyBorder="1" applyProtection="1"/>
    <xf numFmtId="44" fontId="0" fillId="0" borderId="75" xfId="2" applyFont="1" applyBorder="1" applyProtection="1"/>
    <xf numFmtId="44" fontId="0" fillId="0" borderId="0" xfId="2" applyFont="1" applyBorder="1"/>
    <xf numFmtId="44" fontId="6" fillId="0" borderId="8" xfId="2" applyFont="1" applyBorder="1" applyProtection="1"/>
    <xf numFmtId="44" fontId="6" fillId="0" borderId="11" xfId="2" applyFont="1" applyBorder="1" applyProtection="1"/>
    <xf numFmtId="44" fontId="0" fillId="0" borderId="0" xfId="0" applyNumberFormat="1"/>
    <xf numFmtId="44" fontId="7" fillId="0" borderId="38" xfId="2" applyFont="1" applyFill="1" applyBorder="1" applyAlignment="1" applyProtection="1">
      <alignment horizontal="center"/>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46" fillId="0" borderId="38" xfId="6" applyFont="1" applyBorder="1" applyAlignment="1" applyProtection="1">
      <alignment horizontal="left" vertical="center"/>
      <protection locked="0"/>
    </xf>
    <xf numFmtId="0" fontId="7" fillId="5" borderId="38" xfId="6" applyFont="1" applyFill="1" applyBorder="1" applyProtection="1">
      <protection locked="0"/>
    </xf>
    <xf numFmtId="0" fontId="6" fillId="0" borderId="76" xfId="0" applyFont="1" applyBorder="1" applyAlignment="1" applyProtection="1">
      <alignment horizontal="center" vertical="center" wrapText="1"/>
      <protection locked="0"/>
    </xf>
    <xf numFmtId="194" fontId="0" fillId="5" borderId="97" xfId="2" applyNumberFormat="1" applyFont="1" applyFill="1" applyBorder="1" applyAlignment="1" applyProtection="1">
      <alignment horizontal="center" vertical="center" wrapText="1"/>
      <protection locked="0"/>
    </xf>
    <xf numFmtId="194" fontId="0" fillId="0" borderId="10" xfId="2" applyNumberFormat="1" applyFont="1" applyFill="1" applyBorder="1" applyAlignment="1" applyProtection="1">
      <alignment horizontal="center" vertical="center" wrapText="1"/>
      <protection locked="0"/>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49" fontId="7" fillId="0" borderId="52" xfId="0" applyNumberFormat="1" applyFont="1" applyBorder="1" applyAlignment="1" applyProtection="1">
      <alignment horizontal="center"/>
      <protection locked="0"/>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52" xfId="0" applyFont="1" applyBorder="1" applyAlignment="1">
      <alignment horizontal="left" vertical="center"/>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76" xfId="0" applyFont="1" applyBorder="1" applyAlignment="1">
      <alignment horizontal="left"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cellXfs>
  <cellStyles count="226">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0 2" xfId="216" xr:uid="{FC95278B-678E-4900-A367-DEFDDA82D7BC}"/>
    <cellStyle name="Moeda 11" xfId="49" xr:uid="{00000000-0005-0000-0000-000036000000}"/>
    <cellStyle name="Moeda 11 2" xfId="184" xr:uid="{B9D28C15-85F2-43A7-916F-23463ED34EE8}"/>
    <cellStyle name="Moeda 12" xfId="166" xr:uid="{00000000-0005-0000-0000-000037000000}"/>
    <cellStyle name="Moeda 13" xfId="175" xr:uid="{B6CCFDF5-A02A-4AAB-9FD4-9344EDAF687D}"/>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6 2" xfId="222" xr:uid="{A22FEE9C-B557-4921-ABEA-0E63B6028E46}"/>
    <cellStyle name="Moeda 2 7" xfId="158" xr:uid="{00000000-0005-0000-0000-00003E000000}"/>
    <cellStyle name="Moeda 2 7 2" xfId="219" xr:uid="{7AF535A7-E9E8-45A4-91AC-EE06D912382D}"/>
    <cellStyle name="Moeda 2 8" xfId="177" xr:uid="{2168C484-116F-47F2-BFEF-D9D97A5FDA07}"/>
    <cellStyle name="Moeda 3" xfId="25" xr:uid="{00000000-0005-0000-0000-00003F000000}"/>
    <cellStyle name="Moeda 3 2" xfId="46" xr:uid="{00000000-0005-0000-0000-000040000000}"/>
    <cellStyle name="Moeda 3 2 2" xfId="101" xr:uid="{00000000-0005-0000-0000-000041000000}"/>
    <cellStyle name="Moeda 3 2 2 2" xfId="204" xr:uid="{D7947227-2D9C-4722-ACB3-C08101C77A51}"/>
    <cellStyle name="Moeda 3 2 3" xfId="57" xr:uid="{00000000-0005-0000-0000-000042000000}"/>
    <cellStyle name="Moeda 3 2 3 2" xfId="186" xr:uid="{84E263DC-4F60-40E8-9583-D398E7BE614A}"/>
    <cellStyle name="Moeda 3 3" xfId="92" xr:uid="{00000000-0005-0000-0000-000043000000}"/>
    <cellStyle name="Moeda 3 4" xfId="103" xr:uid="{00000000-0005-0000-0000-000044000000}"/>
    <cellStyle name="Moeda 3 4 2" xfId="205" xr:uid="{2706019A-5972-4CC7-B2D2-49DBE5BF2900}"/>
    <cellStyle name="Moeda 3 5" xfId="64" xr:uid="{00000000-0005-0000-0000-000045000000}"/>
    <cellStyle name="Moeda 3 5 2" xfId="188" xr:uid="{ACA1E484-CFF2-463A-8CCF-ADE6FB4EFC6C}"/>
    <cellStyle name="Moeda 3 6" xfId="180" xr:uid="{73BD2CF2-C48E-4042-B029-0D1E16E8CA3C}"/>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8 2 2" xfId="215" xr:uid="{C0F937A0-3D01-41D8-B136-D3021CC822D8}"/>
    <cellStyle name="Moeda 8 3" xfId="198" xr:uid="{710A45A4-F635-4B20-AA40-9D2EB2B6C345}"/>
    <cellStyle name="Moeda 9" xfId="98" xr:uid="{00000000-0005-0000-0000-00004F000000}"/>
    <cellStyle name="Moeda 9 2" xfId="202" xr:uid="{626F6EAE-B312-4A28-97ED-4DF98FE26FD7}"/>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2 2 2" xfId="225" xr:uid="{009FC950-592B-42A0-AECD-8CB39A38E8ED}"/>
    <cellStyle name="Separador de milhares 2 3" xfId="168" xr:uid="{00000000-0005-0000-0000-00007E000000}"/>
    <cellStyle name="Separador de milhares 2 3 2" xfId="224" xr:uid="{D525E65D-0872-4D8D-92B7-68884952F1DB}"/>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2 2 2" xfId="214" xr:uid="{1A279842-7143-4164-B5FD-0E8D86B8A43F}"/>
    <cellStyle name="Separador de milhares 3 2 3" xfId="197" xr:uid="{83D34C80-C8A3-4B2D-94B1-4EA7F3A6A9E3}"/>
    <cellStyle name="Separador de milhares 3 3" xfId="76" xr:uid="{00000000-0005-0000-0000-000082000000}"/>
    <cellStyle name="Separador de milhares 3 3 2" xfId="105" xr:uid="{00000000-0005-0000-0000-000083000000}"/>
    <cellStyle name="Separador de milhares 3 3 2 2" xfId="206" xr:uid="{9B233C0A-7336-4EC6-8231-EAE47967AD13}"/>
    <cellStyle name="Separador de milhares 3 3 3" xfId="189" xr:uid="{E99EF686-F991-4B9A-9901-EF439D9E84E9}"/>
    <cellStyle name="Separador de milhares 3 4" xfId="97" xr:uid="{00000000-0005-0000-0000-000084000000}"/>
    <cellStyle name="Separador de milhares 3 4 2" xfId="201" xr:uid="{08B9B16E-F927-421C-9D83-C00C5A12F4FF}"/>
    <cellStyle name="Separador de milhares 3 5" xfId="183" xr:uid="{DA206ABD-8F86-4B24-B3DA-C7FCB0D738F3}"/>
    <cellStyle name="Separador de milhares 4" xfId="77" xr:uid="{00000000-0005-0000-0000-000085000000}"/>
    <cellStyle name="Separador de milhares 4 2" xfId="106" xr:uid="{00000000-0005-0000-0000-000086000000}"/>
    <cellStyle name="Separador de milhares 4 2 2" xfId="207" xr:uid="{0DB4632B-852F-496C-AD13-3BD776B8F439}"/>
    <cellStyle name="Separador de milhares 4 3" xfId="190" xr:uid="{18C6D060-33CA-45EE-8ACE-246BEA59A022}"/>
    <cellStyle name="Separador de milhares 5" xfId="78" xr:uid="{00000000-0005-0000-0000-000087000000}"/>
    <cellStyle name="Separador de milhares 5 2" xfId="107" xr:uid="{00000000-0005-0000-0000-000088000000}"/>
    <cellStyle name="Separador de milhares 5 2 2" xfId="208" xr:uid="{795E96DC-486B-4276-8405-48B39F58FB90}"/>
    <cellStyle name="Separador de milhares 5 3" xfId="191" xr:uid="{5D796B2F-C91D-49C1-B606-EF1981919B63}"/>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10 2" xfId="199" xr:uid="{4C5BBBE8-7827-407E-AC17-A20E61E49683}"/>
    <cellStyle name="Vírgula 11" xfId="174" xr:uid="{E7ADDB22-0AA6-4370-9567-E4336D2F086B}"/>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2 2 2" xfId="217" xr:uid="{D0584157-2D0A-4D6F-8570-8E3E85800906}"/>
    <cellStyle name="Vírgula 2 2 3" xfId="62" xr:uid="{00000000-0005-0000-0000-000098000000}"/>
    <cellStyle name="Vírgula 2 2 3 2" xfId="187" xr:uid="{238F60E0-B749-428E-B59B-A2ADE4BC931E}"/>
    <cellStyle name="Vírgula 2 2 4" xfId="163" xr:uid="{00000000-0005-0000-0000-000099000000}"/>
    <cellStyle name="Vírgula 2 2 4 2" xfId="223" xr:uid="{81055C5F-EEC2-4CBD-90A3-69B6079DE7CA}"/>
    <cellStyle name="Vírgula 2 2 5" xfId="159" xr:uid="{00000000-0005-0000-0000-00009A000000}"/>
    <cellStyle name="Vírgula 2 2 5 2" xfId="220" xr:uid="{B61E7302-1FD7-4CE0-BCDE-DA95D55FE028}"/>
    <cellStyle name="Vírgula 2 2 6" xfId="178" xr:uid="{FA9A8F99-CC1D-4FE3-9F32-767430552E33}"/>
    <cellStyle name="Vírgula 2 3" xfId="108" xr:uid="{00000000-0005-0000-0000-00009B000000}"/>
    <cellStyle name="Vírgula 2 3 2" xfId="209" xr:uid="{97AD11E6-448D-4937-A40E-B4E7BC2B443F}"/>
    <cellStyle name="Vírgula 2 4" xfId="82" xr:uid="{00000000-0005-0000-0000-00009C000000}"/>
    <cellStyle name="Vírgula 2 4 2" xfId="192" xr:uid="{F0F58EBF-D0AD-458D-AA02-9E275C432ACC}"/>
    <cellStyle name="Vírgula 2 5" xfId="161" xr:uid="{00000000-0005-0000-0000-00009D000000}"/>
    <cellStyle name="Vírgula 2 5 2" xfId="221" xr:uid="{5532F5F1-5547-4511-A339-F525B63BAD5F}"/>
    <cellStyle name="Vírgula 2 6" xfId="157" xr:uid="{00000000-0005-0000-0000-00009E000000}"/>
    <cellStyle name="Vírgula 2 6 2" xfId="218" xr:uid="{53C14F17-57E4-4FBA-A372-40602AC74BF1}"/>
    <cellStyle name="Vírgula 2 7" xfId="176" xr:uid="{7C920ACA-9B4C-4F53-A94E-20C660000D77}"/>
    <cellStyle name="Vírgula 3" xfId="23" xr:uid="{00000000-0005-0000-0000-00009F000000}"/>
    <cellStyle name="Vírgula 3 2" xfId="109" xr:uid="{00000000-0005-0000-0000-0000A0000000}"/>
    <cellStyle name="Vírgula 3 2 2" xfId="210" xr:uid="{FA40ABD2-177D-4B95-AB26-B836B7200C40}"/>
    <cellStyle name="Vírgula 3 3" xfId="83" xr:uid="{00000000-0005-0000-0000-0000A1000000}"/>
    <cellStyle name="Vírgula 3 3 2" xfId="193" xr:uid="{8C5B5F0B-58C4-4E06-A6EC-29FFADA51DD8}"/>
    <cellStyle name="Vírgula 3 4" xfId="179" xr:uid="{76AE5387-6D3C-46D9-A7B9-119D5F2201C4}"/>
    <cellStyle name="Vírgula 4" xfId="28" xr:uid="{00000000-0005-0000-0000-0000A2000000}"/>
    <cellStyle name="Vírgula 4 2" xfId="110" xr:uid="{00000000-0005-0000-0000-0000A3000000}"/>
    <cellStyle name="Vírgula 4 2 2" xfId="211" xr:uid="{656B1B07-A9B9-4C12-9A35-D050409B8F8B}"/>
    <cellStyle name="Vírgula 4 3" xfId="84" xr:uid="{00000000-0005-0000-0000-0000A4000000}"/>
    <cellStyle name="Vírgula 4 3 2" xfId="194" xr:uid="{703326CE-66F3-4B4B-BFEB-6BB9E046FD81}"/>
    <cellStyle name="Vírgula 4 4" xfId="181" xr:uid="{F838A0D2-2310-43C4-B4BE-DC226FD44BE1}"/>
    <cellStyle name="Vírgula 5" xfId="31" xr:uid="{00000000-0005-0000-0000-0000A5000000}"/>
    <cellStyle name="Vírgula 5 2" xfId="111" xr:uid="{00000000-0005-0000-0000-0000A6000000}"/>
    <cellStyle name="Vírgula 5 2 2" xfId="212" xr:uid="{17C2CB02-7379-43F5-AE06-082DC396076E}"/>
    <cellStyle name="Vírgula 5 3" xfId="85" xr:uid="{00000000-0005-0000-0000-0000A7000000}"/>
    <cellStyle name="Vírgula 5 3 2" xfId="195" xr:uid="{7FB0515F-B10E-48F4-8AF0-28F070E75116}"/>
    <cellStyle name="Vírgula 6" xfId="86" xr:uid="{00000000-0005-0000-0000-0000A8000000}"/>
    <cellStyle name="Vírgula 6 2" xfId="112" xr:uid="{00000000-0005-0000-0000-0000A9000000}"/>
    <cellStyle name="Vírgula 6 2 2" xfId="213" xr:uid="{22337C09-3B70-4477-A799-5EF356B75A5C}"/>
    <cellStyle name="Vírgula 6 3" xfId="196" xr:uid="{E7CB8DDE-679E-4C28-87F8-E7FFCD4316E5}"/>
    <cellStyle name="Vírgula 7" xfId="55" xr:uid="{00000000-0005-0000-0000-0000AA000000}"/>
    <cellStyle name="Vírgula 7 2" xfId="100" xr:uid="{00000000-0005-0000-0000-0000AB000000}"/>
    <cellStyle name="Vírgula 7 2 2" xfId="203" xr:uid="{4027D7B5-3A65-4451-B254-EF794A6E0511}"/>
    <cellStyle name="Vírgula 7 3" xfId="185" xr:uid="{4F4D9968-8C7F-4B78-8CD8-1374475DFEDC}"/>
    <cellStyle name="Vírgula 8" xfId="96" xr:uid="{00000000-0005-0000-0000-0000AC000000}"/>
    <cellStyle name="Vírgula 8 2" xfId="200" xr:uid="{4FA725CB-7040-404A-815D-AFAA00CB06F5}"/>
    <cellStyle name="Vírgula 9" xfId="47" xr:uid="{00000000-0005-0000-0000-0000AD000000}"/>
    <cellStyle name="Vírgula 9 2" xfId="182" xr:uid="{0E71FDFD-3192-4C19-8EDF-9628ACA84D2B}"/>
  </cellStyles>
  <dxfs count="37">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horizontal/>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338038</xdr:colOff>
          <xdr:row>3</xdr:row>
          <xdr:rowOff>768</xdr:rowOff>
        </xdr:from>
        <xdr:to>
          <xdr:col>6</xdr:col>
          <xdr:colOff>1107160</xdr:colOff>
          <xdr:row>10</xdr:row>
          <xdr:rowOff>117293</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53138" y="1105668"/>
              <a:ext cx="1912122" cy="1459550"/>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mpa-fs3\smf-celic$\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mpa-fs3\smf-celic$\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44" totalsRowShown="0" headerRowDxfId="36" headerRowBorderDxfId="35" tableBorderDxfId="34" totalsRowBorderDxfId="33">
  <autoFilter ref="A1:D44" xr:uid="{D57D3FC6-7EC9-4C5D-A939-BF7C2F66DE85}"/>
  <tableColumns count="4">
    <tableColumn id="3" xr3:uid="{D3336994-4591-4036-A9E5-4C1789AF1A76}" name="Especificação do Objeto" dataDxfId="32"/>
    <tableColumn id="4" xr3:uid="{47AC3AEE-7FC1-40CF-9DCB-3E5A0127214F}" name="Unidade" dataDxfId="31"/>
    <tableColumn id="6" xr3:uid="{C8170DE8-D38F-4FC8-9805-18FF8F0629D3}" name="Valor Unit. (R$)" dataDxfId="30"/>
    <tableColumn id="2" xr3:uid="{CB642EE7-9EA0-4715-B47C-97DDB8E42155}" name="Taxa de depreciação anual" dataDxfId="29" dataCellStyle="Porcentagem"/>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D22" totalsRowShown="0" headerRowDxfId="28" headerRowBorderDxfId="27">
  <autoFilter ref="A1:D22" xr:uid="{7B1027DC-9440-4644-802A-7768442B0A4F}"/>
  <tableColumns count="4">
    <tableColumn id="1" xr3:uid="{7A7B7147-EEF6-4F1F-9C33-DE268660E09E}" name="Especificação do Objeto" dataDxfId="26"/>
    <tableColumn id="2" xr3:uid="{DCB29A08-AA4F-4418-8B57-E8827E7844D5}" name="Unidade" dataDxfId="25"/>
    <tableColumn id="4" xr3:uid="{82247A25-14F8-4D85-B0EB-2C189047A3F8}" name="Valor Unit. (R$)" dataDxfId="24"/>
    <tableColumn id="5" xr3:uid="{AA891141-58FC-4090-8721-81C4D2B22EE1}" name="Taxa de depreciação anual" dataDxfId="23"/>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drawing" Target="../drawings/drawing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2.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printerSettings" Target="../printerSettings/printerSettings1.bin"/><Relationship Id="rId25" Type="http://schemas.openxmlformats.org/officeDocument/2006/relationships/comments" Target="../comments1.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ctrlProp" Target="../ctrlProps/ctrlProp1.x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5.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4.xml"/><Relationship Id="rId10" Type="http://schemas.openxmlformats.org/officeDocument/2006/relationships/hyperlink" Target="http://www3.mte.gov.br/sistemas/mediador/ConsultarInstColetivo" TargetMode="External"/><Relationship Id="rId19" Type="http://schemas.openxmlformats.org/officeDocument/2006/relationships/vmlDrawing" Target="../drawings/vmlDrawing1.v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90"/>
  <sheetViews>
    <sheetView showGridLines="0" topLeftCell="A22" zoomScaleNormal="100" workbookViewId="0">
      <selection activeCell="D9" sqref="D9:E9"/>
    </sheetView>
  </sheetViews>
  <sheetFormatPr defaultColWidth="9.140625" defaultRowHeight="15"/>
  <cols>
    <col min="1" max="1" width="2.140625" style="1" customWidth="1"/>
    <col min="2" max="2" width="4.28515625" style="83" customWidth="1"/>
    <col min="3" max="3" width="57.140625" style="9" customWidth="1"/>
    <col min="4" max="4" width="17.140625" style="10" customWidth="1"/>
    <col min="5" max="5" width="17" style="9" customWidth="1"/>
    <col min="6" max="8" width="17.140625" style="1" customWidth="1"/>
    <col min="9" max="9" width="17.140625" style="1" hidden="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7"/>
      <c r="B1" s="82"/>
      <c r="C1" s="48"/>
      <c r="D1" s="48"/>
      <c r="E1" s="48"/>
      <c r="F1" s="48"/>
      <c r="G1" s="48"/>
      <c r="H1" s="48"/>
      <c r="I1" s="48"/>
      <c r="J1" s="48"/>
      <c r="K1" s="48"/>
      <c r="L1" s="48"/>
      <c r="M1" s="48"/>
      <c r="N1" s="48"/>
      <c r="O1" s="48"/>
      <c r="P1" s="48"/>
      <c r="Q1" s="48"/>
      <c r="R1" s="48"/>
      <c r="S1" s="48"/>
      <c r="T1" s="48"/>
      <c r="U1" s="48"/>
      <c r="V1" s="48"/>
      <c r="W1" s="48"/>
      <c r="X1" s="48"/>
    </row>
    <row r="2" spans="1:24" customFormat="1" ht="57" customHeight="1">
      <c r="A2" s="842" t="str">
        <f>CONCATENATE("PREFEITURA MUNICIPAL DE PORTO ALEGRE
",D5,"
FORMAÇÃO DE PREÇOS DE REFERÊNCIA - CESSÃO DE MÃO DE OBRA")</f>
        <v>PREFEITURA MUNICIPAL DE PORTO ALEGRE
Secretaria Municipal da Inclusão e Desenvolvimento Humano SMIDH
FORMAÇÃO DE PREÇOS DE REFERÊNCIA - CESSÃO DE MÃO DE OBRA</v>
      </c>
      <c r="B2" s="843"/>
      <c r="C2" s="843"/>
      <c r="D2" s="843"/>
      <c r="E2" s="843"/>
      <c r="F2" s="843"/>
      <c r="G2" s="843"/>
      <c r="H2" s="843"/>
      <c r="I2" s="844"/>
      <c r="J2" s="42"/>
      <c r="K2" s="42"/>
      <c r="L2" s="42"/>
      <c r="M2" s="42"/>
      <c r="N2" s="42"/>
      <c r="O2" s="42"/>
      <c r="P2" s="42"/>
      <c r="Q2" s="42"/>
      <c r="R2" s="42"/>
      <c r="S2" s="42"/>
      <c r="T2" s="42"/>
      <c r="U2" s="42"/>
      <c r="V2" s="42"/>
      <c r="W2" s="42"/>
      <c r="X2" s="42"/>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89"/>
      <c r="C4" s="90" t="s">
        <v>180</v>
      </c>
      <c r="D4" s="126"/>
      <c r="E4" s="118"/>
      <c r="G4" s="11"/>
      <c r="H4" s="11"/>
      <c r="I4" s="11"/>
      <c r="J4" s="11"/>
      <c r="K4" s="11"/>
      <c r="L4" s="11"/>
      <c r="M4" s="11"/>
      <c r="N4" s="11"/>
      <c r="O4" s="11"/>
      <c r="P4" s="11"/>
      <c r="Q4" s="11"/>
      <c r="R4" s="11"/>
      <c r="S4" s="11"/>
      <c r="T4" s="11"/>
      <c r="U4" s="11"/>
      <c r="V4" s="11"/>
      <c r="W4" s="11"/>
      <c r="X4" s="11"/>
    </row>
    <row r="5" spans="1:24" customFormat="1" ht="15.75" customHeight="1">
      <c r="A5" s="1"/>
      <c r="B5" s="116" t="s">
        <v>2</v>
      </c>
      <c r="C5" s="117" t="s">
        <v>247</v>
      </c>
      <c r="D5" s="846" t="s">
        <v>750</v>
      </c>
      <c r="E5" s="846"/>
      <c r="F5" s="1"/>
      <c r="G5" s="49"/>
      <c r="H5" s="50">
        <v>1</v>
      </c>
      <c r="I5" s="50">
        <v>4</v>
      </c>
      <c r="J5" s="50">
        <v>5</v>
      </c>
      <c r="K5" s="50">
        <v>6</v>
      </c>
      <c r="L5" s="50">
        <v>7</v>
      </c>
      <c r="M5" s="50">
        <v>8</v>
      </c>
      <c r="N5" s="50">
        <v>9</v>
      </c>
      <c r="O5" s="50">
        <v>10</v>
      </c>
      <c r="P5" s="50">
        <v>11</v>
      </c>
      <c r="Q5" s="50">
        <v>12</v>
      </c>
      <c r="R5" s="50">
        <v>13</v>
      </c>
      <c r="S5" s="50">
        <v>14</v>
      </c>
      <c r="T5" s="50">
        <v>15</v>
      </c>
      <c r="U5" s="50">
        <v>16</v>
      </c>
      <c r="V5" s="50">
        <v>17</v>
      </c>
      <c r="W5" s="50">
        <v>18</v>
      </c>
      <c r="X5" s="50">
        <v>19</v>
      </c>
    </row>
    <row r="6" spans="1:24" customFormat="1">
      <c r="A6" s="1"/>
      <c r="B6" s="115" t="s">
        <v>1</v>
      </c>
      <c r="C6" s="117" t="s">
        <v>183</v>
      </c>
      <c r="D6" s="847"/>
      <c r="E6" s="847"/>
      <c r="F6" s="1"/>
      <c r="G6" s="22"/>
      <c r="H6" s="69"/>
      <c r="I6" s="69"/>
      <c r="J6" s="69"/>
      <c r="K6" s="69"/>
      <c r="L6" s="69"/>
      <c r="M6" s="69"/>
      <c r="N6" s="69"/>
      <c r="O6" s="69"/>
      <c r="P6" s="69"/>
      <c r="Q6" s="69"/>
      <c r="R6" s="69"/>
      <c r="S6" s="69"/>
      <c r="T6" s="69"/>
      <c r="U6" s="69"/>
      <c r="V6" s="69"/>
      <c r="W6" s="69"/>
      <c r="X6" s="69"/>
    </row>
    <row r="7" spans="1:24" customFormat="1">
      <c r="A7" s="1"/>
      <c r="B7" s="116" t="s">
        <v>0</v>
      </c>
      <c r="C7" s="117" t="s">
        <v>182</v>
      </c>
      <c r="D7" s="847" t="s">
        <v>747</v>
      </c>
      <c r="E7" s="847"/>
      <c r="F7" s="1"/>
      <c r="G7" s="22"/>
      <c r="H7" s="69"/>
      <c r="I7" s="69"/>
      <c r="J7" s="69"/>
      <c r="K7" s="69"/>
      <c r="L7" s="69"/>
      <c r="M7" s="69"/>
      <c r="N7" s="69"/>
      <c r="O7" s="69"/>
      <c r="P7" s="69"/>
      <c r="Q7" s="69"/>
      <c r="R7" s="69"/>
      <c r="S7" s="69"/>
      <c r="T7" s="69"/>
      <c r="U7" s="69"/>
      <c r="V7" s="69"/>
      <c r="W7" s="69"/>
      <c r="X7" s="69"/>
    </row>
    <row r="8" spans="1:24" customFormat="1">
      <c r="A8" s="1"/>
      <c r="B8" s="115" t="s">
        <v>3</v>
      </c>
      <c r="C8" s="117" t="s">
        <v>181</v>
      </c>
      <c r="D8" s="846" t="s">
        <v>748</v>
      </c>
      <c r="E8" s="846"/>
      <c r="F8" s="1"/>
      <c r="G8" s="70"/>
      <c r="H8" s="69"/>
      <c r="I8" s="69"/>
      <c r="J8" s="69"/>
      <c r="K8" s="69"/>
      <c r="L8" s="69"/>
      <c r="M8" s="69"/>
      <c r="N8" s="69"/>
      <c r="O8" s="69"/>
      <c r="P8" s="69"/>
      <c r="Q8" s="69"/>
      <c r="R8" s="69"/>
      <c r="S8" s="69"/>
      <c r="T8" s="69"/>
      <c r="U8" s="69"/>
      <c r="V8" s="69"/>
      <c r="W8" s="69"/>
      <c r="X8" s="69"/>
    </row>
    <row r="9" spans="1:24" customFormat="1">
      <c r="B9" s="116" t="s">
        <v>7</v>
      </c>
      <c r="C9" s="117" t="s">
        <v>460</v>
      </c>
      <c r="D9" s="845"/>
      <c r="E9" s="845"/>
      <c r="F9" s="1"/>
    </row>
    <row r="10" spans="1:24" customFormat="1">
      <c r="A10" s="1"/>
      <c r="B10" s="115" t="s">
        <v>6</v>
      </c>
      <c r="C10" s="9" t="s">
        <v>461</v>
      </c>
      <c r="D10" s="823">
        <v>46206</v>
      </c>
      <c r="E10" s="823"/>
      <c r="F10" s="1"/>
      <c r="G10" s="1"/>
    </row>
    <row r="11" spans="1:24" customFormat="1">
      <c r="A11" s="1"/>
      <c r="B11" s="115" t="s">
        <v>5</v>
      </c>
      <c r="C11" s="117" t="s">
        <v>444</v>
      </c>
      <c r="D11" s="824" t="s">
        <v>749</v>
      </c>
      <c r="E11" s="824"/>
      <c r="F11" s="1"/>
      <c r="G11" s="1"/>
    </row>
    <row r="12" spans="1:24" customFormat="1">
      <c r="B12" s="116" t="s">
        <v>4</v>
      </c>
      <c r="C12" s="117" t="s">
        <v>400</v>
      </c>
      <c r="D12" s="835">
        <v>24</v>
      </c>
      <c r="E12" s="835"/>
      <c r="F12" s="1"/>
      <c r="G12" s="1"/>
    </row>
    <row r="13" spans="1:24">
      <c r="B13" s="115" t="s">
        <v>113</v>
      </c>
      <c r="C13" s="117" t="s">
        <v>71</v>
      </c>
      <c r="D13" s="824" t="s">
        <v>59</v>
      </c>
      <c r="E13" s="824"/>
    </row>
    <row r="14" spans="1:24">
      <c r="B14" s="116" t="s">
        <v>140</v>
      </c>
      <c r="C14" s="117" t="s">
        <v>267</v>
      </c>
      <c r="D14" s="836"/>
      <c r="E14" s="836"/>
    </row>
    <row r="15" spans="1:24">
      <c r="B15" s="116" t="s">
        <v>229</v>
      </c>
      <c r="C15" s="117" t="s">
        <v>316</v>
      </c>
      <c r="D15" s="837">
        <v>1621</v>
      </c>
      <c r="E15" s="838"/>
    </row>
    <row r="16" spans="1:24">
      <c r="A16" s="44"/>
      <c r="B16" s="302"/>
      <c r="C16" s="303"/>
      <c r="D16" s="304"/>
      <c r="E16" s="303"/>
      <c r="F16" s="125"/>
      <c r="G16" s="125"/>
      <c r="H16" s="125"/>
      <c r="I16" s="125"/>
      <c r="J16" s="125"/>
      <c r="K16" s="125"/>
      <c r="L16" s="125"/>
      <c r="M16" s="125"/>
      <c r="N16" s="125"/>
      <c r="O16" s="125"/>
      <c r="P16" s="125"/>
      <c r="Q16" s="125"/>
      <c r="R16" s="125"/>
      <c r="S16" s="125"/>
      <c r="T16" s="125"/>
      <c r="U16" s="125"/>
      <c r="V16" s="125"/>
      <c r="W16" s="125"/>
      <c r="X16" s="125"/>
    </row>
    <row r="17" spans="1:24" s="12" customFormat="1">
      <c r="A17" s="71"/>
      <c r="B17" s="89"/>
      <c r="C17" s="90" t="s">
        <v>576</v>
      </c>
      <c r="D17" s="126"/>
      <c r="E17" s="390" t="s">
        <v>402</v>
      </c>
      <c r="F17" s="390" t="s">
        <v>403</v>
      </c>
      <c r="G17" s="390" t="s">
        <v>404</v>
      </c>
      <c r="H17" s="390" t="s">
        <v>405</v>
      </c>
      <c r="I17" s="390" t="s">
        <v>406</v>
      </c>
      <c r="J17" s="390" t="s">
        <v>452</v>
      </c>
      <c r="K17" s="390" t="s">
        <v>453</v>
      </c>
      <c r="L17" s="390" t="s">
        <v>454</v>
      </c>
      <c r="M17" s="390" t="s">
        <v>455</v>
      </c>
      <c r="N17" s="390" t="s">
        <v>456</v>
      </c>
      <c r="O17" s="390" t="s">
        <v>566</v>
      </c>
      <c r="P17" s="390" t="s">
        <v>567</v>
      </c>
      <c r="Q17" s="390" t="s">
        <v>568</v>
      </c>
      <c r="R17" s="390" t="s">
        <v>569</v>
      </c>
      <c r="S17" s="390" t="s">
        <v>570</v>
      </c>
      <c r="T17" s="390" t="s">
        <v>571</v>
      </c>
      <c r="U17" s="390" t="s">
        <v>572</v>
      </c>
      <c r="V17" s="390" t="s">
        <v>574</v>
      </c>
      <c r="W17" s="702" t="s">
        <v>575</v>
      </c>
      <c r="X17" s="390" t="s">
        <v>573</v>
      </c>
    </row>
    <row r="18" spans="1:24" s="64" customFormat="1" ht="30">
      <c r="A18" s="104"/>
      <c r="B18" s="114" t="s">
        <v>2</v>
      </c>
      <c r="C18" s="122" t="s">
        <v>270</v>
      </c>
      <c r="D18" s="119"/>
      <c r="E18" s="107" t="s">
        <v>298</v>
      </c>
      <c r="F18" s="107" t="s">
        <v>298</v>
      </c>
      <c r="G18" s="107" t="s">
        <v>298</v>
      </c>
      <c r="H18" s="107" t="s">
        <v>299</v>
      </c>
      <c r="I18" s="107"/>
      <c r="J18" s="107"/>
      <c r="K18" s="107"/>
      <c r="L18" s="107"/>
      <c r="M18" s="107"/>
      <c r="N18" s="107"/>
      <c r="O18" s="107"/>
      <c r="P18" s="107"/>
      <c r="Q18" s="107"/>
      <c r="R18" s="107"/>
      <c r="S18" s="107"/>
      <c r="T18" s="107"/>
      <c r="U18" s="107"/>
      <c r="V18" s="107"/>
      <c r="W18" s="107"/>
      <c r="X18" s="107"/>
    </row>
    <row r="19" spans="1:24" s="292" customFormat="1" ht="45">
      <c r="A19" s="707"/>
      <c r="B19" s="708" t="s">
        <v>1</v>
      </c>
      <c r="C19" s="709" t="s">
        <v>581</v>
      </c>
      <c r="D19" s="710"/>
      <c r="E19" s="107" t="s">
        <v>744</v>
      </c>
      <c r="F19" s="107" t="s">
        <v>743</v>
      </c>
      <c r="G19" s="107" t="s">
        <v>746</v>
      </c>
      <c r="H19" s="107" t="s">
        <v>745</v>
      </c>
      <c r="I19" s="107"/>
      <c r="J19" s="107"/>
      <c r="K19" s="107"/>
      <c r="L19" s="107"/>
      <c r="M19" s="107"/>
      <c r="N19" s="107"/>
      <c r="O19" s="107"/>
      <c r="P19" s="107"/>
      <c r="Q19" s="107"/>
      <c r="R19" s="107"/>
      <c r="S19" s="107"/>
      <c r="T19" s="107"/>
      <c r="U19" s="107"/>
      <c r="V19" s="107"/>
      <c r="W19" s="107"/>
      <c r="X19" s="107"/>
    </row>
    <row r="20" spans="1:24">
      <c r="A20" s="105"/>
      <c r="B20" s="116" t="s">
        <v>0</v>
      </c>
      <c r="C20" s="123" t="s">
        <v>79</v>
      </c>
      <c r="D20" s="120"/>
      <c r="E20" s="108">
        <f>IFERROR(VLOOKUP(E$18,'Apoio - Posto'!$A:$J,2,FALSE),"")</f>
        <v>5143</v>
      </c>
      <c r="F20" s="108">
        <f>IFERROR(VLOOKUP(F$18,'Apoio - Posto'!$A:$J,2,FALSE),"")</f>
        <v>5143</v>
      </c>
      <c r="G20" s="108">
        <v>5143</v>
      </c>
      <c r="H20" s="108">
        <f>IFERROR(VLOOKUP(H$18,'Apoio - Posto'!$A:$J,2,FALSE),"")</f>
        <v>5134</v>
      </c>
      <c r="I20" s="108" t="str">
        <f>IFERROR(VLOOKUP(I$18,'Apoio - Posto'!$A:$J,2,FALSE),"")</f>
        <v/>
      </c>
      <c r="J20" s="108" t="str">
        <f>IFERROR(VLOOKUP(J$18,'Apoio - Posto'!$A:$J,2,FALSE),"")</f>
        <v/>
      </c>
      <c r="K20" s="108" t="str">
        <f>IFERROR(VLOOKUP(K$18,'Apoio - Posto'!$A:$J,2,FALSE),"")</f>
        <v/>
      </c>
      <c r="L20" s="108" t="str">
        <f>IFERROR(VLOOKUP(L$18,'Apoio - Posto'!$A:$J,2,FALSE),"")</f>
        <v/>
      </c>
      <c r="M20" s="108" t="str">
        <f>IFERROR(VLOOKUP(M$18,'Apoio - Posto'!$A:$J,2,FALSE),"")</f>
        <v/>
      </c>
      <c r="N20" s="108" t="str">
        <f>IFERROR(VLOOKUP(N$18,'Apoio - Posto'!$A:$J,2,FALSE),"")</f>
        <v/>
      </c>
      <c r="O20" s="108" t="str">
        <f>IFERROR(VLOOKUP(O$18,'Apoio - Posto'!$A:$J,2,FALSE),"")</f>
        <v/>
      </c>
      <c r="P20" s="108" t="str">
        <f>IFERROR(VLOOKUP(P$18,'Apoio - Posto'!$A:$J,2,FALSE),"")</f>
        <v/>
      </c>
      <c r="Q20" s="108" t="str">
        <f>IFERROR(VLOOKUP(Q$18,'Apoio - Posto'!$A:$J,2,FALSE),"")</f>
        <v/>
      </c>
      <c r="R20" s="108" t="str">
        <f>IFERROR(VLOOKUP(R$18,'Apoio - Posto'!$A:$J,2,FALSE),"")</f>
        <v/>
      </c>
      <c r="S20" s="108" t="str">
        <f>IFERROR(VLOOKUP(S$18,'Apoio - Posto'!$A:$J,2,FALSE),"")</f>
        <v/>
      </c>
      <c r="T20" s="108" t="str">
        <f>IFERROR(VLOOKUP(T$18,'Apoio - Posto'!$A:$J,2,FALSE),"")</f>
        <v/>
      </c>
      <c r="U20" s="108" t="str">
        <f>IFERROR(VLOOKUP(U$18,'Apoio - Posto'!$A:$J,2,FALSE),"")</f>
        <v/>
      </c>
      <c r="V20" s="108" t="str">
        <f>IFERROR(VLOOKUP(V$18,'Apoio - Posto'!$A:$J,2,FALSE),"")</f>
        <v/>
      </c>
      <c r="W20" s="108" t="str">
        <f>IFERROR(VLOOKUP(W$18,'Apoio - Posto'!$A:$J,2,FALSE),"")</f>
        <v/>
      </c>
      <c r="X20" s="108" t="str">
        <f>IFERROR(VLOOKUP(X$18,'Apoio - Posto'!$A:$J,2,FALSE),"")</f>
        <v/>
      </c>
    </row>
    <row r="21" spans="1:24">
      <c r="A21" s="106"/>
      <c r="B21" s="115" t="s">
        <v>3</v>
      </c>
      <c r="C21" s="124" t="s">
        <v>17</v>
      </c>
      <c r="D21" s="121"/>
      <c r="E21" s="109">
        <f>IFERROR(VLOOKUP(E$18,'Apoio - Posto'!$A:$AA,7,FALSE),"")</f>
        <v>1765.86</v>
      </c>
      <c r="F21" s="109">
        <f>IFERROR(VLOOKUP(F$18,'Apoio - Posto'!$A:$AA,7,FALSE),"")</f>
        <v>1765.86</v>
      </c>
      <c r="G21" s="109">
        <f>IFERROR(VLOOKUP(G$18,'Apoio - Posto'!$A:$AA,7,FALSE),"")</f>
        <v>1765.86</v>
      </c>
      <c r="H21" s="109">
        <f>IFERROR(VLOOKUP(H$18,'Apoio - Posto'!$A:$AA,7,FALSE),"")</f>
        <v>1765.86</v>
      </c>
      <c r="I21" s="109" t="str">
        <f>IFERROR(VLOOKUP(I$18,'Apoio - Posto'!$A:$AA,7,FALSE),"")</f>
        <v/>
      </c>
      <c r="J21" s="109" t="str">
        <f>IFERROR(VLOOKUP(J$18,'Apoio - Posto'!$A:$AA,7,FALSE),"")</f>
        <v/>
      </c>
      <c r="K21" s="109" t="str">
        <f>IFERROR(VLOOKUP(K$18,'Apoio - Posto'!$A:$AA,7,FALSE),"")</f>
        <v/>
      </c>
      <c r="L21" s="109" t="str">
        <f>IFERROR(VLOOKUP(L$18,'Apoio - Posto'!$A:$AA,7,FALSE),"")</f>
        <v/>
      </c>
      <c r="M21" s="109" t="str">
        <f>IFERROR(VLOOKUP(M$18,'Apoio - Posto'!$A:$AA,7,FALSE),"")</f>
        <v/>
      </c>
      <c r="N21" s="109" t="str">
        <f>IFERROR(VLOOKUP(N$18,'Apoio - Posto'!$A:$AA,7,FALSE),"")</f>
        <v/>
      </c>
      <c r="O21" s="109" t="str">
        <f>IFERROR(VLOOKUP(O$18,'Apoio - Posto'!$A:$AA,7,FALSE),"")</f>
        <v/>
      </c>
      <c r="P21" s="109" t="str">
        <f>IFERROR(VLOOKUP(P$18,'Apoio - Posto'!$A:$AA,7,FALSE),"")</f>
        <v/>
      </c>
      <c r="Q21" s="109" t="str">
        <f>IFERROR(VLOOKUP(Q$18,'Apoio - Posto'!$A:$AA,7,FALSE),"")</f>
        <v/>
      </c>
      <c r="R21" s="109" t="str">
        <f>IFERROR(VLOOKUP(R$18,'Apoio - Posto'!$A:$AA,7,FALSE),"")</f>
        <v/>
      </c>
      <c r="S21" s="109" t="str">
        <f>IFERROR(VLOOKUP(S$18,'Apoio - Posto'!$A:$AA,7,FALSE),"")</f>
        <v/>
      </c>
      <c r="T21" s="109" t="str">
        <f>IFERROR(VLOOKUP(T$18,'Apoio - Posto'!$A:$AA,7,FALSE),"")</f>
        <v/>
      </c>
      <c r="U21" s="109" t="str">
        <f>IFERROR(VLOOKUP(U$18,'Apoio - Posto'!$A:$AA,7,FALSE),"")</f>
        <v/>
      </c>
      <c r="V21" s="109" t="str">
        <f>IFERROR(VLOOKUP(V$18,'Apoio - Posto'!$A:$AA,7,FALSE),"")</f>
        <v/>
      </c>
      <c r="W21" s="109" t="str">
        <f>IFERROR(VLOOKUP(W$18,'Apoio - Posto'!$A:$AA,7,FALSE),"")</f>
        <v/>
      </c>
      <c r="X21" s="109" t="str">
        <f>IFERROR(VLOOKUP(X$18,'Apoio - Posto'!$A:$AA,7,FALSE),"")</f>
        <v/>
      </c>
    </row>
    <row r="22" spans="1:24">
      <c r="A22" s="105"/>
      <c r="B22" s="116" t="s">
        <v>7</v>
      </c>
      <c r="C22" s="123" t="s">
        <v>464</v>
      </c>
      <c r="D22" s="120"/>
      <c r="E22" s="110">
        <v>220</v>
      </c>
      <c r="F22" s="110">
        <v>220</v>
      </c>
      <c r="G22" s="110">
        <v>220</v>
      </c>
      <c r="H22" s="110">
        <v>220</v>
      </c>
      <c r="I22" s="110" t="str">
        <f>IFERROR(VLOOKUP(I$18,'Apoio - Posto'!$A:$AA,8,FALSE),"")</f>
        <v/>
      </c>
      <c r="J22" s="110" t="str">
        <f>IFERROR(VLOOKUP(J$18,'Apoio - Posto'!$A:$AA,8,FALSE),"")</f>
        <v/>
      </c>
      <c r="K22" s="110" t="str">
        <f>IFERROR(VLOOKUP(K$18,'Apoio - Posto'!$A:$AA,8,FALSE),"")</f>
        <v/>
      </c>
      <c r="L22" s="110" t="str">
        <f>IFERROR(VLOOKUP(L$18,'Apoio - Posto'!$A:$AA,8,FALSE),"")</f>
        <v/>
      </c>
      <c r="M22" s="110" t="str">
        <f>IFERROR(VLOOKUP(M$18,'Apoio - Posto'!$A:$AA,8,FALSE),"")</f>
        <v/>
      </c>
      <c r="N22" s="110" t="str">
        <f>IFERROR(VLOOKUP(N$18,'Apoio - Posto'!$A:$AA,8,FALSE),"")</f>
        <v/>
      </c>
      <c r="O22" s="110" t="str">
        <f>IFERROR(VLOOKUP(O$18,'Apoio - Posto'!$A:$AA,8,FALSE),"")</f>
        <v/>
      </c>
      <c r="P22" s="110" t="str">
        <f>IFERROR(VLOOKUP(P$18,'Apoio - Posto'!$A:$AA,8,FALSE),"")</f>
        <v/>
      </c>
      <c r="Q22" s="110" t="str">
        <f>IFERROR(VLOOKUP(Q$18,'Apoio - Posto'!$A:$AA,8,FALSE),"")</f>
        <v/>
      </c>
      <c r="R22" s="110" t="str">
        <f>IFERROR(VLOOKUP(R$18,'Apoio - Posto'!$A:$AA,8,FALSE),"")</f>
        <v/>
      </c>
      <c r="S22" s="110" t="str">
        <f>IFERROR(VLOOKUP(S$18,'Apoio - Posto'!$A:$AA,8,FALSE),"")</f>
        <v/>
      </c>
      <c r="T22" s="110" t="str">
        <f>IFERROR(VLOOKUP(T$18,'Apoio - Posto'!$A:$AA,8,FALSE),"")</f>
        <v/>
      </c>
      <c r="U22" s="110" t="str">
        <f>IFERROR(VLOOKUP(U$18,'Apoio - Posto'!$A:$AA,8,FALSE),"")</f>
        <v/>
      </c>
      <c r="V22" s="110" t="str">
        <f>IFERROR(VLOOKUP(V$18,'Apoio - Posto'!$A:$AA,8,FALSE),"")</f>
        <v/>
      </c>
      <c r="W22" s="110" t="str">
        <f>IFERROR(VLOOKUP(W$18,'Apoio - Posto'!$A:$AA,8,FALSE),"")</f>
        <v/>
      </c>
      <c r="X22" s="110" t="str">
        <f>IFERROR(VLOOKUP(X$18,'Apoio - Posto'!$A:$AA,8,FALSE),"")</f>
        <v/>
      </c>
    </row>
    <row r="23" spans="1:24">
      <c r="A23" s="106"/>
      <c r="B23" s="115" t="s">
        <v>6</v>
      </c>
      <c r="C23" s="124" t="s">
        <v>18</v>
      </c>
      <c r="D23" s="121"/>
      <c r="E23" s="497" t="s">
        <v>123</v>
      </c>
      <c r="F23" s="497" t="s">
        <v>123</v>
      </c>
      <c r="G23" s="497" t="s">
        <v>123</v>
      </c>
      <c r="H23" s="497" t="s">
        <v>123</v>
      </c>
      <c r="I23" s="497" t="str">
        <f>IFERROR(VLOOKUP(I$18,'Apoio - Posto'!$A:$J,3,FALSE),"")</f>
        <v/>
      </c>
      <c r="J23" s="497" t="str">
        <f>IFERROR(VLOOKUP(J$18,'Apoio - Posto'!$A:$J,3,FALSE),"")</f>
        <v/>
      </c>
      <c r="K23" s="497" t="str">
        <f>IFERROR(VLOOKUP(K$18,'Apoio - Posto'!$A:$J,3,FALSE),"")</f>
        <v/>
      </c>
      <c r="L23" s="497" t="str">
        <f>IFERROR(VLOOKUP(L$18,'Apoio - Posto'!$A:$J,3,FALSE),"")</f>
        <v/>
      </c>
      <c r="M23" s="497" t="str">
        <f>IFERROR(VLOOKUP(M$18,'Apoio - Posto'!$A:$J,3,FALSE),"")</f>
        <v/>
      </c>
      <c r="N23" s="497" t="str">
        <f>IFERROR(VLOOKUP(N$18,'Apoio - Posto'!$A:$J,3,FALSE),"")</f>
        <v/>
      </c>
      <c r="O23" s="497" t="str">
        <f>IFERROR(VLOOKUP(O$18,'Apoio - Posto'!$A:$J,3,FALSE),"")</f>
        <v/>
      </c>
      <c r="P23" s="497" t="str">
        <f>IFERROR(VLOOKUP(P$18,'Apoio - Posto'!$A:$J,3,FALSE),"")</f>
        <v/>
      </c>
      <c r="Q23" s="497" t="str">
        <f>IFERROR(VLOOKUP(Q$18,'Apoio - Posto'!$A:$J,3,FALSE),"")</f>
        <v/>
      </c>
      <c r="R23" s="497" t="str">
        <f>IFERROR(VLOOKUP(R$18,'Apoio - Posto'!$A:$J,3,FALSE),"")</f>
        <v/>
      </c>
      <c r="S23" s="497" t="str">
        <f>IFERROR(VLOOKUP(S$18,'Apoio - Posto'!$A:$J,3,FALSE),"")</f>
        <v/>
      </c>
      <c r="T23" s="497" t="str">
        <f>IFERROR(VLOOKUP(T$18,'Apoio - Posto'!$A:$J,3,FALSE),"")</f>
        <v/>
      </c>
      <c r="U23" s="497" t="str">
        <f>IFERROR(VLOOKUP(U$18,'Apoio - Posto'!$A:$J,3,FALSE),"")</f>
        <v/>
      </c>
      <c r="V23" s="497" t="str">
        <f>IFERROR(VLOOKUP(V$18,'Apoio - Posto'!$A:$J,3,FALSE),"")</f>
        <v/>
      </c>
      <c r="W23" s="497" t="str">
        <f>IFERROR(VLOOKUP(W$18,'Apoio - Posto'!$A:$J,3,FALSE),"")</f>
        <v/>
      </c>
      <c r="X23" s="497" t="str">
        <f>IFERROR(VLOOKUP(X$18,'Apoio - Posto'!$A:$J,3,FALSE),"")</f>
        <v/>
      </c>
    </row>
    <row r="24" spans="1:24">
      <c r="A24" s="105"/>
      <c r="B24" s="116" t="s">
        <v>5</v>
      </c>
      <c r="C24" s="123" t="s">
        <v>77</v>
      </c>
      <c r="D24" s="120"/>
      <c r="E24" s="111">
        <f>IFERROR(VLOOKUP(E$18,'Apoio - Posto'!$A:$J,5,FALSE),"")</f>
        <v>46023</v>
      </c>
      <c r="F24" s="111">
        <f>IFERROR(VLOOKUP(F$18,'Apoio - Posto'!$A:$J,5,FALSE),"")</f>
        <v>46023</v>
      </c>
      <c r="G24" s="111">
        <v>46023</v>
      </c>
      <c r="H24" s="111">
        <f>IFERROR(VLOOKUP(H$18,'Apoio - Posto'!$A:$J,5,FALSE),"")</f>
        <v>46023</v>
      </c>
      <c r="I24" s="111" t="str">
        <f>IFERROR(VLOOKUP(I$18,'Apoio - Posto'!$A:$J,5,FALSE),"")</f>
        <v/>
      </c>
      <c r="J24" s="111" t="str">
        <f>IFERROR(VLOOKUP(J$18,'Apoio - Posto'!$A:$J,5,FALSE),"")</f>
        <v/>
      </c>
      <c r="K24" s="111" t="str">
        <f>IFERROR(VLOOKUP(K$18,'Apoio - Posto'!$A:$J,5,FALSE),"")</f>
        <v/>
      </c>
      <c r="L24" s="111" t="str">
        <f>IFERROR(VLOOKUP(L$18,'Apoio - Posto'!$A:$J,5,FALSE),"")</f>
        <v/>
      </c>
      <c r="M24" s="111" t="str">
        <f>IFERROR(VLOOKUP(M$18,'Apoio - Posto'!$A:$J,5,FALSE),"")</f>
        <v/>
      </c>
      <c r="N24" s="111" t="str">
        <f>IFERROR(VLOOKUP(N$18,'Apoio - Posto'!$A:$J,5,FALSE),"")</f>
        <v/>
      </c>
      <c r="O24" s="111" t="str">
        <f>IFERROR(VLOOKUP(O$18,'Apoio - Posto'!$A:$J,5,FALSE),"")</f>
        <v/>
      </c>
      <c r="P24" s="111" t="str">
        <f>IFERROR(VLOOKUP(P$18,'Apoio - Posto'!$A:$J,5,FALSE),"")</f>
        <v/>
      </c>
      <c r="Q24" s="111" t="str">
        <f>IFERROR(VLOOKUP(Q$18,'Apoio - Posto'!$A:$J,5,FALSE),"")</f>
        <v/>
      </c>
      <c r="R24" s="111" t="str">
        <f>IFERROR(VLOOKUP(R$18,'Apoio - Posto'!$A:$J,5,FALSE),"")</f>
        <v/>
      </c>
      <c r="S24" s="111" t="str">
        <f>IFERROR(VLOOKUP(S$18,'Apoio - Posto'!$A:$J,5,FALSE),"")</f>
        <v/>
      </c>
      <c r="T24" s="111" t="str">
        <f>IFERROR(VLOOKUP(T$18,'Apoio - Posto'!$A:$J,5,FALSE),"")</f>
        <v/>
      </c>
      <c r="U24" s="111" t="str">
        <f>IFERROR(VLOOKUP(U$18,'Apoio - Posto'!$A:$J,5,FALSE),"")</f>
        <v/>
      </c>
      <c r="V24" s="111" t="str">
        <f>IFERROR(VLOOKUP(V$18,'Apoio - Posto'!$A:$J,5,FALSE),"")</f>
        <v/>
      </c>
      <c r="W24" s="111" t="str">
        <f>IFERROR(VLOOKUP(W$18,'Apoio - Posto'!$A:$J,5,FALSE),"")</f>
        <v/>
      </c>
      <c r="X24" s="111" t="str">
        <f>IFERROR(VLOOKUP(X$18,'Apoio - Posto'!$A:$J,5,FALSE),"")</f>
        <v/>
      </c>
    </row>
    <row r="25" spans="1:24">
      <c r="A25" s="106"/>
      <c r="B25" s="116" t="s">
        <v>4</v>
      </c>
      <c r="C25" s="124" t="s">
        <v>78</v>
      </c>
      <c r="D25" s="121"/>
      <c r="E25" s="491" t="str">
        <f>IFERROR(VLOOKUP(E$18,'Apoio - Posto'!$A:$J,4,FALSE),"")</f>
        <v>RS000041/2026</v>
      </c>
      <c r="F25" s="491" t="str">
        <f>IFERROR(VLOOKUP(F$18,'Apoio - Posto'!$A:$J,4,FALSE),"")</f>
        <v>RS000041/2026</v>
      </c>
      <c r="G25" s="491" t="str">
        <f>IFERROR(VLOOKUP(G$18,'Apoio - Posto'!$A:$J,4,FALSE),"")</f>
        <v>RS000041/2026</v>
      </c>
      <c r="H25" s="491" t="str">
        <f>IFERROR(VLOOKUP(H$18,'Apoio - Posto'!$A:$J,4,FALSE),"")</f>
        <v>RS000041/2026</v>
      </c>
      <c r="I25" s="491" t="str">
        <f>IFERROR(VLOOKUP(I$18,'Apoio - Posto'!$A:$J,4,FALSE),"")</f>
        <v/>
      </c>
      <c r="J25" s="491" t="str">
        <f>IFERROR(VLOOKUP(J$18,'Apoio - Posto'!$A:$J,4,FALSE),"")</f>
        <v/>
      </c>
      <c r="K25" s="491" t="str">
        <f>IFERROR(VLOOKUP(K$18,'Apoio - Posto'!$A:$J,4,FALSE),"")</f>
        <v/>
      </c>
      <c r="L25" s="491" t="str">
        <f>IFERROR(VLOOKUP(L$18,'Apoio - Posto'!$A:$J,4,FALSE),"")</f>
        <v/>
      </c>
      <c r="M25" s="491" t="str">
        <f>IFERROR(VLOOKUP(M$18,'Apoio - Posto'!$A:$J,4,FALSE),"")</f>
        <v/>
      </c>
      <c r="N25" s="491" t="str">
        <f>IFERROR(VLOOKUP(N$18,'Apoio - Posto'!$A:$J,4,FALSE),"")</f>
        <v/>
      </c>
      <c r="O25" s="491" t="str">
        <f>IFERROR(VLOOKUP(O$18,'Apoio - Posto'!$A:$J,4,FALSE),"")</f>
        <v/>
      </c>
      <c r="P25" s="491" t="str">
        <f>IFERROR(VLOOKUP(P$18,'Apoio - Posto'!$A:$J,4,FALSE),"")</f>
        <v/>
      </c>
      <c r="Q25" s="491" t="str">
        <f>IFERROR(VLOOKUP(Q$18,'Apoio - Posto'!$A:$J,4,FALSE),"")</f>
        <v/>
      </c>
      <c r="R25" s="491" t="str">
        <f>IFERROR(VLOOKUP(R$18,'Apoio - Posto'!$A:$J,4,FALSE),"")</f>
        <v/>
      </c>
      <c r="S25" s="491" t="str">
        <f>IFERROR(VLOOKUP(S$18,'Apoio - Posto'!$A:$J,4,FALSE),"")</f>
        <v/>
      </c>
      <c r="T25" s="491" t="str">
        <f>IFERROR(VLOOKUP(T$18,'Apoio - Posto'!$A:$J,4,FALSE),"")</f>
        <v/>
      </c>
      <c r="U25" s="491" t="str">
        <f>IFERROR(VLOOKUP(U$18,'Apoio - Posto'!$A:$J,4,FALSE),"")</f>
        <v/>
      </c>
      <c r="V25" s="491" t="str">
        <f>IFERROR(VLOOKUP(V$18,'Apoio - Posto'!$A:$J,4,FALSE),"")</f>
        <v/>
      </c>
      <c r="W25" s="491" t="str">
        <f>IFERROR(VLOOKUP(W$18,'Apoio - Posto'!$A:$J,4,FALSE),"")</f>
        <v/>
      </c>
      <c r="X25" s="491" t="str">
        <f>IFERROR(VLOOKUP(X$18,'Apoio - Posto'!$A:$J,4,FALSE),"")</f>
        <v/>
      </c>
    </row>
    <row r="26" spans="1:24">
      <c r="A26" s="105"/>
      <c r="B26" s="116" t="s">
        <v>113</v>
      </c>
      <c r="C26" s="124" t="s">
        <v>465</v>
      </c>
      <c r="D26" s="121"/>
      <c r="E26" s="112" t="s">
        <v>477</v>
      </c>
      <c r="F26" s="112" t="s">
        <v>474</v>
      </c>
      <c r="G26" s="112" t="s">
        <v>477</v>
      </c>
      <c r="H26" s="112" t="s">
        <v>474</v>
      </c>
      <c r="I26" s="112"/>
      <c r="J26" s="112"/>
      <c r="K26" s="112"/>
      <c r="L26" s="112"/>
      <c r="M26" s="112"/>
      <c r="N26" s="112"/>
      <c r="O26" s="112"/>
      <c r="P26" s="112"/>
      <c r="Q26" s="112"/>
      <c r="R26" s="112"/>
      <c r="S26" s="112"/>
      <c r="T26" s="112"/>
      <c r="U26" s="112"/>
      <c r="V26" s="112"/>
      <c r="W26" s="112"/>
      <c r="X26" s="112"/>
    </row>
    <row r="27" spans="1:24">
      <c r="A27" s="106"/>
      <c r="B27" s="115" t="s">
        <v>140</v>
      </c>
      <c r="C27" s="123" t="s">
        <v>488</v>
      </c>
      <c r="D27" s="120"/>
      <c r="E27" s="108">
        <v>2</v>
      </c>
      <c r="F27" s="108">
        <v>13</v>
      </c>
      <c r="G27" s="108">
        <v>1</v>
      </c>
      <c r="H27" s="108">
        <v>1</v>
      </c>
      <c r="I27" s="108"/>
      <c r="J27" s="108"/>
      <c r="K27" s="108"/>
      <c r="L27" s="108"/>
      <c r="M27" s="108"/>
      <c r="N27" s="108"/>
      <c r="O27" s="108"/>
      <c r="P27" s="108"/>
      <c r="Q27" s="108"/>
      <c r="R27" s="108"/>
      <c r="S27" s="108"/>
      <c r="T27" s="108"/>
      <c r="U27" s="108"/>
      <c r="V27" s="108"/>
      <c r="W27" s="108"/>
      <c r="X27" s="108"/>
    </row>
    <row r="28" spans="1:24">
      <c r="A28" s="105"/>
      <c r="B28" s="115" t="s">
        <v>229</v>
      </c>
      <c r="C28" s="123" t="s">
        <v>459</v>
      </c>
      <c r="D28" s="120"/>
      <c r="E28" s="108">
        <v>1</v>
      </c>
      <c r="F28" s="108">
        <v>1</v>
      </c>
      <c r="G28" s="108">
        <v>1</v>
      </c>
      <c r="H28" s="108">
        <f>IFERROR(VLOOKUP(H26,'Apoio - Regime de Trabalho'!$A:$I,2,FALSE),"")</f>
        <v>1</v>
      </c>
      <c r="I28" s="108" t="str">
        <f>IFERROR(VLOOKUP(I26,'Apoio - Regime de Trabalho'!$A:$I,2,FALSE),"")</f>
        <v/>
      </c>
      <c r="J28" s="108" t="str">
        <f>IFERROR(VLOOKUP(J26,'Apoio - Regime de Trabalho'!$A:$I,2,FALSE),"")</f>
        <v/>
      </c>
      <c r="K28" s="108" t="str">
        <f>IFERROR(VLOOKUP(K26,'Apoio - Regime de Trabalho'!$A:$I,2,FALSE),"")</f>
        <v/>
      </c>
      <c r="L28" s="108" t="str">
        <f>IFERROR(VLOOKUP(L26,'Apoio - Regime de Trabalho'!$A:$I,2,FALSE),"")</f>
        <v/>
      </c>
      <c r="M28" s="108" t="str">
        <f>IFERROR(VLOOKUP(M26,'Apoio - Regime de Trabalho'!$A:$I,2,FALSE),"")</f>
        <v/>
      </c>
      <c r="N28" s="108" t="str">
        <f>IFERROR(VLOOKUP(N26,'Apoio - Regime de Trabalho'!$A:$I,2,FALSE),"")</f>
        <v/>
      </c>
      <c r="O28" s="108" t="str">
        <f>IFERROR(VLOOKUP(O26,'Apoio - Regime de Trabalho'!$A:$I,2,FALSE),"")</f>
        <v/>
      </c>
      <c r="P28" s="108" t="str">
        <f>IFERROR(VLOOKUP(P26,'Apoio - Regime de Trabalho'!$A:$I,2,FALSE),"")</f>
        <v/>
      </c>
      <c r="Q28" s="108" t="str">
        <f>IFERROR(VLOOKUP(Q26,'Apoio - Regime de Trabalho'!$A:$I,2,FALSE),"")</f>
        <v/>
      </c>
      <c r="R28" s="108" t="str">
        <f>IFERROR(VLOOKUP(R26,'Apoio - Regime de Trabalho'!$A:$I,2,FALSE),"")</f>
        <v/>
      </c>
      <c r="S28" s="108" t="str">
        <f>IFERROR(VLOOKUP(S26,'Apoio - Regime de Trabalho'!$A:$I,2,FALSE),"")</f>
        <v/>
      </c>
      <c r="T28" s="108" t="str">
        <f>IFERROR(VLOOKUP(T26,'Apoio - Regime de Trabalho'!$A:$I,2,FALSE),"")</f>
        <v/>
      </c>
      <c r="U28" s="108" t="str">
        <f>IFERROR(VLOOKUP(U26,'Apoio - Regime de Trabalho'!$A:$I,2,FALSE),"")</f>
        <v/>
      </c>
      <c r="V28" s="108" t="str">
        <f>IFERROR(VLOOKUP(V26,'Apoio - Regime de Trabalho'!$A:$I,2,FALSE),"")</f>
        <v/>
      </c>
      <c r="W28" s="108" t="str">
        <f>IFERROR(VLOOKUP(W26,'Apoio - Regime de Trabalho'!$A:$I,2,FALSE),"")</f>
        <v/>
      </c>
      <c r="X28" s="108" t="str">
        <f>IFERROR(VLOOKUP(X26,'Apoio - Regime de Trabalho'!$A:$I,2,FALSE),"")</f>
        <v/>
      </c>
    </row>
    <row r="29" spans="1:24">
      <c r="A29" s="105"/>
      <c r="B29" s="115" t="s">
        <v>271</v>
      </c>
      <c r="C29" s="123" t="s">
        <v>489</v>
      </c>
      <c r="D29" s="120"/>
      <c r="E29" s="108">
        <f t="shared" ref="E29:N29" si="0">IFERROR(IF(E18="","",E28*E27),"")</f>
        <v>2</v>
      </c>
      <c r="F29" s="108">
        <f t="shared" si="0"/>
        <v>13</v>
      </c>
      <c r="G29" s="108">
        <v>1</v>
      </c>
      <c r="H29" s="108">
        <f t="shared" si="0"/>
        <v>1</v>
      </c>
      <c r="I29" s="108" t="str">
        <f t="shared" si="0"/>
        <v/>
      </c>
      <c r="J29" s="108" t="str">
        <f t="shared" si="0"/>
        <v/>
      </c>
      <c r="K29" s="108" t="str">
        <f t="shared" si="0"/>
        <v/>
      </c>
      <c r="L29" s="108" t="str">
        <f t="shared" si="0"/>
        <v/>
      </c>
      <c r="M29" s="108" t="str">
        <f t="shared" si="0"/>
        <v/>
      </c>
      <c r="N29" s="108" t="str">
        <f t="shared" si="0"/>
        <v/>
      </c>
      <c r="O29" s="108" t="str">
        <f t="shared" ref="O29:X29" si="1">IFERROR(IF(O18="","",O28*O27),"")</f>
        <v/>
      </c>
      <c r="P29" s="108" t="str">
        <f t="shared" si="1"/>
        <v/>
      </c>
      <c r="Q29" s="108" t="str">
        <f t="shared" si="1"/>
        <v/>
      </c>
      <c r="R29" s="108" t="str">
        <f t="shared" si="1"/>
        <v/>
      </c>
      <c r="S29" s="108" t="str">
        <f t="shared" si="1"/>
        <v/>
      </c>
      <c r="T29" s="108" t="str">
        <f t="shared" si="1"/>
        <v/>
      </c>
      <c r="U29" s="108" t="str">
        <f t="shared" si="1"/>
        <v/>
      </c>
      <c r="V29" s="108" t="str">
        <f t="shared" si="1"/>
        <v/>
      </c>
      <c r="W29" s="108" t="str">
        <f t="shared" si="1"/>
        <v/>
      </c>
      <c r="X29" s="108" t="str">
        <f t="shared" si="1"/>
        <v/>
      </c>
    </row>
    <row r="30" spans="1:24">
      <c r="B30" s="84"/>
      <c r="C30" s="127"/>
      <c r="D30" s="128"/>
      <c r="E30" s="129"/>
      <c r="F30" s="129"/>
      <c r="G30" s="129"/>
      <c r="H30" s="129"/>
      <c r="I30" s="129"/>
      <c r="J30" s="129"/>
      <c r="K30" s="129"/>
      <c r="L30" s="129"/>
      <c r="M30" s="129"/>
      <c r="N30" s="129"/>
      <c r="O30" s="129"/>
      <c r="P30" s="129"/>
      <c r="Q30" s="129"/>
      <c r="R30" s="129"/>
      <c r="S30" s="129"/>
      <c r="T30" s="129"/>
      <c r="U30" s="129"/>
      <c r="V30" s="129"/>
      <c r="W30" s="129"/>
      <c r="X30" s="129"/>
    </row>
    <row r="31" spans="1:24" s="12" customFormat="1">
      <c r="A31" s="72"/>
      <c r="B31" s="89"/>
      <c r="C31" s="90" t="s">
        <v>178</v>
      </c>
      <c r="D31" s="91"/>
      <c r="E31" s="370"/>
      <c r="F31" s="370"/>
      <c r="G31" s="370"/>
      <c r="H31" s="370"/>
      <c r="I31" s="370"/>
      <c r="J31" s="370"/>
      <c r="K31" s="370"/>
      <c r="L31" s="370"/>
      <c r="M31" s="370"/>
      <c r="N31" s="370"/>
      <c r="O31" s="370"/>
      <c r="P31" s="370"/>
      <c r="Q31" s="370"/>
      <c r="R31" s="370"/>
      <c r="S31" s="370"/>
      <c r="T31" s="370"/>
      <c r="U31" s="370"/>
      <c r="V31" s="370"/>
      <c r="W31" s="370"/>
      <c r="X31" s="370"/>
    </row>
    <row r="32" spans="1:24">
      <c r="A32" s="86"/>
      <c r="B32" s="185" t="s">
        <v>2</v>
      </c>
      <c r="C32" s="178" t="s">
        <v>189</v>
      </c>
      <c r="D32" s="227"/>
      <c r="E32" s="99">
        <f>IFERROR(E21*VLOOKUP(E26,'Apoio - Regime de Trabalho'!$A:$I,8,FALSE)/(E22),"")</f>
        <v>1605.3272727272727</v>
      </c>
      <c r="F32" s="99">
        <f>IFERROR(F21*VLOOKUP(F26,'Apoio - Regime de Trabalho'!$A:$I,8,FALSE)/(F22),"")</f>
        <v>1203.9954545454545</v>
      </c>
      <c r="G32" s="99">
        <f>IFERROR(G21*VLOOKUP(G26,'Apoio - Regime de Trabalho'!$A:$I,8,FALSE)/(G22),"")</f>
        <v>1605.3272727272727</v>
      </c>
      <c r="H32" s="99">
        <f>IFERROR(H21*VLOOKUP(H26,'Apoio - Regime de Trabalho'!$A:$I,8,FALSE)/(H22),"")</f>
        <v>1203.9954545454545</v>
      </c>
      <c r="I32" s="99" t="str">
        <f>IFERROR(I21*VLOOKUP(I26,'Apoio - Regime de Trabalho'!$A:$I,8,FALSE)/(I22),"")</f>
        <v/>
      </c>
      <c r="J32" s="99" t="str">
        <f>IFERROR(J21*VLOOKUP(J26,'Apoio - Regime de Trabalho'!$A:$I,8,FALSE)/(J22),"")</f>
        <v/>
      </c>
      <c r="K32" s="99" t="str">
        <f>IFERROR(K21*VLOOKUP(K26,'Apoio - Regime de Trabalho'!$A:$I,8,FALSE)/(K22),"")</f>
        <v/>
      </c>
      <c r="L32" s="99" t="str">
        <f>IFERROR(L21*VLOOKUP(L26,'Apoio - Regime de Trabalho'!$A:$I,8,FALSE)/(L22),"")</f>
        <v/>
      </c>
      <c r="M32" s="99" t="str">
        <f>IFERROR(M21*VLOOKUP(M26,'Apoio - Regime de Trabalho'!$A:$I,8,FALSE)/(M22),"")</f>
        <v/>
      </c>
      <c r="N32" s="99" t="str">
        <f>IFERROR(N21*VLOOKUP(N26,'Apoio - Regime de Trabalho'!$A:$I,8,FALSE)/(N22),"")</f>
        <v/>
      </c>
      <c r="O32" s="99" t="str">
        <f>IFERROR(O21*VLOOKUP(O26,'Apoio - Regime de Trabalho'!$A:$I,8,FALSE)/(O22),"")</f>
        <v/>
      </c>
      <c r="P32" s="99" t="str">
        <f>IFERROR(P21*VLOOKUP(P26,'Apoio - Regime de Trabalho'!$A:$I,8,FALSE)/(P22),"")</f>
        <v/>
      </c>
      <c r="Q32" s="99" t="str">
        <f>IFERROR(Q21*VLOOKUP(Q26,'Apoio - Regime de Trabalho'!$A:$I,8,FALSE)/(Q22),"")</f>
        <v/>
      </c>
      <c r="R32" s="99" t="str">
        <f>IFERROR(R21*VLOOKUP(R26,'Apoio - Regime de Trabalho'!$A:$I,8,FALSE)/(R22),"")</f>
        <v/>
      </c>
      <c r="S32" s="99" t="str">
        <f>IFERROR(S21*VLOOKUP(S26,'Apoio - Regime de Trabalho'!$A:$I,8,FALSE)/(S22),"")</f>
        <v/>
      </c>
      <c r="T32" s="99" t="str">
        <f>IFERROR(T21*VLOOKUP(T26,'Apoio - Regime de Trabalho'!$A:$I,8,FALSE)/(T22),"")</f>
        <v/>
      </c>
      <c r="U32" s="99" t="str">
        <f>IFERROR(U21*VLOOKUP(U26,'Apoio - Regime de Trabalho'!$A:$I,8,FALSE)/(U22),"")</f>
        <v/>
      </c>
      <c r="V32" s="99" t="str">
        <f>IFERROR(V21*VLOOKUP(V26,'Apoio - Regime de Trabalho'!$A:$I,8,FALSE)/(V22),"")</f>
        <v/>
      </c>
      <c r="W32" s="99" t="str">
        <f>IFERROR(W21*VLOOKUP(W26,'Apoio - Regime de Trabalho'!$A:$I,8,FALSE)/(W22),"")</f>
        <v/>
      </c>
      <c r="X32" s="99" t="str">
        <f>IFERROR(X21*VLOOKUP(X26,'Apoio - Regime de Trabalho'!$A:$I,8,FALSE)/(X22),"")</f>
        <v/>
      </c>
    </row>
    <row r="33" spans="1:24">
      <c r="A33" s="86"/>
      <c r="B33" s="839" t="s">
        <v>1</v>
      </c>
      <c r="C33" s="226" t="s">
        <v>185</v>
      </c>
      <c r="D33" s="170"/>
      <c r="E33" s="244"/>
      <c r="F33" s="244"/>
      <c r="G33" s="244"/>
      <c r="H33" s="244"/>
      <c r="I33" s="244"/>
      <c r="J33" s="244"/>
      <c r="K33" s="244"/>
      <c r="L33" s="244"/>
      <c r="M33" s="244"/>
      <c r="N33" s="244"/>
      <c r="O33" s="244"/>
      <c r="P33" s="244"/>
      <c r="Q33" s="244"/>
      <c r="R33" s="244"/>
      <c r="S33" s="244"/>
      <c r="T33" s="244"/>
      <c r="U33" s="244"/>
      <c r="V33" s="244"/>
      <c r="W33" s="244"/>
      <c r="X33" s="244"/>
    </row>
    <row r="34" spans="1:24">
      <c r="A34" s="86"/>
      <c r="B34" s="840"/>
      <c r="C34" s="234" t="s">
        <v>105</v>
      </c>
      <c r="D34" s="142"/>
      <c r="E34" s="245">
        <f>IFERROR(VLOOKUP(E$18,'Apoio - Posto'!$A:$AA,15,FALSE),"")</f>
        <v>0</v>
      </c>
      <c r="F34" s="245">
        <f>IFERROR(VLOOKUP(F$18,'Apoio - Posto'!$A:$AA,15,FALSE),"")</f>
        <v>0</v>
      </c>
      <c r="G34" s="245">
        <f>IFERROR(VLOOKUP(G$18,'Apoio - Posto'!$A:$AA,15,FALSE),"")</f>
        <v>0</v>
      </c>
      <c r="H34" s="245">
        <f>IFERROR(VLOOKUP(H$18,'Apoio - Posto'!$A:$AA,15,FALSE),"")</f>
        <v>0</v>
      </c>
      <c r="I34" s="245" t="str">
        <f>IFERROR(VLOOKUP(I$18,'Apoio - Posto'!$A:$AA,15,FALSE),"")</f>
        <v/>
      </c>
      <c r="J34" s="245" t="str">
        <f>IFERROR(VLOOKUP(J$18,'Apoio - Posto'!$A:$AA,15,FALSE),"")</f>
        <v/>
      </c>
      <c r="K34" s="245" t="str">
        <f>IFERROR(VLOOKUP(K$18,'Apoio - Posto'!$A:$AA,15,FALSE),"")</f>
        <v/>
      </c>
      <c r="L34" s="245" t="str">
        <f>IFERROR(VLOOKUP(L$18,'Apoio - Posto'!$A:$AA,15,FALSE),"")</f>
        <v/>
      </c>
      <c r="M34" s="245" t="str">
        <f>IFERROR(VLOOKUP(M$18,'Apoio - Posto'!$A:$AA,15,FALSE),"")</f>
        <v/>
      </c>
      <c r="N34" s="245" t="str">
        <f>IFERROR(VLOOKUP(N$18,'Apoio - Posto'!$A:$AA,15,FALSE),"")</f>
        <v/>
      </c>
      <c r="O34" s="245" t="str">
        <f>IFERROR(VLOOKUP(O$18,'Apoio - Posto'!$A:$AA,15,FALSE),"")</f>
        <v/>
      </c>
      <c r="P34" s="245" t="str">
        <f>IFERROR(VLOOKUP(P$18,'Apoio - Posto'!$A:$AA,15,FALSE),"")</f>
        <v/>
      </c>
      <c r="Q34" s="245" t="str">
        <f>IFERROR(VLOOKUP(Q$18,'Apoio - Posto'!$A:$AA,15,FALSE),"")</f>
        <v/>
      </c>
      <c r="R34" s="245" t="str">
        <f>IFERROR(VLOOKUP(R$18,'Apoio - Posto'!$A:$AA,15,FALSE),"")</f>
        <v/>
      </c>
      <c r="S34" s="245" t="str">
        <f>IFERROR(VLOOKUP(S$18,'Apoio - Posto'!$A:$AA,15,FALSE),"")</f>
        <v/>
      </c>
      <c r="T34" s="245" t="str">
        <f>IFERROR(VLOOKUP(T$18,'Apoio - Posto'!$A:$AA,15,FALSE),"")</f>
        <v/>
      </c>
      <c r="U34" s="245" t="str">
        <f>IFERROR(VLOOKUP(U$18,'Apoio - Posto'!$A:$AA,15,FALSE),"")</f>
        <v/>
      </c>
      <c r="V34" s="245" t="str">
        <f>IFERROR(VLOOKUP(V$18,'Apoio - Posto'!$A:$AA,15,FALSE),"")</f>
        <v/>
      </c>
      <c r="W34" s="245" t="str">
        <f>IFERROR(VLOOKUP(W$18,'Apoio - Posto'!$A:$AA,15,FALSE),"")</f>
        <v/>
      </c>
      <c r="X34" s="245" t="str">
        <f>IFERROR(VLOOKUP(X$18,'Apoio - Posto'!$A:$AA,15,FALSE),"")</f>
        <v/>
      </c>
    </row>
    <row r="35" spans="1:24">
      <c r="A35" s="86"/>
      <c r="B35" s="841"/>
      <c r="C35" s="228"/>
      <c r="D35" s="94" t="s">
        <v>41</v>
      </c>
      <c r="E35" s="101">
        <f>IFERROR((E32)*E34,"")</f>
        <v>0</v>
      </c>
      <c r="F35" s="101">
        <f t="shared" ref="F35:H35" si="2">IFERROR((F32)*F34,"")</f>
        <v>0</v>
      </c>
      <c r="G35" s="101">
        <f t="shared" si="2"/>
        <v>0</v>
      </c>
      <c r="H35" s="101">
        <f t="shared" si="2"/>
        <v>0</v>
      </c>
      <c r="I35" s="101" t="str">
        <f t="shared" ref="I35:N35" si="3">IFERROR((I32)*I34,"")</f>
        <v/>
      </c>
      <c r="J35" s="101" t="str">
        <f t="shared" si="3"/>
        <v/>
      </c>
      <c r="K35" s="101" t="str">
        <f t="shared" si="3"/>
        <v/>
      </c>
      <c r="L35" s="101" t="str">
        <f t="shared" si="3"/>
        <v/>
      </c>
      <c r="M35" s="101" t="str">
        <f t="shared" si="3"/>
        <v/>
      </c>
      <c r="N35" s="101" t="str">
        <f t="shared" si="3"/>
        <v/>
      </c>
      <c r="O35" s="101" t="str">
        <f t="shared" ref="O35:X35" si="4">IFERROR((O32)*O34,"")</f>
        <v/>
      </c>
      <c r="P35" s="101" t="str">
        <f t="shared" si="4"/>
        <v/>
      </c>
      <c r="Q35" s="101" t="str">
        <f t="shared" si="4"/>
        <v/>
      </c>
      <c r="R35" s="101" t="str">
        <f t="shared" si="4"/>
        <v/>
      </c>
      <c r="S35" s="101" t="str">
        <f t="shared" si="4"/>
        <v/>
      </c>
      <c r="T35" s="101" t="str">
        <f t="shared" si="4"/>
        <v/>
      </c>
      <c r="U35" s="101" t="str">
        <f t="shared" si="4"/>
        <v/>
      </c>
      <c r="V35" s="101" t="str">
        <f t="shared" si="4"/>
        <v/>
      </c>
      <c r="W35" s="101" t="str">
        <f t="shared" si="4"/>
        <v/>
      </c>
      <c r="X35" s="101" t="str">
        <f t="shared" si="4"/>
        <v/>
      </c>
    </row>
    <row r="36" spans="1:24">
      <c r="A36" s="86"/>
      <c r="B36" s="829" t="s">
        <v>0</v>
      </c>
      <c r="C36" s="224" t="s">
        <v>186</v>
      </c>
      <c r="D36" s="225"/>
      <c r="E36" s="235"/>
      <c r="F36" s="235"/>
      <c r="G36" s="235"/>
      <c r="H36" s="235"/>
      <c r="I36" s="235"/>
      <c r="J36" s="235"/>
      <c r="K36" s="235"/>
      <c r="L36" s="235"/>
      <c r="M36" s="235"/>
      <c r="N36" s="235"/>
      <c r="O36" s="235"/>
      <c r="P36" s="235"/>
      <c r="Q36" s="235"/>
      <c r="R36" s="235"/>
      <c r="S36" s="235"/>
      <c r="T36" s="235"/>
      <c r="U36" s="235"/>
      <c r="V36" s="235"/>
      <c r="W36" s="235"/>
      <c r="X36" s="235"/>
    </row>
    <row r="37" spans="1:24">
      <c r="A37" s="86"/>
      <c r="B37" s="829"/>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c r="J37" s="246" t="str">
        <f>IFERROR(VLOOKUP(J$18,'Apoio - Posto'!$A:$AA,14,FALSE),"")</f>
        <v/>
      </c>
      <c r="K37" s="246" t="str">
        <f>IFERROR(VLOOKUP(K$18,'Apoio - Posto'!$A:$AA,14,FALSE),"")</f>
        <v/>
      </c>
      <c r="L37" s="246" t="str">
        <f>IFERROR(VLOOKUP(L$18,'Apoio - Posto'!$A:$AA,14,FALSE),"")</f>
        <v/>
      </c>
      <c r="M37" s="246" t="str">
        <f>IFERROR(VLOOKUP(M$18,'Apoio - Posto'!$A:$AA,14,FALSE),"")</f>
        <v/>
      </c>
      <c r="N37" s="246" t="str">
        <f>IFERROR(VLOOKUP(N$18,'Apoio - Posto'!$A:$AA,14,FALSE),"")</f>
        <v/>
      </c>
      <c r="O37" s="246" t="str">
        <f>IFERROR(VLOOKUP(O$18,'Apoio - Posto'!$A:$AA,14,FALSE),"")</f>
        <v/>
      </c>
      <c r="P37" s="246" t="str">
        <f>IFERROR(VLOOKUP(P$18,'Apoio - Posto'!$A:$AA,14,FALSE),"")</f>
        <v/>
      </c>
      <c r="Q37" s="246" t="str">
        <f>IFERROR(VLOOKUP(Q$18,'Apoio - Posto'!$A:$AA,14,FALSE),"")</f>
        <v/>
      </c>
      <c r="R37" s="246" t="str">
        <f>IFERROR(VLOOKUP(R$18,'Apoio - Posto'!$A:$AA,14,FALSE),"")</f>
        <v/>
      </c>
      <c r="S37" s="246" t="str">
        <f>IFERROR(VLOOKUP(S$18,'Apoio - Posto'!$A:$AA,14,FALSE),"")</f>
        <v/>
      </c>
      <c r="T37" s="246" t="str">
        <f>IFERROR(VLOOKUP(T$18,'Apoio - Posto'!$A:$AA,14,FALSE),"")</f>
        <v/>
      </c>
      <c r="U37" s="246" t="str">
        <f>IFERROR(VLOOKUP(U$18,'Apoio - Posto'!$A:$AA,14,FALSE),"")</f>
        <v/>
      </c>
      <c r="V37" s="246" t="str">
        <f>IFERROR(VLOOKUP(V$18,'Apoio - Posto'!$A:$AA,14,FALSE),"")</f>
        <v/>
      </c>
      <c r="W37" s="246" t="str">
        <f>IFERROR(VLOOKUP(W$18,'Apoio - Posto'!$A:$AA,14,FALSE),"")</f>
        <v/>
      </c>
      <c r="X37" s="246" t="str">
        <f>IFERROR(VLOOKUP(X$18,'Apoio - Posto'!$A:$AA,14,FALSE),"")</f>
        <v/>
      </c>
    </row>
    <row r="38" spans="1:24">
      <c r="A38" s="86"/>
      <c r="B38" s="829"/>
      <c r="C38" s="103" t="s">
        <v>91</v>
      </c>
      <c r="D38" s="93"/>
      <c r="E38" s="247">
        <v>0.4</v>
      </c>
      <c r="F38" s="247">
        <v>0.4</v>
      </c>
      <c r="G38" s="247">
        <v>0.4</v>
      </c>
      <c r="H38" s="247">
        <v>0.2</v>
      </c>
      <c r="I38" s="247"/>
      <c r="J38" s="247"/>
      <c r="K38" s="247"/>
      <c r="L38" s="247"/>
      <c r="M38" s="247"/>
      <c r="N38" s="247"/>
      <c r="O38" s="247"/>
      <c r="P38" s="247"/>
      <c r="Q38" s="247"/>
      <c r="R38" s="247"/>
      <c r="S38" s="247"/>
      <c r="T38" s="247"/>
      <c r="U38" s="247"/>
      <c r="V38" s="247"/>
      <c r="W38" s="247"/>
      <c r="X38" s="247"/>
    </row>
    <row r="39" spans="1:24">
      <c r="A39" s="86"/>
      <c r="B39" s="830"/>
      <c r="C39" s="97"/>
      <c r="D39" s="94" t="s">
        <v>41</v>
      </c>
      <c r="E39" s="101">
        <f t="shared" ref="E39:N39" si="5">IF(E21="","",IFERROR(IF(E37="Salário Base",E$32,IF(E37="Salário Mínimo",$D$15,0))*E38,""))</f>
        <v>642.13090909090909</v>
      </c>
      <c r="F39" s="101">
        <f t="shared" si="5"/>
        <v>481.59818181818184</v>
      </c>
      <c r="G39" s="101">
        <f t="shared" si="5"/>
        <v>642.13090909090909</v>
      </c>
      <c r="H39" s="101">
        <f t="shared" si="5"/>
        <v>240.79909090909092</v>
      </c>
      <c r="I39" s="101" t="str">
        <f t="shared" si="5"/>
        <v/>
      </c>
      <c r="J39" s="101" t="str">
        <f t="shared" si="5"/>
        <v/>
      </c>
      <c r="K39" s="101" t="str">
        <f t="shared" si="5"/>
        <v/>
      </c>
      <c r="L39" s="101" t="str">
        <f t="shared" si="5"/>
        <v/>
      </c>
      <c r="M39" s="101" t="str">
        <f t="shared" si="5"/>
        <v/>
      </c>
      <c r="N39" s="101" t="str">
        <f t="shared" si="5"/>
        <v/>
      </c>
      <c r="O39" s="101" t="str">
        <f t="shared" ref="O39:X39" si="6">IF(O21="","",IFERROR(IF(O37="Salário Base",O$32,IF(O37="Salário Mínimo",$D$15,0))*O38,""))</f>
        <v/>
      </c>
      <c r="P39" s="101" t="str">
        <f t="shared" si="6"/>
        <v/>
      </c>
      <c r="Q39" s="101" t="str">
        <f t="shared" si="6"/>
        <v/>
      </c>
      <c r="R39" s="101" t="str">
        <f t="shared" si="6"/>
        <v/>
      </c>
      <c r="S39" s="101" t="str">
        <f t="shared" si="6"/>
        <v/>
      </c>
      <c r="T39" s="101" t="str">
        <f t="shared" si="6"/>
        <v/>
      </c>
      <c r="U39" s="101" t="str">
        <f t="shared" si="6"/>
        <v/>
      </c>
      <c r="V39" s="101" t="str">
        <f t="shared" si="6"/>
        <v/>
      </c>
      <c r="W39" s="101" t="str">
        <f t="shared" si="6"/>
        <v/>
      </c>
      <c r="X39" s="101" t="str">
        <f t="shared" si="6"/>
        <v/>
      </c>
    </row>
    <row r="40" spans="1:24">
      <c r="A40" s="231"/>
      <c r="B40" s="839" t="s">
        <v>3</v>
      </c>
      <c r="C40" s="226" t="s">
        <v>81</v>
      </c>
      <c r="D40" s="141"/>
      <c r="E40" s="236"/>
      <c r="F40" s="236"/>
      <c r="G40" s="236"/>
      <c r="H40" s="236"/>
      <c r="I40" s="236"/>
      <c r="J40" s="236"/>
      <c r="K40" s="236"/>
      <c r="L40" s="236"/>
      <c r="M40" s="236"/>
      <c r="N40" s="236"/>
      <c r="O40" s="236"/>
      <c r="P40" s="236"/>
      <c r="Q40" s="236"/>
      <c r="R40" s="236"/>
      <c r="S40" s="236"/>
      <c r="T40" s="236"/>
      <c r="U40" s="236"/>
      <c r="V40" s="236"/>
      <c r="W40" s="236"/>
      <c r="X40" s="236"/>
    </row>
    <row r="41" spans="1:24">
      <c r="A41" s="231"/>
      <c r="B41" s="840"/>
      <c r="C41" s="232" t="s">
        <v>91</v>
      </c>
      <c r="D41" s="142"/>
      <c r="E41" s="245"/>
      <c r="F41" s="245"/>
      <c r="G41" s="245">
        <v>0.2</v>
      </c>
      <c r="H41" s="245"/>
      <c r="I41" s="245"/>
      <c r="J41" s="245"/>
      <c r="K41" s="245"/>
      <c r="L41" s="245"/>
      <c r="M41" s="245"/>
      <c r="N41" s="245"/>
      <c r="O41" s="245"/>
      <c r="P41" s="245"/>
      <c r="Q41" s="245"/>
      <c r="R41" s="245"/>
      <c r="S41" s="245"/>
      <c r="T41" s="245"/>
      <c r="U41" s="245"/>
      <c r="V41" s="245"/>
      <c r="W41" s="245"/>
      <c r="X41" s="245"/>
    </row>
    <row r="42" spans="1:24">
      <c r="A42" s="231"/>
      <c r="B42" s="841"/>
      <c r="C42" s="97"/>
      <c r="D42" s="94" t="s">
        <v>41</v>
      </c>
      <c r="E42" s="101">
        <f>IFERROR(E41*E$32,"")</f>
        <v>0</v>
      </c>
      <c r="F42" s="101">
        <f t="shared" ref="F42:H42" si="7">IFERROR(F41*F$32,"")</f>
        <v>0</v>
      </c>
      <c r="G42" s="101">
        <f t="shared" si="7"/>
        <v>321.06545454545454</v>
      </c>
      <c r="H42" s="101">
        <f t="shared" si="7"/>
        <v>0</v>
      </c>
      <c r="I42" s="101" t="str">
        <f t="shared" ref="I42:N42" si="8">IFERROR(I41*I$32,"")</f>
        <v/>
      </c>
      <c r="J42" s="101" t="str">
        <f t="shared" si="8"/>
        <v/>
      </c>
      <c r="K42" s="101" t="str">
        <f t="shared" si="8"/>
        <v/>
      </c>
      <c r="L42" s="101" t="str">
        <f t="shared" si="8"/>
        <v/>
      </c>
      <c r="M42" s="101" t="str">
        <f t="shared" si="8"/>
        <v/>
      </c>
      <c r="N42" s="101" t="str">
        <f t="shared" si="8"/>
        <v/>
      </c>
      <c r="O42" s="101" t="str">
        <f t="shared" ref="O42:X42" si="9">IFERROR(O41*O$32,"")</f>
        <v/>
      </c>
      <c r="P42" s="101" t="str">
        <f t="shared" si="9"/>
        <v/>
      </c>
      <c r="Q42" s="101" t="str">
        <f t="shared" si="9"/>
        <v/>
      </c>
      <c r="R42" s="101" t="str">
        <f t="shared" si="9"/>
        <v/>
      </c>
      <c r="S42" s="101" t="str">
        <f t="shared" si="9"/>
        <v/>
      </c>
      <c r="T42" s="101" t="str">
        <f t="shared" si="9"/>
        <v/>
      </c>
      <c r="U42" s="101" t="str">
        <f t="shared" si="9"/>
        <v/>
      </c>
      <c r="V42" s="101" t="str">
        <f t="shared" si="9"/>
        <v/>
      </c>
      <c r="W42" s="101" t="str">
        <f t="shared" si="9"/>
        <v/>
      </c>
      <c r="X42" s="101" t="str">
        <f t="shared" si="9"/>
        <v/>
      </c>
    </row>
    <row r="43" spans="1:24">
      <c r="A43" s="86"/>
      <c r="B43" s="829" t="s">
        <v>7</v>
      </c>
      <c r="C43" s="230" t="s">
        <v>60</v>
      </c>
      <c r="D43" s="229"/>
      <c r="E43" s="237"/>
      <c r="F43" s="237"/>
      <c r="G43" s="237"/>
      <c r="H43" s="237"/>
      <c r="I43" s="237"/>
      <c r="J43" s="237"/>
      <c r="K43" s="237"/>
      <c r="L43" s="237"/>
      <c r="M43" s="237"/>
      <c r="N43" s="237"/>
      <c r="O43" s="237"/>
      <c r="P43" s="237"/>
      <c r="Q43" s="237"/>
      <c r="R43" s="237"/>
      <c r="S43" s="237"/>
      <c r="T43" s="237"/>
      <c r="U43" s="237"/>
      <c r="V43" s="237"/>
      <c r="W43" s="237"/>
      <c r="X43" s="237"/>
    </row>
    <row r="44" spans="1:24">
      <c r="A44" s="86"/>
      <c r="B44" s="829"/>
      <c r="C44" s="102" t="s">
        <v>85</v>
      </c>
      <c r="D44" s="139"/>
      <c r="E44" s="145" t="str">
        <f t="shared" ref="E44:N44" si="10">IF(AND(E20=5173,E26="12x36 Noturno"),8,"")</f>
        <v/>
      </c>
      <c r="F44" s="145" t="str">
        <f t="shared" si="10"/>
        <v/>
      </c>
      <c r="G44" s="145" t="str">
        <f t="shared" si="10"/>
        <v/>
      </c>
      <c r="H44" s="145" t="str">
        <f t="shared" si="10"/>
        <v/>
      </c>
      <c r="I44" s="145" t="str">
        <f t="shared" si="10"/>
        <v/>
      </c>
      <c r="J44" s="145" t="str">
        <f t="shared" si="10"/>
        <v/>
      </c>
      <c r="K44" s="145" t="str">
        <f t="shared" si="10"/>
        <v/>
      </c>
      <c r="L44" s="145" t="str">
        <f t="shared" si="10"/>
        <v/>
      </c>
      <c r="M44" s="145" t="str">
        <f t="shared" si="10"/>
        <v/>
      </c>
      <c r="N44" s="145" t="str">
        <f t="shared" si="10"/>
        <v/>
      </c>
      <c r="O44" s="145" t="str">
        <f t="shared" ref="O44:X44" si="11">IF(AND(O20=5173,O26="12x36 Noturno"),8,"")</f>
        <v/>
      </c>
      <c r="P44" s="145" t="str">
        <f t="shared" si="11"/>
        <v/>
      </c>
      <c r="Q44" s="145" t="str">
        <f t="shared" si="11"/>
        <v/>
      </c>
      <c r="R44" s="145" t="str">
        <f t="shared" si="11"/>
        <v/>
      </c>
      <c r="S44" s="145" t="str">
        <f t="shared" si="11"/>
        <v/>
      </c>
      <c r="T44" s="145" t="str">
        <f t="shared" si="11"/>
        <v/>
      </c>
      <c r="U44" s="145" t="str">
        <f t="shared" si="11"/>
        <v/>
      </c>
      <c r="V44" s="145" t="str">
        <f t="shared" si="11"/>
        <v/>
      </c>
      <c r="W44" s="145" t="str">
        <f t="shared" si="11"/>
        <v/>
      </c>
      <c r="X44" s="145" t="str">
        <f t="shared" si="11"/>
        <v/>
      </c>
    </row>
    <row r="45" spans="1:24">
      <c r="A45" s="86"/>
      <c r="B45" s="829"/>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c r="J45" s="146" t="str">
        <f>IF(J44="","",VLOOKUP(J26,'Apoio - Regime de Trabalho'!$A:$I,7,FALSE))</f>
        <v/>
      </c>
      <c r="K45" s="146" t="str">
        <f>IF(K44="","",VLOOKUP(K26,'Apoio - Regime de Trabalho'!$A:$I,7,FALSE))</f>
        <v/>
      </c>
      <c r="L45" s="146" t="str">
        <f>IF(L44="","",VLOOKUP(L26,'Apoio - Regime de Trabalho'!$A:$I,7,FALSE))</f>
        <v/>
      </c>
      <c r="M45" s="146" t="str">
        <f>IF(M44="","",VLOOKUP(M26,'Apoio - Regime de Trabalho'!$A:$I,7,FALSE))</f>
        <v/>
      </c>
      <c r="N45" s="146" t="str">
        <f>IF(N44="","",VLOOKUP(N26,'Apoio - Regime de Trabalho'!$A:$I,7,FALSE))</f>
        <v/>
      </c>
      <c r="O45" s="146" t="str">
        <f>IF(O44="","",VLOOKUP(O26,'Apoio - Regime de Trabalho'!$A:$I,7,FALSE))</f>
        <v/>
      </c>
      <c r="P45" s="146" t="str">
        <f>IF(P44="","",VLOOKUP(P26,'Apoio - Regime de Trabalho'!$A:$I,7,FALSE))</f>
        <v/>
      </c>
      <c r="Q45" s="146" t="str">
        <f>IF(Q44="","",VLOOKUP(Q26,'Apoio - Regime de Trabalho'!$A:$I,7,FALSE))</f>
        <v/>
      </c>
      <c r="R45" s="146" t="str">
        <f>IF(R44="","",VLOOKUP(R26,'Apoio - Regime de Trabalho'!$A:$I,7,FALSE))</f>
        <v/>
      </c>
      <c r="S45" s="146" t="str">
        <f>IF(S44="","",VLOOKUP(S26,'Apoio - Regime de Trabalho'!$A:$I,7,FALSE))</f>
        <v/>
      </c>
      <c r="T45" s="146" t="str">
        <f>IF(T44="","",VLOOKUP(T26,'Apoio - Regime de Trabalho'!$A:$I,7,FALSE))</f>
        <v/>
      </c>
      <c r="U45" s="146" t="str">
        <f>IF(U44="","",VLOOKUP(U26,'Apoio - Regime de Trabalho'!$A:$I,7,FALSE))</f>
        <v/>
      </c>
      <c r="V45" s="146" t="str">
        <f>IF(V44="","",VLOOKUP(V26,'Apoio - Regime de Trabalho'!$A:$I,7,FALSE))</f>
        <v/>
      </c>
      <c r="W45" s="146" t="str">
        <f>IF(W44="","",VLOOKUP(W26,'Apoio - Regime de Trabalho'!$A:$I,7,FALSE))</f>
        <v/>
      </c>
      <c r="X45" s="146" t="str">
        <f>IF(X44="","",VLOOKUP(X26,'Apoio - Regime de Trabalho'!$A:$I,7,FALSE))</f>
        <v/>
      </c>
    </row>
    <row r="46" spans="1:24">
      <c r="A46" s="86"/>
      <c r="B46" s="830"/>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IFERROR(SUM(I$32,I$35,I$39)/(VLOOKUP(I$26,'Apoio - Regime de Trabalho'!$A:$I,8,FALSE))*20%*I$44*I$45,"")</f>
        <v/>
      </c>
      <c r="J46" s="147" t="str">
        <f>IFERROR(SUM(J$32,J$35,J$39)/(VLOOKUP(J$26,'Apoio - Regime de Trabalho'!$A:$I,8,FALSE))*20%*J$44*J$45,"")</f>
        <v/>
      </c>
      <c r="K46" s="147" t="str">
        <f>IFERROR(SUM(K$32,K$35,K$39)/(VLOOKUP(K$26,'Apoio - Regime de Trabalho'!$A:$I,8,FALSE))*20%*K$44*K$45,"")</f>
        <v/>
      </c>
      <c r="L46" s="147" t="str">
        <f>IFERROR(SUM(L$32,L$35,L$39)/(VLOOKUP(L$26,'Apoio - Regime de Trabalho'!$A:$I,8,FALSE))*20%*L$44*L$45,"")</f>
        <v/>
      </c>
      <c r="M46" s="147" t="str">
        <f>IFERROR(SUM(M$32,M$35,M$39)/(VLOOKUP(M$26,'Apoio - Regime de Trabalho'!$A:$I,8,FALSE))*20%*M$44*M$45,"")</f>
        <v/>
      </c>
      <c r="N46" s="147" t="str">
        <f>IFERROR(SUM(N$32,N$35,N$39)/(VLOOKUP(N$26,'Apoio - Regime de Trabalho'!$A:$I,8,FALSE))*20%*N$44*N$45,"")</f>
        <v/>
      </c>
      <c r="O46" s="147" t="str">
        <f>IFERROR(SUM(O$32,O$35,O$39)/(VLOOKUP(O$26,'Apoio - Regime de Trabalho'!$A:$I,8,FALSE))*20%*O$44*O$45,"")</f>
        <v/>
      </c>
      <c r="P46" s="147" t="str">
        <f>IFERROR(SUM(P$32,P$35,P$39)/(VLOOKUP(P$26,'Apoio - Regime de Trabalho'!$A:$I,8,FALSE))*20%*P$44*P$45,"")</f>
        <v/>
      </c>
      <c r="Q46" s="147" t="str">
        <f>IFERROR(SUM(Q$32,Q$35,Q$39)/(VLOOKUP(Q$26,'Apoio - Regime de Trabalho'!$A:$I,8,FALSE))*20%*Q$44*Q$45,"")</f>
        <v/>
      </c>
      <c r="R46" s="147" t="str">
        <f>IFERROR(SUM(R$32,R$35,R$39)/(VLOOKUP(R$26,'Apoio - Regime de Trabalho'!$A:$I,8,FALSE))*20%*R$44*R$45,"")</f>
        <v/>
      </c>
      <c r="S46" s="147" t="str">
        <f>IFERROR(SUM(S$32,S$35,S$39)/(VLOOKUP(S$26,'Apoio - Regime de Trabalho'!$A:$I,8,FALSE))*20%*S$44*S$45,"")</f>
        <v/>
      </c>
      <c r="T46" s="147" t="str">
        <f>IFERROR(SUM(T$32,T$35,T$39)/(VLOOKUP(T$26,'Apoio - Regime de Trabalho'!$A:$I,8,FALSE))*20%*T$44*T$45,"")</f>
        <v/>
      </c>
      <c r="U46" s="147" t="str">
        <f>IFERROR(SUM(U$32,U$35,U$39)/(VLOOKUP(U$26,'Apoio - Regime de Trabalho'!$A:$I,8,FALSE))*20%*U$44*U$45,"")</f>
        <v/>
      </c>
      <c r="V46" s="147" t="str">
        <f>IFERROR(SUM(V$32,V$35,V$39)/(VLOOKUP(V$26,'Apoio - Regime de Trabalho'!$A:$I,8,FALSE))*20%*V$44*V$45,"")</f>
        <v/>
      </c>
      <c r="W46" s="147" t="str">
        <f>IFERROR(SUM(W$32,W$35,W$39)/(VLOOKUP(W$26,'Apoio - Regime de Trabalho'!$A:$I,8,FALSE))*20%*W$44*W$45,"")</f>
        <v/>
      </c>
      <c r="X46" s="147" t="str">
        <f>IFERROR(SUM(X$32,X$35,X$39)/(VLOOKUP(X$26,'Apoio - Regime de Trabalho'!$A:$I,8,FALSE))*20%*X$44*X$45,"")</f>
        <v/>
      </c>
    </row>
    <row r="47" spans="1:24">
      <c r="A47" s="86"/>
      <c r="B47" s="831" t="s">
        <v>6</v>
      </c>
      <c r="C47" s="135" t="s">
        <v>139</v>
      </c>
      <c r="D47" s="141"/>
      <c r="E47" s="238"/>
      <c r="F47" s="238"/>
      <c r="G47" s="238"/>
      <c r="H47" s="238"/>
      <c r="I47" s="238"/>
      <c r="J47" s="238"/>
      <c r="K47" s="238"/>
      <c r="L47" s="238"/>
      <c r="M47" s="238"/>
      <c r="N47" s="238"/>
      <c r="O47" s="238"/>
      <c r="P47" s="238"/>
      <c r="Q47" s="238"/>
      <c r="R47" s="238"/>
      <c r="S47" s="238"/>
      <c r="T47" s="238"/>
      <c r="U47" s="238"/>
      <c r="V47" s="238"/>
      <c r="W47" s="238"/>
      <c r="X47" s="238"/>
    </row>
    <row r="48" spans="1:24">
      <c r="A48" s="130"/>
      <c r="B48" s="832"/>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c r="J48" s="149" t="str">
        <f>IF(J44="","",J45*J44*('Apoio - Notas Explicativas'!$D$11/'Apoio - Notas Explicativas'!$D$12-1)
*IF(AND(J20=5173,J26="12x36 Noturno"),0,1))</f>
        <v/>
      </c>
      <c r="K48" s="149" t="str">
        <f>IF(K44="","",K45*K44*('Apoio - Notas Explicativas'!$D$11/'Apoio - Notas Explicativas'!$D$12-1)
*IF(AND(K20=5173,K26="12x36 Noturno"),0,1))</f>
        <v/>
      </c>
      <c r="L48" s="149" t="str">
        <f>IF(L44="","",L45*L44*('Apoio - Notas Explicativas'!$D$11/'Apoio - Notas Explicativas'!$D$12-1)
*IF(AND(L20=5173,L26="12x36 Noturno"),0,1))</f>
        <v/>
      </c>
      <c r="M48" s="149" t="str">
        <f>IF(M44="","",M45*M44*('Apoio - Notas Explicativas'!$D$11/'Apoio - Notas Explicativas'!$D$12-1)
*IF(AND(M20=5173,M26="12x36 Noturno"),0,1))</f>
        <v/>
      </c>
      <c r="N48" s="149" t="str">
        <f>IF(N44="","",N45*N44*('Apoio - Notas Explicativas'!$D$11/'Apoio - Notas Explicativas'!$D$12-1)
*IF(AND(N20=5173,N26="12x36 Noturno"),0,1))</f>
        <v/>
      </c>
      <c r="O48" s="149" t="str">
        <f>IF(O44="","",O45*O44*('Apoio - Notas Explicativas'!$D$11/'Apoio - Notas Explicativas'!$D$12-1)
*IF(AND(O20=5173,O26="12x36 Noturno"),0,1))</f>
        <v/>
      </c>
      <c r="P48" s="149" t="str">
        <f>IF(P44="","",P45*P44*('Apoio - Notas Explicativas'!$D$11/'Apoio - Notas Explicativas'!$D$12-1)
*IF(AND(P20=5173,P26="12x36 Noturno"),0,1))</f>
        <v/>
      </c>
      <c r="Q48" s="149" t="str">
        <f>IF(Q44="","",Q45*Q44*('Apoio - Notas Explicativas'!$D$11/'Apoio - Notas Explicativas'!$D$12-1)
*IF(AND(Q20=5173,Q26="12x36 Noturno"),0,1))</f>
        <v/>
      </c>
      <c r="R48" s="149" t="str">
        <f>IF(R44="","",R45*R44*('Apoio - Notas Explicativas'!$D$11/'Apoio - Notas Explicativas'!$D$12-1)
*IF(AND(R20=5173,R26="12x36 Noturno"),0,1))</f>
        <v/>
      </c>
      <c r="S48" s="149" t="str">
        <f>IF(S44="","",S45*S44*('Apoio - Notas Explicativas'!$D$11/'Apoio - Notas Explicativas'!$D$12-1)
*IF(AND(S20=5173,S26="12x36 Noturno"),0,1))</f>
        <v/>
      </c>
      <c r="T48" s="149" t="str">
        <f>IF(T44="","",T45*T44*('Apoio - Notas Explicativas'!$D$11/'Apoio - Notas Explicativas'!$D$12-1)
*IF(AND(T20=5173,T26="12x36 Noturno"),0,1))</f>
        <v/>
      </c>
      <c r="U48" s="149" t="str">
        <f>IF(U44="","",U45*U44*('Apoio - Notas Explicativas'!$D$11/'Apoio - Notas Explicativas'!$D$12-1)
*IF(AND(U20=5173,U26="12x36 Noturno"),0,1))</f>
        <v/>
      </c>
      <c r="V48" s="149" t="str">
        <f>IF(V44="","",V45*V44*('Apoio - Notas Explicativas'!$D$11/'Apoio - Notas Explicativas'!$D$12-1)
*IF(AND(V20=5173,V26="12x36 Noturno"),0,1))</f>
        <v/>
      </c>
      <c r="W48" s="149" t="str">
        <f>IF(W44="","",W45*W44*('Apoio - Notas Explicativas'!$D$11/'Apoio - Notas Explicativas'!$D$12-1)
*IF(AND(W20=5173,W26="12x36 Noturno"),0,1))</f>
        <v/>
      </c>
      <c r="X48" s="149" t="str">
        <f>IF(X44="","",X45*X44*('Apoio - Notas Explicativas'!$D$11/'Apoio - Notas Explicativas'!$D$12-1)
*IF(AND(X20=5173,X26="12x36 Noturno"),0,1))</f>
        <v/>
      </c>
    </row>
    <row r="49" spans="1:24">
      <c r="A49" s="130"/>
      <c r="B49" s="833"/>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IFERROR(I48*(SUM(I$32,I$35,I$39)/(VLOOKUP(I$26,'Apoio - Regime de Trabalho'!$A:$I,8,FALSE))*120%),"")</f>
        <v/>
      </c>
      <c r="J49" s="101" t="str">
        <f>IFERROR(J48*(SUM(J$32,J$35,J$39)/(VLOOKUP(J$26,'Apoio - Regime de Trabalho'!$A:$I,8,FALSE))*120%),"")</f>
        <v/>
      </c>
      <c r="K49" s="101" t="str">
        <f>IFERROR(K48*(SUM(K$32,K$35,K$39)/(VLOOKUP(K$26,'Apoio - Regime de Trabalho'!$A:$I,8,FALSE))*120%),"")</f>
        <v/>
      </c>
      <c r="L49" s="101" t="str">
        <f>IFERROR(L48*(SUM(L$32,L$35,L$39)/(VLOOKUP(L$26,'Apoio - Regime de Trabalho'!$A:$I,8,FALSE))*120%),"")</f>
        <v/>
      </c>
      <c r="M49" s="101" t="str">
        <f>IFERROR(M48*(SUM(M$32,M$35,M$39)/(VLOOKUP(M$26,'Apoio - Regime de Trabalho'!$A:$I,8,FALSE))*120%),"")</f>
        <v/>
      </c>
      <c r="N49" s="101" t="str">
        <f>IFERROR(N48*(SUM(N$32,N$35,N$39)/(VLOOKUP(N$26,'Apoio - Regime de Trabalho'!$A:$I,8,FALSE))*120%),"")</f>
        <v/>
      </c>
      <c r="O49" s="101" t="str">
        <f>IFERROR(O48*(SUM(O$32,O$35,O$39)/(VLOOKUP(O$26,'Apoio - Regime de Trabalho'!$A:$I,8,FALSE))*120%),"")</f>
        <v/>
      </c>
      <c r="P49" s="101" t="str">
        <f>IFERROR(P48*(SUM(P$32,P$35,P$39)/(VLOOKUP(P$26,'Apoio - Regime de Trabalho'!$A:$I,8,FALSE))*120%),"")</f>
        <v/>
      </c>
      <c r="Q49" s="101" t="str">
        <f>IFERROR(Q48*(SUM(Q$32,Q$35,Q$39)/(VLOOKUP(Q$26,'Apoio - Regime de Trabalho'!$A:$I,8,FALSE))*120%),"")</f>
        <v/>
      </c>
      <c r="R49" s="101" t="str">
        <f>IFERROR(R48*(SUM(R$32,R$35,R$39)/(VLOOKUP(R$26,'Apoio - Regime de Trabalho'!$A:$I,8,FALSE))*120%),"")</f>
        <v/>
      </c>
      <c r="S49" s="101" t="str">
        <f>IFERROR(S48*(SUM(S$32,S$35,S$39)/(VLOOKUP(S$26,'Apoio - Regime de Trabalho'!$A:$I,8,FALSE))*120%),"")</f>
        <v/>
      </c>
      <c r="T49" s="101" t="str">
        <f>IFERROR(T48*(SUM(T$32,T$35,T$39)/(VLOOKUP(T$26,'Apoio - Regime de Trabalho'!$A:$I,8,FALSE))*120%),"")</f>
        <v/>
      </c>
      <c r="U49" s="101" t="str">
        <f>IFERROR(U48*(SUM(U$32,U$35,U$39)/(VLOOKUP(U$26,'Apoio - Regime de Trabalho'!$A:$I,8,FALSE))*120%),"")</f>
        <v/>
      </c>
      <c r="V49" s="101" t="str">
        <f>IFERROR(V48*(SUM(V$32,V$35,V$39)/(VLOOKUP(V$26,'Apoio - Regime de Trabalho'!$A:$I,8,FALSE))*120%),"")</f>
        <v/>
      </c>
      <c r="W49" s="101" t="str">
        <f>IFERROR(W48*(SUM(W$32,W$35,W$39)/(VLOOKUP(W$26,'Apoio - Regime de Trabalho'!$A:$I,8,FALSE))*120%),"")</f>
        <v/>
      </c>
      <c r="X49" s="101" t="str">
        <f>IFERROR(X48*(SUM(X$32,X$35,X$39)/(VLOOKUP(X$26,'Apoio - Regime de Trabalho'!$A:$I,8,FALSE))*120%),"")</f>
        <v/>
      </c>
    </row>
    <row r="50" spans="1:24">
      <c r="A50" s="130"/>
      <c r="B50" s="828" t="s">
        <v>5</v>
      </c>
      <c r="C50" s="160" t="s">
        <v>149</v>
      </c>
      <c r="D50" s="141"/>
      <c r="E50" s="236"/>
      <c r="F50" s="236"/>
      <c r="G50" s="236"/>
      <c r="H50" s="236"/>
      <c r="I50" s="236"/>
      <c r="J50" s="236"/>
      <c r="K50" s="236"/>
      <c r="L50" s="236"/>
      <c r="M50" s="236"/>
      <c r="N50" s="236"/>
      <c r="O50" s="236"/>
      <c r="P50" s="236"/>
      <c r="Q50" s="236"/>
      <c r="R50" s="236"/>
      <c r="S50" s="236"/>
      <c r="T50" s="236"/>
      <c r="U50" s="236"/>
      <c r="V50" s="236"/>
      <c r="W50" s="236"/>
      <c r="X50" s="236"/>
    </row>
    <row r="51" spans="1:24">
      <c r="A51" s="86"/>
      <c r="B51" s="829"/>
      <c r="C51" s="102" t="s">
        <v>91</v>
      </c>
      <c r="D51" s="158"/>
      <c r="E51" s="159"/>
      <c r="F51" s="159"/>
      <c r="G51" s="159"/>
      <c r="H51" s="159"/>
      <c r="I51" s="159"/>
      <c r="J51" s="159"/>
      <c r="K51" s="159"/>
      <c r="L51" s="159"/>
      <c r="M51" s="159"/>
      <c r="N51" s="159"/>
      <c r="O51" s="159"/>
      <c r="P51" s="159"/>
      <c r="Q51" s="159"/>
      <c r="R51" s="159"/>
      <c r="S51" s="159"/>
      <c r="T51" s="159"/>
      <c r="U51" s="159"/>
      <c r="V51" s="159"/>
      <c r="W51" s="159"/>
      <c r="X51" s="159"/>
    </row>
    <row r="52" spans="1:24">
      <c r="A52" s="86"/>
      <c r="B52" s="829"/>
      <c r="C52" s="103" t="s">
        <v>20</v>
      </c>
      <c r="D52" s="143"/>
      <c r="E52" s="150"/>
      <c r="F52" s="150"/>
      <c r="G52" s="150"/>
      <c r="H52" s="150"/>
      <c r="I52" s="150"/>
      <c r="J52" s="150"/>
      <c r="K52" s="150"/>
      <c r="L52" s="150"/>
      <c r="M52" s="150"/>
      <c r="N52" s="150"/>
      <c r="O52" s="150"/>
      <c r="P52" s="150"/>
      <c r="Q52" s="150"/>
      <c r="R52" s="150"/>
      <c r="S52" s="150"/>
      <c r="T52" s="150"/>
      <c r="U52" s="150"/>
      <c r="V52" s="150"/>
      <c r="W52" s="150"/>
      <c r="X52" s="150"/>
    </row>
    <row r="53" spans="1:24">
      <c r="A53" s="86"/>
      <c r="B53" s="830"/>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IFERROR(SUM(I$32,I$35,I$39,I$46)/(VLOOKUP(I$26,'Apoio - Regime de Trabalho'!$A:$I,8,FALSE))*(1+I$51)*I$52,"")</f>
        <v/>
      </c>
      <c r="J53" s="96" t="str">
        <f>IFERROR(SUM(J$32,J$35,J$39,J$46)/(VLOOKUP(J$26,'Apoio - Regime de Trabalho'!$A:$I,8,FALSE))*(1+J$51)*J$52,"")</f>
        <v/>
      </c>
      <c r="K53" s="96" t="str">
        <f>IFERROR(SUM(K$32,K$35,K$39,K$46)/(VLOOKUP(K$26,'Apoio - Regime de Trabalho'!$A:$I,8,FALSE))*(1+K$51)*K$52,"")</f>
        <v/>
      </c>
      <c r="L53" s="96" t="str">
        <f>IFERROR(SUM(L$32,L$35,L$39,L$46)/(VLOOKUP(L$26,'Apoio - Regime de Trabalho'!$A:$I,8,FALSE))*(1+L$51)*L$52,"")</f>
        <v/>
      </c>
      <c r="M53" s="96" t="str">
        <f>IFERROR(SUM(M$32,M$35,M$39,M$46)/(VLOOKUP(M$26,'Apoio - Regime de Trabalho'!$A:$I,8,FALSE))*(1+M$51)*M$52,"")</f>
        <v/>
      </c>
      <c r="N53" s="96" t="str">
        <f>IFERROR(SUM(N$32,N$35,N$39,N$46)/(VLOOKUP(N$26,'Apoio - Regime de Trabalho'!$A:$I,8,FALSE))*(1+N$51)*N$52,"")</f>
        <v/>
      </c>
      <c r="O53" s="96" t="str">
        <f>IFERROR(SUM(O$32,O$35,O$39,O$46)/(VLOOKUP(O$26,'Apoio - Regime de Trabalho'!$A:$I,8,FALSE))*(1+O$51)*O$52,"")</f>
        <v/>
      </c>
      <c r="P53" s="96" t="str">
        <f>IFERROR(SUM(P$32,P$35,P$39,P$46)/(VLOOKUP(P$26,'Apoio - Regime de Trabalho'!$A:$I,8,FALSE))*(1+P$51)*P$52,"")</f>
        <v/>
      </c>
      <c r="Q53" s="96" t="str">
        <f>IFERROR(SUM(Q$32,Q$35,Q$39,Q$46)/(VLOOKUP(Q$26,'Apoio - Regime de Trabalho'!$A:$I,8,FALSE))*(1+Q$51)*Q$52,"")</f>
        <v/>
      </c>
      <c r="R53" s="96" t="str">
        <f>IFERROR(SUM(R$32,R$35,R$39,R$46)/(VLOOKUP(R$26,'Apoio - Regime de Trabalho'!$A:$I,8,FALSE))*(1+R$51)*R$52,"")</f>
        <v/>
      </c>
      <c r="S53" s="96" t="str">
        <f>IFERROR(SUM(S$32,S$35,S$39,S$46)/(VLOOKUP(S$26,'Apoio - Regime de Trabalho'!$A:$I,8,FALSE))*(1+S$51)*S$52,"")</f>
        <v/>
      </c>
      <c r="T53" s="96" t="str">
        <f>IFERROR(SUM(T$32,T$35,T$39,T$46)/(VLOOKUP(T$26,'Apoio - Regime de Trabalho'!$A:$I,8,FALSE))*(1+T$51)*T$52,"")</f>
        <v/>
      </c>
      <c r="U53" s="96" t="str">
        <f>IFERROR(SUM(U$32,U$35,U$39,U$46)/(VLOOKUP(U$26,'Apoio - Regime de Trabalho'!$A:$I,8,FALSE))*(1+U$51)*U$52,"")</f>
        <v/>
      </c>
      <c r="V53" s="96" t="str">
        <f>IFERROR(SUM(V$32,V$35,V$39,V$46)/(VLOOKUP(V$26,'Apoio - Regime de Trabalho'!$A:$I,8,FALSE))*(1+V$51)*V$52,"")</f>
        <v/>
      </c>
      <c r="W53" s="96" t="str">
        <f>IFERROR(SUM(W$32,W$35,W$39,W$46)/(VLOOKUP(W$26,'Apoio - Regime de Trabalho'!$A:$I,8,FALSE))*(1+W$51)*W$52,"")</f>
        <v/>
      </c>
      <c r="X53" s="96" t="str">
        <f>IFERROR(SUM(X$32,X$35,X$39,X$46)/(VLOOKUP(X$26,'Apoio - Regime de Trabalho'!$A:$I,8,FALSE))*(1+X$51)*X$52,"")</f>
        <v/>
      </c>
    </row>
    <row r="54" spans="1:24">
      <c r="A54" s="86"/>
      <c r="B54" s="831" t="s">
        <v>4</v>
      </c>
      <c r="C54" s="135" t="s">
        <v>82</v>
      </c>
      <c r="D54" s="141"/>
      <c r="E54" s="239"/>
      <c r="F54" s="239"/>
      <c r="G54" s="239"/>
      <c r="H54" s="239"/>
      <c r="I54" s="239"/>
      <c r="J54" s="239"/>
      <c r="K54" s="239"/>
      <c r="L54" s="239"/>
      <c r="M54" s="239"/>
      <c r="N54" s="239"/>
      <c r="O54" s="239"/>
      <c r="P54" s="239"/>
      <c r="Q54" s="239"/>
      <c r="R54" s="239"/>
      <c r="S54" s="239"/>
      <c r="T54" s="239"/>
      <c r="U54" s="239"/>
      <c r="V54" s="239"/>
      <c r="W54" s="239"/>
      <c r="X54" s="239"/>
    </row>
    <row r="55" spans="1:24">
      <c r="A55" s="86"/>
      <c r="B55" s="832"/>
      <c r="C55" s="136" t="s">
        <v>84</v>
      </c>
      <c r="D55" s="142"/>
      <c r="E55" s="420">
        <f>IF(E18="","",IFERROR(SUM(E$46,E49)*20%,""))</f>
        <v>0</v>
      </c>
      <c r="F55" s="420">
        <f t="shared" ref="F55:N55" si="12">IF(F18="","",IFERROR(SUM(F$46,F49)*20%,""))</f>
        <v>0</v>
      </c>
      <c r="G55" s="420">
        <f t="shared" si="12"/>
        <v>0</v>
      </c>
      <c r="H55" s="420">
        <f t="shared" si="12"/>
        <v>0</v>
      </c>
      <c r="I55" s="420" t="str">
        <f t="shared" si="12"/>
        <v/>
      </c>
      <c r="J55" s="420" t="str">
        <f t="shared" si="12"/>
        <v/>
      </c>
      <c r="K55" s="420" t="str">
        <f t="shared" si="12"/>
        <v/>
      </c>
      <c r="L55" s="420" t="str">
        <f t="shared" si="12"/>
        <v/>
      </c>
      <c r="M55" s="420" t="str">
        <f t="shared" si="12"/>
        <v/>
      </c>
      <c r="N55" s="420" t="str">
        <f t="shared" si="12"/>
        <v/>
      </c>
      <c r="O55" s="420" t="str">
        <f t="shared" ref="O55:X55" si="13">IF(O18="","",IFERROR(SUM(O$46,O49)*20%,""))</f>
        <v/>
      </c>
      <c r="P55" s="420" t="str">
        <f t="shared" si="13"/>
        <v/>
      </c>
      <c r="Q55" s="420" t="str">
        <f t="shared" si="13"/>
        <v/>
      </c>
      <c r="R55" s="420" t="str">
        <f t="shared" si="13"/>
        <v/>
      </c>
      <c r="S55" s="420" t="str">
        <f t="shared" si="13"/>
        <v/>
      </c>
      <c r="T55" s="420" t="str">
        <f t="shared" si="13"/>
        <v/>
      </c>
      <c r="U55" s="420" t="str">
        <f t="shared" si="13"/>
        <v/>
      </c>
      <c r="V55" s="420" t="str">
        <f t="shared" si="13"/>
        <v/>
      </c>
      <c r="W55" s="420" t="str">
        <f t="shared" si="13"/>
        <v/>
      </c>
      <c r="X55" s="420" t="str">
        <f t="shared" si="13"/>
        <v/>
      </c>
    </row>
    <row r="56" spans="1:24">
      <c r="A56" s="86"/>
      <c r="B56" s="832"/>
      <c r="C56" s="162" t="s">
        <v>83</v>
      </c>
      <c r="D56" s="144" t="s">
        <v>323</v>
      </c>
      <c r="E56" s="421">
        <f t="shared" ref="E56:N56" si="14">IFERROR(IF(E18="","",IF(D56="Não",0,E53*20%)),"")</f>
        <v>0</v>
      </c>
      <c r="F56" s="421">
        <f t="shared" si="14"/>
        <v>0</v>
      </c>
      <c r="G56" s="421">
        <f t="shared" si="14"/>
        <v>0</v>
      </c>
      <c r="H56" s="421">
        <f t="shared" si="14"/>
        <v>0</v>
      </c>
      <c r="I56" s="421" t="str">
        <f t="shared" si="14"/>
        <v/>
      </c>
      <c r="J56" s="421" t="str">
        <f t="shared" si="14"/>
        <v/>
      </c>
      <c r="K56" s="421" t="str">
        <f t="shared" si="14"/>
        <v/>
      </c>
      <c r="L56" s="421" t="str">
        <f t="shared" si="14"/>
        <v/>
      </c>
      <c r="M56" s="421" t="str">
        <f t="shared" si="14"/>
        <v/>
      </c>
      <c r="N56" s="421" t="str">
        <f t="shared" si="14"/>
        <v/>
      </c>
      <c r="O56" s="421" t="str">
        <f t="shared" ref="O56" si="15">IFERROR(IF(O18="","",IF(N56="Não",0,O53*20%)),"")</f>
        <v/>
      </c>
      <c r="P56" s="421" t="str">
        <f t="shared" ref="P56" si="16">IFERROR(IF(P18="","",IF(O56="Não",0,P53*20%)),"")</f>
        <v/>
      </c>
      <c r="Q56" s="421" t="str">
        <f t="shared" ref="Q56" si="17">IFERROR(IF(Q18="","",IF(P56="Não",0,Q53*20%)),"")</f>
        <v/>
      </c>
      <c r="R56" s="421" t="str">
        <f t="shared" ref="R56" si="18">IFERROR(IF(R18="","",IF(Q56="Não",0,R53*20%)),"")</f>
        <v/>
      </c>
      <c r="S56" s="421" t="str">
        <f t="shared" ref="S56" si="19">IFERROR(IF(S18="","",IF(R56="Não",0,S53*20%)),"")</f>
        <v/>
      </c>
      <c r="T56" s="421" t="str">
        <f t="shared" ref="T56" si="20">IFERROR(IF(T18="","",IF(S56="Não",0,T53*20%)),"")</f>
        <v/>
      </c>
      <c r="U56" s="421" t="str">
        <f t="shared" ref="U56" si="21">IFERROR(IF(U18="","",IF(T56="Não",0,U53*20%)),"")</f>
        <v/>
      </c>
      <c r="V56" s="421" t="str">
        <f t="shared" ref="V56" si="22">IFERROR(IF(V18="","",IF(U56="Não",0,V53*20%)),"")</f>
        <v/>
      </c>
      <c r="W56" s="421" t="str">
        <f t="shared" ref="W56" si="23">IFERROR(IF(W18="","",IF(V56="Não",0,W53*20%)),"")</f>
        <v/>
      </c>
      <c r="X56" s="421" t="str">
        <f t="shared" ref="X56" si="24">IFERROR(IF(X18="","",IF(W56="Não",0,X53*20%)),"")</f>
        <v/>
      </c>
    </row>
    <row r="57" spans="1:24">
      <c r="A57" s="86"/>
      <c r="B57" s="832"/>
      <c r="C57" s="162" t="s">
        <v>138</v>
      </c>
      <c r="D57" s="144"/>
      <c r="E57" s="421">
        <f t="shared" ref="E57:N57" si="25">IF(E21="","",IFERROR(E$59*20%,""))</f>
        <v>0</v>
      </c>
      <c r="F57" s="421">
        <f t="shared" si="25"/>
        <v>0</v>
      </c>
      <c r="G57" s="421">
        <f t="shared" si="25"/>
        <v>0</v>
      </c>
      <c r="H57" s="421">
        <f t="shared" si="25"/>
        <v>0</v>
      </c>
      <c r="I57" s="421" t="str">
        <f t="shared" si="25"/>
        <v/>
      </c>
      <c r="J57" s="421" t="str">
        <f t="shared" si="25"/>
        <v/>
      </c>
      <c r="K57" s="421" t="str">
        <f t="shared" si="25"/>
        <v/>
      </c>
      <c r="L57" s="421" t="str">
        <f t="shared" si="25"/>
        <v/>
      </c>
      <c r="M57" s="421" t="str">
        <f t="shared" si="25"/>
        <v/>
      </c>
      <c r="N57" s="421" t="str">
        <f t="shared" si="25"/>
        <v/>
      </c>
      <c r="O57" s="421" t="str">
        <f t="shared" ref="O57:X57" si="26">IF(O21="","",IFERROR(O$59*20%,""))</f>
        <v/>
      </c>
      <c r="P57" s="421" t="str">
        <f t="shared" si="26"/>
        <v/>
      </c>
      <c r="Q57" s="421" t="str">
        <f t="shared" si="26"/>
        <v/>
      </c>
      <c r="R57" s="421" t="str">
        <f t="shared" si="26"/>
        <v/>
      </c>
      <c r="S57" s="421" t="str">
        <f t="shared" si="26"/>
        <v/>
      </c>
      <c r="T57" s="421" t="str">
        <f t="shared" si="26"/>
        <v/>
      </c>
      <c r="U57" s="421" t="str">
        <f t="shared" si="26"/>
        <v/>
      </c>
      <c r="V57" s="421" t="str">
        <f t="shared" si="26"/>
        <v/>
      </c>
      <c r="W57" s="421" t="str">
        <f t="shared" si="26"/>
        <v/>
      </c>
      <c r="X57" s="421" t="str">
        <f t="shared" si="26"/>
        <v/>
      </c>
    </row>
    <row r="58" spans="1:24">
      <c r="A58" s="86"/>
      <c r="B58" s="833"/>
      <c r="C58" s="100"/>
      <c r="D58" s="94" t="s">
        <v>41</v>
      </c>
      <c r="E58" s="207" t="str">
        <f>IF(SUM(E55:E57)=0,"",SUM(E55:E57))</f>
        <v/>
      </c>
      <c r="F58" s="207" t="str">
        <f t="shared" ref="F58:H58" si="27">IF(SUM(F55:F57)=0,"",SUM(F55:F57))</f>
        <v/>
      </c>
      <c r="G58" s="207" t="str">
        <f t="shared" si="27"/>
        <v/>
      </c>
      <c r="H58" s="207" t="str">
        <f t="shared" si="27"/>
        <v/>
      </c>
      <c r="I58" s="207" t="str">
        <f t="shared" ref="I58:N58" si="28">IF(SUM(I55:I57)=0,"",SUM(I55:I57))</f>
        <v/>
      </c>
      <c r="J58" s="207" t="str">
        <f t="shared" si="28"/>
        <v/>
      </c>
      <c r="K58" s="207" t="str">
        <f t="shared" si="28"/>
        <v/>
      </c>
      <c r="L58" s="207" t="str">
        <f t="shared" si="28"/>
        <v/>
      </c>
      <c r="M58" s="207" t="str">
        <f t="shared" si="28"/>
        <v/>
      </c>
      <c r="N58" s="207" t="str">
        <f t="shared" si="28"/>
        <v/>
      </c>
      <c r="O58" s="207" t="str">
        <f t="shared" ref="O58:X58" si="29">IF(SUM(O55:O57)=0,"",SUM(O55:O57))</f>
        <v/>
      </c>
      <c r="P58" s="207" t="str">
        <f t="shared" si="29"/>
        <v/>
      </c>
      <c r="Q58" s="207" t="str">
        <f t="shared" si="29"/>
        <v/>
      </c>
      <c r="R58" s="207" t="str">
        <f t="shared" si="29"/>
        <v/>
      </c>
      <c r="S58" s="207" t="str">
        <f t="shared" si="29"/>
        <v/>
      </c>
      <c r="T58" s="207" t="str">
        <f t="shared" si="29"/>
        <v/>
      </c>
      <c r="U58" s="207" t="str">
        <f t="shared" si="29"/>
        <v/>
      </c>
      <c r="V58" s="207" t="str">
        <f t="shared" si="29"/>
        <v/>
      </c>
      <c r="W58" s="207" t="str">
        <f t="shared" si="29"/>
        <v/>
      </c>
      <c r="X58" s="207" t="str">
        <f t="shared" si="29"/>
        <v/>
      </c>
    </row>
    <row r="59" spans="1:24">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c r="J59" s="256" t="str">
        <f>IFERROR(IFERROR(VLOOKUP(J$18,'Apoio - Posto'!$A:$AA,12,FALSE),"")*VLOOKUP(J26,'Apoio - Regime de Trabalho'!$A:$I,7,FALSE),"")</f>
        <v/>
      </c>
      <c r="K59" s="256" t="str">
        <f>IFERROR(IFERROR(VLOOKUP(K$18,'Apoio - Posto'!$A:$AA,12,FALSE),"")*VLOOKUP(K26,'Apoio - Regime de Trabalho'!$A:$I,7,FALSE),"")</f>
        <v/>
      </c>
      <c r="L59" s="256" t="str">
        <f>IFERROR(IFERROR(VLOOKUP(L$18,'Apoio - Posto'!$A:$AA,12,FALSE),"")*VLOOKUP(L26,'Apoio - Regime de Trabalho'!$A:$I,7,FALSE),"")</f>
        <v/>
      </c>
      <c r="M59" s="256" t="str">
        <f>IFERROR(IFERROR(VLOOKUP(M$18,'Apoio - Posto'!$A:$AA,12,FALSE),"")*VLOOKUP(M26,'Apoio - Regime de Trabalho'!$A:$I,7,FALSE),"")</f>
        <v/>
      </c>
      <c r="N59" s="256" t="str">
        <f>IFERROR(IFERROR(VLOOKUP(N$18,'Apoio - Posto'!$A:$AA,12,FALSE),"")*VLOOKUP(N26,'Apoio - Regime de Trabalho'!$A:$I,7,FALSE),"")</f>
        <v/>
      </c>
      <c r="O59" s="256" t="str">
        <f>IFERROR(IFERROR(VLOOKUP(O$18,'Apoio - Posto'!$A:$AA,12,FALSE),"")*VLOOKUP(O26,'Apoio - Regime de Trabalho'!$A:$I,7,FALSE),"")</f>
        <v/>
      </c>
      <c r="P59" s="256" t="str">
        <f>IFERROR(IFERROR(VLOOKUP(P$18,'Apoio - Posto'!$A:$AA,12,FALSE),"")*VLOOKUP(P26,'Apoio - Regime de Trabalho'!$A:$I,7,FALSE),"")</f>
        <v/>
      </c>
      <c r="Q59" s="256" t="str">
        <f>IFERROR(IFERROR(VLOOKUP(Q$18,'Apoio - Posto'!$A:$AA,12,FALSE),"")*VLOOKUP(Q26,'Apoio - Regime de Trabalho'!$A:$I,7,FALSE),"")</f>
        <v/>
      </c>
      <c r="R59" s="256" t="str">
        <f>IFERROR(IFERROR(VLOOKUP(R$18,'Apoio - Posto'!$A:$AA,12,FALSE),"")*VLOOKUP(R26,'Apoio - Regime de Trabalho'!$A:$I,7,FALSE),"")</f>
        <v/>
      </c>
      <c r="S59" s="256" t="str">
        <f>IFERROR(IFERROR(VLOOKUP(S$18,'Apoio - Posto'!$A:$AA,12,FALSE),"")*VLOOKUP(S26,'Apoio - Regime de Trabalho'!$A:$I,7,FALSE),"")</f>
        <v/>
      </c>
      <c r="T59" s="256" t="str">
        <f>IFERROR(IFERROR(VLOOKUP(T$18,'Apoio - Posto'!$A:$AA,12,FALSE),"")*VLOOKUP(T26,'Apoio - Regime de Trabalho'!$A:$I,7,FALSE),"")</f>
        <v/>
      </c>
      <c r="U59" s="256" t="str">
        <f>IFERROR(IFERROR(VLOOKUP(U$18,'Apoio - Posto'!$A:$AA,12,FALSE),"")*VLOOKUP(U26,'Apoio - Regime de Trabalho'!$A:$I,7,FALSE),"")</f>
        <v/>
      </c>
      <c r="V59" s="256" t="str">
        <f>IFERROR(IFERROR(VLOOKUP(V$18,'Apoio - Posto'!$A:$AA,12,FALSE),"")*VLOOKUP(V26,'Apoio - Regime de Trabalho'!$A:$I,7,FALSE),"")</f>
        <v/>
      </c>
      <c r="W59" s="256" t="str">
        <f>IFERROR(IFERROR(VLOOKUP(W$18,'Apoio - Posto'!$A:$AA,12,FALSE),"")*VLOOKUP(W26,'Apoio - Regime de Trabalho'!$A:$I,7,FALSE),"")</f>
        <v/>
      </c>
      <c r="X59" s="256" t="str">
        <f>IFERROR(IFERROR(VLOOKUP(X$18,'Apoio - Posto'!$A:$AA,12,FALSE),"")*VLOOKUP(X26,'Apoio - Regime de Trabalho'!$A:$I,7,FALSE),"")</f>
        <v/>
      </c>
    </row>
    <row r="60" spans="1:24">
      <c r="A60" s="133"/>
      <c r="B60" s="134" t="s">
        <v>140</v>
      </c>
      <c r="C60" s="441" t="s">
        <v>173</v>
      </c>
      <c r="D60" s="442"/>
      <c r="E60" s="152"/>
      <c r="F60" s="152"/>
      <c r="G60" s="152"/>
      <c r="H60" s="152"/>
      <c r="I60" s="152"/>
      <c r="J60" s="152"/>
      <c r="K60" s="152"/>
      <c r="L60" s="152"/>
      <c r="M60" s="152"/>
      <c r="N60" s="152"/>
      <c r="O60" s="152"/>
      <c r="P60" s="152"/>
      <c r="Q60" s="152"/>
      <c r="R60" s="152"/>
      <c r="S60" s="152"/>
      <c r="T60" s="152"/>
      <c r="U60" s="152"/>
      <c r="V60" s="152"/>
      <c r="W60" s="152"/>
      <c r="X60" s="152"/>
    </row>
    <row r="61" spans="1:24" s="5" customFormat="1">
      <c r="A61" s="73"/>
      <c r="B61" s="157"/>
      <c r="C61" s="90" t="s">
        <v>304</v>
      </c>
      <c r="D61" s="153"/>
      <c r="E61" s="155">
        <f t="shared" ref="E61:N61" si="30">IF(E21="","",SUM(E32,E35,E39,E42,E46,E49,E53,E58,E59,E60))</f>
        <v>2247.4581818181819</v>
      </c>
      <c r="F61" s="156">
        <f t="shared" si="30"/>
        <v>1685.5936363636365</v>
      </c>
      <c r="G61" s="156">
        <f t="shared" si="30"/>
        <v>2568.5236363636363</v>
      </c>
      <c r="H61" s="154">
        <f t="shared" si="30"/>
        <v>1444.7945454545454</v>
      </c>
      <c r="I61" s="154" t="str">
        <f t="shared" si="30"/>
        <v/>
      </c>
      <c r="J61" s="154" t="str">
        <f t="shared" si="30"/>
        <v/>
      </c>
      <c r="K61" s="154" t="str">
        <f t="shared" si="30"/>
        <v/>
      </c>
      <c r="L61" s="154" t="str">
        <f t="shared" si="30"/>
        <v/>
      </c>
      <c r="M61" s="154" t="str">
        <f t="shared" si="30"/>
        <v/>
      </c>
      <c r="N61" s="154" t="str">
        <f t="shared" si="30"/>
        <v/>
      </c>
      <c r="O61" s="154" t="str">
        <f t="shared" ref="O61:X61" si="31">IF(O21="","",SUM(O32,O35,O39,O42,O46,O49,O53,O58,O59,O60))</f>
        <v/>
      </c>
      <c r="P61" s="154" t="str">
        <f t="shared" si="31"/>
        <v/>
      </c>
      <c r="Q61" s="154" t="str">
        <f t="shared" si="31"/>
        <v/>
      </c>
      <c r="R61" s="154" t="str">
        <f t="shared" si="31"/>
        <v/>
      </c>
      <c r="S61" s="154" t="str">
        <f t="shared" si="31"/>
        <v/>
      </c>
      <c r="T61" s="154" t="str">
        <f t="shared" si="31"/>
        <v/>
      </c>
      <c r="U61" s="154" t="str">
        <f t="shared" si="31"/>
        <v/>
      </c>
      <c r="V61" s="154" t="str">
        <f t="shared" si="31"/>
        <v/>
      </c>
      <c r="W61" s="154" t="str">
        <f t="shared" si="31"/>
        <v/>
      </c>
      <c r="X61" s="154"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74"/>
      <c r="B63" s="89"/>
      <c r="C63" s="90" t="s">
        <v>124</v>
      </c>
      <c r="D63" s="91"/>
      <c r="E63" s="370"/>
      <c r="F63" s="370"/>
      <c r="G63" s="370"/>
      <c r="H63" s="370"/>
      <c r="I63" s="370"/>
      <c r="J63" s="370"/>
      <c r="K63" s="370"/>
      <c r="L63" s="370"/>
      <c r="M63" s="370"/>
      <c r="N63" s="370"/>
      <c r="O63" s="370"/>
      <c r="P63" s="370"/>
      <c r="Q63" s="370"/>
      <c r="R63" s="370"/>
      <c r="S63" s="370"/>
      <c r="T63" s="370"/>
      <c r="U63" s="370"/>
      <c r="V63" s="370"/>
      <c r="W63" s="370"/>
      <c r="X63" s="370"/>
    </row>
    <row r="64" spans="1:24" customFormat="1" ht="3.75" customHeight="1"/>
    <row r="65" spans="1:24" s="6" customFormat="1">
      <c r="A65" s="75"/>
      <c r="B65" s="171"/>
      <c r="C65" s="172" t="s">
        <v>125</v>
      </c>
      <c r="D65" s="173"/>
      <c r="E65" s="176"/>
      <c r="F65" s="176"/>
      <c r="G65" s="176"/>
      <c r="H65" s="174"/>
      <c r="I65" s="174"/>
      <c r="J65" s="174"/>
      <c r="K65" s="174"/>
      <c r="L65" s="174"/>
      <c r="M65" s="174"/>
      <c r="N65" s="174"/>
      <c r="O65" s="174"/>
      <c r="P65" s="174"/>
      <c r="Q65" s="174"/>
      <c r="R65" s="174"/>
      <c r="S65" s="174"/>
      <c r="T65" s="174"/>
      <c r="U65" s="174"/>
      <c r="V65" s="174"/>
      <c r="W65" s="174"/>
      <c r="X65" s="174"/>
    </row>
    <row r="66" spans="1:24">
      <c r="A66" s="74"/>
      <c r="B66" s="87" t="s">
        <v>2</v>
      </c>
      <c r="C66" s="392" t="s">
        <v>56</v>
      </c>
      <c r="D66" s="407">
        <f>IFERROR(INDEX('Apoio - Notas Explicativas'!Q:Q,MATCH(C66,'Apoio - Notas Explicativas'!C:C,0)),"")</f>
        <v>8.3299999999999999E-2</v>
      </c>
      <c r="E66" s="99">
        <f>IFERROR($D66*E$61,"")</f>
        <v>187.21326654545456</v>
      </c>
      <c r="F66" s="99">
        <f t="shared" ref="F66:U68" si="32">IFERROR($D66*F$61,"")</f>
        <v>140.40994990909093</v>
      </c>
      <c r="G66" s="99">
        <f t="shared" si="32"/>
        <v>213.9580189090909</v>
      </c>
      <c r="H66" s="99">
        <f t="shared" si="32"/>
        <v>120.35138563636363</v>
      </c>
      <c r="I66" s="99" t="str">
        <f t="shared" si="32"/>
        <v/>
      </c>
      <c r="J66" s="99" t="str">
        <f t="shared" si="32"/>
        <v/>
      </c>
      <c r="K66" s="99" t="str">
        <f t="shared" si="32"/>
        <v/>
      </c>
      <c r="L66" s="99" t="str">
        <f t="shared" si="32"/>
        <v/>
      </c>
      <c r="M66" s="99" t="str">
        <f t="shared" si="32"/>
        <v/>
      </c>
      <c r="N66" s="99" t="str">
        <f t="shared" si="32"/>
        <v/>
      </c>
      <c r="O66" s="99" t="str">
        <f t="shared" si="32"/>
        <v/>
      </c>
      <c r="P66" s="99" t="str">
        <f t="shared" si="32"/>
        <v/>
      </c>
      <c r="Q66" s="99" t="str">
        <f t="shared" si="32"/>
        <v/>
      </c>
      <c r="R66" s="99" t="str">
        <f t="shared" si="32"/>
        <v/>
      </c>
      <c r="S66" s="99" t="str">
        <f t="shared" si="32"/>
        <v/>
      </c>
      <c r="T66" s="99" t="str">
        <f t="shared" si="32"/>
        <v/>
      </c>
      <c r="U66" s="99" t="str">
        <f t="shared" si="32"/>
        <v/>
      </c>
      <c r="V66" s="99" t="str">
        <f t="shared" ref="O66:X68" si="33">IFERROR($D66*V$61,"")</f>
        <v/>
      </c>
      <c r="W66" s="99" t="str">
        <f t="shared" si="33"/>
        <v/>
      </c>
      <c r="X66" s="99" t="str">
        <f t="shared" si="33"/>
        <v/>
      </c>
    </row>
    <row r="67" spans="1:24">
      <c r="A67" s="74"/>
      <c r="B67" s="87" t="s">
        <v>1</v>
      </c>
      <c r="C67" s="392" t="s">
        <v>21</v>
      </c>
      <c r="D67" s="407">
        <f>IFERROR(INDEX('Apoio - Notas Explicativas'!Q:Q,MATCH(C67,'Apoio - Notas Explicativas'!C:C,0)),"")</f>
        <v>0.1111</v>
      </c>
      <c r="E67" s="99">
        <f>IFERROR($D67*E$61,"")</f>
        <v>249.69260400000002</v>
      </c>
      <c r="F67" s="99">
        <f t="shared" si="32"/>
        <v>187.26945300000003</v>
      </c>
      <c r="G67" s="99">
        <f t="shared" si="32"/>
        <v>285.362976</v>
      </c>
      <c r="H67" s="99">
        <f t="shared" si="32"/>
        <v>160.51667399999999</v>
      </c>
      <c r="I67" s="99" t="str">
        <f t="shared" si="32"/>
        <v/>
      </c>
      <c r="J67" s="99" t="str">
        <f t="shared" si="32"/>
        <v/>
      </c>
      <c r="K67" s="99" t="str">
        <f t="shared" si="32"/>
        <v/>
      </c>
      <c r="L67" s="99" t="str">
        <f t="shared" si="32"/>
        <v/>
      </c>
      <c r="M67" s="99" t="str">
        <f t="shared" si="32"/>
        <v/>
      </c>
      <c r="N67" s="99" t="str">
        <f t="shared" si="32"/>
        <v/>
      </c>
      <c r="O67" s="99" t="str">
        <f t="shared" si="33"/>
        <v/>
      </c>
      <c r="P67" s="99" t="str">
        <f t="shared" si="33"/>
        <v/>
      </c>
      <c r="Q67" s="99" t="str">
        <f t="shared" si="33"/>
        <v/>
      </c>
      <c r="R67" s="99" t="str">
        <f t="shared" si="33"/>
        <v/>
      </c>
      <c r="S67" s="99" t="str">
        <f t="shared" si="33"/>
        <v/>
      </c>
      <c r="T67" s="99" t="str">
        <f t="shared" si="33"/>
        <v/>
      </c>
      <c r="U67" s="99" t="str">
        <f t="shared" si="33"/>
        <v/>
      </c>
      <c r="V67" s="99" t="str">
        <f t="shared" si="33"/>
        <v/>
      </c>
      <c r="W67" s="99" t="str">
        <f t="shared" si="33"/>
        <v/>
      </c>
      <c r="X67" s="99" t="str">
        <f t="shared" si="33"/>
        <v/>
      </c>
    </row>
    <row r="68" spans="1:24">
      <c r="A68" s="74"/>
      <c r="B68" s="87" t="s">
        <v>0</v>
      </c>
      <c r="C68" s="654" t="s">
        <v>80</v>
      </c>
      <c r="D68" s="407">
        <f>IFERROR(INDEX('Apoio - Notas Explicativas'!Q:Q,MATCH(C68,'Apoio - Notas Explicativas'!C:C,0)),"")</f>
        <v>7.1599999999999997E-2</v>
      </c>
      <c r="E68" s="99">
        <f>IFERROR($D68*E$61,"")</f>
        <v>160.91800581818183</v>
      </c>
      <c r="F68" s="99">
        <f t="shared" si="32"/>
        <v>120.68850436363637</v>
      </c>
      <c r="G68" s="99">
        <f t="shared" si="32"/>
        <v>183.90629236363637</v>
      </c>
      <c r="H68" s="99">
        <f t="shared" si="32"/>
        <v>103.44728945454544</v>
      </c>
      <c r="I68" s="99" t="str">
        <f t="shared" si="32"/>
        <v/>
      </c>
      <c r="J68" s="99" t="str">
        <f t="shared" si="32"/>
        <v/>
      </c>
      <c r="K68" s="99" t="str">
        <f t="shared" si="32"/>
        <v/>
      </c>
      <c r="L68" s="99" t="str">
        <f t="shared" si="32"/>
        <v/>
      </c>
      <c r="M68" s="99" t="str">
        <f t="shared" si="32"/>
        <v/>
      </c>
      <c r="N68" s="99" t="str">
        <f t="shared" si="32"/>
        <v/>
      </c>
      <c r="O68" s="99" t="str">
        <f t="shared" si="33"/>
        <v/>
      </c>
      <c r="P68" s="99" t="str">
        <f t="shared" si="33"/>
        <v/>
      </c>
      <c r="Q68" s="99" t="str">
        <f t="shared" si="33"/>
        <v/>
      </c>
      <c r="R68" s="99" t="str">
        <f t="shared" si="33"/>
        <v/>
      </c>
      <c r="S68" s="99" t="str">
        <f t="shared" si="33"/>
        <v/>
      </c>
      <c r="T68" s="99" t="str">
        <f t="shared" si="33"/>
        <v/>
      </c>
      <c r="U68" s="99" t="str">
        <f t="shared" si="33"/>
        <v/>
      </c>
      <c r="V68" s="99" t="str">
        <f t="shared" si="33"/>
        <v/>
      </c>
      <c r="W68" s="99" t="str">
        <f t="shared" si="33"/>
        <v/>
      </c>
      <c r="X68" s="99" t="str">
        <f t="shared" si="33"/>
        <v/>
      </c>
    </row>
    <row r="69" spans="1:24" s="5" customFormat="1">
      <c r="A69" s="76"/>
      <c r="B69" s="171"/>
      <c r="C69" s="172" t="s">
        <v>119</v>
      </c>
      <c r="D69" s="175"/>
      <c r="E69" s="176">
        <f>IF(SUM(E66:E68)=0,"",SUM(E66:E68))</f>
        <v>597.82387636363637</v>
      </c>
      <c r="F69" s="176">
        <f t="shared" ref="F69:H69" si="34">IF(SUM(F66:F68)=0,"",SUM(F66:F68))</f>
        <v>448.36790727272734</v>
      </c>
      <c r="G69" s="174">
        <f t="shared" si="34"/>
        <v>683.22728727272727</v>
      </c>
      <c r="H69" s="176">
        <f t="shared" si="34"/>
        <v>384.31534909090908</v>
      </c>
      <c r="I69" s="176" t="str">
        <f t="shared" ref="I69:N69" si="35">IF(SUM(I66:I68)=0,"",SUM(I66:I68))</f>
        <v/>
      </c>
      <c r="J69" s="176" t="str">
        <f t="shared" si="35"/>
        <v/>
      </c>
      <c r="K69" s="176" t="str">
        <f t="shared" si="35"/>
        <v/>
      </c>
      <c r="L69" s="176" t="str">
        <f t="shared" si="35"/>
        <v/>
      </c>
      <c r="M69" s="176" t="str">
        <f t="shared" si="35"/>
        <v/>
      </c>
      <c r="N69" s="176" t="str">
        <f t="shared" si="35"/>
        <v/>
      </c>
      <c r="O69" s="176" t="str">
        <f t="shared" ref="O69:X69" si="36">IF(SUM(O66:O68)=0,"",SUM(O66:O68))</f>
        <v/>
      </c>
      <c r="P69" s="176" t="str">
        <f t="shared" si="36"/>
        <v/>
      </c>
      <c r="Q69" s="176" t="str">
        <f t="shared" si="36"/>
        <v/>
      </c>
      <c r="R69" s="176" t="str">
        <f t="shared" si="36"/>
        <v/>
      </c>
      <c r="S69" s="176" t="str">
        <f t="shared" si="36"/>
        <v/>
      </c>
      <c r="T69" s="176" t="str">
        <f t="shared" si="36"/>
        <v/>
      </c>
      <c r="U69" s="176" t="str">
        <f t="shared" si="36"/>
        <v/>
      </c>
      <c r="V69" s="176" t="str">
        <f t="shared" si="36"/>
        <v/>
      </c>
      <c r="W69" s="176" t="str">
        <f t="shared" si="36"/>
        <v/>
      </c>
      <c r="X69" s="176" t="str">
        <f t="shared" si="36"/>
        <v/>
      </c>
    </row>
    <row r="70" spans="1:24" customFormat="1" ht="3.75" customHeight="1"/>
    <row r="71" spans="1:24" s="6" customFormat="1">
      <c r="A71" s="76"/>
      <c r="B71" s="171"/>
      <c r="C71" s="172" t="s">
        <v>155</v>
      </c>
      <c r="D71" s="173"/>
      <c r="E71" s="176"/>
      <c r="F71" s="174"/>
      <c r="G71" s="174"/>
      <c r="H71" s="176"/>
      <c r="I71" s="176"/>
      <c r="J71" s="176"/>
      <c r="K71" s="176"/>
      <c r="L71" s="176"/>
      <c r="M71" s="176"/>
      <c r="N71" s="176"/>
      <c r="O71" s="176"/>
      <c r="P71" s="176"/>
      <c r="Q71" s="176"/>
      <c r="R71" s="176"/>
      <c r="S71" s="176"/>
      <c r="T71" s="176"/>
      <c r="U71" s="176"/>
      <c r="V71" s="176"/>
      <c r="W71" s="176"/>
      <c r="X71" s="176"/>
    </row>
    <row r="72" spans="1:24">
      <c r="A72" s="76"/>
      <c r="B72" s="87" t="s">
        <v>2</v>
      </c>
      <c r="C72" s="392" t="s">
        <v>49</v>
      </c>
      <c r="D72" s="407">
        <f>IFERROR(INDEX('Apoio - Notas Explicativas'!Q:Q,MATCH(C72,'Apoio - Notas Explicativas'!C:C,0)),"")</f>
        <v>0.2</v>
      </c>
      <c r="E72" s="99">
        <f t="shared" ref="E72:T77" si="37">IFERROR($D72*E$61,"")</f>
        <v>449.49163636363642</v>
      </c>
      <c r="F72" s="137">
        <f t="shared" si="37"/>
        <v>337.11872727272731</v>
      </c>
      <c r="G72" s="137">
        <f t="shared" si="37"/>
        <v>513.70472727272727</v>
      </c>
      <c r="H72" s="99">
        <f t="shared" si="37"/>
        <v>288.95890909090912</v>
      </c>
      <c r="I72" s="99" t="str">
        <f t="shared" si="37"/>
        <v/>
      </c>
      <c r="J72" s="99" t="str">
        <f t="shared" si="37"/>
        <v/>
      </c>
      <c r="K72" s="99" t="str">
        <f t="shared" si="37"/>
        <v/>
      </c>
      <c r="L72" s="99" t="str">
        <f t="shared" si="37"/>
        <v/>
      </c>
      <c r="M72" s="99" t="str">
        <f t="shared" si="37"/>
        <v/>
      </c>
      <c r="N72" s="99" t="str">
        <f t="shared" si="37"/>
        <v/>
      </c>
      <c r="O72" s="99" t="str">
        <f t="shared" si="37"/>
        <v/>
      </c>
      <c r="P72" s="99" t="str">
        <f t="shared" si="37"/>
        <v/>
      </c>
      <c r="Q72" s="99" t="str">
        <f t="shared" si="37"/>
        <v/>
      </c>
      <c r="R72" s="99" t="str">
        <f t="shared" si="37"/>
        <v/>
      </c>
      <c r="S72" s="99" t="str">
        <f t="shared" si="37"/>
        <v/>
      </c>
      <c r="T72" s="99" t="str">
        <f t="shared" si="37"/>
        <v/>
      </c>
      <c r="U72" s="99" t="str">
        <f t="shared" ref="O72:X77" si="38">IFERROR($D72*U$61,"")</f>
        <v/>
      </c>
      <c r="V72" s="99" t="str">
        <f t="shared" si="38"/>
        <v/>
      </c>
      <c r="W72" s="99" t="str">
        <f t="shared" si="38"/>
        <v/>
      </c>
      <c r="X72" s="99" t="str">
        <f t="shared" si="38"/>
        <v/>
      </c>
    </row>
    <row r="73" spans="1:24">
      <c r="A73" s="74"/>
      <c r="B73" s="87" t="s">
        <v>1</v>
      </c>
      <c r="C73" s="655" t="s">
        <v>50</v>
      </c>
      <c r="D73" s="407">
        <f>IFERROR(INDEX('Apoio - Notas Explicativas'!Q:Q,MATCH(C73,'Apoio - Notas Explicativas'!C:C,0)),"")</f>
        <v>1.4999999999999999E-2</v>
      </c>
      <c r="E73" s="99">
        <f t="shared" si="37"/>
        <v>33.711872727272727</v>
      </c>
      <c r="F73" s="137">
        <f t="shared" si="37"/>
        <v>25.283904545454547</v>
      </c>
      <c r="G73" s="137">
        <f t="shared" si="37"/>
        <v>38.527854545454545</v>
      </c>
      <c r="H73" s="99">
        <f t="shared" si="37"/>
        <v>21.671918181818182</v>
      </c>
      <c r="I73" s="99" t="str">
        <f t="shared" si="37"/>
        <v/>
      </c>
      <c r="J73" s="99" t="str">
        <f t="shared" si="37"/>
        <v/>
      </c>
      <c r="K73" s="99" t="str">
        <f t="shared" si="37"/>
        <v/>
      </c>
      <c r="L73" s="99" t="str">
        <f t="shared" si="37"/>
        <v/>
      </c>
      <c r="M73" s="99" t="str">
        <f t="shared" si="37"/>
        <v/>
      </c>
      <c r="N73" s="99" t="str">
        <f t="shared" si="37"/>
        <v/>
      </c>
      <c r="O73" s="99" t="str">
        <f t="shared" si="38"/>
        <v/>
      </c>
      <c r="P73" s="99" t="str">
        <f t="shared" si="38"/>
        <v/>
      </c>
      <c r="Q73" s="99" t="str">
        <f t="shared" si="38"/>
        <v/>
      </c>
      <c r="R73" s="99" t="str">
        <f t="shared" si="38"/>
        <v/>
      </c>
      <c r="S73" s="99" t="str">
        <f t="shared" si="38"/>
        <v/>
      </c>
      <c r="T73" s="99" t="str">
        <f t="shared" si="38"/>
        <v/>
      </c>
      <c r="U73" s="99" t="str">
        <f t="shared" si="38"/>
        <v/>
      </c>
      <c r="V73" s="99" t="str">
        <f t="shared" si="38"/>
        <v/>
      </c>
      <c r="W73" s="99" t="str">
        <f t="shared" si="38"/>
        <v/>
      </c>
      <c r="X73" s="99" t="str">
        <f t="shared" si="38"/>
        <v/>
      </c>
    </row>
    <row r="74" spans="1:24">
      <c r="A74" s="74"/>
      <c r="B74" s="87" t="s">
        <v>0</v>
      </c>
      <c r="C74" s="392" t="s">
        <v>51</v>
      </c>
      <c r="D74" s="407">
        <f>IFERROR(INDEX('Apoio - Notas Explicativas'!Q:Q,MATCH(C74,'Apoio - Notas Explicativas'!C:C,0)),"")</f>
        <v>0.01</v>
      </c>
      <c r="E74" s="99">
        <f t="shared" si="37"/>
        <v>22.474581818181818</v>
      </c>
      <c r="F74" s="137">
        <f t="shared" si="37"/>
        <v>16.855936363636367</v>
      </c>
      <c r="G74" s="137">
        <f t="shared" si="37"/>
        <v>25.685236363636363</v>
      </c>
      <c r="H74" s="99">
        <f t="shared" si="37"/>
        <v>14.447945454545454</v>
      </c>
      <c r="I74" s="99" t="str">
        <f t="shared" si="37"/>
        <v/>
      </c>
      <c r="J74" s="99" t="str">
        <f t="shared" si="37"/>
        <v/>
      </c>
      <c r="K74" s="99" t="str">
        <f t="shared" si="37"/>
        <v/>
      </c>
      <c r="L74" s="99" t="str">
        <f t="shared" si="37"/>
        <v/>
      </c>
      <c r="M74" s="99" t="str">
        <f t="shared" si="37"/>
        <v/>
      </c>
      <c r="N74" s="99" t="str">
        <f t="shared" si="37"/>
        <v/>
      </c>
      <c r="O74" s="99" t="str">
        <f t="shared" si="38"/>
        <v/>
      </c>
      <c r="P74" s="99" t="str">
        <f t="shared" si="38"/>
        <v/>
      </c>
      <c r="Q74" s="99" t="str">
        <f t="shared" si="38"/>
        <v/>
      </c>
      <c r="R74" s="99" t="str">
        <f t="shared" si="38"/>
        <v/>
      </c>
      <c r="S74" s="99" t="str">
        <f t="shared" si="38"/>
        <v/>
      </c>
      <c r="T74" s="99" t="str">
        <f t="shared" si="38"/>
        <v/>
      </c>
      <c r="U74" s="99" t="str">
        <f t="shared" si="38"/>
        <v/>
      </c>
      <c r="V74" s="99" t="str">
        <f t="shared" si="38"/>
        <v/>
      </c>
      <c r="W74" s="99" t="str">
        <f t="shared" si="38"/>
        <v/>
      </c>
      <c r="X74" s="99" t="str">
        <f t="shared" si="38"/>
        <v/>
      </c>
    </row>
    <row r="75" spans="1:24">
      <c r="A75" s="74"/>
      <c r="B75" s="87" t="s">
        <v>3</v>
      </c>
      <c r="C75" s="392" t="s">
        <v>52</v>
      </c>
      <c r="D75" s="407">
        <f>IFERROR(INDEX('Apoio - Notas Explicativas'!Q:Q,MATCH(C75,'Apoio - Notas Explicativas'!C:C,0)),"")</f>
        <v>2E-3</v>
      </c>
      <c r="E75" s="99">
        <f t="shared" si="37"/>
        <v>4.4949163636363636</v>
      </c>
      <c r="F75" s="137">
        <f t="shared" si="37"/>
        <v>3.3711872727272731</v>
      </c>
      <c r="G75" s="137">
        <f t="shared" si="37"/>
        <v>5.1370472727272727</v>
      </c>
      <c r="H75" s="99">
        <f t="shared" si="37"/>
        <v>2.8895890909090909</v>
      </c>
      <c r="I75" s="99" t="str">
        <f t="shared" si="37"/>
        <v/>
      </c>
      <c r="J75" s="99" t="str">
        <f t="shared" si="37"/>
        <v/>
      </c>
      <c r="K75" s="99" t="str">
        <f t="shared" si="37"/>
        <v/>
      </c>
      <c r="L75" s="99" t="str">
        <f t="shared" si="37"/>
        <v/>
      </c>
      <c r="M75" s="99" t="str">
        <f t="shared" si="37"/>
        <v/>
      </c>
      <c r="N75" s="99" t="str">
        <f t="shared" si="37"/>
        <v/>
      </c>
      <c r="O75" s="99" t="str">
        <f t="shared" si="38"/>
        <v/>
      </c>
      <c r="P75" s="99" t="str">
        <f t="shared" si="38"/>
        <v/>
      </c>
      <c r="Q75" s="99" t="str">
        <f t="shared" si="38"/>
        <v/>
      </c>
      <c r="R75" s="99" t="str">
        <f t="shared" si="38"/>
        <v/>
      </c>
      <c r="S75" s="99" t="str">
        <f t="shared" si="38"/>
        <v/>
      </c>
      <c r="T75" s="99" t="str">
        <f t="shared" si="38"/>
        <v/>
      </c>
      <c r="U75" s="99" t="str">
        <f t="shared" si="38"/>
        <v/>
      </c>
      <c r="V75" s="99" t="str">
        <f t="shared" si="38"/>
        <v/>
      </c>
      <c r="W75" s="99" t="str">
        <f t="shared" si="38"/>
        <v/>
      </c>
      <c r="X75" s="99" t="str">
        <f t="shared" si="38"/>
        <v/>
      </c>
    </row>
    <row r="76" spans="1:24">
      <c r="A76" s="74"/>
      <c r="B76" s="87" t="s">
        <v>7</v>
      </c>
      <c r="C76" s="392" t="s">
        <v>53</v>
      </c>
      <c r="D76" s="407">
        <f>IFERROR(INDEX('Apoio - Notas Explicativas'!Q:Q,MATCH(C76,'Apoio - Notas Explicativas'!C:C,0)),"")</f>
        <v>2.5000000000000001E-2</v>
      </c>
      <c r="E76" s="99">
        <f t="shared" si="37"/>
        <v>56.186454545454552</v>
      </c>
      <c r="F76" s="137">
        <f t="shared" si="37"/>
        <v>42.139840909090914</v>
      </c>
      <c r="G76" s="137">
        <f t="shared" si="37"/>
        <v>64.213090909090909</v>
      </c>
      <c r="H76" s="99">
        <f t="shared" si="37"/>
        <v>36.11986363636364</v>
      </c>
      <c r="I76" s="99" t="str">
        <f t="shared" si="37"/>
        <v/>
      </c>
      <c r="J76" s="99" t="str">
        <f t="shared" si="37"/>
        <v/>
      </c>
      <c r="K76" s="99" t="str">
        <f t="shared" si="37"/>
        <v/>
      </c>
      <c r="L76" s="99" t="str">
        <f t="shared" si="37"/>
        <v/>
      </c>
      <c r="M76" s="99" t="str">
        <f t="shared" si="37"/>
        <v/>
      </c>
      <c r="N76" s="99" t="str">
        <f t="shared" si="37"/>
        <v/>
      </c>
      <c r="O76" s="99" t="str">
        <f t="shared" si="38"/>
        <v/>
      </c>
      <c r="P76" s="99" t="str">
        <f t="shared" si="38"/>
        <v/>
      </c>
      <c r="Q76" s="99" t="str">
        <f t="shared" si="38"/>
        <v/>
      </c>
      <c r="R76" s="99" t="str">
        <f t="shared" si="38"/>
        <v/>
      </c>
      <c r="S76" s="99" t="str">
        <f t="shared" si="38"/>
        <v/>
      </c>
      <c r="T76" s="99" t="str">
        <f t="shared" si="38"/>
        <v/>
      </c>
      <c r="U76" s="99" t="str">
        <f t="shared" si="38"/>
        <v/>
      </c>
      <c r="V76" s="99" t="str">
        <f t="shared" si="38"/>
        <v/>
      </c>
      <c r="W76" s="99" t="str">
        <f t="shared" si="38"/>
        <v/>
      </c>
      <c r="X76" s="99" t="str">
        <f t="shared" si="38"/>
        <v/>
      </c>
    </row>
    <row r="77" spans="1:24">
      <c r="A77" s="74"/>
      <c r="B77" s="87" t="s">
        <v>6</v>
      </c>
      <c r="C77" s="392" t="s">
        <v>54</v>
      </c>
      <c r="D77" s="407">
        <f>IFERROR(INDEX('Apoio - Notas Explicativas'!Q:Q,MATCH(C77,'Apoio - Notas Explicativas'!C:C,0)),"")</f>
        <v>0.08</v>
      </c>
      <c r="E77" s="99">
        <f t="shared" si="37"/>
        <v>179.79665454545454</v>
      </c>
      <c r="F77" s="137">
        <f t="shared" si="37"/>
        <v>134.84749090909094</v>
      </c>
      <c r="G77" s="137">
        <f t="shared" si="37"/>
        <v>205.48189090909091</v>
      </c>
      <c r="H77" s="99">
        <f t="shared" si="37"/>
        <v>115.58356363636364</v>
      </c>
      <c r="I77" s="99" t="str">
        <f t="shared" si="37"/>
        <v/>
      </c>
      <c r="J77" s="99" t="str">
        <f t="shared" si="37"/>
        <v/>
      </c>
      <c r="K77" s="99" t="str">
        <f t="shared" si="37"/>
        <v/>
      </c>
      <c r="L77" s="99" t="str">
        <f t="shared" si="37"/>
        <v/>
      </c>
      <c r="M77" s="99" t="str">
        <f t="shared" si="37"/>
        <v/>
      </c>
      <c r="N77" s="99" t="str">
        <f t="shared" si="37"/>
        <v/>
      </c>
      <c r="O77" s="99" t="str">
        <f t="shared" si="38"/>
        <v/>
      </c>
      <c r="P77" s="99" t="str">
        <f t="shared" si="38"/>
        <v/>
      </c>
      <c r="Q77" s="99" t="str">
        <f t="shared" si="38"/>
        <v/>
      </c>
      <c r="R77" s="99" t="str">
        <f t="shared" si="38"/>
        <v/>
      </c>
      <c r="S77" s="99" t="str">
        <f t="shared" si="38"/>
        <v/>
      </c>
      <c r="T77" s="99" t="str">
        <f t="shared" si="38"/>
        <v/>
      </c>
      <c r="U77" s="99" t="str">
        <f t="shared" si="38"/>
        <v/>
      </c>
      <c r="V77" s="99" t="str">
        <f t="shared" si="38"/>
        <v/>
      </c>
      <c r="W77" s="99" t="str">
        <f t="shared" si="38"/>
        <v/>
      </c>
      <c r="X77" s="99" t="str">
        <f t="shared" si="38"/>
        <v/>
      </c>
    </row>
    <row r="78" spans="1:24">
      <c r="A78" s="74"/>
      <c r="B78" s="825" t="s">
        <v>5</v>
      </c>
      <c r="C78" s="656" t="str">
        <f>CONCATENATE("GILL/RAT (RAT ",D79," x FAP ",D80,")")</f>
        <v>GILL/RAT (RAT 0,03 x FAP 1)</v>
      </c>
      <c r="D78" s="657"/>
      <c r="E78" s="238"/>
      <c r="F78" s="422"/>
      <c r="G78" s="422"/>
      <c r="H78" s="238"/>
      <c r="I78" s="238"/>
      <c r="J78" s="238"/>
      <c r="K78" s="238"/>
      <c r="L78" s="238"/>
      <c r="M78" s="238"/>
      <c r="N78" s="238"/>
      <c r="O78" s="238"/>
      <c r="P78" s="238"/>
      <c r="Q78" s="238"/>
      <c r="R78" s="238"/>
      <c r="S78" s="238"/>
      <c r="T78" s="238"/>
      <c r="U78" s="238"/>
      <c r="V78" s="238"/>
      <c r="W78" s="238"/>
      <c r="X78" s="238"/>
    </row>
    <row r="79" spans="1:24">
      <c r="A79" s="74"/>
      <c r="B79" s="826"/>
      <c r="C79" s="658" t="s">
        <v>47</v>
      </c>
      <c r="D79" s="167">
        <f>VLOOKUP(C79,'Apoio - Notas Explicativas'!$C:$Q,14,FALSE)</f>
        <v>0.03</v>
      </c>
      <c r="E79" s="423"/>
      <c r="F79" s="423"/>
      <c r="G79" s="423"/>
      <c r="H79" s="455"/>
      <c r="I79" s="455"/>
      <c r="J79" s="455"/>
      <c r="K79" s="455"/>
      <c r="L79" s="455"/>
      <c r="M79" s="455"/>
      <c r="N79" s="455"/>
      <c r="O79" s="455"/>
      <c r="P79" s="455"/>
      <c r="Q79" s="455"/>
      <c r="R79" s="455"/>
      <c r="S79" s="455"/>
      <c r="T79" s="455"/>
      <c r="U79" s="455"/>
      <c r="V79" s="455"/>
      <c r="W79" s="455"/>
      <c r="X79" s="455"/>
    </row>
    <row r="80" spans="1:24">
      <c r="A80" s="74"/>
      <c r="B80" s="834"/>
      <c r="C80" s="659" t="s">
        <v>42</v>
      </c>
      <c r="D80" s="301">
        <f>VLOOKUP(C80,'Apoio - Notas Explicativas'!$C:$Q,14,FALSE)</f>
        <v>1</v>
      </c>
      <c r="E80" s="424"/>
      <c r="F80" s="424"/>
      <c r="G80" s="424"/>
      <c r="H80" s="424"/>
      <c r="I80" s="424"/>
      <c r="J80" s="424"/>
      <c r="K80" s="424"/>
      <c r="L80" s="424"/>
      <c r="M80" s="424"/>
      <c r="N80" s="424"/>
      <c r="O80" s="424"/>
      <c r="P80" s="424"/>
      <c r="Q80" s="424"/>
      <c r="R80" s="424"/>
      <c r="S80" s="424"/>
      <c r="T80" s="424"/>
      <c r="U80" s="424"/>
      <c r="V80" s="424"/>
      <c r="W80" s="424"/>
      <c r="X80" s="424"/>
    </row>
    <row r="81" spans="1:24">
      <c r="A81" s="74"/>
      <c r="B81" s="827"/>
      <c r="C81" s="392"/>
      <c r="D81" s="660">
        <f>D80*D79</f>
        <v>0.03</v>
      </c>
      <c r="E81" s="169">
        <f>IFERROR($D81*E$61,"")</f>
        <v>67.423745454545454</v>
      </c>
      <c r="F81" s="169">
        <f t="shared" ref="F81:U82" si="39">IFERROR($D81*F$61,"")</f>
        <v>50.567809090909094</v>
      </c>
      <c r="G81" s="169">
        <f t="shared" si="39"/>
        <v>77.05570909090909</v>
      </c>
      <c r="H81" s="169">
        <f t="shared" si="39"/>
        <v>43.343836363636363</v>
      </c>
      <c r="I81" s="169" t="str">
        <f t="shared" si="39"/>
        <v/>
      </c>
      <c r="J81" s="169" t="str">
        <f t="shared" si="39"/>
        <v/>
      </c>
      <c r="K81" s="169" t="str">
        <f t="shared" si="39"/>
        <v/>
      </c>
      <c r="L81" s="169" t="str">
        <f t="shared" si="39"/>
        <v/>
      </c>
      <c r="M81" s="169" t="str">
        <f t="shared" si="39"/>
        <v/>
      </c>
      <c r="N81" s="169" t="str">
        <f t="shared" si="39"/>
        <v/>
      </c>
      <c r="O81" s="169" t="str">
        <f t="shared" si="39"/>
        <v/>
      </c>
      <c r="P81" s="169" t="str">
        <f t="shared" si="39"/>
        <v/>
      </c>
      <c r="Q81" s="169" t="str">
        <f t="shared" si="39"/>
        <v/>
      </c>
      <c r="R81" s="169" t="str">
        <f t="shared" si="39"/>
        <v/>
      </c>
      <c r="S81" s="169" t="str">
        <f t="shared" si="39"/>
        <v/>
      </c>
      <c r="T81" s="169" t="str">
        <f t="shared" si="39"/>
        <v/>
      </c>
      <c r="U81" s="169" t="str">
        <f t="shared" si="39"/>
        <v/>
      </c>
      <c r="V81" s="169" t="str">
        <f t="shared" ref="O81:X82" si="40">IFERROR($D81*V$61,"")</f>
        <v/>
      </c>
      <c r="W81" s="169" t="str">
        <f t="shared" si="40"/>
        <v/>
      </c>
      <c r="X81" s="169" t="str">
        <f t="shared" si="40"/>
        <v/>
      </c>
    </row>
    <row r="82" spans="1:24">
      <c r="A82" s="76"/>
      <c r="B82" s="87" t="s">
        <v>4</v>
      </c>
      <c r="C82" s="392" t="s">
        <v>55</v>
      </c>
      <c r="D82" s="407">
        <f>IFERROR(INDEX('Apoio - Notas Explicativas'!Q:Q,MATCH(C82,'Apoio - Notas Explicativas'!C:C,0)),"")</f>
        <v>6.0000000000000001E-3</v>
      </c>
      <c r="E82" s="137">
        <f>IFERROR($D82*E$61,"")</f>
        <v>13.484749090909091</v>
      </c>
      <c r="F82" s="137">
        <f t="shared" si="39"/>
        <v>10.11356181818182</v>
      </c>
      <c r="G82" s="137">
        <f t="shared" si="39"/>
        <v>15.411141818181818</v>
      </c>
      <c r="H82" s="137">
        <f t="shared" si="39"/>
        <v>8.6687672727272727</v>
      </c>
      <c r="I82" s="137" t="str">
        <f t="shared" si="39"/>
        <v/>
      </c>
      <c r="J82" s="137" t="str">
        <f t="shared" si="39"/>
        <v/>
      </c>
      <c r="K82" s="137" t="str">
        <f t="shared" si="39"/>
        <v/>
      </c>
      <c r="L82" s="137" t="str">
        <f t="shared" si="39"/>
        <v/>
      </c>
      <c r="M82" s="137" t="str">
        <f t="shared" si="39"/>
        <v/>
      </c>
      <c r="N82" s="137" t="str">
        <f t="shared" si="39"/>
        <v/>
      </c>
      <c r="O82" s="137" t="str">
        <f t="shared" si="40"/>
        <v/>
      </c>
      <c r="P82" s="137" t="str">
        <f t="shared" si="40"/>
        <v/>
      </c>
      <c r="Q82" s="137" t="str">
        <f t="shared" si="40"/>
        <v/>
      </c>
      <c r="R82" s="137" t="str">
        <f t="shared" si="40"/>
        <v/>
      </c>
      <c r="S82" s="137" t="str">
        <f t="shared" si="40"/>
        <v/>
      </c>
      <c r="T82" s="137" t="str">
        <f t="shared" si="40"/>
        <v/>
      </c>
      <c r="U82" s="137" t="str">
        <f t="shared" si="40"/>
        <v/>
      </c>
      <c r="V82" s="137" t="str">
        <f t="shared" si="40"/>
        <v/>
      </c>
      <c r="W82" s="137" t="str">
        <f t="shared" si="40"/>
        <v/>
      </c>
      <c r="X82" s="137" t="str">
        <f t="shared" si="40"/>
        <v/>
      </c>
    </row>
    <row r="83" spans="1:24" s="5" customFormat="1">
      <c r="A83" s="76"/>
      <c r="B83" s="171"/>
      <c r="C83" s="172" t="s">
        <v>118</v>
      </c>
      <c r="D83" s="175"/>
      <c r="E83" s="176">
        <f>IF((SUM(E72:E77,E81,E82))=0,"",(SUM(E72:E77,E81,E82)))</f>
        <v>827.06461090909102</v>
      </c>
      <c r="F83" s="176">
        <f t="shared" ref="F83:H83" si="41">IF((SUM(F72:F77,F81,F82))=0,"",(SUM(F72:F77,F81,F82)))</f>
        <v>620.29845818181832</v>
      </c>
      <c r="G83" s="176">
        <f t="shared" si="41"/>
        <v>945.21669818181817</v>
      </c>
      <c r="H83" s="176">
        <f t="shared" si="41"/>
        <v>531.68439272727267</v>
      </c>
      <c r="I83" s="176" t="str">
        <f t="shared" ref="I83:N83" si="42">IF((SUM(I72:I77,I81,I82))=0,"",(SUM(I72:I77,I81,I82)))</f>
        <v/>
      </c>
      <c r="J83" s="176" t="str">
        <f t="shared" si="42"/>
        <v/>
      </c>
      <c r="K83" s="176" t="str">
        <f t="shared" si="42"/>
        <v/>
      </c>
      <c r="L83" s="176" t="str">
        <f t="shared" si="42"/>
        <v/>
      </c>
      <c r="M83" s="176" t="str">
        <f t="shared" si="42"/>
        <v/>
      </c>
      <c r="N83" s="176" t="str">
        <f t="shared" si="42"/>
        <v/>
      </c>
      <c r="O83" s="176" t="str">
        <f t="shared" ref="O83:X83" si="43">IF((SUM(O72:O77,O81,O82))=0,"",(SUM(O72:O77,O81,O82)))</f>
        <v/>
      </c>
      <c r="P83" s="176" t="str">
        <f t="shared" si="43"/>
        <v/>
      </c>
      <c r="Q83" s="176" t="str">
        <f t="shared" si="43"/>
        <v/>
      </c>
      <c r="R83" s="176" t="str">
        <f t="shared" si="43"/>
        <v/>
      </c>
      <c r="S83" s="176" t="str">
        <f t="shared" si="43"/>
        <v/>
      </c>
      <c r="T83" s="176" t="str">
        <f t="shared" si="43"/>
        <v/>
      </c>
      <c r="U83" s="176" t="str">
        <f t="shared" si="43"/>
        <v/>
      </c>
      <c r="V83" s="176" t="str">
        <f t="shared" si="43"/>
        <v/>
      </c>
      <c r="W83" s="176" t="str">
        <f t="shared" si="43"/>
        <v/>
      </c>
      <c r="X83" s="176" t="str">
        <f t="shared" si="43"/>
        <v/>
      </c>
    </row>
    <row r="84" spans="1:24" customFormat="1" ht="3.75" customHeight="1"/>
    <row r="85" spans="1:24" s="6" customFormat="1">
      <c r="A85" s="76"/>
      <c r="B85" s="182"/>
      <c r="C85" s="183" t="s">
        <v>126</v>
      </c>
      <c r="D85" s="184"/>
      <c r="E85" s="176"/>
      <c r="F85" s="176"/>
      <c r="G85" s="176"/>
      <c r="H85" s="176"/>
      <c r="I85" s="176"/>
      <c r="J85" s="176"/>
      <c r="K85" s="176"/>
      <c r="L85" s="176"/>
      <c r="M85" s="176"/>
      <c r="N85" s="176"/>
      <c r="O85" s="176"/>
      <c r="P85" s="176"/>
      <c r="Q85" s="176"/>
      <c r="R85" s="176"/>
      <c r="S85" s="176"/>
      <c r="T85" s="176"/>
      <c r="U85" s="176"/>
      <c r="V85" s="176"/>
      <c r="W85" s="176"/>
      <c r="X85" s="176"/>
    </row>
    <row r="86" spans="1:24" s="12" customFormat="1">
      <c r="A86" s="74"/>
      <c r="B86" s="825" t="s">
        <v>2</v>
      </c>
      <c r="C86" s="661" t="s">
        <v>86</v>
      </c>
      <c r="D86" s="662"/>
      <c r="E86" s="240"/>
      <c r="F86" s="240"/>
      <c r="G86" s="240"/>
      <c r="H86" s="240"/>
      <c r="I86" s="240"/>
      <c r="J86" s="240"/>
      <c r="K86" s="240"/>
      <c r="L86" s="240"/>
      <c r="M86" s="240"/>
      <c r="N86" s="240"/>
      <c r="O86" s="240"/>
      <c r="P86" s="240"/>
      <c r="Q86" s="240"/>
      <c r="R86" s="240"/>
      <c r="S86" s="240"/>
      <c r="T86" s="240"/>
      <c r="U86" s="240"/>
      <c r="V86" s="240"/>
      <c r="W86" s="240"/>
      <c r="X86" s="240"/>
    </row>
    <row r="87" spans="1:24">
      <c r="A87" s="74"/>
      <c r="B87" s="826"/>
      <c r="C87" s="663" t="s">
        <v>87</v>
      </c>
      <c r="D87" s="664"/>
      <c r="E87" s="417">
        <f>IF(E18="","",5.3)</f>
        <v>5.3</v>
      </c>
      <c r="F87" s="417">
        <f t="shared" ref="F87:X87" si="44">IF(F18="","",5.3)</f>
        <v>5.3</v>
      </c>
      <c r="G87" s="417">
        <f t="shared" si="44"/>
        <v>5.3</v>
      </c>
      <c r="H87" s="417">
        <f t="shared" si="44"/>
        <v>5.3</v>
      </c>
      <c r="I87" s="417" t="str">
        <f t="shared" si="44"/>
        <v/>
      </c>
      <c r="J87" s="417" t="str">
        <f t="shared" si="44"/>
        <v/>
      </c>
      <c r="K87" s="417" t="str">
        <f t="shared" si="44"/>
        <v/>
      </c>
      <c r="L87" s="417" t="str">
        <f t="shared" si="44"/>
        <v/>
      </c>
      <c r="M87" s="417" t="str">
        <f t="shared" si="44"/>
        <v/>
      </c>
      <c r="N87" s="417" t="str">
        <f t="shared" si="44"/>
        <v/>
      </c>
      <c r="O87" s="417" t="str">
        <f t="shared" si="44"/>
        <v/>
      </c>
      <c r="P87" s="417" t="str">
        <f t="shared" si="44"/>
        <v/>
      </c>
      <c r="Q87" s="417" t="str">
        <f t="shared" si="44"/>
        <v/>
      </c>
      <c r="R87" s="417" t="str">
        <f t="shared" si="44"/>
        <v/>
      </c>
      <c r="S87" s="417" t="str">
        <f t="shared" si="44"/>
        <v/>
      </c>
      <c r="T87" s="417" t="str">
        <f t="shared" si="44"/>
        <v/>
      </c>
      <c r="U87" s="417" t="str">
        <f t="shared" si="44"/>
        <v/>
      </c>
      <c r="V87" s="417" t="str">
        <f t="shared" si="44"/>
        <v/>
      </c>
      <c r="W87" s="417" t="str">
        <f t="shared" si="44"/>
        <v/>
      </c>
      <c r="X87" s="417" t="str">
        <f t="shared" si="44"/>
        <v/>
      </c>
    </row>
    <row r="88" spans="1:24">
      <c r="A88" s="74"/>
      <c r="B88" s="826"/>
      <c r="C88" s="665" t="s">
        <v>108</v>
      </c>
      <c r="D88" s="666"/>
      <c r="E88" s="198">
        <f t="shared" ref="E88:N88" si="45">IF(E18="","",2)</f>
        <v>2</v>
      </c>
      <c r="F88" s="198">
        <f t="shared" si="45"/>
        <v>2</v>
      </c>
      <c r="G88" s="198">
        <f t="shared" si="45"/>
        <v>2</v>
      </c>
      <c r="H88" s="198">
        <f t="shared" si="45"/>
        <v>2</v>
      </c>
      <c r="I88" s="198" t="str">
        <f t="shared" si="45"/>
        <v/>
      </c>
      <c r="J88" s="198" t="str">
        <f t="shared" si="45"/>
        <v/>
      </c>
      <c r="K88" s="198" t="str">
        <f t="shared" si="45"/>
        <v/>
      </c>
      <c r="L88" s="198" t="str">
        <f t="shared" si="45"/>
        <v/>
      </c>
      <c r="M88" s="198" t="str">
        <f t="shared" si="45"/>
        <v/>
      </c>
      <c r="N88" s="198" t="str">
        <f t="shared" si="45"/>
        <v/>
      </c>
      <c r="O88" s="198" t="str">
        <f t="shared" ref="O88:X88" si="46">IF(O18="","",2)</f>
        <v/>
      </c>
      <c r="P88" s="198" t="str">
        <f t="shared" si="46"/>
        <v/>
      </c>
      <c r="Q88" s="198" t="str">
        <f t="shared" si="46"/>
        <v/>
      </c>
      <c r="R88" s="198" t="str">
        <f t="shared" si="46"/>
        <v/>
      </c>
      <c r="S88" s="198" t="str">
        <f t="shared" si="46"/>
        <v/>
      </c>
      <c r="T88" s="198" t="str">
        <f t="shared" si="46"/>
        <v/>
      </c>
      <c r="U88" s="198" t="str">
        <f t="shared" si="46"/>
        <v/>
      </c>
      <c r="V88" s="198" t="str">
        <f t="shared" si="46"/>
        <v/>
      </c>
      <c r="W88" s="198" t="str">
        <f t="shared" si="46"/>
        <v/>
      </c>
      <c r="X88" s="198" t="str">
        <f t="shared" si="46"/>
        <v/>
      </c>
    </row>
    <row r="89" spans="1:24">
      <c r="A89" s="74"/>
      <c r="B89" s="826"/>
      <c r="C89" s="665" t="s">
        <v>88</v>
      </c>
      <c r="D89" s="667"/>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c r="J89" s="199" t="str">
        <f>IFERROR(IF(J18="","",VLOOKUP(J26,'Apoio - Regime de Trabalho'!$A:$G,7,FALSE)),"")</f>
        <v/>
      </c>
      <c r="K89" s="199" t="str">
        <f>IFERROR(IF(K18="","",VLOOKUP(K26,'Apoio - Regime de Trabalho'!$A:$G,7,FALSE)),"")</f>
        <v/>
      </c>
      <c r="L89" s="199" t="str">
        <f>IFERROR(IF(L18="","",VLOOKUP(L26,'Apoio - Regime de Trabalho'!$A:$G,7,FALSE)),"")</f>
        <v/>
      </c>
      <c r="M89" s="199" t="str">
        <f>IFERROR(IF(M18="","",VLOOKUP(M26,'Apoio - Regime de Trabalho'!$A:$G,7,FALSE)),"")</f>
        <v/>
      </c>
      <c r="N89" s="199" t="str">
        <f>IFERROR(IF(N18="","",VLOOKUP(N26,'Apoio - Regime de Trabalho'!$A:$G,7,FALSE)),"")</f>
        <v/>
      </c>
      <c r="O89" s="199" t="str">
        <f>IFERROR(IF(O18="","",VLOOKUP(O26,'Apoio - Regime de Trabalho'!$A:$G,7,FALSE)),"")</f>
        <v/>
      </c>
      <c r="P89" s="199" t="str">
        <f>IFERROR(IF(P18="","",VLOOKUP(P26,'Apoio - Regime de Trabalho'!$A:$G,7,FALSE)),"")</f>
        <v/>
      </c>
      <c r="Q89" s="199" t="str">
        <f>IFERROR(IF(Q18="","",VLOOKUP(Q26,'Apoio - Regime de Trabalho'!$A:$G,7,FALSE)),"")</f>
        <v/>
      </c>
      <c r="R89" s="199" t="str">
        <f>IFERROR(IF(R18="","",VLOOKUP(R26,'Apoio - Regime de Trabalho'!$A:$G,7,FALSE)),"")</f>
        <v/>
      </c>
      <c r="S89" s="199" t="str">
        <f>IFERROR(IF(S18="","",VLOOKUP(S26,'Apoio - Regime de Trabalho'!$A:$G,7,FALSE)),"")</f>
        <v/>
      </c>
      <c r="T89" s="199" t="str">
        <f>IFERROR(IF(T18="","",VLOOKUP(T26,'Apoio - Regime de Trabalho'!$A:$G,7,FALSE)),"")</f>
        <v/>
      </c>
      <c r="U89" s="199" t="str">
        <f>IFERROR(IF(U18="","",VLOOKUP(U26,'Apoio - Regime de Trabalho'!$A:$G,7,FALSE)),"")</f>
        <v/>
      </c>
      <c r="V89" s="199" t="str">
        <f>IFERROR(IF(V18="","",VLOOKUP(V26,'Apoio - Regime de Trabalho'!$A:$G,7,FALSE)),"")</f>
        <v/>
      </c>
      <c r="W89" s="199" t="str">
        <f>IFERROR(IF(W18="","",VLOOKUP(W26,'Apoio - Regime de Trabalho'!$A:$G,7,FALSE)),"")</f>
        <v/>
      </c>
      <c r="X89" s="199" t="str">
        <f>IFERROR(IF(X18="","",VLOOKUP(X26,'Apoio - Regime de Trabalho'!$A:$G,7,FALSE)),"")</f>
        <v/>
      </c>
    </row>
    <row r="90" spans="1:24">
      <c r="A90" s="74"/>
      <c r="B90" s="826"/>
      <c r="C90" s="665" t="s">
        <v>22</v>
      </c>
      <c r="D90" s="666"/>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IF(I18="","",IFERROR(VLOOKUP(I$18,'Apoio - Posto'!$A:$AA,16,FALSE),6%))</f>
        <v/>
      </c>
      <c r="J90" s="200" t="str">
        <f>IF(J18="","",IFERROR(VLOOKUP(J$18,'Apoio - Posto'!$A:$AA,16,FALSE),6%))</f>
        <v/>
      </c>
      <c r="K90" s="200" t="str">
        <f>IF(K18="","",IFERROR(VLOOKUP(K$18,'Apoio - Posto'!$A:$AA,16,FALSE),6%))</f>
        <v/>
      </c>
      <c r="L90" s="200" t="str">
        <f>IF(L18="","",IFERROR(VLOOKUP(L$18,'Apoio - Posto'!$A:$AA,16,FALSE),6%))</f>
        <v/>
      </c>
      <c r="M90" s="200" t="str">
        <f>IF(M18="","",IFERROR(VLOOKUP(M$18,'Apoio - Posto'!$A:$AA,16,FALSE),6%))</f>
        <v/>
      </c>
      <c r="N90" s="200" t="str">
        <f>IF(N18="","",IFERROR(VLOOKUP(N$18,'Apoio - Posto'!$A:$AA,16,FALSE),6%))</f>
        <v/>
      </c>
      <c r="O90" s="200" t="str">
        <f>IF(O18="","",IFERROR(VLOOKUP(O$18,'Apoio - Posto'!$A:$AA,16,FALSE),6%))</f>
        <v/>
      </c>
      <c r="P90" s="200" t="str">
        <f>IF(P18="","",IFERROR(VLOOKUP(P$18,'Apoio - Posto'!$A:$AA,16,FALSE),6%))</f>
        <v/>
      </c>
      <c r="Q90" s="200" t="str">
        <f>IF(Q18="","",IFERROR(VLOOKUP(Q$18,'Apoio - Posto'!$A:$AA,16,FALSE),6%))</f>
        <v/>
      </c>
      <c r="R90" s="200" t="str">
        <f>IF(R18="","",IFERROR(VLOOKUP(R$18,'Apoio - Posto'!$A:$AA,16,FALSE),6%))</f>
        <v/>
      </c>
      <c r="S90" s="200" t="str">
        <f>IF(S18="","",IFERROR(VLOOKUP(S$18,'Apoio - Posto'!$A:$AA,16,FALSE),6%))</f>
        <v/>
      </c>
      <c r="T90" s="200" t="str">
        <f>IF(T18="","",IFERROR(VLOOKUP(T$18,'Apoio - Posto'!$A:$AA,16,FALSE),6%))</f>
        <v/>
      </c>
      <c r="U90" s="200" t="str">
        <f>IF(U18="","",IFERROR(VLOOKUP(U$18,'Apoio - Posto'!$A:$AA,16,FALSE),6%))</f>
        <v/>
      </c>
      <c r="V90" s="200" t="str">
        <f>IF(V18="","",IFERROR(VLOOKUP(V$18,'Apoio - Posto'!$A:$AA,16,FALSE),6%))</f>
        <v/>
      </c>
      <c r="W90" s="200" t="str">
        <f>IF(W18="","",IFERROR(VLOOKUP(W$18,'Apoio - Posto'!$A:$AA,16,FALSE),6%))</f>
        <v/>
      </c>
      <c r="X90" s="200" t="str">
        <f>IF(X18="","",IFERROR(VLOOKUP(X$18,'Apoio - Posto'!$A:$AA,16,FALSE),6%))</f>
        <v/>
      </c>
    </row>
    <row r="91" spans="1:24">
      <c r="A91" s="74"/>
      <c r="B91" s="827"/>
      <c r="C91" s="219"/>
      <c r="D91" s="668" t="s">
        <v>41</v>
      </c>
      <c r="E91" s="147">
        <f>IFERROR(MAX((E87*E88*E89)-(E$90*E$32),0),"")</f>
        <v>136.88036363636363</v>
      </c>
      <c r="F91" s="147">
        <f t="shared" ref="F91:N91" si="47">IFERROR(MAX((F87*F88*F89)-(F$90*F$32),0),"")</f>
        <v>160.96027272727272</v>
      </c>
      <c r="G91" s="147">
        <f t="shared" si="47"/>
        <v>136.88036363636363</v>
      </c>
      <c r="H91" s="147">
        <f t="shared" si="47"/>
        <v>160.96027272727272</v>
      </c>
      <c r="I91" s="147" t="str">
        <f t="shared" si="47"/>
        <v/>
      </c>
      <c r="J91" s="147" t="str">
        <f t="shared" si="47"/>
        <v/>
      </c>
      <c r="K91" s="147" t="str">
        <f t="shared" si="47"/>
        <v/>
      </c>
      <c r="L91" s="147" t="str">
        <f t="shared" si="47"/>
        <v/>
      </c>
      <c r="M91" s="147" t="str">
        <f t="shared" si="47"/>
        <v/>
      </c>
      <c r="N91" s="147" t="str">
        <f t="shared" si="47"/>
        <v/>
      </c>
      <c r="O91" s="147" t="str">
        <f t="shared" ref="O91:X91" si="48">IFERROR(MAX((O87*O88*O89)-(O$90*O$32),0),"")</f>
        <v/>
      </c>
      <c r="P91" s="147" t="str">
        <f t="shared" si="48"/>
        <v/>
      </c>
      <c r="Q91" s="147" t="str">
        <f t="shared" si="48"/>
        <v/>
      </c>
      <c r="R91" s="147" t="str">
        <f t="shared" si="48"/>
        <v/>
      </c>
      <c r="S91" s="147" t="str">
        <f t="shared" si="48"/>
        <v/>
      </c>
      <c r="T91" s="147" t="str">
        <f t="shared" si="48"/>
        <v/>
      </c>
      <c r="U91" s="147" t="str">
        <f t="shared" si="48"/>
        <v/>
      </c>
      <c r="V91" s="147" t="str">
        <f t="shared" si="48"/>
        <v/>
      </c>
      <c r="W91" s="147" t="str">
        <f t="shared" si="48"/>
        <v/>
      </c>
      <c r="X91" s="147" t="str">
        <f t="shared" si="48"/>
        <v/>
      </c>
    </row>
    <row r="92" spans="1:24">
      <c r="A92" s="74"/>
      <c r="B92" s="825" t="s">
        <v>1</v>
      </c>
      <c r="C92" s="669" t="s">
        <v>23</v>
      </c>
      <c r="D92" s="670"/>
      <c r="E92" s="241"/>
      <c r="F92" s="241"/>
      <c r="G92" s="241"/>
      <c r="H92" s="241"/>
      <c r="I92" s="241"/>
      <c r="J92" s="241"/>
      <c r="K92" s="241"/>
      <c r="L92" s="241"/>
      <c r="M92" s="241"/>
      <c r="N92" s="241"/>
      <c r="O92" s="241"/>
      <c r="P92" s="241"/>
      <c r="Q92" s="241"/>
      <c r="R92" s="241"/>
      <c r="S92" s="241"/>
      <c r="T92" s="241"/>
      <c r="U92" s="241"/>
      <c r="V92" s="241"/>
      <c r="W92" s="241"/>
      <c r="X92" s="241"/>
    </row>
    <row r="93" spans="1:24">
      <c r="A93" s="74"/>
      <c r="B93" s="826"/>
      <c r="C93" s="671" t="s">
        <v>24</v>
      </c>
      <c r="D93" s="672"/>
      <c r="E93" s="202">
        <f>IFERROR(VLOOKUP(E$18,'Apoio - Posto'!$A:$AA,IF(VLOOKUP(E26,'Apoio - Regime de Trabalho'!$A:$I,8,FALSE)&gt;=200,9,10),FALSE),"")</f>
        <v>27.15</v>
      </c>
      <c r="F93" s="202">
        <f>IFERROR(VLOOKUP(F$18,'Apoio - Posto'!$A:$AA,IF(VLOOKUP(F26,'Apoio - Regime de Trabalho'!$A:$I,8,FALSE)&gt;=200,9,10),FALSE),"")</f>
        <v>13.574999999999999</v>
      </c>
      <c r="G93" s="202">
        <f>IFERROR(VLOOKUP(G$18,'Apoio - Posto'!$A:$AA,IF(VLOOKUP(G26,'Apoio - Regime de Trabalho'!$A:$I,8,FALSE)&gt;=200,9,10),FALSE),"")</f>
        <v>27.15</v>
      </c>
      <c r="H93" s="202">
        <f>IFERROR(VLOOKUP(H$18,'Apoio - Posto'!$A:$AA,IF(VLOOKUP(H26,'Apoio - Regime de Trabalho'!$A:$I,8,FALSE)&gt;=200,9,10),FALSE),"")</f>
        <v>13.574999999999999</v>
      </c>
      <c r="I93" s="202" t="str">
        <f>IFERROR(VLOOKUP(I$18,'Apoio - Posto'!$A:$AA,IF(VLOOKUP(I26,'Apoio - Regime de Trabalho'!$A:$I,8,FALSE)&gt;=200,9,10),FALSE),"")</f>
        <v/>
      </c>
      <c r="J93" s="202" t="str">
        <f>IFERROR(VLOOKUP(J$18,'Apoio - Posto'!$A:$AA,IF(VLOOKUP(J26,'Apoio - Regime de Trabalho'!$A:$I,8,FALSE)&gt;=200,9,10),FALSE),"")</f>
        <v/>
      </c>
      <c r="K93" s="202" t="str">
        <f>IFERROR(VLOOKUP(K$18,'Apoio - Posto'!$A:$AA,IF(VLOOKUP(K26,'Apoio - Regime de Trabalho'!$A:$I,8,FALSE)&gt;=200,9,10),FALSE),"")</f>
        <v/>
      </c>
      <c r="L93" s="202" t="str">
        <f>IFERROR(VLOOKUP(L$18,'Apoio - Posto'!$A:$AA,IF(VLOOKUP(L26,'Apoio - Regime de Trabalho'!$A:$I,8,FALSE)&gt;=200,9,10),FALSE),"")</f>
        <v/>
      </c>
      <c r="M93" s="202" t="str">
        <f>IFERROR(VLOOKUP(M$18,'Apoio - Posto'!$A:$AA,IF(VLOOKUP(M26,'Apoio - Regime de Trabalho'!$A:$I,8,FALSE)&gt;=200,9,10),FALSE),"")</f>
        <v/>
      </c>
      <c r="N93" s="202" t="str">
        <f>IFERROR(VLOOKUP(N$18,'Apoio - Posto'!$A:$AA,IF(VLOOKUP(N26,'Apoio - Regime de Trabalho'!$A:$I,8,FALSE)&gt;=200,9,10),FALSE),"")</f>
        <v/>
      </c>
      <c r="O93" s="202" t="str">
        <f>IFERROR(VLOOKUP(O$18,'Apoio - Posto'!$A:$AA,IF(VLOOKUP(O26,'Apoio - Regime de Trabalho'!$A:$I,8,FALSE)&gt;=200,9,10),FALSE),"")</f>
        <v/>
      </c>
      <c r="P93" s="202" t="str">
        <f>IFERROR(VLOOKUP(P$18,'Apoio - Posto'!$A:$AA,IF(VLOOKUP(P26,'Apoio - Regime de Trabalho'!$A:$I,8,FALSE)&gt;=200,9,10),FALSE),"")</f>
        <v/>
      </c>
      <c r="Q93" s="202" t="str">
        <f>IFERROR(VLOOKUP(Q$18,'Apoio - Posto'!$A:$AA,IF(VLOOKUP(Q26,'Apoio - Regime de Trabalho'!$A:$I,8,FALSE)&gt;=200,9,10),FALSE),"")</f>
        <v/>
      </c>
      <c r="R93" s="202" t="str">
        <f>IFERROR(VLOOKUP(R$18,'Apoio - Posto'!$A:$AA,IF(VLOOKUP(R26,'Apoio - Regime de Trabalho'!$A:$I,8,FALSE)&gt;=200,9,10),FALSE),"")</f>
        <v/>
      </c>
      <c r="S93" s="202" t="str">
        <f>IFERROR(VLOOKUP(S$18,'Apoio - Posto'!$A:$AA,IF(VLOOKUP(S26,'Apoio - Regime de Trabalho'!$A:$I,8,FALSE)&gt;=200,9,10),FALSE),"")</f>
        <v/>
      </c>
      <c r="T93" s="202" t="str">
        <f>IFERROR(VLOOKUP(T$18,'Apoio - Posto'!$A:$AA,IF(VLOOKUP(T26,'Apoio - Regime de Trabalho'!$A:$I,8,FALSE)&gt;=200,9,10),FALSE),"")</f>
        <v/>
      </c>
      <c r="U93" s="202" t="str">
        <f>IFERROR(VLOOKUP(U$18,'Apoio - Posto'!$A:$AA,IF(VLOOKUP(U26,'Apoio - Regime de Trabalho'!$A:$I,8,FALSE)&gt;=200,9,10),FALSE),"")</f>
        <v/>
      </c>
      <c r="V93" s="202" t="str">
        <f>IFERROR(VLOOKUP(V$18,'Apoio - Posto'!$A:$AA,IF(VLOOKUP(V26,'Apoio - Regime de Trabalho'!$A:$I,8,FALSE)&gt;=200,9,10),FALSE),"")</f>
        <v/>
      </c>
      <c r="W93" s="202" t="str">
        <f>IFERROR(VLOOKUP(W$18,'Apoio - Posto'!$A:$AA,IF(VLOOKUP(W26,'Apoio - Regime de Trabalho'!$A:$I,8,FALSE)&gt;=200,9,10),FALSE),"")</f>
        <v/>
      </c>
      <c r="X93" s="202" t="str">
        <f>IFERROR(VLOOKUP(X$18,'Apoio - Posto'!$A:$AA,IF(VLOOKUP(X26,'Apoio - Regime de Trabalho'!$A:$I,8,FALSE)&gt;=200,9,10),FALSE),"")</f>
        <v/>
      </c>
    </row>
    <row r="94" spans="1:24">
      <c r="A94" s="74"/>
      <c r="B94" s="826"/>
      <c r="C94" s="673" t="s">
        <v>276</v>
      </c>
      <c r="D94" s="674"/>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c r="J94" s="204" t="str">
        <f>IFERROR(IF(J18="","",VLOOKUP(J26,'Apoio - Regime de Trabalho'!$A:$G,7,FALSE)),"")</f>
        <v/>
      </c>
      <c r="K94" s="204" t="str">
        <f>IFERROR(IF(K18="","",VLOOKUP(K26,'Apoio - Regime de Trabalho'!$A:$G,7,FALSE)),"")</f>
        <v/>
      </c>
      <c r="L94" s="204" t="str">
        <f>IFERROR(IF(L18="","",VLOOKUP(L26,'Apoio - Regime de Trabalho'!$A:$G,7,FALSE)),"")</f>
        <v/>
      </c>
      <c r="M94" s="204" t="str">
        <f>IFERROR(IF(M18="","",VLOOKUP(M26,'Apoio - Regime de Trabalho'!$A:$G,7,FALSE)),"")</f>
        <v/>
      </c>
      <c r="N94" s="204" t="str">
        <f>IFERROR(IF(N18="","",VLOOKUP(N26,'Apoio - Regime de Trabalho'!$A:$G,7,FALSE)),"")</f>
        <v/>
      </c>
      <c r="O94" s="204" t="str">
        <f>IFERROR(IF(O18="","",VLOOKUP(O26,'Apoio - Regime de Trabalho'!$A:$G,7,FALSE)),"")</f>
        <v/>
      </c>
      <c r="P94" s="204" t="str">
        <f>IFERROR(IF(P18="","",VLOOKUP(P26,'Apoio - Regime de Trabalho'!$A:$G,7,FALSE)),"")</f>
        <v/>
      </c>
      <c r="Q94" s="204" t="str">
        <f>IFERROR(IF(Q18="","",VLOOKUP(Q26,'Apoio - Regime de Trabalho'!$A:$G,7,FALSE)),"")</f>
        <v/>
      </c>
      <c r="R94" s="204" t="str">
        <f>IFERROR(IF(R18="","",VLOOKUP(R26,'Apoio - Regime de Trabalho'!$A:$G,7,FALSE)),"")</f>
        <v/>
      </c>
      <c r="S94" s="204" t="str">
        <f>IFERROR(IF(S18="","",VLOOKUP(S26,'Apoio - Regime de Trabalho'!$A:$G,7,FALSE)),"")</f>
        <v/>
      </c>
      <c r="T94" s="204" t="str">
        <f>IFERROR(IF(T18="","",VLOOKUP(T26,'Apoio - Regime de Trabalho'!$A:$G,7,FALSE)),"")</f>
        <v/>
      </c>
      <c r="U94" s="204" t="str">
        <f>IFERROR(IF(U18="","",VLOOKUP(U26,'Apoio - Regime de Trabalho'!$A:$G,7,FALSE)),"")</f>
        <v/>
      </c>
      <c r="V94" s="204" t="str">
        <f>IFERROR(IF(V18="","",VLOOKUP(V26,'Apoio - Regime de Trabalho'!$A:$G,7,FALSE)),"")</f>
        <v/>
      </c>
      <c r="W94" s="204" t="str">
        <f>IFERROR(IF(W18="","",VLOOKUP(W26,'Apoio - Regime de Trabalho'!$A:$G,7,FALSE)),"")</f>
        <v/>
      </c>
      <c r="X94" s="204" t="str">
        <f>IFERROR(IF(X18="","",VLOOKUP(X26,'Apoio - Regime de Trabalho'!$A:$G,7,FALSE)),"")</f>
        <v/>
      </c>
    </row>
    <row r="95" spans="1:24">
      <c r="A95" s="74"/>
      <c r="B95" s="826"/>
      <c r="C95" s="673" t="s">
        <v>273</v>
      </c>
      <c r="D95" s="674"/>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c r="J95" s="205" t="str">
        <f>IFERROR(VLOOKUP(J$18,'Apoio - Posto'!$A:$AA,17,FALSE),"")</f>
        <v/>
      </c>
      <c r="K95" s="205" t="str">
        <f>IFERROR(VLOOKUP(K$18,'Apoio - Posto'!$A:$AA,17,FALSE),"")</f>
        <v/>
      </c>
      <c r="L95" s="205" t="str">
        <f>IFERROR(VLOOKUP(L$18,'Apoio - Posto'!$A:$AA,17,FALSE),"")</f>
        <v/>
      </c>
      <c r="M95" s="205" t="str">
        <f>IFERROR(VLOOKUP(M$18,'Apoio - Posto'!$A:$AA,17,FALSE),"")</f>
        <v/>
      </c>
      <c r="N95" s="205" t="str">
        <f>IFERROR(VLOOKUP(N$18,'Apoio - Posto'!$A:$AA,17,FALSE),"")</f>
        <v/>
      </c>
      <c r="O95" s="205" t="str">
        <f>IFERROR(VLOOKUP(O$18,'Apoio - Posto'!$A:$AA,17,FALSE),"")</f>
        <v/>
      </c>
      <c r="P95" s="205" t="str">
        <f>IFERROR(VLOOKUP(P$18,'Apoio - Posto'!$A:$AA,17,FALSE),"")</f>
        <v/>
      </c>
      <c r="Q95" s="205" t="str">
        <f>IFERROR(VLOOKUP(Q$18,'Apoio - Posto'!$A:$AA,17,FALSE),"")</f>
        <v/>
      </c>
      <c r="R95" s="205" t="str">
        <f>IFERROR(VLOOKUP(R$18,'Apoio - Posto'!$A:$AA,17,FALSE),"")</f>
        <v/>
      </c>
      <c r="S95" s="205" t="str">
        <f>IFERROR(VLOOKUP(S$18,'Apoio - Posto'!$A:$AA,17,FALSE),"")</f>
        <v/>
      </c>
      <c r="T95" s="205" t="str">
        <f>IFERROR(VLOOKUP(T$18,'Apoio - Posto'!$A:$AA,17,FALSE),"")</f>
        <v/>
      </c>
      <c r="U95" s="205" t="str">
        <f>IFERROR(VLOOKUP(U$18,'Apoio - Posto'!$A:$AA,17,FALSE),"")</f>
        <v/>
      </c>
      <c r="V95" s="205" t="str">
        <f>IFERROR(VLOOKUP(V$18,'Apoio - Posto'!$A:$AA,17,FALSE),"")</f>
        <v/>
      </c>
      <c r="W95" s="205" t="str">
        <f>IFERROR(VLOOKUP(W$18,'Apoio - Posto'!$A:$AA,17,FALSE),"")</f>
        <v/>
      </c>
      <c r="X95" s="205" t="str">
        <f>IFERROR(VLOOKUP(X$18,'Apoio - Posto'!$A:$AA,17,FALSE),"")</f>
        <v/>
      </c>
    </row>
    <row r="96" spans="1:24">
      <c r="A96" s="74"/>
      <c r="B96" s="827"/>
      <c r="C96" s="219"/>
      <c r="D96" s="668" t="s">
        <v>41</v>
      </c>
      <c r="E96" s="101">
        <f>IFERROR((E93*E94)-(E$93*E$94*E$95),"")</f>
        <v>483.81299999999999</v>
      </c>
      <c r="F96" s="101">
        <f t="shared" ref="F96:H96" si="49">IFERROR((F93*F94)-(F$93*F$94*F$95),"")</f>
        <v>241.90649999999999</v>
      </c>
      <c r="G96" s="101">
        <f t="shared" si="49"/>
        <v>483.81299999999999</v>
      </c>
      <c r="H96" s="101">
        <f t="shared" si="49"/>
        <v>241.90649999999999</v>
      </c>
      <c r="I96" s="101" t="str">
        <f t="shared" ref="I96:N96" si="50">IFERROR((I93*I94)-(I$93*I$94*I$95),"")</f>
        <v/>
      </c>
      <c r="J96" s="101" t="str">
        <f t="shared" si="50"/>
        <v/>
      </c>
      <c r="K96" s="101" t="str">
        <f t="shared" si="50"/>
        <v/>
      </c>
      <c r="L96" s="101" t="str">
        <f t="shared" si="50"/>
        <v/>
      </c>
      <c r="M96" s="101" t="str">
        <f t="shared" si="50"/>
        <v/>
      </c>
      <c r="N96" s="101" t="str">
        <f t="shared" si="50"/>
        <v/>
      </c>
      <c r="O96" s="101" t="str">
        <f t="shared" ref="O96:X96" si="51">IFERROR((O93*O94)-(O$93*O$94*O$95),"")</f>
        <v/>
      </c>
      <c r="P96" s="101" t="str">
        <f t="shared" si="51"/>
        <v/>
      </c>
      <c r="Q96" s="101" t="str">
        <f t="shared" si="51"/>
        <v/>
      </c>
      <c r="R96" s="101" t="str">
        <f t="shared" si="51"/>
        <v/>
      </c>
      <c r="S96" s="101" t="str">
        <f t="shared" si="51"/>
        <v/>
      </c>
      <c r="T96" s="101" t="str">
        <f t="shared" si="51"/>
        <v/>
      </c>
      <c r="U96" s="101" t="str">
        <f t="shared" si="51"/>
        <v/>
      </c>
      <c r="V96" s="101" t="str">
        <f t="shared" si="51"/>
        <v/>
      </c>
      <c r="W96" s="101" t="str">
        <f t="shared" si="51"/>
        <v/>
      </c>
      <c r="X96" s="101" t="str">
        <f t="shared" si="51"/>
        <v/>
      </c>
    </row>
    <row r="97" spans="1:24">
      <c r="A97" s="74"/>
      <c r="B97" s="825" t="s">
        <v>0</v>
      </c>
      <c r="C97" s="675" t="s">
        <v>25</v>
      </c>
      <c r="D97" s="670"/>
      <c r="E97" s="242"/>
      <c r="F97" s="242"/>
      <c r="G97" s="242"/>
      <c r="H97" s="242"/>
      <c r="I97" s="242"/>
      <c r="J97" s="242"/>
      <c r="K97" s="242"/>
      <c r="L97" s="242"/>
      <c r="M97" s="242"/>
      <c r="N97" s="242"/>
      <c r="O97" s="242"/>
      <c r="P97" s="242"/>
      <c r="Q97" s="242"/>
      <c r="R97" s="242"/>
      <c r="S97" s="242"/>
      <c r="T97" s="242"/>
      <c r="U97" s="242"/>
      <c r="V97" s="242"/>
      <c r="W97" s="242"/>
      <c r="X97" s="242"/>
    </row>
    <row r="98" spans="1:24">
      <c r="A98" s="74"/>
      <c r="B98" s="826"/>
      <c r="C98" s="676" t="s">
        <v>26</v>
      </c>
      <c r="D98" s="677"/>
      <c r="E98" s="206"/>
      <c r="F98" s="206"/>
      <c r="G98" s="206"/>
      <c r="H98" s="206"/>
      <c r="I98" s="206"/>
      <c r="J98" s="206"/>
      <c r="K98" s="206"/>
      <c r="L98" s="206"/>
      <c r="M98" s="206"/>
      <c r="N98" s="206"/>
      <c r="O98" s="206"/>
      <c r="P98" s="206"/>
      <c r="Q98" s="206"/>
      <c r="R98" s="206"/>
      <c r="S98" s="206"/>
      <c r="T98" s="206"/>
      <c r="U98" s="206"/>
      <c r="V98" s="206"/>
      <c r="W98" s="206"/>
      <c r="X98" s="206"/>
    </row>
    <row r="99" spans="1:24">
      <c r="A99" s="74"/>
      <c r="B99" s="826"/>
      <c r="C99" s="678" t="s">
        <v>273</v>
      </c>
      <c r="D99" s="667"/>
      <c r="E99" s="95"/>
      <c r="F99" s="95"/>
      <c r="G99" s="95"/>
      <c r="H99" s="95"/>
      <c r="I99" s="95"/>
      <c r="J99" s="95"/>
      <c r="K99" s="95"/>
      <c r="L99" s="95"/>
      <c r="M99" s="95"/>
      <c r="N99" s="95"/>
      <c r="O99" s="95"/>
      <c r="P99" s="95"/>
      <c r="Q99" s="95"/>
      <c r="R99" s="95"/>
      <c r="S99" s="95"/>
      <c r="T99" s="95"/>
      <c r="U99" s="95"/>
      <c r="V99" s="95"/>
      <c r="W99" s="95"/>
      <c r="X99" s="95"/>
    </row>
    <row r="100" spans="1:24">
      <c r="A100" s="74"/>
      <c r="B100" s="827"/>
      <c r="C100" s="219"/>
      <c r="D100" s="668" t="s">
        <v>41</v>
      </c>
      <c r="E100" s="248">
        <f t="shared" ref="E100:N100" si="52">IF(E21="","",IFERROR((E$98)-(E$99*E$98),""))</f>
        <v>0</v>
      </c>
      <c r="F100" s="248">
        <f t="shared" si="52"/>
        <v>0</v>
      </c>
      <c r="G100" s="248">
        <f t="shared" si="52"/>
        <v>0</v>
      </c>
      <c r="H100" s="248">
        <f t="shared" si="52"/>
        <v>0</v>
      </c>
      <c r="I100" s="248" t="str">
        <f t="shared" si="52"/>
        <v/>
      </c>
      <c r="J100" s="248" t="str">
        <f t="shared" si="52"/>
        <v/>
      </c>
      <c r="K100" s="248" t="str">
        <f t="shared" si="52"/>
        <v/>
      </c>
      <c r="L100" s="248" t="str">
        <f t="shared" si="52"/>
        <v/>
      </c>
      <c r="M100" s="248" t="str">
        <f t="shared" si="52"/>
        <v/>
      </c>
      <c r="N100" s="248" t="str">
        <f t="shared" si="52"/>
        <v/>
      </c>
      <c r="O100" s="248" t="str">
        <f t="shared" ref="O100:X100" si="53">IF(O21="","",IFERROR((O$98)-(O$99*O$98),""))</f>
        <v/>
      </c>
      <c r="P100" s="248" t="str">
        <f t="shared" si="53"/>
        <v/>
      </c>
      <c r="Q100" s="248" t="str">
        <f t="shared" si="53"/>
        <v/>
      </c>
      <c r="R100" s="248" t="str">
        <f t="shared" si="53"/>
        <v/>
      </c>
      <c r="S100" s="248" t="str">
        <f t="shared" si="53"/>
        <v/>
      </c>
      <c r="T100" s="248" t="str">
        <f t="shared" si="53"/>
        <v/>
      </c>
      <c r="U100" s="248" t="str">
        <f t="shared" si="53"/>
        <v/>
      </c>
      <c r="V100" s="248" t="str">
        <f t="shared" si="53"/>
        <v/>
      </c>
      <c r="W100" s="248" t="str">
        <f t="shared" si="53"/>
        <v/>
      </c>
      <c r="X100" s="248" t="str">
        <f t="shared" si="53"/>
        <v/>
      </c>
    </row>
    <row r="101" spans="1:24">
      <c r="A101" s="74"/>
      <c r="B101" s="87" t="s">
        <v>3</v>
      </c>
      <c r="C101" s="679" t="s">
        <v>27</v>
      </c>
      <c r="D101" s="680"/>
      <c r="E101" s="385">
        <f>IFERROR(VLOOKUP(E$18,'Apoio - Posto'!$A:$AA,19,FALSE),"")</f>
        <v>0</v>
      </c>
      <c r="F101" s="385">
        <f>IFERROR(VLOOKUP(F$18,'Apoio - Posto'!$A:$AA,19,FALSE),"")</f>
        <v>0</v>
      </c>
      <c r="G101" s="385">
        <f>IFERROR(VLOOKUP(G$18,'Apoio - Posto'!$A:$AA,19,FALSE),"")</f>
        <v>0</v>
      </c>
      <c r="H101" s="385">
        <f>IFERROR(VLOOKUP(H$18,'Apoio - Posto'!$A:$AA,19,FALSE),"")</f>
        <v>0</v>
      </c>
      <c r="I101" s="385" t="str">
        <f>IFERROR(VLOOKUP(I$18,'Apoio - Posto'!$A:$AA,19,FALSE),"")</f>
        <v/>
      </c>
      <c r="J101" s="385" t="str">
        <f>IFERROR(VLOOKUP(J$18,'Apoio - Posto'!$A:$AA,19,FALSE),"")</f>
        <v/>
      </c>
      <c r="K101" s="385" t="str">
        <f>IFERROR(VLOOKUP(K$18,'Apoio - Posto'!$A:$AA,19,FALSE),"")</f>
        <v/>
      </c>
      <c r="L101" s="385" t="str">
        <f>IFERROR(VLOOKUP(L$18,'Apoio - Posto'!$A:$AA,19,FALSE),"")</f>
        <v/>
      </c>
      <c r="M101" s="385" t="str">
        <f>IFERROR(VLOOKUP(M$18,'Apoio - Posto'!$A:$AA,19,FALSE),"")</f>
        <v/>
      </c>
      <c r="N101" s="385" t="str">
        <f>IFERROR(VLOOKUP(N$18,'Apoio - Posto'!$A:$AA,19,FALSE),"")</f>
        <v/>
      </c>
      <c r="O101" s="385" t="str">
        <f>IFERROR(VLOOKUP(O$18,'Apoio - Posto'!$A:$AA,19,FALSE),"")</f>
        <v/>
      </c>
      <c r="P101" s="385" t="str">
        <f>IFERROR(VLOOKUP(P$18,'Apoio - Posto'!$A:$AA,19,FALSE),"")</f>
        <v/>
      </c>
      <c r="Q101" s="385" t="str">
        <f>IFERROR(VLOOKUP(Q$18,'Apoio - Posto'!$A:$AA,19,FALSE),"")</f>
        <v/>
      </c>
      <c r="R101" s="385" t="str">
        <f>IFERROR(VLOOKUP(R$18,'Apoio - Posto'!$A:$AA,19,FALSE),"")</f>
        <v/>
      </c>
      <c r="S101" s="385" t="str">
        <f>IFERROR(VLOOKUP(S$18,'Apoio - Posto'!$A:$AA,19,FALSE),"")</f>
        <v/>
      </c>
      <c r="T101" s="385" t="str">
        <f>IFERROR(VLOOKUP(T$18,'Apoio - Posto'!$A:$AA,19,FALSE),"")</f>
        <v/>
      </c>
      <c r="U101" s="385" t="str">
        <f>IFERROR(VLOOKUP(U$18,'Apoio - Posto'!$A:$AA,19,FALSE),"")</f>
        <v/>
      </c>
      <c r="V101" s="385" t="str">
        <f>IFERROR(VLOOKUP(V$18,'Apoio - Posto'!$A:$AA,19,FALSE),"")</f>
        <v/>
      </c>
      <c r="W101" s="385" t="str">
        <f>IFERROR(VLOOKUP(W$18,'Apoio - Posto'!$A:$AA,19,FALSE),"")</f>
        <v/>
      </c>
      <c r="X101" s="385" t="str">
        <f>IFERROR(VLOOKUP(X$18,'Apoio - Posto'!$A:$AA,19,FALSE),"")</f>
        <v/>
      </c>
    </row>
    <row r="102" spans="1:24">
      <c r="A102" s="74"/>
      <c r="B102" s="185" t="s">
        <v>7</v>
      </c>
      <c r="C102" s="681" t="s">
        <v>28</v>
      </c>
      <c r="D102" s="682"/>
      <c r="E102" s="386"/>
      <c r="F102" s="386"/>
      <c r="G102" s="386"/>
      <c r="H102" s="386"/>
      <c r="I102" s="386"/>
      <c r="J102" s="386"/>
      <c r="K102" s="386"/>
      <c r="L102" s="386"/>
      <c r="M102" s="386"/>
      <c r="N102" s="386"/>
      <c r="O102" s="386"/>
      <c r="P102" s="386"/>
      <c r="Q102" s="386"/>
      <c r="R102" s="386"/>
      <c r="S102" s="386"/>
      <c r="T102" s="386"/>
      <c r="U102" s="386"/>
      <c r="V102" s="386"/>
      <c r="W102" s="386"/>
      <c r="X102" s="386"/>
    </row>
    <row r="103" spans="1:24">
      <c r="A103" s="74"/>
      <c r="B103" s="825" t="s">
        <v>6</v>
      </c>
      <c r="C103" s="669" t="s">
        <v>29</v>
      </c>
      <c r="D103" s="682"/>
      <c r="E103" s="241"/>
      <c r="F103" s="241"/>
      <c r="G103" s="241"/>
      <c r="H103" s="241"/>
      <c r="I103" s="241"/>
      <c r="J103" s="241"/>
      <c r="K103" s="241"/>
      <c r="L103" s="241"/>
      <c r="M103" s="241"/>
      <c r="N103" s="241"/>
      <c r="O103" s="241"/>
      <c r="P103" s="241"/>
      <c r="Q103" s="241"/>
      <c r="R103" s="241"/>
      <c r="S103" s="241"/>
      <c r="T103" s="241"/>
      <c r="U103" s="241"/>
      <c r="V103" s="241"/>
      <c r="W103" s="241"/>
      <c r="X103" s="241"/>
    </row>
    <row r="104" spans="1:24">
      <c r="A104" s="74"/>
      <c r="B104" s="826"/>
      <c r="C104" s="683" t="s">
        <v>26</v>
      </c>
      <c r="D104" s="684"/>
      <c r="E104" s="202"/>
      <c r="F104" s="202"/>
      <c r="G104" s="202"/>
      <c r="H104" s="202"/>
      <c r="I104" s="202"/>
      <c r="J104" s="202"/>
      <c r="K104" s="202"/>
      <c r="L104" s="202"/>
      <c r="M104" s="202"/>
      <c r="N104" s="202"/>
      <c r="O104" s="202"/>
      <c r="P104" s="202"/>
      <c r="Q104" s="202"/>
      <c r="R104" s="202"/>
      <c r="S104" s="202"/>
      <c r="T104" s="202"/>
      <c r="U104" s="202"/>
      <c r="V104" s="202"/>
      <c r="W104" s="202"/>
      <c r="X104" s="202"/>
    </row>
    <row r="105" spans="1:24">
      <c r="A105" s="74"/>
      <c r="B105" s="826"/>
      <c r="C105" s="685" t="s">
        <v>109</v>
      </c>
      <c r="D105" s="674"/>
      <c r="E105" s="205"/>
      <c r="F105" s="205"/>
      <c r="G105" s="205"/>
      <c r="H105" s="205"/>
      <c r="I105" s="205"/>
      <c r="J105" s="205"/>
      <c r="K105" s="205"/>
      <c r="L105" s="205"/>
      <c r="M105" s="205"/>
      <c r="N105" s="205"/>
      <c r="O105" s="205"/>
      <c r="P105" s="205"/>
      <c r="Q105" s="205"/>
      <c r="R105" s="205"/>
      <c r="S105" s="205"/>
      <c r="T105" s="205"/>
      <c r="U105" s="205"/>
      <c r="V105" s="205"/>
      <c r="W105" s="205"/>
      <c r="X105" s="205"/>
    </row>
    <row r="106" spans="1:24">
      <c r="A106" s="74"/>
      <c r="B106" s="827"/>
      <c r="C106" s="219"/>
      <c r="D106" s="668" t="s">
        <v>41</v>
      </c>
      <c r="E106" s="207">
        <f t="shared" ref="E106:N106" si="54">IF(E21="","",IFERROR((E104)-(E$105*E$104),""))</f>
        <v>0</v>
      </c>
      <c r="F106" s="207">
        <f t="shared" si="54"/>
        <v>0</v>
      </c>
      <c r="G106" s="207">
        <f t="shared" si="54"/>
        <v>0</v>
      </c>
      <c r="H106" s="207">
        <f t="shared" si="54"/>
        <v>0</v>
      </c>
      <c r="I106" s="207" t="str">
        <f t="shared" si="54"/>
        <v/>
      </c>
      <c r="J106" s="207" t="str">
        <f t="shared" si="54"/>
        <v/>
      </c>
      <c r="K106" s="207" t="str">
        <f t="shared" si="54"/>
        <v/>
      </c>
      <c r="L106" s="207" t="str">
        <f t="shared" si="54"/>
        <v/>
      </c>
      <c r="M106" s="207" t="str">
        <f t="shared" si="54"/>
        <v/>
      </c>
      <c r="N106" s="207" t="str">
        <f t="shared" si="54"/>
        <v/>
      </c>
      <c r="O106" s="207" t="str">
        <f t="shared" ref="O106:X106" si="55">IF(O21="","",IFERROR((O104)-(O$105*O$104),""))</f>
        <v/>
      </c>
      <c r="P106" s="207" t="str">
        <f t="shared" si="55"/>
        <v/>
      </c>
      <c r="Q106" s="207" t="str">
        <f t="shared" si="55"/>
        <v/>
      </c>
      <c r="R106" s="207" t="str">
        <f t="shared" si="55"/>
        <v/>
      </c>
      <c r="S106" s="207" t="str">
        <f t="shared" si="55"/>
        <v/>
      </c>
      <c r="T106" s="207" t="str">
        <f t="shared" si="55"/>
        <v/>
      </c>
      <c r="U106" s="207" t="str">
        <f t="shared" si="55"/>
        <v/>
      </c>
      <c r="V106" s="207" t="str">
        <f t="shared" si="55"/>
        <v/>
      </c>
      <c r="W106" s="207" t="str">
        <f t="shared" si="55"/>
        <v/>
      </c>
      <c r="X106" s="207" t="str">
        <f t="shared" si="55"/>
        <v/>
      </c>
    </row>
    <row r="107" spans="1:24">
      <c r="A107" s="74"/>
      <c r="B107" s="185" t="s">
        <v>5</v>
      </c>
      <c r="C107" s="681" t="s">
        <v>30</v>
      </c>
      <c r="D107" s="686" t="str">
        <f>IFERROR(VLOOKUP(E18,'Apoio - Posto'!A:J,14,FALSE),"")</f>
        <v/>
      </c>
      <c r="E107" s="418">
        <f>IFERROR(VLOOKUP(E$18,'Apoio - Posto'!$A:$AA,18,FALSE),"")</f>
        <v>25.52</v>
      </c>
      <c r="F107" s="418">
        <f>IFERROR(VLOOKUP(F$18,'Apoio - Posto'!$A:$AA,18,FALSE),"")</f>
        <v>25.52</v>
      </c>
      <c r="G107" s="418">
        <f>IFERROR(VLOOKUP(G$18,'Apoio - Posto'!$A:$AA,18,FALSE),"")</f>
        <v>25.52</v>
      </c>
      <c r="H107" s="418">
        <f>IFERROR(VLOOKUP(H$18,'Apoio - Posto'!$A:$AA,18,FALSE),"")</f>
        <v>25.52</v>
      </c>
      <c r="I107" s="418" t="str">
        <f>IFERROR(VLOOKUP(I$18,'Apoio - Posto'!$A:$AA,18,FALSE),"")</f>
        <v/>
      </c>
      <c r="J107" s="418" t="str">
        <f>IFERROR(VLOOKUP(J$18,'Apoio - Posto'!$A:$AA,18,FALSE),"")</f>
        <v/>
      </c>
      <c r="K107" s="418" t="str">
        <f>IFERROR(VLOOKUP(K$18,'Apoio - Posto'!$A:$AA,18,FALSE),"")</f>
        <v/>
      </c>
      <c r="L107" s="418" t="str">
        <f>IFERROR(VLOOKUP(L$18,'Apoio - Posto'!$A:$AA,18,FALSE),"")</f>
        <v/>
      </c>
      <c r="M107" s="418" t="str">
        <f>IFERROR(VLOOKUP(M$18,'Apoio - Posto'!$A:$AA,18,FALSE),"")</f>
        <v/>
      </c>
      <c r="N107" s="418" t="str">
        <f>IFERROR(VLOOKUP(N$18,'Apoio - Posto'!$A:$AA,18,FALSE),"")</f>
        <v/>
      </c>
      <c r="O107" s="418" t="str">
        <f>IFERROR(VLOOKUP(O$18,'Apoio - Posto'!$A:$AA,18,FALSE),"")</f>
        <v/>
      </c>
      <c r="P107" s="418" t="str">
        <f>IFERROR(VLOOKUP(P$18,'Apoio - Posto'!$A:$AA,18,FALSE),"")</f>
        <v/>
      </c>
      <c r="Q107" s="418" t="str">
        <f>IFERROR(VLOOKUP(Q$18,'Apoio - Posto'!$A:$AA,18,FALSE),"")</f>
        <v/>
      </c>
      <c r="R107" s="418" t="str">
        <f>IFERROR(VLOOKUP(R$18,'Apoio - Posto'!$A:$AA,18,FALSE),"")</f>
        <v/>
      </c>
      <c r="S107" s="418" t="str">
        <f>IFERROR(VLOOKUP(S$18,'Apoio - Posto'!$A:$AA,18,FALSE),"")</f>
        <v/>
      </c>
      <c r="T107" s="418" t="str">
        <f>IFERROR(VLOOKUP(T$18,'Apoio - Posto'!$A:$AA,18,FALSE),"")</f>
        <v/>
      </c>
      <c r="U107" s="418" t="str">
        <f>IFERROR(VLOOKUP(U$18,'Apoio - Posto'!$A:$AA,18,FALSE),"")</f>
        <v/>
      </c>
      <c r="V107" s="418" t="str">
        <f>IFERROR(VLOOKUP(V$18,'Apoio - Posto'!$A:$AA,18,FALSE),"")</f>
        <v/>
      </c>
      <c r="W107" s="418" t="str">
        <f>IFERROR(VLOOKUP(W$18,'Apoio - Posto'!$A:$AA,18,FALSE),"")</f>
        <v/>
      </c>
      <c r="X107" s="418" t="str">
        <f>IFERROR(VLOOKUP(X$18,'Apoio - Posto'!$A:$AA,18,FALSE),"")</f>
        <v/>
      </c>
    </row>
    <row r="108" spans="1:24">
      <c r="A108" s="74"/>
      <c r="B108" s="825" t="s">
        <v>4</v>
      </c>
      <c r="C108" s="700" t="s">
        <v>114</v>
      </c>
      <c r="D108" s="682"/>
      <c r="E108" s="386"/>
      <c r="F108" s="386"/>
      <c r="G108" s="386"/>
      <c r="H108" s="386"/>
      <c r="I108" s="386"/>
      <c r="J108" s="386"/>
      <c r="K108" s="386"/>
      <c r="L108" s="386"/>
      <c r="M108" s="386"/>
      <c r="N108" s="386"/>
      <c r="O108" s="386"/>
      <c r="P108" s="386"/>
      <c r="Q108" s="386"/>
      <c r="R108" s="386"/>
      <c r="S108" s="386"/>
      <c r="T108" s="386"/>
      <c r="U108" s="386"/>
      <c r="V108" s="386"/>
      <c r="W108" s="386"/>
      <c r="X108" s="386"/>
    </row>
    <row r="109" spans="1:24">
      <c r="A109" s="74"/>
      <c r="B109" s="826"/>
      <c r="C109" s="671" t="s">
        <v>272</v>
      </c>
      <c r="D109" s="684"/>
      <c r="E109" s="419">
        <f>IF(E23&lt;&gt;"SINDASSEIO","",
   IF(OR(IFERROR(VALUE(LEFT(E26,FIND("h",E26)-1)),0)&gt;30,
         ISNUMBER(FIND("12x36",E26))),
      80,
      40))</f>
        <v>80</v>
      </c>
      <c r="F109" s="419">
        <f t="shared" ref="F109:X109" si="56">IF(F23&lt;&gt;"SINDASSEIO","",
   IF(OR(IFERROR(VALUE(LEFT(F26,FIND("h",F26)-1)),0)&gt;30,
         ISNUMBER(FIND("12x36",F26))),
      80,
      40))</f>
        <v>40</v>
      </c>
      <c r="G109" s="419">
        <f t="shared" si="56"/>
        <v>80</v>
      </c>
      <c r="H109" s="419">
        <f t="shared" si="56"/>
        <v>40</v>
      </c>
      <c r="I109" s="419" t="str">
        <f t="shared" si="56"/>
        <v/>
      </c>
      <c r="J109" s="419" t="str">
        <f t="shared" si="56"/>
        <v/>
      </c>
      <c r="K109" s="419" t="str">
        <f t="shared" si="56"/>
        <v/>
      </c>
      <c r="L109" s="419" t="str">
        <f t="shared" si="56"/>
        <v/>
      </c>
      <c r="M109" s="419" t="str">
        <f t="shared" si="56"/>
        <v/>
      </c>
      <c r="N109" s="419" t="str">
        <f t="shared" si="56"/>
        <v/>
      </c>
      <c r="O109" s="419" t="str">
        <f t="shared" si="56"/>
        <v/>
      </c>
      <c r="P109" s="419" t="str">
        <f t="shared" si="56"/>
        <v/>
      </c>
      <c r="Q109" s="419" t="str">
        <f t="shared" si="56"/>
        <v/>
      </c>
      <c r="R109" s="419" t="str">
        <f t="shared" si="56"/>
        <v/>
      </c>
      <c r="S109" s="419" t="str">
        <f t="shared" si="56"/>
        <v/>
      </c>
      <c r="T109" s="419" t="str">
        <f t="shared" si="56"/>
        <v/>
      </c>
      <c r="U109" s="419" t="str">
        <f t="shared" si="56"/>
        <v/>
      </c>
      <c r="V109" s="419" t="str">
        <f t="shared" si="56"/>
        <v/>
      </c>
      <c r="W109" s="419" t="str">
        <f t="shared" si="56"/>
        <v/>
      </c>
      <c r="X109" s="419" t="str">
        <f t="shared" si="56"/>
        <v/>
      </c>
    </row>
    <row r="110" spans="1:24">
      <c r="A110" s="74"/>
      <c r="B110" s="826"/>
      <c r="C110" s="673" t="s">
        <v>273</v>
      </c>
      <c r="D110" s="674"/>
      <c r="E110" s="643"/>
      <c r="F110" s="643"/>
      <c r="G110" s="643"/>
      <c r="H110" s="643"/>
      <c r="I110" s="643"/>
      <c r="J110" s="643"/>
      <c r="K110" s="643"/>
      <c r="L110" s="643"/>
      <c r="M110" s="643"/>
      <c r="N110" s="643"/>
      <c r="O110" s="643"/>
      <c r="P110" s="643"/>
      <c r="Q110" s="643"/>
      <c r="R110" s="643"/>
      <c r="S110" s="643"/>
      <c r="T110" s="643"/>
      <c r="U110" s="643"/>
      <c r="V110" s="643"/>
      <c r="W110" s="643"/>
      <c r="X110" s="643"/>
    </row>
    <row r="111" spans="1:24">
      <c r="A111" s="74"/>
      <c r="B111" s="827"/>
      <c r="C111" s="97"/>
      <c r="D111" s="687" t="s">
        <v>41</v>
      </c>
      <c r="E111" s="209">
        <f>IF(E18="","",IF(E23&lt;&gt;"SINDASSEIO",E109,E109*(1-E110)))</f>
        <v>80</v>
      </c>
      <c r="F111" s="209">
        <f t="shared" ref="F111:X111" si="57">IF(F18="","",IF(F23&lt;&gt;"SINDASSEIO",F109,F109*(1-F110)))</f>
        <v>40</v>
      </c>
      <c r="G111" s="209">
        <f t="shared" si="57"/>
        <v>80</v>
      </c>
      <c r="H111" s="209">
        <f t="shared" si="57"/>
        <v>40</v>
      </c>
      <c r="I111" s="209" t="str">
        <f t="shared" si="57"/>
        <v/>
      </c>
      <c r="J111" s="209" t="str">
        <f t="shared" si="57"/>
        <v/>
      </c>
      <c r="K111" s="209" t="str">
        <f t="shared" si="57"/>
        <v/>
      </c>
      <c r="L111" s="209" t="str">
        <f t="shared" si="57"/>
        <v/>
      </c>
      <c r="M111" s="209" t="str">
        <f t="shared" si="57"/>
        <v/>
      </c>
      <c r="N111" s="209" t="str">
        <f t="shared" si="57"/>
        <v/>
      </c>
      <c r="O111" s="209" t="str">
        <f t="shared" si="57"/>
        <v/>
      </c>
      <c r="P111" s="209" t="str">
        <f t="shared" si="57"/>
        <v/>
      </c>
      <c r="Q111" s="209" t="str">
        <f t="shared" si="57"/>
        <v/>
      </c>
      <c r="R111" s="209" t="str">
        <f t="shared" si="57"/>
        <v/>
      </c>
      <c r="S111" s="209" t="str">
        <f t="shared" si="57"/>
        <v/>
      </c>
      <c r="T111" s="209" t="str">
        <f t="shared" si="57"/>
        <v/>
      </c>
      <c r="U111" s="209" t="str">
        <f t="shared" si="57"/>
        <v/>
      </c>
      <c r="V111" s="209" t="str">
        <f t="shared" si="57"/>
        <v/>
      </c>
      <c r="W111" s="209" t="str">
        <f t="shared" si="57"/>
        <v/>
      </c>
      <c r="X111" s="209" t="str">
        <f t="shared" si="57"/>
        <v/>
      </c>
    </row>
    <row r="112" spans="1:24" s="5" customFormat="1">
      <c r="A112" s="76"/>
      <c r="B112" s="189"/>
      <c r="C112" s="190" t="s">
        <v>117</v>
      </c>
      <c r="D112" s="191"/>
      <c r="E112" s="192">
        <f t="shared" ref="E112:N112" si="58">IF(E21="","",SUM(E91,E96,E100,E101,E102,E106,E107,E111))</f>
        <v>726.21336363636362</v>
      </c>
      <c r="F112" s="192">
        <f t="shared" si="58"/>
        <v>468.38677272727273</v>
      </c>
      <c r="G112" s="192">
        <f t="shared" si="58"/>
        <v>726.21336363636362</v>
      </c>
      <c r="H112" s="192">
        <f t="shared" si="58"/>
        <v>468.38677272727273</v>
      </c>
      <c r="I112" s="192" t="str">
        <f t="shared" si="58"/>
        <v/>
      </c>
      <c r="J112" s="192" t="str">
        <f t="shared" si="58"/>
        <v/>
      </c>
      <c r="K112" s="192" t="str">
        <f t="shared" si="58"/>
        <v/>
      </c>
      <c r="L112" s="192" t="str">
        <f t="shared" si="58"/>
        <v/>
      </c>
      <c r="M112" s="192" t="str">
        <f t="shared" si="58"/>
        <v/>
      </c>
      <c r="N112" s="192" t="str">
        <f t="shared" si="58"/>
        <v/>
      </c>
      <c r="O112" s="192" t="str">
        <f t="shared" ref="O112:X112" si="59">IF(O21="","",SUM(O91,O96,O100,O101,O102,O106,O107,O111))</f>
        <v/>
      </c>
      <c r="P112" s="192" t="str">
        <f t="shared" si="59"/>
        <v/>
      </c>
      <c r="Q112" s="192" t="str">
        <f t="shared" si="59"/>
        <v/>
      </c>
      <c r="R112" s="192" t="str">
        <f t="shared" si="59"/>
        <v/>
      </c>
      <c r="S112" s="192" t="str">
        <f t="shared" si="59"/>
        <v/>
      </c>
      <c r="T112" s="192" t="str">
        <f t="shared" si="59"/>
        <v/>
      </c>
      <c r="U112" s="192" t="str">
        <f t="shared" si="59"/>
        <v/>
      </c>
      <c r="V112" s="192" t="str">
        <f t="shared" si="59"/>
        <v/>
      </c>
      <c r="W112" s="192" t="str">
        <f t="shared" si="59"/>
        <v/>
      </c>
      <c r="X112" s="192" t="str">
        <f t="shared" si="59"/>
        <v/>
      </c>
    </row>
    <row r="113" spans="1:24" customFormat="1" ht="3.75" customHeight="1"/>
    <row r="114" spans="1:24" s="5" customFormat="1">
      <c r="A114" s="73"/>
      <c r="B114" s="157"/>
      <c r="C114" s="90" t="s">
        <v>115</v>
      </c>
      <c r="D114" s="153"/>
      <c r="E114" s="154">
        <f t="shared" ref="E114:N114" si="60">IF(E21="","",IFERROR(SUM(E112,E83,E69),""))</f>
        <v>2151.1018509090909</v>
      </c>
      <c r="F114" s="155">
        <f t="shared" si="60"/>
        <v>1537.0531381818182</v>
      </c>
      <c r="G114" s="453">
        <f t="shared" si="60"/>
        <v>2354.6573490909091</v>
      </c>
      <c r="H114" s="155">
        <f t="shared" si="60"/>
        <v>1384.3865145454545</v>
      </c>
      <c r="I114" s="155" t="str">
        <f t="shared" si="60"/>
        <v/>
      </c>
      <c r="J114" s="155" t="str">
        <f t="shared" si="60"/>
        <v/>
      </c>
      <c r="K114" s="155" t="str">
        <f t="shared" si="60"/>
        <v/>
      </c>
      <c r="L114" s="155" t="str">
        <f t="shared" si="60"/>
        <v/>
      </c>
      <c r="M114" s="155" t="str">
        <f t="shared" si="60"/>
        <v/>
      </c>
      <c r="N114" s="155" t="str">
        <f t="shared" si="60"/>
        <v/>
      </c>
      <c r="O114" s="155" t="str">
        <f t="shared" ref="O114:X114" si="61">IF(O21="","",IFERROR(SUM(O112,O83,O69),""))</f>
        <v/>
      </c>
      <c r="P114" s="155" t="str">
        <f t="shared" si="61"/>
        <v/>
      </c>
      <c r="Q114" s="155" t="str">
        <f t="shared" si="61"/>
        <v/>
      </c>
      <c r="R114" s="155" t="str">
        <f t="shared" si="61"/>
        <v/>
      </c>
      <c r="S114" s="155" t="str">
        <f t="shared" si="61"/>
        <v/>
      </c>
      <c r="T114" s="155" t="str">
        <f t="shared" si="61"/>
        <v/>
      </c>
      <c r="U114" s="155" t="str">
        <f t="shared" si="61"/>
        <v/>
      </c>
      <c r="V114" s="155" t="str">
        <f t="shared" si="61"/>
        <v/>
      </c>
      <c r="W114" s="155" t="str">
        <f t="shared" si="61"/>
        <v/>
      </c>
      <c r="X114" s="155"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74"/>
      <c r="B116" s="89"/>
      <c r="C116" s="90" t="s">
        <v>127</v>
      </c>
      <c r="D116" s="91"/>
      <c r="E116" s="370"/>
      <c r="F116" s="452"/>
      <c r="G116" s="370"/>
      <c r="H116" s="370"/>
      <c r="I116" s="370"/>
      <c r="J116" s="370"/>
      <c r="K116" s="370"/>
      <c r="L116" s="370"/>
      <c r="M116" s="370"/>
      <c r="N116" s="370"/>
      <c r="O116" s="370"/>
      <c r="P116" s="370"/>
      <c r="Q116" s="370"/>
      <c r="R116" s="370"/>
      <c r="S116" s="370"/>
      <c r="T116" s="370"/>
      <c r="U116" s="370"/>
      <c r="V116" s="370"/>
      <c r="W116" s="370"/>
      <c r="X116" s="370"/>
    </row>
    <row r="117" spans="1:24" s="13" customFormat="1">
      <c r="A117" s="77"/>
      <c r="B117" s="87" t="s">
        <v>2</v>
      </c>
      <c r="C117" s="88" t="s">
        <v>221</v>
      </c>
      <c r="D117" s="407">
        <f>INDEX('Apoio - Notas Explicativas'!Q:Q,MATCH(C117,'Apoio - Notas Explicativas'!C:C,0))</f>
        <v>4.1999999999999997E-3</v>
      </c>
      <c r="E117" s="99">
        <f t="shared" ref="E117:T122" si="62">IFERROR($D117*E$61,"")</f>
        <v>9.4393243636363628</v>
      </c>
      <c r="F117" s="99">
        <f t="shared" si="62"/>
        <v>7.079493272727273</v>
      </c>
      <c r="G117" s="99">
        <f t="shared" si="62"/>
        <v>10.787799272727272</v>
      </c>
      <c r="H117" s="99">
        <f t="shared" si="62"/>
        <v>6.0681370909090901</v>
      </c>
      <c r="I117" s="99" t="str">
        <f t="shared" si="62"/>
        <v/>
      </c>
      <c r="J117" s="99" t="str">
        <f t="shared" si="62"/>
        <v/>
      </c>
      <c r="K117" s="99" t="str">
        <f t="shared" si="62"/>
        <v/>
      </c>
      <c r="L117" s="99" t="str">
        <f t="shared" si="62"/>
        <v/>
      </c>
      <c r="M117" s="99" t="str">
        <f t="shared" si="62"/>
        <v/>
      </c>
      <c r="N117" s="99" t="str">
        <f t="shared" si="62"/>
        <v/>
      </c>
      <c r="O117" s="99" t="str">
        <f t="shared" si="62"/>
        <v/>
      </c>
      <c r="P117" s="99" t="str">
        <f t="shared" si="62"/>
        <v/>
      </c>
      <c r="Q117" s="99" t="str">
        <f t="shared" si="62"/>
        <v/>
      </c>
      <c r="R117" s="99" t="str">
        <f t="shared" si="62"/>
        <v/>
      </c>
      <c r="S117" s="99" t="str">
        <f t="shared" si="62"/>
        <v/>
      </c>
      <c r="T117" s="99" t="str">
        <f t="shared" si="62"/>
        <v/>
      </c>
      <c r="U117" s="99" t="str">
        <f t="shared" ref="O117:X122" si="63">IFERROR($D117*U$61,"")</f>
        <v/>
      </c>
      <c r="V117" s="99" t="str">
        <f t="shared" si="63"/>
        <v/>
      </c>
      <c r="W117" s="99" t="str">
        <f t="shared" si="63"/>
        <v/>
      </c>
      <c r="X117" s="99" t="str">
        <f t="shared" si="63"/>
        <v/>
      </c>
    </row>
    <row r="118" spans="1:24" s="13" customFormat="1">
      <c r="A118" s="77"/>
      <c r="B118" s="87" t="s">
        <v>1</v>
      </c>
      <c r="C118" s="88" t="s">
        <v>31</v>
      </c>
      <c r="D118" s="407">
        <f>INDEX('Apoio - Notas Explicativas'!Q:Q,MATCH(C118,'Apoio - Notas Explicativas'!C:C,0))</f>
        <v>2.9999999999999997E-4</v>
      </c>
      <c r="E118" s="99">
        <f t="shared" si="62"/>
        <v>0.67423745454545447</v>
      </c>
      <c r="F118" s="99">
        <f t="shared" si="62"/>
        <v>0.50567809090909088</v>
      </c>
      <c r="G118" s="99">
        <f t="shared" si="62"/>
        <v>0.77055709090909086</v>
      </c>
      <c r="H118" s="99">
        <f t="shared" si="62"/>
        <v>0.43343836363636357</v>
      </c>
      <c r="I118" s="99" t="str">
        <f t="shared" si="62"/>
        <v/>
      </c>
      <c r="J118" s="99" t="str">
        <f t="shared" si="62"/>
        <v/>
      </c>
      <c r="K118" s="99" t="str">
        <f t="shared" si="62"/>
        <v/>
      </c>
      <c r="L118" s="99" t="str">
        <f t="shared" si="62"/>
        <v/>
      </c>
      <c r="M118" s="99" t="str">
        <f t="shared" si="62"/>
        <v/>
      </c>
      <c r="N118" s="99" t="str">
        <f t="shared" si="62"/>
        <v/>
      </c>
      <c r="O118" s="99" t="str">
        <f t="shared" si="63"/>
        <v/>
      </c>
      <c r="P118" s="99" t="str">
        <f t="shared" si="63"/>
        <v/>
      </c>
      <c r="Q118" s="99" t="str">
        <f t="shared" si="63"/>
        <v/>
      </c>
      <c r="R118" s="99" t="str">
        <f t="shared" si="63"/>
        <v/>
      </c>
      <c r="S118" s="99" t="str">
        <f t="shared" si="63"/>
        <v/>
      </c>
      <c r="T118" s="99" t="str">
        <f t="shared" si="63"/>
        <v/>
      </c>
      <c r="U118" s="99" t="str">
        <f t="shared" si="63"/>
        <v/>
      </c>
      <c r="V118" s="99" t="str">
        <f t="shared" si="63"/>
        <v/>
      </c>
      <c r="W118" s="99" t="str">
        <f t="shared" si="63"/>
        <v/>
      </c>
      <c r="X118" s="99" t="str">
        <f t="shared" si="63"/>
        <v/>
      </c>
    </row>
    <row r="119" spans="1:24" s="13" customFormat="1">
      <c r="A119" s="77"/>
      <c r="B119" s="87" t="s">
        <v>0</v>
      </c>
      <c r="C119" s="88" t="s">
        <v>553</v>
      </c>
      <c r="D119" s="407">
        <f>INDEX('Apoio - Notas Explicativas'!Q:Q,MATCH(C119,'Apoio - Notas Explicativas'!C:C,0))</f>
        <v>1E-4</v>
      </c>
      <c r="E119" s="99">
        <f t="shared" si="62"/>
        <v>0.22474581818181819</v>
      </c>
      <c r="F119" s="99">
        <f t="shared" si="62"/>
        <v>0.16855936363636365</v>
      </c>
      <c r="G119" s="99">
        <f t="shared" si="62"/>
        <v>0.25685236363636366</v>
      </c>
      <c r="H119" s="99">
        <f t="shared" si="62"/>
        <v>0.14447945454545455</v>
      </c>
      <c r="I119" s="99" t="str">
        <f t="shared" si="62"/>
        <v/>
      </c>
      <c r="J119" s="99" t="str">
        <f t="shared" si="62"/>
        <v/>
      </c>
      <c r="K119" s="99" t="str">
        <f t="shared" si="62"/>
        <v/>
      </c>
      <c r="L119" s="99" t="str">
        <f t="shared" si="62"/>
        <v/>
      </c>
      <c r="M119" s="99" t="str">
        <f t="shared" si="62"/>
        <v/>
      </c>
      <c r="N119" s="99" t="str">
        <f t="shared" si="62"/>
        <v/>
      </c>
      <c r="O119" s="99" t="str">
        <f t="shared" si="63"/>
        <v/>
      </c>
      <c r="P119" s="99" t="str">
        <f t="shared" si="63"/>
        <v/>
      </c>
      <c r="Q119" s="99" t="str">
        <f t="shared" si="63"/>
        <v/>
      </c>
      <c r="R119" s="99" t="str">
        <f t="shared" si="63"/>
        <v/>
      </c>
      <c r="S119" s="99" t="str">
        <f t="shared" si="63"/>
        <v/>
      </c>
      <c r="T119" s="99" t="str">
        <f t="shared" si="63"/>
        <v/>
      </c>
      <c r="U119" s="99" t="str">
        <f t="shared" si="63"/>
        <v/>
      </c>
      <c r="V119" s="99" t="str">
        <f t="shared" si="63"/>
        <v/>
      </c>
      <c r="W119" s="99" t="str">
        <f t="shared" si="63"/>
        <v/>
      </c>
      <c r="X119" s="99" t="str">
        <f t="shared" si="63"/>
        <v/>
      </c>
    </row>
    <row r="120" spans="1:24" s="13" customFormat="1">
      <c r="A120" s="77"/>
      <c r="B120" s="87" t="s">
        <v>3</v>
      </c>
      <c r="C120" s="88" t="s">
        <v>32</v>
      </c>
      <c r="D120" s="407">
        <f>INDEX('Apoio - Notas Explicativas'!Q:Q,MATCH(C120,'Apoio - Notas Explicativas'!C:C,0))</f>
        <v>1.0500000000000001E-2</v>
      </c>
      <c r="E120" s="99">
        <f>IFERROR($D120*E$61,"")</f>
        <v>23.598310909090912</v>
      </c>
      <c r="F120" s="99">
        <f t="shared" si="62"/>
        <v>17.698733181818184</v>
      </c>
      <c r="G120" s="99">
        <f t="shared" si="62"/>
        <v>26.969498181818182</v>
      </c>
      <c r="H120" s="99">
        <f t="shared" si="62"/>
        <v>15.170342727272727</v>
      </c>
      <c r="I120" s="99" t="str">
        <f t="shared" si="62"/>
        <v/>
      </c>
      <c r="J120" s="99" t="str">
        <f t="shared" si="62"/>
        <v/>
      </c>
      <c r="K120" s="99" t="str">
        <f t="shared" si="62"/>
        <v/>
      </c>
      <c r="L120" s="99" t="str">
        <f t="shared" si="62"/>
        <v/>
      </c>
      <c r="M120" s="99" t="str">
        <f t="shared" si="62"/>
        <v/>
      </c>
      <c r="N120" s="99" t="str">
        <f t="shared" si="62"/>
        <v/>
      </c>
      <c r="O120" s="99" t="str">
        <f t="shared" si="63"/>
        <v/>
      </c>
      <c r="P120" s="99" t="str">
        <f t="shared" si="63"/>
        <v/>
      </c>
      <c r="Q120" s="99" t="str">
        <f t="shared" si="63"/>
        <v/>
      </c>
      <c r="R120" s="99" t="str">
        <f t="shared" si="63"/>
        <v/>
      </c>
      <c r="S120" s="99" t="str">
        <f t="shared" si="63"/>
        <v/>
      </c>
      <c r="T120" s="99" t="str">
        <f t="shared" si="63"/>
        <v/>
      </c>
      <c r="U120" s="99" t="str">
        <f t="shared" si="63"/>
        <v/>
      </c>
      <c r="V120" s="99" t="str">
        <f t="shared" si="63"/>
        <v/>
      </c>
      <c r="W120" s="99" t="str">
        <f t="shared" si="63"/>
        <v/>
      </c>
      <c r="X120" s="99" t="str">
        <f t="shared" si="63"/>
        <v/>
      </c>
    </row>
    <row r="121" spans="1:24" s="13" customFormat="1">
      <c r="A121" s="77"/>
      <c r="B121" s="87" t="s">
        <v>7</v>
      </c>
      <c r="C121" s="88" t="s">
        <v>33</v>
      </c>
      <c r="D121" s="407">
        <f>INDEX('Apoio - Notas Explicativas'!Q:Q,MATCH(C121,'Apoio - Notas Explicativas'!C:C,0))</f>
        <v>3.8999999999999998E-3</v>
      </c>
      <c r="E121" s="99">
        <f t="shared" si="62"/>
        <v>8.7650869090909094</v>
      </c>
      <c r="F121" s="99">
        <f t="shared" si="62"/>
        <v>6.5738151818181825</v>
      </c>
      <c r="G121" s="99">
        <f t="shared" si="62"/>
        <v>10.017242181818181</v>
      </c>
      <c r="H121" s="99">
        <f t="shared" si="62"/>
        <v>5.6346987272727267</v>
      </c>
      <c r="I121" s="99" t="str">
        <f t="shared" si="62"/>
        <v/>
      </c>
      <c r="J121" s="99" t="str">
        <f t="shared" si="62"/>
        <v/>
      </c>
      <c r="K121" s="99" t="str">
        <f t="shared" si="62"/>
        <v/>
      </c>
      <c r="L121" s="99" t="str">
        <f t="shared" si="62"/>
        <v/>
      </c>
      <c r="M121" s="99" t="str">
        <f t="shared" si="62"/>
        <v/>
      </c>
      <c r="N121" s="99" t="str">
        <f t="shared" si="62"/>
        <v/>
      </c>
      <c r="O121" s="99" t="str">
        <f t="shared" si="63"/>
        <v/>
      </c>
      <c r="P121" s="99" t="str">
        <f t="shared" si="63"/>
        <v/>
      </c>
      <c r="Q121" s="99" t="str">
        <f t="shared" si="63"/>
        <v/>
      </c>
      <c r="R121" s="99" t="str">
        <f t="shared" si="63"/>
        <v/>
      </c>
      <c r="S121" s="99" t="str">
        <f t="shared" si="63"/>
        <v/>
      </c>
      <c r="T121" s="99" t="str">
        <f t="shared" si="63"/>
        <v/>
      </c>
      <c r="U121" s="99" t="str">
        <f t="shared" si="63"/>
        <v/>
      </c>
      <c r="V121" s="99" t="str">
        <f t="shared" si="63"/>
        <v/>
      </c>
      <c r="W121" s="99" t="str">
        <f t="shared" si="63"/>
        <v/>
      </c>
      <c r="X121" s="99" t="str">
        <f t="shared" si="63"/>
        <v/>
      </c>
    </row>
    <row r="122" spans="1:24" s="13" customFormat="1">
      <c r="A122" s="77"/>
      <c r="B122" s="87" t="s">
        <v>6</v>
      </c>
      <c r="C122" s="88" t="s">
        <v>34</v>
      </c>
      <c r="D122" s="407">
        <f>INDEX('Apoio - Notas Explicativas'!Q:Q,MATCH(C122,'Apoio - Notas Explicativas'!C:C,0))</f>
        <v>0.04</v>
      </c>
      <c r="E122" s="99">
        <f t="shared" si="62"/>
        <v>89.898327272727272</v>
      </c>
      <c r="F122" s="99">
        <f t="shared" si="62"/>
        <v>67.423745454545468</v>
      </c>
      <c r="G122" s="99">
        <f t="shared" si="62"/>
        <v>102.74094545454545</v>
      </c>
      <c r="H122" s="99">
        <f t="shared" si="62"/>
        <v>57.791781818181818</v>
      </c>
      <c r="I122" s="99" t="str">
        <f t="shared" si="62"/>
        <v/>
      </c>
      <c r="J122" s="99" t="str">
        <f t="shared" si="62"/>
        <v/>
      </c>
      <c r="K122" s="99" t="str">
        <f t="shared" si="62"/>
        <v/>
      </c>
      <c r="L122" s="99" t="str">
        <f t="shared" si="62"/>
        <v/>
      </c>
      <c r="M122" s="99" t="str">
        <f t="shared" si="62"/>
        <v/>
      </c>
      <c r="N122" s="99" t="str">
        <f t="shared" si="62"/>
        <v/>
      </c>
      <c r="O122" s="99" t="str">
        <f t="shared" si="63"/>
        <v/>
      </c>
      <c r="P122" s="99" t="str">
        <f t="shared" si="63"/>
        <v/>
      </c>
      <c r="Q122" s="99" t="str">
        <f t="shared" si="63"/>
        <v/>
      </c>
      <c r="R122" s="99" t="str">
        <f t="shared" si="63"/>
        <v/>
      </c>
      <c r="S122" s="99" t="str">
        <f t="shared" si="63"/>
        <v/>
      </c>
      <c r="T122" s="99" t="str">
        <f t="shared" si="63"/>
        <v/>
      </c>
      <c r="U122" s="99" t="str">
        <f t="shared" si="63"/>
        <v/>
      </c>
      <c r="V122" s="99" t="str">
        <f t="shared" si="63"/>
        <v/>
      </c>
      <c r="W122" s="99" t="str">
        <f t="shared" si="63"/>
        <v/>
      </c>
      <c r="X122" s="99" t="str">
        <f t="shared" si="63"/>
        <v/>
      </c>
    </row>
    <row r="123" spans="1:24" s="5" customFormat="1">
      <c r="A123" s="73"/>
      <c r="B123" s="157"/>
      <c r="C123" s="90" t="s">
        <v>116</v>
      </c>
      <c r="D123" s="153"/>
      <c r="E123" s="155">
        <f>IF(SUM(E117:E122)=0,"",SUM(E117:E122))</f>
        <v>132.60003272727272</v>
      </c>
      <c r="F123" s="155">
        <f t="shared" ref="F123:H123" si="64">IF(SUM(F117:F122)=0,"",SUM(F117:F122))</f>
        <v>99.450024545454568</v>
      </c>
      <c r="G123" s="155">
        <f t="shared" si="64"/>
        <v>151.54289454545454</v>
      </c>
      <c r="H123" s="155">
        <f t="shared" si="64"/>
        <v>85.242878181818185</v>
      </c>
      <c r="I123" s="155" t="str">
        <f t="shared" ref="I123:N123" si="65">IF(SUM(I117:I122)=0,"",SUM(I117:I122))</f>
        <v/>
      </c>
      <c r="J123" s="155" t="str">
        <f t="shared" si="65"/>
        <v/>
      </c>
      <c r="K123" s="155" t="str">
        <f t="shared" si="65"/>
        <v/>
      </c>
      <c r="L123" s="155" t="str">
        <f t="shared" si="65"/>
        <v/>
      </c>
      <c r="M123" s="155" t="str">
        <f t="shared" si="65"/>
        <v/>
      </c>
      <c r="N123" s="155" t="str">
        <f t="shared" si="65"/>
        <v/>
      </c>
      <c r="O123" s="155" t="str">
        <f t="shared" ref="O123:X123" si="66">IF(SUM(O117:O122)=0,"",SUM(O117:O122))</f>
        <v/>
      </c>
      <c r="P123" s="155" t="str">
        <f t="shared" si="66"/>
        <v/>
      </c>
      <c r="Q123" s="155" t="str">
        <f t="shared" si="66"/>
        <v/>
      </c>
      <c r="R123" s="155" t="str">
        <f t="shared" si="66"/>
        <v/>
      </c>
      <c r="S123" s="155" t="str">
        <f t="shared" si="66"/>
        <v/>
      </c>
      <c r="T123" s="155" t="str">
        <f t="shared" si="66"/>
        <v/>
      </c>
      <c r="U123" s="155" t="str">
        <f t="shared" si="66"/>
        <v/>
      </c>
      <c r="V123" s="155" t="str">
        <f t="shared" si="66"/>
        <v/>
      </c>
      <c r="W123" s="155" t="str">
        <f t="shared" si="66"/>
        <v/>
      </c>
      <c r="X123" s="155"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74"/>
      <c r="B125" s="89"/>
      <c r="C125" s="90" t="s">
        <v>128</v>
      </c>
      <c r="D125" s="91"/>
      <c r="E125" s="370"/>
      <c r="F125" s="370"/>
      <c r="G125" s="370"/>
      <c r="H125" s="370"/>
      <c r="I125" s="370"/>
      <c r="J125" s="370"/>
      <c r="K125" s="370"/>
      <c r="L125" s="370"/>
      <c r="M125" s="370"/>
      <c r="N125" s="370"/>
      <c r="O125" s="370"/>
      <c r="P125" s="370"/>
      <c r="Q125" s="370"/>
      <c r="R125" s="370"/>
      <c r="S125" s="370"/>
      <c r="T125" s="370"/>
      <c r="U125" s="370"/>
      <c r="V125" s="370"/>
      <c r="W125" s="370"/>
      <c r="X125" s="370"/>
    </row>
    <row r="126" spans="1:24" customFormat="1" ht="3.75" customHeight="1"/>
    <row r="127" spans="1:24" s="6" customFormat="1">
      <c r="A127" s="75"/>
      <c r="B127" s="171"/>
      <c r="C127" s="172" t="s">
        <v>179</v>
      </c>
      <c r="D127" s="173"/>
      <c r="E127" s="176"/>
      <c r="F127" s="174"/>
      <c r="G127" s="174"/>
      <c r="H127" s="174"/>
      <c r="I127" s="174"/>
      <c r="J127" s="174"/>
      <c r="K127" s="174"/>
      <c r="L127" s="174"/>
      <c r="M127" s="174"/>
      <c r="N127" s="174"/>
      <c r="O127" s="174"/>
      <c r="P127" s="174"/>
      <c r="Q127" s="174"/>
      <c r="R127" s="174"/>
      <c r="S127" s="174"/>
      <c r="T127" s="174"/>
      <c r="U127" s="174"/>
      <c r="V127" s="174"/>
      <c r="W127" s="174"/>
      <c r="X127" s="174"/>
    </row>
    <row r="128" spans="1:24" s="13" customFormat="1">
      <c r="A128" s="78"/>
      <c r="B128" s="87" t="s">
        <v>2</v>
      </c>
      <c r="C128" s="88" t="s">
        <v>35</v>
      </c>
      <c r="D128" s="407">
        <f>INDEX('Apoio - Notas Explicativas'!$Q:$Q,MATCH(C128,'Apoio - Notas Explicativas'!$C:$C,0))</f>
        <v>1.6199999999999999E-2</v>
      </c>
      <c r="E128" s="99">
        <f t="shared" ref="E128:N128" si="67">IF(E21="","",IFERROR($D128*SUM(E$61),""))</f>
        <v>36.408822545454541</v>
      </c>
      <c r="F128" s="137">
        <f t="shared" si="67"/>
        <v>27.306616909090909</v>
      </c>
      <c r="G128" s="137">
        <f t="shared" si="67"/>
        <v>41.610082909090906</v>
      </c>
      <c r="H128" s="137">
        <f t="shared" si="67"/>
        <v>23.405671636363635</v>
      </c>
      <c r="I128" s="137" t="str">
        <f t="shared" si="67"/>
        <v/>
      </c>
      <c r="J128" s="137" t="str">
        <f t="shared" si="67"/>
        <v/>
      </c>
      <c r="K128" s="137" t="str">
        <f t="shared" si="67"/>
        <v/>
      </c>
      <c r="L128" s="137" t="str">
        <f t="shared" si="67"/>
        <v/>
      </c>
      <c r="M128" s="137" t="str">
        <f t="shared" si="67"/>
        <v/>
      </c>
      <c r="N128" s="137" t="str">
        <f t="shared" si="67"/>
        <v/>
      </c>
      <c r="O128" s="137" t="str">
        <f t="shared" ref="O128:X128" si="68">IF(O21="","",IFERROR($D128*SUM(O$61),""))</f>
        <v/>
      </c>
      <c r="P128" s="137" t="str">
        <f t="shared" si="68"/>
        <v/>
      </c>
      <c r="Q128" s="137" t="str">
        <f t="shared" si="68"/>
        <v/>
      </c>
      <c r="R128" s="137" t="str">
        <f t="shared" si="68"/>
        <v/>
      </c>
      <c r="S128" s="137" t="str">
        <f t="shared" si="68"/>
        <v/>
      </c>
      <c r="T128" s="137" t="str">
        <f t="shared" si="68"/>
        <v/>
      </c>
      <c r="U128" s="137" t="str">
        <f t="shared" si="68"/>
        <v/>
      </c>
      <c r="V128" s="137" t="str">
        <f t="shared" si="68"/>
        <v/>
      </c>
      <c r="W128" s="137" t="str">
        <f t="shared" si="68"/>
        <v/>
      </c>
      <c r="X128" s="137" t="str">
        <f t="shared" si="68"/>
        <v/>
      </c>
    </row>
    <row r="129" spans="1:24" s="13" customFormat="1">
      <c r="A129" s="78"/>
      <c r="B129" s="87" t="s">
        <v>1</v>
      </c>
      <c r="C129" s="88" t="s">
        <v>187</v>
      </c>
      <c r="D129" s="407">
        <f>INDEX('Apoio - Notas Explicativas'!$Q:$Q,MATCH(C129,'Apoio - Notas Explicativas'!$C:$C,0))</f>
        <v>1.37E-2</v>
      </c>
      <c r="E129" s="99">
        <f>IFERROR($D129*(E61+E66+E67),"")</f>
        <v>36.775787517381822</v>
      </c>
      <c r="F129" s="137">
        <f t="shared" ref="F129:H129" si="69">IFERROR($D129*(F61+F66+F67),"")</f>
        <v>27.581840638036368</v>
      </c>
      <c r="G129" s="137">
        <f t="shared" si="69"/>
        <v>42.029471448436361</v>
      </c>
      <c r="H129" s="137">
        <f t="shared" si="69"/>
        <v>23.641577689745453</v>
      </c>
      <c r="I129" s="137" t="str">
        <f t="shared" ref="I129:N129" si="70">IFERROR($D129*(I61+I66+I67),"")</f>
        <v/>
      </c>
      <c r="J129" s="137" t="str">
        <f t="shared" si="70"/>
        <v/>
      </c>
      <c r="K129" s="137" t="str">
        <f t="shared" si="70"/>
        <v/>
      </c>
      <c r="L129" s="137" t="str">
        <f t="shared" si="70"/>
        <v/>
      </c>
      <c r="M129" s="137" t="str">
        <f t="shared" si="70"/>
        <v/>
      </c>
      <c r="N129" s="137" t="str">
        <f t="shared" si="70"/>
        <v/>
      </c>
      <c r="O129" s="137" t="str">
        <f t="shared" ref="O129:X129" si="71">IFERROR($D129*(O61+O66+O67),"")</f>
        <v/>
      </c>
      <c r="P129" s="137" t="str">
        <f t="shared" si="71"/>
        <v/>
      </c>
      <c r="Q129" s="137" t="str">
        <f t="shared" si="71"/>
        <v/>
      </c>
      <c r="R129" s="137" t="str">
        <f t="shared" si="71"/>
        <v/>
      </c>
      <c r="S129" s="137" t="str">
        <f t="shared" si="71"/>
        <v/>
      </c>
      <c r="T129" s="137" t="str">
        <f t="shared" si="71"/>
        <v/>
      </c>
      <c r="U129" s="137" t="str">
        <f t="shared" si="71"/>
        <v/>
      </c>
      <c r="V129" s="137" t="str">
        <f t="shared" si="71"/>
        <v/>
      </c>
      <c r="W129" s="137" t="str">
        <f t="shared" si="71"/>
        <v/>
      </c>
      <c r="X129" s="137" t="str">
        <f t="shared" si="71"/>
        <v/>
      </c>
    </row>
    <row r="130" spans="1:24" s="13" customFormat="1">
      <c r="A130" s="78"/>
      <c r="B130" s="87" t="s">
        <v>0</v>
      </c>
      <c r="C130" s="88" t="s">
        <v>36</v>
      </c>
      <c r="D130" s="407">
        <f>INDEX('Apoio - Notas Explicativas'!$Q:$Q,MATCH(C130,'Apoio - Notas Explicativas'!$C:$C,0))</f>
        <v>2.0000000000000001E-4</v>
      </c>
      <c r="E130" s="99">
        <f>IFERROR($D130*(E61+E66+E67),"")</f>
        <v>0.53687281047272728</v>
      </c>
      <c r="F130" s="137">
        <f t="shared" ref="F130:H130" si="72">IFERROR($D130*(F61+F66+F67),"")</f>
        <v>0.40265460785454554</v>
      </c>
      <c r="G130" s="137">
        <f t="shared" si="72"/>
        <v>0.6135689262545454</v>
      </c>
      <c r="H130" s="137">
        <f t="shared" si="72"/>
        <v>0.34513252101818181</v>
      </c>
      <c r="I130" s="137" t="str">
        <f t="shared" ref="I130:N130" si="73">IFERROR($D130*(I61+I66+I67),"")</f>
        <v/>
      </c>
      <c r="J130" s="137" t="str">
        <f t="shared" si="73"/>
        <v/>
      </c>
      <c r="K130" s="137" t="str">
        <f t="shared" si="73"/>
        <v/>
      </c>
      <c r="L130" s="137" t="str">
        <f t="shared" si="73"/>
        <v/>
      </c>
      <c r="M130" s="137" t="str">
        <f t="shared" si="73"/>
        <v/>
      </c>
      <c r="N130" s="137" t="str">
        <f t="shared" si="73"/>
        <v/>
      </c>
      <c r="O130" s="137" t="str">
        <f t="shared" ref="O130:X130" si="74">IFERROR($D130*(O61+O66+O67),"")</f>
        <v/>
      </c>
      <c r="P130" s="137" t="str">
        <f t="shared" si="74"/>
        <v/>
      </c>
      <c r="Q130" s="137" t="str">
        <f t="shared" si="74"/>
        <v/>
      </c>
      <c r="R130" s="137" t="str">
        <f t="shared" si="74"/>
        <v/>
      </c>
      <c r="S130" s="137" t="str">
        <f t="shared" si="74"/>
        <v/>
      </c>
      <c r="T130" s="137" t="str">
        <f t="shared" si="74"/>
        <v/>
      </c>
      <c r="U130" s="137" t="str">
        <f t="shared" si="74"/>
        <v/>
      </c>
      <c r="V130" s="137" t="str">
        <f t="shared" si="74"/>
        <v/>
      </c>
      <c r="W130" s="137" t="str">
        <f t="shared" si="74"/>
        <v/>
      </c>
      <c r="X130" s="137" t="str">
        <f t="shared" si="74"/>
        <v/>
      </c>
    </row>
    <row r="131" spans="1:24" s="13" customFormat="1">
      <c r="A131" s="78"/>
      <c r="B131" s="87" t="s">
        <v>3</v>
      </c>
      <c r="C131" s="88" t="s">
        <v>37</v>
      </c>
      <c r="D131" s="407">
        <f>INDEX('Apoio - Notas Explicativas'!$Q:$Q,MATCH(C131,'Apoio - Notas Explicativas'!$C:$C,0))</f>
        <v>8.0999999999999996E-3</v>
      </c>
      <c r="E131" s="99">
        <f>IFERROR($D131*(E61+E66+E67),"")</f>
        <v>21.743348824145453</v>
      </c>
      <c r="F131" s="137">
        <f t="shared" ref="F131:H131" si="75">IFERROR($D131*(F61+F66+F67),"")</f>
        <v>16.307511618109093</v>
      </c>
      <c r="G131" s="137">
        <f t="shared" si="75"/>
        <v>24.849541513309088</v>
      </c>
      <c r="H131" s="137">
        <f t="shared" si="75"/>
        <v>13.977867101236361</v>
      </c>
      <c r="I131" s="137" t="str">
        <f t="shared" ref="I131:N131" si="76">IFERROR($D131*(I61+I66+I67),"")</f>
        <v/>
      </c>
      <c r="J131" s="137" t="str">
        <f t="shared" si="76"/>
        <v/>
      </c>
      <c r="K131" s="137" t="str">
        <f t="shared" si="76"/>
        <v/>
      </c>
      <c r="L131" s="137" t="str">
        <f t="shared" si="76"/>
        <v/>
      </c>
      <c r="M131" s="137" t="str">
        <f t="shared" si="76"/>
        <v/>
      </c>
      <c r="N131" s="137" t="str">
        <f t="shared" si="76"/>
        <v/>
      </c>
      <c r="O131" s="137" t="str">
        <f t="shared" ref="O131:X131" si="77">IFERROR($D131*(O61+O66+O67),"")</f>
        <v/>
      </c>
      <c r="P131" s="137" t="str">
        <f t="shared" si="77"/>
        <v/>
      </c>
      <c r="Q131" s="137" t="str">
        <f t="shared" si="77"/>
        <v/>
      </c>
      <c r="R131" s="137" t="str">
        <f t="shared" si="77"/>
        <v/>
      </c>
      <c r="S131" s="137" t="str">
        <f t="shared" si="77"/>
        <v/>
      </c>
      <c r="T131" s="137" t="str">
        <f t="shared" si="77"/>
        <v/>
      </c>
      <c r="U131" s="137" t="str">
        <f t="shared" si="77"/>
        <v/>
      </c>
      <c r="V131" s="137" t="str">
        <f t="shared" si="77"/>
        <v/>
      </c>
      <c r="W131" s="137" t="str">
        <f t="shared" si="77"/>
        <v/>
      </c>
      <c r="X131" s="137" t="str">
        <f t="shared" si="77"/>
        <v/>
      </c>
    </row>
    <row r="132" spans="1:24" s="13" customFormat="1">
      <c r="A132" s="78"/>
      <c r="B132" s="87" t="s">
        <v>7</v>
      </c>
      <c r="C132" s="88" t="s">
        <v>188</v>
      </c>
      <c r="D132" s="407">
        <f>INDEX('Apoio - Notas Explicativas'!$Q:$Q,MATCH(C132,'Apoio - Notas Explicativas'!$C:$C,0))</f>
        <v>2.9999999999999997E-4</v>
      </c>
      <c r="E132" s="99">
        <f>IFERROR($D132*(E61+E66+E67),"")</f>
        <v>0.80530921570909086</v>
      </c>
      <c r="F132" s="137">
        <f t="shared" ref="F132:H132" si="78">IFERROR($D132*(F61+F66+F67),"")</f>
        <v>0.60398191178181826</v>
      </c>
      <c r="G132" s="137">
        <f t="shared" si="78"/>
        <v>0.92035338938181799</v>
      </c>
      <c r="H132" s="137">
        <f t="shared" si="78"/>
        <v>0.51769878152727267</v>
      </c>
      <c r="I132" s="137" t="str">
        <f t="shared" ref="I132:N132" si="79">IFERROR($D132*(I61+I66+I67),"")</f>
        <v/>
      </c>
      <c r="J132" s="137" t="str">
        <f t="shared" si="79"/>
        <v/>
      </c>
      <c r="K132" s="137" t="str">
        <f t="shared" si="79"/>
        <v/>
      </c>
      <c r="L132" s="137" t="str">
        <f t="shared" si="79"/>
        <v/>
      </c>
      <c r="M132" s="137" t="str">
        <f t="shared" si="79"/>
        <v/>
      </c>
      <c r="N132" s="137" t="str">
        <f t="shared" si="79"/>
        <v/>
      </c>
      <c r="O132" s="137" t="str">
        <f t="shared" ref="O132:X132" si="80">IFERROR($D132*(O61+O66+O67),"")</f>
        <v/>
      </c>
      <c r="P132" s="137" t="str">
        <f t="shared" si="80"/>
        <v/>
      </c>
      <c r="Q132" s="137" t="str">
        <f t="shared" si="80"/>
        <v/>
      </c>
      <c r="R132" s="137" t="str">
        <f t="shared" si="80"/>
        <v/>
      </c>
      <c r="S132" s="137" t="str">
        <f t="shared" si="80"/>
        <v/>
      </c>
      <c r="T132" s="137" t="str">
        <f t="shared" si="80"/>
        <v/>
      </c>
      <c r="U132" s="137" t="str">
        <f t="shared" si="80"/>
        <v/>
      </c>
      <c r="V132" s="137" t="str">
        <f t="shared" si="80"/>
        <v/>
      </c>
      <c r="W132" s="137" t="str">
        <f t="shared" si="80"/>
        <v/>
      </c>
      <c r="X132" s="137" t="str">
        <f t="shared" si="80"/>
        <v/>
      </c>
    </row>
    <row r="133" spans="1:24" s="13" customFormat="1">
      <c r="A133" s="78"/>
      <c r="B133" s="87" t="s">
        <v>6</v>
      </c>
      <c r="C133" s="88" t="s">
        <v>38</v>
      </c>
      <c r="D133" s="407">
        <f>INDEX('Apoio - Notas Explicativas'!$Q:$Q,MATCH(C133,'Apoio - Notas Explicativas'!$C:$C,0))</f>
        <v>6.9999999999999999E-4</v>
      </c>
      <c r="E133" s="99">
        <f>IFERROR((E$61+E67)*$D$133,"")</f>
        <v>1.7480055500727272</v>
      </c>
      <c r="F133" s="137">
        <f t="shared" ref="F133:H133" si="81">IFERROR((F$61+F67)*$D$133,"")</f>
        <v>1.3110041625545457</v>
      </c>
      <c r="G133" s="137">
        <f t="shared" si="81"/>
        <v>1.9977206286545452</v>
      </c>
      <c r="H133" s="137">
        <f t="shared" si="81"/>
        <v>1.1237178536181818</v>
      </c>
      <c r="I133" s="137" t="str">
        <f t="shared" ref="I133:N133" si="82">IFERROR((I$61+I67)*$D$133,"")</f>
        <v/>
      </c>
      <c r="J133" s="137" t="str">
        <f t="shared" si="82"/>
        <v/>
      </c>
      <c r="K133" s="137" t="str">
        <f t="shared" si="82"/>
        <v/>
      </c>
      <c r="L133" s="137" t="str">
        <f t="shared" si="82"/>
        <v/>
      </c>
      <c r="M133" s="137" t="str">
        <f t="shared" si="82"/>
        <v/>
      </c>
      <c r="N133" s="137" t="str">
        <f t="shared" si="82"/>
        <v/>
      </c>
      <c r="O133" s="137" t="str">
        <f t="shared" ref="O133:X133" si="83">IFERROR((O$61+O67)*$D$133,"")</f>
        <v/>
      </c>
      <c r="P133" s="137" t="str">
        <f t="shared" si="83"/>
        <v/>
      </c>
      <c r="Q133" s="137" t="str">
        <f t="shared" si="83"/>
        <v/>
      </c>
      <c r="R133" s="137" t="str">
        <f t="shared" si="83"/>
        <v/>
      </c>
      <c r="S133" s="137" t="str">
        <f t="shared" si="83"/>
        <v/>
      </c>
      <c r="T133" s="137" t="str">
        <f t="shared" si="83"/>
        <v/>
      </c>
      <c r="U133" s="137" t="str">
        <f t="shared" si="83"/>
        <v/>
      </c>
      <c r="V133" s="137" t="str">
        <f t="shared" si="83"/>
        <v/>
      </c>
      <c r="W133" s="137" t="str">
        <f t="shared" si="83"/>
        <v/>
      </c>
      <c r="X133" s="137" t="str">
        <f t="shared" si="83"/>
        <v/>
      </c>
    </row>
    <row r="134" spans="1:24" s="13" customFormat="1">
      <c r="A134" s="78"/>
      <c r="B134" s="87" t="s">
        <v>5</v>
      </c>
      <c r="C134" s="88" t="s">
        <v>92</v>
      </c>
      <c r="D134" s="407">
        <f>SUM(D128:D133)*SUM(D81:D82,D72:D77)</f>
        <v>1.4425600000000002E-2</v>
      </c>
      <c r="E134" s="99">
        <f t="shared" ref="E134:N134" si="84">IF(E18="","",SUM(E128:E133)*SUM($D$72:$D$77,$D$81:$D$82))</f>
        <v>36.07067789847099</v>
      </c>
      <c r="F134" s="137">
        <f t="shared" si="84"/>
        <v>27.053008423853239</v>
      </c>
      <c r="G134" s="137">
        <f t="shared" si="84"/>
        <v>41.223631883966846</v>
      </c>
      <c r="H134" s="137">
        <f t="shared" si="84"/>
        <v>23.188292934731351</v>
      </c>
      <c r="I134" s="137" t="str">
        <f t="shared" si="84"/>
        <v/>
      </c>
      <c r="J134" s="137" t="str">
        <f t="shared" si="84"/>
        <v/>
      </c>
      <c r="K134" s="137" t="str">
        <f t="shared" si="84"/>
        <v/>
      </c>
      <c r="L134" s="137" t="str">
        <f t="shared" si="84"/>
        <v/>
      </c>
      <c r="M134" s="137" t="str">
        <f t="shared" si="84"/>
        <v/>
      </c>
      <c r="N134" s="137" t="str">
        <f t="shared" si="84"/>
        <v/>
      </c>
      <c r="O134" s="137" t="str">
        <f t="shared" ref="O134:X134" si="85">IF(O18="","",SUM(O128:O133)*SUM($D$72:$D$77,$D$81:$D$82))</f>
        <v/>
      </c>
      <c r="P134" s="137" t="str">
        <f t="shared" si="85"/>
        <v/>
      </c>
      <c r="Q134" s="137" t="str">
        <f t="shared" si="85"/>
        <v/>
      </c>
      <c r="R134" s="137" t="str">
        <f t="shared" si="85"/>
        <v/>
      </c>
      <c r="S134" s="137" t="str">
        <f t="shared" si="85"/>
        <v/>
      </c>
      <c r="T134" s="137" t="str">
        <f t="shared" si="85"/>
        <v/>
      </c>
      <c r="U134" s="137" t="str">
        <f t="shared" si="85"/>
        <v/>
      </c>
      <c r="V134" s="137" t="str">
        <f t="shared" si="85"/>
        <v/>
      </c>
      <c r="W134" s="137" t="str">
        <f t="shared" si="85"/>
        <v/>
      </c>
      <c r="X134" s="137" t="str">
        <f t="shared" si="85"/>
        <v/>
      </c>
    </row>
    <row r="135" spans="1:24" s="13" customFormat="1">
      <c r="A135" s="78"/>
      <c r="B135" s="87" t="s">
        <v>4</v>
      </c>
      <c r="C135" s="88" t="s">
        <v>89</v>
      </c>
      <c r="D135" s="414">
        <f>INDEX('Apoio - Notas Explicativas'!$Q:$Q,MATCH(C135,'Apoio - Notas Explicativas'!$C:$C,0))</f>
        <v>37.96</v>
      </c>
      <c r="E135" s="99">
        <f>IFERROR(((E112-SUM(E91,E96))/(30*12))*$D$135,"")</f>
        <v>11.126497777777775</v>
      </c>
      <c r="F135" s="137">
        <f t="shared" ref="F135:H135" si="86">IFERROR(((F112-SUM(F91,F96))/(30*12))*$D$135,"")</f>
        <v>6.908719999999998</v>
      </c>
      <c r="G135" s="137">
        <f t="shared" si="86"/>
        <v>11.126497777777775</v>
      </c>
      <c r="H135" s="137">
        <f t="shared" si="86"/>
        <v>6.908719999999998</v>
      </c>
      <c r="I135" s="137" t="str">
        <f t="shared" ref="I135:N135" si="87">IFERROR(((I112-SUM(I91,I96))/(30*12))*$D$135,"")</f>
        <v/>
      </c>
      <c r="J135" s="137" t="str">
        <f t="shared" si="87"/>
        <v/>
      </c>
      <c r="K135" s="137" t="str">
        <f t="shared" si="87"/>
        <v/>
      </c>
      <c r="L135" s="137" t="str">
        <f t="shared" si="87"/>
        <v/>
      </c>
      <c r="M135" s="137" t="str">
        <f t="shared" si="87"/>
        <v/>
      </c>
      <c r="N135" s="137" t="str">
        <f t="shared" si="87"/>
        <v/>
      </c>
      <c r="O135" s="137" t="str">
        <f t="shared" ref="O135:X135" si="88">IFERROR(((O112-SUM(O91,O96))/(30*12))*$D$135,"")</f>
        <v/>
      </c>
      <c r="P135" s="137" t="str">
        <f t="shared" si="88"/>
        <v/>
      </c>
      <c r="Q135" s="137" t="str">
        <f t="shared" si="88"/>
        <v/>
      </c>
      <c r="R135" s="137" t="str">
        <f t="shared" si="88"/>
        <v/>
      </c>
      <c r="S135" s="137" t="str">
        <f t="shared" si="88"/>
        <v/>
      </c>
      <c r="T135" s="137" t="str">
        <f t="shared" si="88"/>
        <v/>
      </c>
      <c r="U135" s="137" t="str">
        <f t="shared" si="88"/>
        <v/>
      </c>
      <c r="V135" s="137" t="str">
        <f t="shared" si="88"/>
        <v/>
      </c>
      <c r="W135" s="137" t="str">
        <f t="shared" si="88"/>
        <v/>
      </c>
      <c r="X135" s="137" t="str">
        <f t="shared" si="88"/>
        <v/>
      </c>
    </row>
    <row r="136" spans="1:24" s="13" customFormat="1">
      <c r="A136" s="78"/>
      <c r="B136" s="87" t="s">
        <v>113</v>
      </c>
      <c r="C136" s="88" t="s">
        <v>39</v>
      </c>
      <c r="D136" s="414">
        <f>INDEX('Apoio - Notas Explicativas'!$Q:$Q,MATCH(C136,'Apoio - Notas Explicativas'!$C:$C,0))</f>
        <v>37.96</v>
      </c>
      <c r="E136" s="99">
        <f>IFERROR(((((E$123/12)*$D$136))/30),"")</f>
        <v>13.981936784242425</v>
      </c>
      <c r="F136" s="137">
        <f t="shared" ref="F136:X136" si="89">IFERROR(((((F$123/12)*$D$136))/30),"")</f>
        <v>10.486452588181821</v>
      </c>
      <c r="G136" s="137">
        <f t="shared" si="89"/>
        <v>15.979356324848485</v>
      </c>
      <c r="H136" s="137">
        <f t="shared" si="89"/>
        <v>8.9883879327272727</v>
      </c>
      <c r="I136" s="137" t="str">
        <f t="shared" si="89"/>
        <v/>
      </c>
      <c r="J136" s="137" t="str">
        <f t="shared" si="89"/>
        <v/>
      </c>
      <c r="K136" s="137" t="str">
        <f t="shared" si="89"/>
        <v/>
      </c>
      <c r="L136" s="137" t="str">
        <f t="shared" si="89"/>
        <v/>
      </c>
      <c r="M136" s="137" t="str">
        <f t="shared" si="89"/>
        <v/>
      </c>
      <c r="N136" s="137" t="str">
        <f t="shared" si="89"/>
        <v/>
      </c>
      <c r="O136" s="137" t="str">
        <f t="shared" si="89"/>
        <v/>
      </c>
      <c r="P136" s="137" t="str">
        <f t="shared" si="89"/>
        <v/>
      </c>
      <c r="Q136" s="137" t="str">
        <f t="shared" si="89"/>
        <v/>
      </c>
      <c r="R136" s="137" t="str">
        <f t="shared" si="89"/>
        <v/>
      </c>
      <c r="S136" s="137" t="str">
        <f t="shared" si="89"/>
        <v/>
      </c>
      <c r="T136" s="137" t="str">
        <f t="shared" si="89"/>
        <v/>
      </c>
      <c r="U136" s="137" t="str">
        <f t="shared" si="89"/>
        <v/>
      </c>
      <c r="V136" s="137" t="str">
        <f t="shared" si="89"/>
        <v/>
      </c>
      <c r="W136" s="137" t="str">
        <f t="shared" si="89"/>
        <v/>
      </c>
      <c r="X136" s="137" t="str">
        <f t="shared" si="89"/>
        <v/>
      </c>
    </row>
    <row r="137" spans="1:24" s="5" customFormat="1">
      <c r="A137" s="76"/>
      <c r="B137" s="171"/>
      <c r="C137" s="172" t="s">
        <v>120</v>
      </c>
      <c r="D137" s="175"/>
      <c r="E137" s="176">
        <f>IF(SUM(E128:E136)=0,"",SUM(E128:E136))</f>
        <v>159.19725892372756</v>
      </c>
      <c r="F137" s="174">
        <f t="shared" ref="F137:H137" si="90">IF(SUM(F128:F136)=0,"",SUM(F128:F136))</f>
        <v>117.96179085946233</v>
      </c>
      <c r="G137" s="176">
        <f t="shared" si="90"/>
        <v>180.35022480172037</v>
      </c>
      <c r="H137" s="174">
        <f t="shared" si="90"/>
        <v>102.09706645096772</v>
      </c>
      <c r="I137" s="174" t="str">
        <f t="shared" ref="I137:N137" si="91">IF(SUM(I128:I136)=0,"",SUM(I128:I136))</f>
        <v/>
      </c>
      <c r="J137" s="174" t="str">
        <f t="shared" si="91"/>
        <v/>
      </c>
      <c r="K137" s="174" t="str">
        <f t="shared" si="91"/>
        <v/>
      </c>
      <c r="L137" s="174" t="str">
        <f t="shared" si="91"/>
        <v/>
      </c>
      <c r="M137" s="174" t="str">
        <f t="shared" si="91"/>
        <v/>
      </c>
      <c r="N137" s="174" t="str">
        <f t="shared" si="91"/>
        <v/>
      </c>
      <c r="O137" s="174" t="str">
        <f t="shared" ref="O137:X137" si="92">IF(SUM(O128:O136)=0,"",SUM(O128:O136))</f>
        <v/>
      </c>
      <c r="P137" s="174" t="str">
        <f t="shared" si="92"/>
        <v/>
      </c>
      <c r="Q137" s="174" t="str">
        <f t="shared" si="92"/>
        <v/>
      </c>
      <c r="R137" s="174" t="str">
        <f t="shared" si="92"/>
        <v/>
      </c>
      <c r="S137" s="174" t="str">
        <f t="shared" si="92"/>
        <v/>
      </c>
      <c r="T137" s="174" t="str">
        <f t="shared" si="92"/>
        <v/>
      </c>
      <c r="U137" s="174" t="str">
        <f t="shared" si="92"/>
        <v/>
      </c>
      <c r="V137" s="174" t="str">
        <f t="shared" si="92"/>
        <v/>
      </c>
      <c r="W137" s="174" t="str">
        <f t="shared" si="92"/>
        <v/>
      </c>
      <c r="X137" s="174" t="str">
        <f t="shared" si="92"/>
        <v/>
      </c>
    </row>
    <row r="138" spans="1:24" customFormat="1"/>
    <row r="139" spans="1:24" s="6" customFormat="1">
      <c r="A139" s="75"/>
      <c r="B139" s="171"/>
      <c r="C139" s="172" t="s">
        <v>346</v>
      </c>
      <c r="D139" s="173"/>
      <c r="E139" s="176"/>
      <c r="F139" s="176"/>
      <c r="G139" s="176"/>
      <c r="H139" s="176"/>
      <c r="I139" s="176"/>
      <c r="J139" s="176"/>
      <c r="K139" s="176"/>
      <c r="L139" s="176"/>
      <c r="M139" s="176"/>
      <c r="N139" s="176"/>
      <c r="O139" s="176"/>
      <c r="P139" s="176"/>
      <c r="Q139" s="176"/>
      <c r="R139" s="176"/>
      <c r="S139" s="176"/>
      <c r="T139" s="176"/>
      <c r="U139" s="176"/>
      <c r="V139" s="176"/>
      <c r="W139" s="176"/>
      <c r="X139" s="176"/>
    </row>
    <row r="140" spans="1:24" s="13" customFormat="1">
      <c r="A140" s="79"/>
      <c r="B140" s="825" t="s">
        <v>2</v>
      </c>
      <c r="C140" s="135" t="s">
        <v>311</v>
      </c>
      <c r="D140" s="186"/>
      <c r="E140" s="148"/>
      <c r="F140" s="148"/>
      <c r="G140" s="148"/>
      <c r="H140" s="148"/>
      <c r="I140" s="148"/>
      <c r="J140" s="148"/>
      <c r="K140" s="148"/>
      <c r="L140" s="148"/>
      <c r="M140" s="148"/>
      <c r="N140" s="148"/>
      <c r="O140" s="148"/>
      <c r="P140" s="148"/>
      <c r="Q140" s="148"/>
      <c r="R140" s="148"/>
      <c r="S140" s="148"/>
      <c r="T140" s="148"/>
      <c r="U140" s="148"/>
      <c r="V140" s="148"/>
      <c r="W140" s="148"/>
      <c r="X140" s="148"/>
    </row>
    <row r="141" spans="1:24" s="13" customFormat="1">
      <c r="A141" s="79"/>
      <c r="B141" s="826"/>
      <c r="C141" s="136" t="s">
        <v>277</v>
      </c>
      <c r="D141" s="179"/>
      <c r="E141" s="180"/>
      <c r="F141" s="180"/>
      <c r="G141" s="180"/>
      <c r="H141" s="180"/>
      <c r="I141" s="180"/>
      <c r="J141" s="180"/>
      <c r="K141" s="180"/>
      <c r="L141" s="180"/>
      <c r="M141" s="180"/>
      <c r="N141" s="180"/>
      <c r="O141" s="180"/>
      <c r="P141" s="180"/>
      <c r="Q141" s="180"/>
      <c r="R141" s="180"/>
      <c r="S141" s="180"/>
      <c r="T141" s="180"/>
      <c r="U141" s="180"/>
      <c r="V141" s="180"/>
      <c r="W141" s="180"/>
      <c r="X141" s="180"/>
    </row>
    <row r="142" spans="1:24" s="13" customFormat="1">
      <c r="A142" s="79"/>
      <c r="B142" s="826"/>
      <c r="C142" s="136" t="s">
        <v>695</v>
      </c>
      <c r="D142" s="179"/>
      <c r="E142" s="180" t="str">
        <f>IF(E141="Indenização",60,
IF(E141="Rendição",60,""))</f>
        <v/>
      </c>
      <c r="F142" s="180" t="str">
        <f>IF(F141="Indenização",60,
IF(F141="Rendição",60,""))</f>
        <v/>
      </c>
      <c r="G142" s="180" t="str">
        <f t="shared" ref="G142:X142" si="93">IF(G141="Indenização",60,
IF(G141="Rendição",60,""))</f>
        <v/>
      </c>
      <c r="H142" s="180" t="str">
        <f t="shared" si="93"/>
        <v/>
      </c>
      <c r="I142" s="180" t="str">
        <f t="shared" si="93"/>
        <v/>
      </c>
      <c r="J142" s="180" t="str">
        <f t="shared" si="93"/>
        <v/>
      </c>
      <c r="K142" s="180" t="str">
        <f t="shared" si="93"/>
        <v/>
      </c>
      <c r="L142" s="180" t="str">
        <f t="shared" si="93"/>
        <v/>
      </c>
      <c r="M142" s="180" t="str">
        <f t="shared" si="93"/>
        <v/>
      </c>
      <c r="N142" s="180" t="str">
        <f t="shared" si="93"/>
        <v/>
      </c>
      <c r="O142" s="180" t="str">
        <f t="shared" si="93"/>
        <v/>
      </c>
      <c r="P142" s="180" t="str">
        <f t="shared" si="93"/>
        <v/>
      </c>
      <c r="Q142" s="180" t="str">
        <f t="shared" si="93"/>
        <v/>
      </c>
      <c r="R142" s="180" t="str">
        <f t="shared" si="93"/>
        <v/>
      </c>
      <c r="S142" s="180" t="str">
        <f t="shared" si="93"/>
        <v/>
      </c>
      <c r="T142" s="180" t="str">
        <f t="shared" si="93"/>
        <v/>
      </c>
      <c r="U142" s="180" t="str">
        <f t="shared" si="93"/>
        <v/>
      </c>
      <c r="V142" s="180" t="str">
        <f t="shared" si="93"/>
        <v/>
      </c>
      <c r="W142" s="180" t="str">
        <f t="shared" si="93"/>
        <v/>
      </c>
      <c r="X142" s="180" t="str">
        <f t="shared" si="93"/>
        <v/>
      </c>
    </row>
    <row r="143" spans="1:24" s="13" customFormat="1">
      <c r="A143" s="79"/>
      <c r="B143" s="827"/>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Trabalho'!$A:$I,8,FALSE)))*VLOOKUP(F$26,'Apoio - Regime de Trabalho'!$A:$I,7,FALSE)),
IF(F141="Não",0,
IF(F141="Indenização",(((SUM(F32,F42)/VLOOKUP(F$26,'Apoio - Regime de Trabalho'!$A:$I,8,FALSE))*1.5*(F142/60))*VLOOKUP(F$26,'Apoio - Regime de Trabalho'!$A:$I,7,FALSE)),"")))</f>
        <v/>
      </c>
      <c r="G143" s="101" t="str">
        <f>IF(G141="Rendição",(((SUM(G61,G$83,G$112,G149)/VLOOKUP(G$26,'Apoio - Regime de Trabalho'!$A:$I,8,FALSE)))*VLOOKUP(G$26,'Apoio - Regime de Trabalho'!$A:$I,7,FALSE)),
IF(G141="Não",0,
IF(G141="Indenização",(((SUM(G32,G42)/VLOOKUP(G$26,'Apoio - Regime de Trabalho'!$A:$I,8,FALSE))*1.5*(G142/60))*VLOOKUP(G$26,'Apoio - Regime de Trabalho'!$A:$I,7,FALSE)),"")))</f>
        <v/>
      </c>
      <c r="H143" s="101" t="str">
        <f>IF(H141="Rendição",(((SUM(H61,H$83,H$112,H149)/VLOOKUP(H$26,'Apoio - Regime de Trabalho'!$A:$I,8,FALSE)))*VLOOKUP(H$26,'Apoio - Regime de Trabalho'!$A:$I,7,FALSE)),
IF(H141="Não",0,
IF(H141="Indenização",(((SUM(H32,H42)/VLOOKUP(H$26,'Apoio - Regime de Trabalho'!$A:$I,8,FALSE))*1.5*(H142/60))*VLOOKUP(H$26,'Apoio - Regime de Trabalho'!$A:$I,7,FALSE)),"")))</f>
        <v/>
      </c>
      <c r="I143" s="101" t="str">
        <f>IF(I141="Rendição",(((SUM(I61,I$83,I$112,I149)/VLOOKUP(I$26,'Apoio - Regime de Trabalho'!$A:$I,8,FALSE)))*VLOOKUP(I$26,'Apoio - Regime de Trabalho'!$A:$I,7,FALSE)),
IF(I141="Não",0,
IF(I141="Indenização",(((SUM(I32,I42)/VLOOKUP(I$26,'Apoio - Regime de Trabalho'!$A:$I,8,FALSE))*1.5*(I142/60))*VLOOKUP(I$26,'Apoio - Regime de Trabalho'!$A:$I,7,FALSE)),"")))</f>
        <v/>
      </c>
      <c r="J143" s="101" t="str">
        <f>IF(J141="Rendição",(((SUM(J61,J$83,J$112,J149)/VLOOKUP(J$26,'Apoio - Regime de Trabalho'!$A:$I,8,FALSE)))*VLOOKUP(J$26,'Apoio - Regime de Trabalho'!$A:$I,7,FALSE)),
IF(J141="Não",0,
IF(J141="Indenização",(((SUM(J32,J42)/VLOOKUP(J$26,'Apoio - Regime de Trabalho'!$A:$I,8,FALSE))*1.5*(J142/60))*VLOOKUP(J$26,'Apoio - Regime de Trabalho'!$A:$I,7,FALSE)),"")))</f>
        <v/>
      </c>
      <c r="K143" s="101" t="str">
        <f>IF(K141="Rendição",(((SUM(K61,K$83,K$112,K149)/VLOOKUP(K$26,'Apoio - Regime de Trabalho'!$A:$I,8,FALSE)))*VLOOKUP(K$26,'Apoio - Regime de Trabalho'!$A:$I,7,FALSE)),
IF(K141="Não",0,
IF(K141="Indenização",(((SUM(K32,K42)/VLOOKUP(K$26,'Apoio - Regime de Trabalho'!$A:$I,8,FALSE))*1.5*(K142/60))*VLOOKUP(K$26,'Apoio - Regime de Trabalho'!$A:$I,7,FALSE)),"")))</f>
        <v/>
      </c>
      <c r="L143" s="101" t="str">
        <f>IF(L141="Rendição",(((SUM(L61,L$83,L$112,L149)/VLOOKUP(L$26,'Apoio - Regime de Trabalho'!$A:$I,8,FALSE)))*VLOOKUP(L$26,'Apoio - Regime de Trabalho'!$A:$I,7,FALSE)),
IF(L141="Não",0,
IF(L141="Indenização",(((SUM(L32,L42)/VLOOKUP(L$26,'Apoio - Regime de Trabalho'!$A:$I,8,FALSE))*1.5*(L142/60))*VLOOKUP(L$26,'Apoio - Regime de Trabalho'!$A:$I,7,FALSE)),"")))</f>
        <v/>
      </c>
      <c r="M143" s="101" t="str">
        <f>IF(M141="Rendição",(((SUM(M61,M$83,M$112,M149)/VLOOKUP(M$26,'Apoio - Regime de Trabalho'!$A:$I,8,FALSE)))*VLOOKUP(M$26,'Apoio - Regime de Trabalho'!$A:$I,7,FALSE)),
IF(M141="Não",0,
IF(M141="Indenização",(((SUM(M32,M42)/VLOOKUP(M$26,'Apoio - Regime de Trabalho'!$A:$I,8,FALSE))*1.5*(M142/60))*VLOOKUP(M$26,'Apoio - Regime de Trabalho'!$A:$I,7,FALSE)),"")))</f>
        <v/>
      </c>
      <c r="N143" s="101" t="str">
        <f>IF(N141="Rendição",(((SUM(N61,N$83,N$112,N149)/VLOOKUP(N$26,'Apoio - Regime de Trabalho'!$A:$I,8,FALSE)))*VLOOKUP(N$26,'Apoio - Regime de Trabalho'!$A:$I,7,FALSE)),
IF(N141="Não",0,
IF(N141="Indenização",(((SUM(N32,N42)/VLOOKUP(N$26,'Apoio - Regime de Trabalho'!$A:$I,8,FALSE))*1.5*(N142/60))*VLOOKUP(N$26,'Apoio - Regime de Trabalho'!$A:$I,7,FALSE)),"")))</f>
        <v/>
      </c>
      <c r="O143" s="101" t="str">
        <f>IF(O141="Rendição",(((SUM(O61,O$83,O$112,O149)/VLOOKUP(O$26,'Apoio - Regime de Trabalho'!$A:$I,8,FALSE)))*VLOOKUP(O$26,'Apoio - Regime de Trabalho'!$A:$I,7,FALSE)),
IF(O141="Não",0,
IF(O141="Indenização",(((SUM(O32,O42)/VLOOKUP(O$26,'Apoio - Regime de Trabalho'!$A:$I,8,FALSE))*1.5*(O142/60))*VLOOKUP(O$26,'Apoio - Regime de Trabalho'!$A:$I,7,FALSE)),"")))</f>
        <v/>
      </c>
      <c r="P143" s="101" t="str">
        <f>IF(P141="Rendição",(((SUM(P61,P$83,P$112,P149)/VLOOKUP(P$26,'Apoio - Regime de Trabalho'!$A:$I,8,FALSE)))*VLOOKUP(P$26,'Apoio - Regime de Trabalho'!$A:$I,7,FALSE)),
IF(P141="Não",0,
IF(P141="Indenização",(((SUM(P32,P42)/VLOOKUP(P$26,'Apoio - Regime de Trabalho'!$A:$I,8,FALSE))*1.5*(P142/60))*VLOOKUP(P$26,'Apoio - Regime de Trabalho'!$A:$I,7,FALSE)),"")))</f>
        <v/>
      </c>
      <c r="Q143" s="101" t="str">
        <f>IF(Q141="Rendição",(((SUM(Q61,Q$83,Q$112,Q149)/VLOOKUP(Q$26,'Apoio - Regime de Trabalho'!$A:$I,8,FALSE)))*VLOOKUP(Q$26,'Apoio - Regime de Trabalho'!$A:$I,7,FALSE)),
IF(Q141="Não",0,
IF(Q141="Indenização",(((SUM(Q32,Q42)/VLOOKUP(Q$26,'Apoio - Regime de Trabalho'!$A:$I,8,FALSE))*1.5*(Q142/60))*VLOOKUP(Q$26,'Apoio - Regime de Trabalho'!$A:$I,7,FALSE)),"")))</f>
        <v/>
      </c>
      <c r="R143" s="101" t="str">
        <f>IF(R141="Rendição",(((SUM(R61,R$83,R$112,R149)/VLOOKUP(R$26,'Apoio - Regime de Trabalho'!$A:$I,8,FALSE)))*VLOOKUP(R$26,'Apoio - Regime de Trabalho'!$A:$I,7,FALSE)),
IF(R141="Não",0,
IF(R141="Indenização",(((SUM(R32,R42)/VLOOKUP(R$26,'Apoio - Regime de Trabalho'!$A:$I,8,FALSE))*1.5*(R142/60))*VLOOKUP(R$26,'Apoio - Regime de Trabalho'!$A:$I,7,FALSE)),"")))</f>
        <v/>
      </c>
      <c r="S143" s="101" t="str">
        <f>IF(S141="Rendição",(((SUM(S61,S$83,S$112,S149)/VLOOKUP(S$26,'Apoio - Regime de Trabalho'!$A:$I,8,FALSE)))*VLOOKUP(S$26,'Apoio - Regime de Trabalho'!$A:$I,7,FALSE)),
IF(S141="Não",0,
IF(S141="Indenização",(((SUM(S32,S42)/VLOOKUP(S$26,'Apoio - Regime de Trabalho'!$A:$I,8,FALSE))*1.5*(S142/60))*VLOOKUP(S$26,'Apoio - Regime de Trabalho'!$A:$I,7,FALSE)),"")))</f>
        <v/>
      </c>
      <c r="T143" s="101" t="str">
        <f>IF(T141="Rendição",(((SUM(T61,T$83,T$112,T149)/VLOOKUP(T$26,'Apoio - Regime de Trabalho'!$A:$I,8,FALSE)))*VLOOKUP(T$26,'Apoio - Regime de Trabalho'!$A:$I,7,FALSE)),
IF(T141="Não",0,
IF(T141="Indenização",(((SUM(T32,T42)/VLOOKUP(T$26,'Apoio - Regime de Trabalho'!$A:$I,8,FALSE))*1.5*(T142/60))*VLOOKUP(T$26,'Apoio - Regime de Trabalho'!$A:$I,7,FALSE)),"")))</f>
        <v/>
      </c>
      <c r="U143" s="101" t="str">
        <f>IF(U141="Rendição",(((SUM(U61,U$83,U$112,U149)/VLOOKUP(U$26,'Apoio - Regime de Trabalho'!$A:$I,8,FALSE)))*VLOOKUP(U$26,'Apoio - Regime de Trabalho'!$A:$I,7,FALSE)),
IF(U141="Não",0,
IF(U141="Indenização",(((SUM(U32,U42)/VLOOKUP(U$26,'Apoio - Regime de Trabalho'!$A:$I,8,FALSE))*1.5*(U142/60))*VLOOKUP(U$26,'Apoio - Regime de Trabalho'!$A:$I,7,FALSE)),"")))</f>
        <v/>
      </c>
      <c r="V143" s="101" t="str">
        <f>IF(V141="Rendição",(((SUM(V61,V$83,V$112,V149)/VLOOKUP(V$26,'Apoio - Regime de Trabalho'!$A:$I,8,FALSE)))*VLOOKUP(V$26,'Apoio - Regime de Trabalho'!$A:$I,7,FALSE)),
IF(V141="Não",0,
IF(V141="Indenização",(((SUM(V32,V42)/VLOOKUP(V$26,'Apoio - Regime de Trabalho'!$A:$I,8,FALSE))*1.5*(V142/60))*VLOOKUP(V$26,'Apoio - Regime de Trabalho'!$A:$I,7,FALSE)),"")))</f>
        <v/>
      </c>
      <c r="W143" s="101" t="str">
        <f>IF(W141="Rendição",(((SUM(W61,W$83,W$112,W149)/VLOOKUP(W$26,'Apoio - Regime de Trabalho'!$A:$I,8,FALSE)))*VLOOKUP(W$26,'Apoio - Regime de Trabalho'!$A:$I,7,FALSE)),
IF(W141="Não",0,
IF(W141="Indenização",(((SUM(W32,W42)/VLOOKUP(W$26,'Apoio - Regime de Trabalho'!$A:$I,8,FALSE))*1.5*(W142/60))*VLOOKUP(W$26,'Apoio - Regime de Trabalho'!$A:$I,7,FALSE)),"")))</f>
        <v/>
      </c>
      <c r="X143" s="101" t="str">
        <f>IF(X141="Rendição",(((SUM(X61,X$83,X$112,X149)/VLOOKUP(X$26,'Apoio - Regime de Trabalho'!$A:$I,8,FALSE)))*VLOOKUP(X$26,'Apoio - Regime de Trabalho'!$A:$I,7,FALSE)),
IF(X141="Não",0,
IF(X141="Indenização",(((SUM(X32,X42)/VLOOKUP(X$26,'Apoio - Regime de Trabalho'!$A:$I,8,FALSE))*1.5*(X142/60))*VLOOKUP(X$26,'Apoio - Regime de Trabalho'!$A:$I,7,FALSE)),"")))</f>
        <v/>
      </c>
    </row>
    <row r="144" spans="1:24" s="5" customFormat="1">
      <c r="A144" s="76"/>
      <c r="B144" s="171"/>
      <c r="C144" s="172" t="s">
        <v>121</v>
      </c>
      <c r="D144" s="175"/>
      <c r="E144" s="174" t="str">
        <f>E143</f>
        <v/>
      </c>
      <c r="F144" s="174" t="str">
        <f t="shared" ref="F144:H144" si="94">F143</f>
        <v/>
      </c>
      <c r="G144" s="174" t="str">
        <f t="shared" si="94"/>
        <v/>
      </c>
      <c r="H144" s="174" t="str">
        <f t="shared" si="94"/>
        <v/>
      </c>
      <c r="I144" s="174" t="str">
        <f t="shared" ref="I144:N144" si="95">I143</f>
        <v/>
      </c>
      <c r="J144" s="174" t="str">
        <f t="shared" si="95"/>
        <v/>
      </c>
      <c r="K144" s="174" t="str">
        <f t="shared" si="95"/>
        <v/>
      </c>
      <c r="L144" s="174" t="str">
        <f t="shared" si="95"/>
        <v/>
      </c>
      <c r="M144" s="174" t="str">
        <f t="shared" si="95"/>
        <v/>
      </c>
      <c r="N144" s="174" t="str">
        <f t="shared" si="95"/>
        <v/>
      </c>
      <c r="O144" s="174" t="str">
        <f t="shared" ref="O144:X144" si="96">O143</f>
        <v/>
      </c>
      <c r="P144" s="174" t="str">
        <f t="shared" si="96"/>
        <v/>
      </c>
      <c r="Q144" s="174" t="str">
        <f t="shared" si="96"/>
        <v/>
      </c>
      <c r="R144" s="174" t="str">
        <f t="shared" si="96"/>
        <v/>
      </c>
      <c r="S144" s="174" t="str">
        <f t="shared" si="96"/>
        <v/>
      </c>
      <c r="T144" s="174" t="str">
        <f t="shared" si="96"/>
        <v/>
      </c>
      <c r="U144" s="174" t="str">
        <f t="shared" si="96"/>
        <v/>
      </c>
      <c r="V144" s="174" t="str">
        <f t="shared" si="96"/>
        <v/>
      </c>
      <c r="W144" s="174" t="str">
        <f t="shared" si="96"/>
        <v/>
      </c>
      <c r="X144" s="174" t="str">
        <f t="shared" si="96"/>
        <v/>
      </c>
    </row>
    <row r="145" spans="1:24" customFormat="1" ht="3.75" customHeight="1"/>
    <row r="146" spans="1:24" s="5" customFormat="1">
      <c r="A146" s="73"/>
      <c r="B146" s="157"/>
      <c r="C146" s="90" t="s">
        <v>122</v>
      </c>
      <c r="D146" s="153"/>
      <c r="E146" s="155">
        <f>IF(E144="",E137,SUM(E144,E137))</f>
        <v>159.19725892372756</v>
      </c>
      <c r="F146" s="155">
        <f t="shared" ref="F146:H146" si="97">IF(F144="",F137,SUM(F144,F137))</f>
        <v>117.96179085946233</v>
      </c>
      <c r="G146" s="154">
        <f t="shared" si="97"/>
        <v>180.35022480172037</v>
      </c>
      <c r="H146" s="453">
        <f t="shared" si="97"/>
        <v>102.09706645096772</v>
      </c>
      <c r="I146" s="453" t="str">
        <f t="shared" ref="I146:N146" si="98">IF(I144="",I137,SUM(I144,I137))</f>
        <v/>
      </c>
      <c r="J146" s="453" t="str">
        <f t="shared" si="98"/>
        <v/>
      </c>
      <c r="K146" s="453" t="str">
        <f t="shared" si="98"/>
        <v/>
      </c>
      <c r="L146" s="453" t="str">
        <f t="shared" si="98"/>
        <v/>
      </c>
      <c r="M146" s="453" t="str">
        <f t="shared" si="98"/>
        <v/>
      </c>
      <c r="N146" s="453" t="str">
        <f t="shared" si="98"/>
        <v/>
      </c>
      <c r="O146" s="453" t="str">
        <f t="shared" ref="O146:X146" si="99">IF(O144="",O137,SUM(O144,O137))</f>
        <v/>
      </c>
      <c r="P146" s="453" t="str">
        <f t="shared" si="99"/>
        <v/>
      </c>
      <c r="Q146" s="453" t="str">
        <f t="shared" si="99"/>
        <v/>
      </c>
      <c r="R146" s="453" t="str">
        <f t="shared" si="99"/>
        <v/>
      </c>
      <c r="S146" s="453" t="str">
        <f t="shared" si="99"/>
        <v/>
      </c>
      <c r="T146" s="453" t="str">
        <f t="shared" si="99"/>
        <v/>
      </c>
      <c r="U146" s="453" t="str">
        <f t="shared" si="99"/>
        <v/>
      </c>
      <c r="V146" s="453" t="str">
        <f t="shared" si="99"/>
        <v/>
      </c>
      <c r="W146" s="453" t="str">
        <f t="shared" si="99"/>
        <v/>
      </c>
      <c r="X146" s="453" t="str">
        <f t="shared" si="99"/>
        <v/>
      </c>
    </row>
    <row r="147" spans="1:24" s="5" customFormat="1">
      <c r="B147" s="85"/>
      <c r="C147" s="15"/>
      <c r="D147" s="16"/>
      <c r="E147" s="15"/>
      <c r="F147" s="15"/>
      <c r="G147" s="15"/>
      <c r="H147" s="15"/>
      <c r="I147" s="15"/>
      <c r="J147" s="15"/>
      <c r="K147" s="15"/>
      <c r="L147" s="15"/>
      <c r="M147" s="15"/>
      <c r="N147" s="15"/>
      <c r="O147" s="15"/>
      <c r="P147" s="15"/>
      <c r="Q147" s="15"/>
      <c r="R147" s="15"/>
      <c r="S147" s="15"/>
      <c r="T147" s="15"/>
      <c r="U147" s="15"/>
      <c r="V147" s="15"/>
      <c r="W147" s="15"/>
      <c r="X147" s="15"/>
    </row>
    <row r="148" spans="1:24" s="6" customFormat="1">
      <c r="A148" s="74"/>
      <c r="B148" s="89"/>
      <c r="C148" s="90" t="s">
        <v>490</v>
      </c>
      <c r="D148" s="91"/>
      <c r="E148" s="370"/>
      <c r="F148" s="370"/>
      <c r="G148" s="370"/>
      <c r="H148" s="370"/>
      <c r="I148" s="370"/>
      <c r="J148" s="370"/>
      <c r="K148" s="370"/>
      <c r="L148" s="370"/>
      <c r="M148" s="370"/>
      <c r="N148" s="370"/>
      <c r="O148" s="370"/>
      <c r="P148" s="370"/>
      <c r="Q148" s="370"/>
      <c r="R148" s="370"/>
      <c r="S148" s="370"/>
      <c r="T148" s="370"/>
      <c r="U148" s="370"/>
      <c r="V148" s="370"/>
      <c r="W148" s="370"/>
      <c r="X148" s="370"/>
    </row>
    <row r="149" spans="1:24" s="6" customFormat="1">
      <c r="A149" s="78"/>
      <c r="B149" s="87" t="s">
        <v>2</v>
      </c>
      <c r="C149" s="313" t="s">
        <v>224</v>
      </c>
      <c r="D149" s="407"/>
      <c r="E149" s="99">
        <f>IF(E18="","",ROUND(IF($D$149&lt;&gt;"",$D$149*SUM(E61,E114,E123,E146),IFERROR('Mat Individual e Uniformes'!J4/Proposta!$J$6,"")),2))</f>
        <v>45.43</v>
      </c>
      <c r="F149" s="99">
        <f>IF(F18="","",ROUND(IF($D$149&lt;&gt;"",$D$149*SUM(F61,F114,F123,F146),IFERROR('Mat Individual e Uniformes'!K4/Proposta!$J$6,"")),2))</f>
        <v>45.43</v>
      </c>
      <c r="G149" s="99">
        <f>IF(G18="","",ROUND(IF($D$149&lt;&gt;"",$D$149*SUM(G61,G114,G123,G146),IFERROR('Mat Individual e Uniformes'!L4/Proposta!$J$6,"")),2))</f>
        <v>44.51</v>
      </c>
      <c r="H149" s="99">
        <f>IF(H18="","",ROUND(IF($D$149&lt;&gt;"",$D$149*SUM(H61,H114,H123,H146),IFERROR('Mat Individual e Uniformes'!M4/Proposta!$J$6,"")),2))</f>
        <v>72.28</v>
      </c>
      <c r="I149" s="99" t="str">
        <f>IF(I18="","",ROUND(IF($D$149&lt;&gt;"",$D$149*SUM(I61,I114,I123,I146),IFERROR('Mat Individual e Uniformes'!N4/Proposta!$J$6,"")),2))</f>
        <v/>
      </c>
      <c r="J149" s="99" t="str">
        <f>IF(J18="","",ROUND(IF($D$149&lt;&gt;"",$D$149*SUM(J61,J114,J123,J146),IFERROR('Mat Individual e Uniformes'!O4/Proposta!$J$6,"")),2))</f>
        <v/>
      </c>
      <c r="K149" s="99" t="str">
        <f>IF(K18="","",ROUND(IF($D$149&lt;&gt;"",$D$149*SUM(K61,K114,K123,K146),IFERROR('Mat Individual e Uniformes'!P4/Proposta!$J$6,"")),2))</f>
        <v/>
      </c>
      <c r="L149" s="99" t="str">
        <f>IF(L18="","",ROUND(IF($D$149&lt;&gt;"",$D$149*SUM(L61,L114,L123,L146),IFERROR('Mat Individual e Uniformes'!Q4/Proposta!$J$6,"")),2))</f>
        <v/>
      </c>
      <c r="M149" s="99" t="str">
        <f>IF(M18="","",ROUND(IF($D$149&lt;&gt;"",$D$149*SUM(M61,M114,M123,M146),IFERROR('Mat Individual e Uniformes'!R4/Proposta!$J$6,"")),2))</f>
        <v/>
      </c>
      <c r="N149" s="99" t="str">
        <f>IF(N18="","",ROUND(IF($D$149&lt;&gt;"",$D$149*SUM(N61,N114,N123,N146),IFERROR('Mat Individual e Uniformes'!S4/Proposta!$J$6,"")),2))</f>
        <v/>
      </c>
      <c r="O149" s="99" t="str">
        <f>IF(O18="","",ROUND(IF($D$149&lt;&gt;"",$D$149*SUM(O61,O114,O123,O146),IFERROR('Mat Individual e Uniformes'!T4/Proposta!$J$6,"")),2))</f>
        <v/>
      </c>
      <c r="P149" s="99" t="str">
        <f>IF(P18="","",ROUND(IF($D$149&lt;&gt;"",$D$149*SUM(P61,P114,P123,P146),IFERROR('Mat Individual e Uniformes'!U4/Proposta!$J$6,"")),2))</f>
        <v/>
      </c>
      <c r="Q149" s="99" t="str">
        <f>IF(Q18="","",ROUND(IF($D$149&lt;&gt;"",$D$149*SUM(Q61,Q114,Q123,Q146),IFERROR('Mat Individual e Uniformes'!V4/Proposta!$J$6,"")),2))</f>
        <v/>
      </c>
      <c r="R149" s="99" t="str">
        <f>IF(R18="","",ROUND(IF($D$149&lt;&gt;"",$D$149*SUM(R61,R114,R123,R146),IFERROR('Mat Individual e Uniformes'!W4/Proposta!$J$6,"")),2))</f>
        <v/>
      </c>
      <c r="S149" s="99" t="str">
        <f>IF(S18="","",ROUND(IF($D$149&lt;&gt;"",$D$149*SUM(S61,S114,S123,S146),IFERROR('Mat Individual e Uniformes'!X4/Proposta!$J$6,"")),2))</f>
        <v/>
      </c>
      <c r="T149" s="99" t="str">
        <f>IF(T18="","",ROUND(IF($D$149&lt;&gt;"",$D$149*SUM(T61,T114,T123,T146),IFERROR('Mat Individual e Uniformes'!Y4/Proposta!$J$6,"")),2))</f>
        <v/>
      </c>
      <c r="U149" s="99" t="str">
        <f>IF(U18="","",ROUND(IF($D$149&lt;&gt;"",$D$149*SUM(U61,U114,U123,U146),IFERROR('Mat Individual e Uniformes'!Z4/Proposta!$J$6,"")),2))</f>
        <v/>
      </c>
      <c r="V149" s="99" t="str">
        <f>IF(V18="","",ROUND(IF($D$149&lt;&gt;"",$D$149*SUM(V61,V114,V123,V146),IFERROR('Mat Individual e Uniformes'!AA4/Proposta!$J$6,"")),2))</f>
        <v/>
      </c>
      <c r="W149" s="99" t="str">
        <f>IF(W18="","",ROUND(IF($D$149&lt;&gt;"",$D$149*SUM(W61,W114,W123,W146),IFERROR('Mat Individual e Uniformes'!AB4/Proposta!$J$6,"")),2))</f>
        <v/>
      </c>
      <c r="X149" s="99" t="str">
        <f>IF(X18="","",ROUND(IF($D$149&lt;&gt;"",$D$149*SUM(X61,X114,X123,X146),IFERROR('Mat Individual e Uniformes'!AC4/Proposta!$J$6,"")),2))</f>
        <v/>
      </c>
    </row>
    <row r="150" spans="1:24" s="6" customFormat="1" hidden="1">
      <c r="A150" s="78"/>
      <c r="B150" s="87" t="s">
        <v>1</v>
      </c>
      <c r="C150" s="313" t="s">
        <v>225</v>
      </c>
      <c r="D150" s="407"/>
      <c r="E150" s="99">
        <f>IFERROR(
        IF(OR(E18="",$D$150="Não"),       "",
        IF($D$150="Sim",                  'Mat Coletivo e Equipamentos'!$I$4/SUM($E$29:$XX$29),
        ROUND(IF($D$150&lt;&gt;"",$D$150*SUM(E61,E114,E123,E146,E149),
0),2))),0)</f>
        <v>0</v>
      </c>
      <c r="F150" s="99">
        <f>IFERROR(
        IF(OR(F18="",$D$150="Não"),       "",
        IF($D$150="Sim",                  'Mat Coletivo e Equipamentos'!$I$4/SUM($E$29:$XX$29),
        ROUND(IF($D$150&lt;&gt;"",$D$150*SUM(F61,F114,F123,F146,F149),
0),2))),0)</f>
        <v>0</v>
      </c>
      <c r="G150" s="99">
        <f>IFERROR(
        IF(OR(G18="",$D$150="Não"),       "",
        IF($D$150="Sim",                  'Mat Coletivo e Equipamentos'!$I$4/SUM($E$29:$XX$29),
        ROUND(IF($D$150&lt;&gt;"",$D$150*SUM(G61,G114,G123,G146,G149),
0),2))),0)</f>
        <v>0</v>
      </c>
      <c r="H150" s="99">
        <f>IFERROR(
        IF(OR(H18="",$D$150="Não"),       "",
        IF($D$150="Sim",                  'Mat Coletivo e Equipamentos'!$I$4/SUM($E$29:$XX$29),
        ROUND(IF($D$150&lt;&gt;"",$D$150*SUM(H61,H114,H123,H146,H149),
0),2))),0)</f>
        <v>0</v>
      </c>
      <c r="I150" s="99" t="str">
        <f>IFERROR(
        IF(OR(I18="",$D$150="Não"),       "",
        IF($D$150="Sim",                  'Mat Coletivo e Equipamentos'!$I$4/SUM($E$29:$XX$29),
        ROUND(IF($D$150&lt;&gt;"",$D$150*SUM(I61,I114,I123,I146,I149),
0),2))),0)</f>
        <v/>
      </c>
      <c r="J150" s="99" t="str">
        <f>IFERROR(
        IF(OR(J18="",$D$150="Não"),       "",
        IF($D$150="Sim",                  'Mat Coletivo e Equipamentos'!$I$4/SUM($E$29:$XX$29),
        ROUND(IF($D$150&lt;&gt;"",$D$150*SUM(J61,J114,J123,J146,J149),
0),2))),0)</f>
        <v/>
      </c>
      <c r="K150" s="99" t="str">
        <f>IFERROR(
        IF(OR(K18="",$D$150="Não"),       "",
        IF($D$150="Sim",                  'Mat Coletivo e Equipamentos'!$I$4/SUM($E$29:$XX$29),
        ROUND(IF($D$150&lt;&gt;"",$D$150*SUM(K61,K114,K123,K146,K149),
0),2))),0)</f>
        <v/>
      </c>
      <c r="L150" s="99" t="str">
        <f>IFERROR(
        IF(OR(L18="",$D$150="Não"),       "",
        IF($D$150="Sim",                  'Mat Coletivo e Equipamentos'!$I$4/SUM($E$29:$XX$29),
        ROUND(IF($D$150&lt;&gt;"",$D$150*SUM(L61,L114,L123,L146,L149),
0),2))),0)</f>
        <v/>
      </c>
      <c r="M150" s="99" t="str">
        <f>IFERROR(
        IF(OR(M18="",$D$150="Não"),       "",
        IF($D$150="Sim",                  'Mat Coletivo e Equipamentos'!$I$4/SUM($E$29:$XX$29),
        ROUND(IF($D$150&lt;&gt;"",$D$150*SUM(M61,M114,M123,M146,M149),
0),2))),0)</f>
        <v/>
      </c>
      <c r="N150" s="99" t="str">
        <f>IFERROR(
        IF(OR(N18="",$D$150="Não"),       "",
        IF($D$150="Sim",                  'Mat Coletivo e Equipamentos'!$I$4/SUM($E$29:$XX$29),
        ROUND(IF($D$150&lt;&gt;"",$D$150*SUM(N61,N114,N123,N146,N149),
0),2))),0)</f>
        <v/>
      </c>
      <c r="O150" s="99" t="str">
        <f>IFERROR(
        IF(OR(O18="",$D$150="Não"),       "",
        IF($D$150="Sim",                  'Mat Coletivo e Equipamentos'!$I$4/SUM($E$29:$XX$29),
        ROUND(IF($D$150&lt;&gt;"",$D$150*SUM(O61,O114,O123,O146,O149),
0),2))),0)</f>
        <v/>
      </c>
      <c r="P150" s="99" t="str">
        <f>IFERROR(
        IF(OR(P18="",$D$150="Não"),       "",
        IF($D$150="Sim",                  'Mat Coletivo e Equipamentos'!$I$4/SUM($E$29:$XX$29),
        ROUND(IF($D$150&lt;&gt;"",$D$150*SUM(P61,P114,P123,P146,P149),
0),2))),0)</f>
        <v/>
      </c>
      <c r="Q150" s="99" t="str">
        <f>IFERROR(
        IF(OR(Q18="",$D$150="Não"),       "",
        IF($D$150="Sim",                  'Mat Coletivo e Equipamentos'!$I$4/SUM($E$29:$XX$29),
        ROUND(IF($D$150&lt;&gt;"",$D$150*SUM(Q61,Q114,Q123,Q146,Q149),
0),2))),0)</f>
        <v/>
      </c>
      <c r="R150" s="99" t="str">
        <f>IFERROR(
        IF(OR(R18="",$D$150="Não"),       "",
        IF($D$150="Sim",                  'Mat Coletivo e Equipamentos'!$I$4/SUM($E$29:$XX$29),
        ROUND(IF($D$150&lt;&gt;"",$D$150*SUM(R61,R114,R123,R146,R149),
0),2))),0)</f>
        <v/>
      </c>
      <c r="S150" s="99" t="str">
        <f>IFERROR(
        IF(OR(S18="",$D$150="Não"),       "",
        IF($D$150="Sim",                  'Mat Coletivo e Equipamentos'!$I$4/SUM($E$29:$XX$29),
        ROUND(IF($D$150&lt;&gt;"",$D$150*SUM(S61,S114,S123,S146,S149),
0),2))),0)</f>
        <v/>
      </c>
      <c r="T150" s="99" t="str">
        <f>IFERROR(
        IF(OR(T18="",$D$150="Não"),       "",
        IF($D$150="Sim",                  'Mat Coletivo e Equipamentos'!$I$4/SUM($E$29:$XX$29),
        ROUND(IF($D$150&lt;&gt;"",$D$150*SUM(T61,T114,T123,T146,T149),
0),2))),0)</f>
        <v/>
      </c>
      <c r="U150" s="99" t="str">
        <f>IFERROR(
        IF(OR(U18="",$D$150="Não"),       "",
        IF($D$150="Sim",                  'Mat Coletivo e Equipamentos'!$I$4/SUM($E$29:$XX$29),
        ROUND(IF($D$150&lt;&gt;"",$D$150*SUM(U61,U114,U123,U146,U149),
0),2))),0)</f>
        <v/>
      </c>
      <c r="V150" s="99" t="str">
        <f>IFERROR(
        IF(OR(V18="",$D$150="Não"),       "",
        IF($D$150="Sim",                  'Mat Coletivo e Equipamentos'!$I$4/SUM($E$29:$XX$29),
        ROUND(IF($D$150&lt;&gt;"",$D$150*SUM(V61,V114,V123,V146,V149),
0),2))),0)</f>
        <v/>
      </c>
      <c r="W150" s="99" t="str">
        <f>IFERROR(
        IF(OR(W18="",$D$150="Não"),       "",
        IF($D$150="Sim",                  'Mat Coletivo e Equipamentos'!$I$4/SUM($E$29:$XX$29),
        ROUND(IF($D$150&lt;&gt;"",$D$150*SUM(W61,W114,W123,W146,W149),
0),2))),0)</f>
        <v/>
      </c>
      <c r="X150" s="99" t="str">
        <f>IFERROR(
        IF(OR(X18="",$D$150="Não"),       "",
        IF($D$150="Sim",                  'Mat Coletivo e Equipamentos'!$I$4/SUM($E$29:$XX$29),
        ROUND(IF($D$150&lt;&gt;"",$D$150*SUM(X61,X114,X123,X146,X149),
0),2))),0)</f>
        <v/>
      </c>
    </row>
    <row r="151" spans="1:24" s="5" customFormat="1">
      <c r="A151" s="73"/>
      <c r="B151" s="157"/>
      <c r="C151" s="90" t="s">
        <v>219</v>
      </c>
      <c r="D151" s="153"/>
      <c r="E151" s="155">
        <f>IF(E18="","",SUM(E149:E150))</f>
        <v>45.43</v>
      </c>
      <c r="F151" s="155">
        <f t="shared" ref="F151:I151" si="100">IF(F18="","",SUM(F149:F150))</f>
        <v>45.43</v>
      </c>
      <c r="G151" s="155">
        <f t="shared" si="100"/>
        <v>44.51</v>
      </c>
      <c r="H151" s="155">
        <f t="shared" si="100"/>
        <v>72.28</v>
      </c>
      <c r="I151" s="155" t="str">
        <f t="shared" si="100"/>
        <v/>
      </c>
      <c r="J151" s="155" t="str">
        <f t="shared" ref="J151:N151" si="101">IF(J18="","",SUM(J149:J149))</f>
        <v/>
      </c>
      <c r="K151" s="155" t="str">
        <f t="shared" si="101"/>
        <v/>
      </c>
      <c r="L151" s="155" t="str">
        <f t="shared" si="101"/>
        <v/>
      </c>
      <c r="M151" s="155" t="str">
        <f t="shared" si="101"/>
        <v/>
      </c>
      <c r="N151" s="155" t="str">
        <f t="shared" si="101"/>
        <v/>
      </c>
      <c r="O151" s="155" t="str">
        <f t="shared" ref="O151:X151" si="102">IF(O18="","",SUM(O149:O149))</f>
        <v/>
      </c>
      <c r="P151" s="155" t="str">
        <f t="shared" si="102"/>
        <v/>
      </c>
      <c r="Q151" s="155" t="str">
        <f t="shared" si="102"/>
        <v/>
      </c>
      <c r="R151" s="155" t="str">
        <f t="shared" si="102"/>
        <v/>
      </c>
      <c r="S151" s="155" t="str">
        <f t="shared" si="102"/>
        <v/>
      </c>
      <c r="T151" s="155" t="str">
        <f t="shared" si="102"/>
        <v/>
      </c>
      <c r="U151" s="155" t="str">
        <f t="shared" si="102"/>
        <v/>
      </c>
      <c r="V151" s="155" t="str">
        <f t="shared" si="102"/>
        <v/>
      </c>
      <c r="W151" s="155" t="str">
        <f t="shared" si="102"/>
        <v/>
      </c>
      <c r="X151" s="155" t="str">
        <f t="shared" si="102"/>
        <v/>
      </c>
    </row>
    <row r="152" spans="1:24">
      <c r="F152" s="9"/>
      <c r="G152" s="9"/>
      <c r="H152" s="9"/>
      <c r="I152" s="9"/>
      <c r="J152" s="9"/>
      <c r="K152" s="9"/>
      <c r="L152" s="9"/>
      <c r="M152" s="9"/>
      <c r="N152" s="9"/>
      <c r="O152" s="9"/>
      <c r="P152" s="9"/>
      <c r="Q152" s="9"/>
      <c r="R152" s="9"/>
      <c r="S152" s="9"/>
      <c r="T152" s="9"/>
      <c r="U152" s="9"/>
      <c r="V152" s="9"/>
      <c r="W152" s="9"/>
      <c r="X152" s="9"/>
    </row>
    <row r="153" spans="1:24" s="6" customFormat="1">
      <c r="A153" s="74"/>
      <c r="B153" s="89"/>
      <c r="C153" s="90" t="s">
        <v>226</v>
      </c>
      <c r="D153" s="91"/>
      <c r="E153" s="370"/>
      <c r="F153" s="370"/>
      <c r="G153" s="370"/>
      <c r="H153" s="370"/>
      <c r="I153" s="370"/>
      <c r="J153" s="370"/>
      <c r="K153" s="370"/>
      <c r="L153" s="370"/>
      <c r="M153" s="370"/>
      <c r="N153" s="370"/>
      <c r="O153" s="370"/>
      <c r="P153" s="370"/>
      <c r="Q153" s="370"/>
      <c r="R153" s="370"/>
      <c r="S153" s="370"/>
      <c r="T153" s="370"/>
      <c r="U153" s="370"/>
      <c r="V153" s="370"/>
      <c r="W153" s="370"/>
      <c r="X153" s="370"/>
    </row>
    <row r="154" spans="1:24" customFormat="1" ht="3.75" customHeight="1"/>
    <row r="155" spans="1:24" s="6" customFormat="1">
      <c r="A155" s="75"/>
      <c r="B155" s="171"/>
      <c r="C155" s="172" t="s">
        <v>230</v>
      </c>
      <c r="D155" s="173"/>
      <c r="E155" s="176"/>
      <c r="F155" s="176"/>
      <c r="G155" s="176"/>
      <c r="H155" s="176"/>
      <c r="I155" s="176"/>
      <c r="J155" s="176"/>
      <c r="K155" s="176"/>
      <c r="L155" s="176"/>
      <c r="M155" s="176"/>
      <c r="N155" s="176"/>
      <c r="O155" s="176"/>
      <c r="P155" s="176"/>
      <c r="Q155" s="176"/>
      <c r="R155" s="176"/>
      <c r="S155" s="176"/>
      <c r="T155" s="176"/>
      <c r="U155" s="176"/>
      <c r="V155" s="176"/>
      <c r="W155" s="176"/>
      <c r="X155" s="176"/>
    </row>
    <row r="156" spans="1:24">
      <c r="A156" s="79"/>
      <c r="B156" s="87" t="s">
        <v>2</v>
      </c>
      <c r="C156" s="88" t="s">
        <v>227</v>
      </c>
      <c r="D156" s="407">
        <f>IFERROR(INDEX('Apoio - Notas Explicativas'!Q:Q,MATCH(C156,'Apoio - Notas Explicativas'!C:C,0)),"")</f>
        <v>0.05</v>
      </c>
      <c r="E156" s="99">
        <f>IF(E18="","",IFERROR(ROUND($D$156*SUM(E61,E114,E123,E146,E151),2),""))</f>
        <v>236.79</v>
      </c>
      <c r="F156" s="99">
        <f t="shared" ref="F156:N156" si="103">IF(F18="","",IFERROR(ROUND($D$156*SUM(F61,F114,F123,F146,F151),2),""))</f>
        <v>174.27</v>
      </c>
      <c r="G156" s="99">
        <f t="shared" si="103"/>
        <v>264.98</v>
      </c>
      <c r="H156" s="99">
        <f t="shared" si="103"/>
        <v>154.44</v>
      </c>
      <c r="I156" s="99" t="str">
        <f t="shared" si="103"/>
        <v/>
      </c>
      <c r="J156" s="99" t="str">
        <f t="shared" si="103"/>
        <v/>
      </c>
      <c r="K156" s="99" t="str">
        <f t="shared" si="103"/>
        <v/>
      </c>
      <c r="L156" s="99" t="str">
        <f t="shared" si="103"/>
        <v/>
      </c>
      <c r="M156" s="99" t="str">
        <f t="shared" si="103"/>
        <v/>
      </c>
      <c r="N156" s="99" t="str">
        <f t="shared" si="103"/>
        <v/>
      </c>
      <c r="O156" s="99" t="str">
        <f t="shared" ref="O156:X156" si="104">IF(O18="","",IFERROR(ROUND($D$156*SUM(O61,O114,O123,O146,O151),2),""))</f>
        <v/>
      </c>
      <c r="P156" s="99" t="str">
        <f t="shared" si="104"/>
        <v/>
      </c>
      <c r="Q156" s="99" t="str">
        <f t="shared" si="104"/>
        <v/>
      </c>
      <c r="R156" s="99" t="str">
        <f t="shared" si="104"/>
        <v/>
      </c>
      <c r="S156" s="99" t="str">
        <f t="shared" si="104"/>
        <v/>
      </c>
      <c r="T156" s="99" t="str">
        <f t="shared" si="104"/>
        <v/>
      </c>
      <c r="U156" s="99" t="str">
        <f t="shared" si="104"/>
        <v/>
      </c>
      <c r="V156" s="99" t="str">
        <f t="shared" si="104"/>
        <v/>
      </c>
      <c r="W156" s="99" t="str">
        <f t="shared" si="104"/>
        <v/>
      </c>
      <c r="X156" s="99" t="str">
        <f t="shared" si="104"/>
        <v/>
      </c>
    </row>
    <row r="157" spans="1:24">
      <c r="A157" s="78"/>
      <c r="B157" s="87" t="s">
        <v>1</v>
      </c>
      <c r="C157" s="88" t="s">
        <v>228</v>
      </c>
      <c r="D157" s="407">
        <f>IFERROR(INDEX('Apoio - Notas Explicativas'!Q:Q,MATCH(C157,'Apoio - Notas Explicativas'!C:C,0)),"")</f>
        <v>0.1</v>
      </c>
      <c r="E157" s="99">
        <f t="shared" ref="E157:N157" si="105">IF(E18="","",IFERROR(ROUND($D$157*SUM(E156,E61,E114,E123,E146,E151),2),""))</f>
        <v>497.26</v>
      </c>
      <c r="F157" s="99">
        <f t="shared" si="105"/>
        <v>365.98</v>
      </c>
      <c r="G157" s="99">
        <f t="shared" si="105"/>
        <v>556.46</v>
      </c>
      <c r="H157" s="99">
        <f t="shared" si="105"/>
        <v>324.32</v>
      </c>
      <c r="I157" s="99" t="str">
        <f t="shared" si="105"/>
        <v/>
      </c>
      <c r="J157" s="99" t="str">
        <f t="shared" si="105"/>
        <v/>
      </c>
      <c r="K157" s="99" t="str">
        <f t="shared" si="105"/>
        <v/>
      </c>
      <c r="L157" s="99" t="str">
        <f t="shared" si="105"/>
        <v/>
      </c>
      <c r="M157" s="99" t="str">
        <f t="shared" si="105"/>
        <v/>
      </c>
      <c r="N157" s="99" t="str">
        <f t="shared" si="105"/>
        <v/>
      </c>
      <c r="O157" s="99" t="str">
        <f t="shared" ref="O157:X157" si="106">IF(O18="","",IFERROR(ROUND($D$157*SUM(O156,O61,O114,O123,O146,O151),2),""))</f>
        <v/>
      </c>
      <c r="P157" s="99" t="str">
        <f t="shared" si="106"/>
        <v/>
      </c>
      <c r="Q157" s="99" t="str">
        <f t="shared" si="106"/>
        <v/>
      </c>
      <c r="R157" s="99" t="str">
        <f t="shared" si="106"/>
        <v/>
      </c>
      <c r="S157" s="99" t="str">
        <f t="shared" si="106"/>
        <v/>
      </c>
      <c r="T157" s="99" t="str">
        <f t="shared" si="106"/>
        <v/>
      </c>
      <c r="U157" s="99" t="str">
        <f t="shared" si="106"/>
        <v/>
      </c>
      <c r="V157" s="99" t="str">
        <f t="shared" si="106"/>
        <v/>
      </c>
      <c r="W157" s="99" t="str">
        <f t="shared" si="106"/>
        <v/>
      </c>
      <c r="X157" s="99" t="str">
        <f t="shared" si="106"/>
        <v/>
      </c>
    </row>
    <row r="158" spans="1:24" s="5" customFormat="1">
      <c r="A158" s="76"/>
      <c r="B158" s="171"/>
      <c r="C158" s="172" t="s">
        <v>231</v>
      </c>
      <c r="D158" s="175"/>
      <c r="E158" s="176">
        <f t="shared" ref="E158:N158" si="107">IF(E18="","",SUM(E156:E157))</f>
        <v>734.05</v>
      </c>
      <c r="F158" s="176">
        <f t="shared" si="107"/>
        <v>540.25</v>
      </c>
      <c r="G158" s="176">
        <f t="shared" si="107"/>
        <v>821.44</v>
      </c>
      <c r="H158" s="176">
        <f t="shared" si="107"/>
        <v>478.76</v>
      </c>
      <c r="I158" s="176" t="str">
        <f t="shared" si="107"/>
        <v/>
      </c>
      <c r="J158" s="176" t="str">
        <f t="shared" si="107"/>
        <v/>
      </c>
      <c r="K158" s="176" t="str">
        <f t="shared" si="107"/>
        <v/>
      </c>
      <c r="L158" s="176" t="str">
        <f t="shared" si="107"/>
        <v/>
      </c>
      <c r="M158" s="176" t="str">
        <f t="shared" si="107"/>
        <v/>
      </c>
      <c r="N158" s="176" t="str">
        <f t="shared" si="107"/>
        <v/>
      </c>
      <c r="O158" s="176" t="str">
        <f t="shared" ref="O158:X158" si="108">IF(O18="","",SUM(O156:O157))</f>
        <v/>
      </c>
      <c r="P158" s="176" t="str">
        <f t="shared" si="108"/>
        <v/>
      </c>
      <c r="Q158" s="176" t="str">
        <f t="shared" si="108"/>
        <v/>
      </c>
      <c r="R158" s="176" t="str">
        <f t="shared" si="108"/>
        <v/>
      </c>
      <c r="S158" s="176" t="str">
        <f t="shared" si="108"/>
        <v/>
      </c>
      <c r="T158" s="176" t="str">
        <f t="shared" si="108"/>
        <v/>
      </c>
      <c r="U158" s="176" t="str">
        <f t="shared" si="108"/>
        <v/>
      </c>
      <c r="V158" s="176" t="str">
        <f t="shared" si="108"/>
        <v/>
      </c>
      <c r="W158" s="176" t="str">
        <f t="shared" si="108"/>
        <v/>
      </c>
      <c r="X158" s="176" t="str">
        <f t="shared" si="108"/>
        <v/>
      </c>
    </row>
    <row r="159" spans="1:24" customFormat="1" ht="3.75" customHeight="1"/>
    <row r="160" spans="1:24" s="6" customFormat="1">
      <c r="A160" s="75"/>
      <c r="B160" s="171"/>
      <c r="C160" s="172" t="s">
        <v>309</v>
      </c>
      <c r="D160" s="173"/>
      <c r="E160" s="176"/>
      <c r="F160" s="176"/>
      <c r="G160" s="176"/>
      <c r="H160" s="176"/>
      <c r="I160" s="176"/>
      <c r="J160" s="176"/>
      <c r="K160" s="176"/>
      <c r="L160" s="176"/>
      <c r="M160" s="176"/>
      <c r="N160" s="176"/>
      <c r="O160" s="176"/>
      <c r="P160" s="176"/>
      <c r="Q160" s="176"/>
      <c r="R160" s="176"/>
      <c r="S160" s="176"/>
      <c r="T160" s="176"/>
      <c r="U160" s="176"/>
      <c r="V160" s="176"/>
      <c r="W160" s="176"/>
      <c r="X160" s="176"/>
    </row>
    <row r="161" spans="1:24">
      <c r="A161" s="78"/>
      <c r="B161" s="87" t="s">
        <v>2</v>
      </c>
      <c r="C161" s="88" t="s">
        <v>43</v>
      </c>
      <c r="D161" s="393">
        <f>IFERROR(INDEX('Apoio - Notas Explicativas'!Q:Q,MATCH(C161,'Apoio - Notas Explicativas'!C:C,0)),"")</f>
        <v>0.03</v>
      </c>
      <c r="E161" s="99">
        <f t="shared" ref="E161:N161" si="109">IF(E18="","",IFERROR(ROUND(SUM(E$158,E$61,E$114,E$123,E$146,E$151)*$D161/(1-SUM($D$161:$D$166,E$164)),2),""))</f>
        <v>174.85</v>
      </c>
      <c r="F161" s="99">
        <f t="shared" si="109"/>
        <v>128.69</v>
      </c>
      <c r="G161" s="99">
        <f t="shared" si="109"/>
        <v>195.66</v>
      </c>
      <c r="H161" s="99">
        <f t="shared" si="109"/>
        <v>117.16</v>
      </c>
      <c r="I161" s="99" t="str">
        <f t="shared" si="109"/>
        <v/>
      </c>
      <c r="J161" s="99" t="str">
        <f t="shared" si="109"/>
        <v/>
      </c>
      <c r="K161" s="99" t="str">
        <f t="shared" si="109"/>
        <v/>
      </c>
      <c r="L161" s="99" t="str">
        <f t="shared" si="109"/>
        <v/>
      </c>
      <c r="M161" s="99" t="str">
        <f t="shared" si="109"/>
        <v/>
      </c>
      <c r="N161" s="99" t="str">
        <f t="shared" si="109"/>
        <v/>
      </c>
      <c r="O161" s="99" t="str">
        <f t="shared" ref="O161:X161" si="110">IF(O18="","",IFERROR(ROUND(SUM(O$158,O$61,O$114,O$123,O$146,O$151)*$D161/(1-SUM($D$161:$D$166,O$164)),2),""))</f>
        <v/>
      </c>
      <c r="P161" s="99" t="str">
        <f t="shared" si="110"/>
        <v/>
      </c>
      <c r="Q161" s="99" t="str">
        <f t="shared" si="110"/>
        <v/>
      </c>
      <c r="R161" s="99" t="str">
        <f t="shared" si="110"/>
        <v/>
      </c>
      <c r="S161" s="99" t="str">
        <f t="shared" si="110"/>
        <v/>
      </c>
      <c r="T161" s="99" t="str">
        <f t="shared" si="110"/>
        <v/>
      </c>
      <c r="U161" s="99" t="str">
        <f t="shared" si="110"/>
        <v/>
      </c>
      <c r="V161" s="99" t="str">
        <f t="shared" si="110"/>
        <v/>
      </c>
      <c r="W161" s="99" t="str">
        <f t="shared" si="110"/>
        <v/>
      </c>
      <c r="X161" s="99" t="str">
        <f t="shared" si="110"/>
        <v/>
      </c>
    </row>
    <row r="162" spans="1:24">
      <c r="A162" s="79"/>
      <c r="B162" s="87" t="s">
        <v>1</v>
      </c>
      <c r="C162" s="88" t="s">
        <v>107</v>
      </c>
      <c r="D162" s="393">
        <f>IFERROR(INDEX('Apoio - Notas Explicativas'!Q:Q,MATCH(C162,'Apoio - Notas Explicativas'!C:C,0)),"")</f>
        <v>6.4999999999999997E-3</v>
      </c>
      <c r="E162" s="99">
        <f>IF(E20="","",IFERROR(ROUND(SUM(E$158,E$61,E$114,E$123,E$146,E$151)*$D162/(1-SUM($D$161:$D$166,E$164)),2),""))</f>
        <v>37.880000000000003</v>
      </c>
      <c r="F162" s="99">
        <f t="shared" ref="F162:N162" si="111">IF(F20="","",IFERROR(ROUND(SUM(F$158,F$61,F$114,F$123,F$146,F$151)*$D162/(1-SUM($D$161:$D$166,F$164)),2),""))</f>
        <v>27.88</v>
      </c>
      <c r="G162" s="99">
        <f t="shared" si="111"/>
        <v>42.39</v>
      </c>
      <c r="H162" s="99">
        <f t="shared" si="111"/>
        <v>25.38</v>
      </c>
      <c r="I162" s="99" t="str">
        <f t="shared" si="111"/>
        <v/>
      </c>
      <c r="J162" s="99" t="str">
        <f t="shared" si="111"/>
        <v/>
      </c>
      <c r="K162" s="99" t="str">
        <f t="shared" si="111"/>
        <v/>
      </c>
      <c r="L162" s="99" t="str">
        <f t="shared" si="111"/>
        <v/>
      </c>
      <c r="M162" s="99" t="str">
        <f t="shared" si="111"/>
        <v/>
      </c>
      <c r="N162" s="99" t="str">
        <f t="shared" si="111"/>
        <v/>
      </c>
      <c r="O162" s="99" t="str">
        <f t="shared" ref="O162:X162" si="112">IF(O20="","",IFERROR(ROUND(SUM(O$158,O$61,O$114,O$123,O$146,O$151)*$D162/(1-SUM($D$161:$D$166,O$164)),2),""))</f>
        <v/>
      </c>
      <c r="P162" s="99" t="str">
        <f t="shared" si="112"/>
        <v/>
      </c>
      <c r="Q162" s="99" t="str">
        <f t="shared" si="112"/>
        <v/>
      </c>
      <c r="R162" s="99" t="str">
        <f t="shared" si="112"/>
        <v/>
      </c>
      <c r="S162" s="99" t="str">
        <f t="shared" si="112"/>
        <v/>
      </c>
      <c r="T162" s="99" t="str">
        <f t="shared" si="112"/>
        <v/>
      </c>
      <c r="U162" s="99" t="str">
        <f t="shared" si="112"/>
        <v/>
      </c>
      <c r="V162" s="99" t="str">
        <f t="shared" si="112"/>
        <v/>
      </c>
      <c r="W162" s="99" t="str">
        <f t="shared" si="112"/>
        <v/>
      </c>
      <c r="X162" s="99" t="str">
        <f t="shared" si="112"/>
        <v/>
      </c>
    </row>
    <row r="163" spans="1:24">
      <c r="A163" s="79"/>
      <c r="B163" s="828" t="s">
        <v>0</v>
      </c>
      <c r="C163" s="160" t="s">
        <v>44</v>
      </c>
      <c r="D163" s="415"/>
      <c r="E163" s="148"/>
      <c r="F163" s="148"/>
      <c r="G163" s="148"/>
      <c r="H163" s="148"/>
      <c r="I163" s="148"/>
      <c r="J163" s="148"/>
      <c r="K163" s="148"/>
      <c r="L163" s="148"/>
      <c r="M163" s="148"/>
      <c r="N163" s="148"/>
      <c r="O163" s="148"/>
      <c r="P163" s="148"/>
      <c r="Q163" s="148"/>
      <c r="R163" s="148"/>
      <c r="S163" s="148"/>
      <c r="T163" s="148"/>
      <c r="U163" s="148"/>
      <c r="V163" s="148"/>
      <c r="W163" s="148"/>
      <c r="X163" s="148"/>
    </row>
    <row r="164" spans="1:24">
      <c r="A164" s="79"/>
      <c r="B164" s="829"/>
      <c r="C164" s="136" t="s">
        <v>353</v>
      </c>
      <c r="D164" s="181"/>
      <c r="E164" s="389">
        <f>IF(E18="","",
IF($D$13="Simples",INDEX('Apoio - Notas Explicativas'!$Q:$Q,MATCH($C$163,'Apoio - Notas Explicativas'!$C:$C,0)),
IFERROR(VLOOKUP(E$18,'Apoio - Posto'!$A:$AA,20,FALSE),
INDEX('Apoio - Notas Explicativas'!$Q:$Q,MATCH($C$163,'Apoio - Notas Explicativas'!$C:$C,0))
)))</f>
        <v>2.5000000000000001E-2</v>
      </c>
      <c r="F164" s="389">
        <f>IF(F18="","",
IF($D$13="Simples",INDEX('Apoio - Notas Explicativas'!$Q:$Q,MATCH($C$163,'Apoio - Notas Explicativas'!$C:$C,0)),
IFERROR(VLOOKUP(F$18,'Apoio - Posto'!$A:$AA,20,FALSE),
INDEX('Apoio - Notas Explicativas'!$Q:$Q,MATCH($C$163,'Apoio - Notas Explicativas'!$C:$C,0))
)))</f>
        <v>2.5000000000000001E-2</v>
      </c>
      <c r="G164" s="389">
        <f>IF(G18="","",
IF($D$13="Simples",INDEX('Apoio - Notas Explicativas'!$Q:$Q,MATCH($C$163,'Apoio - Notas Explicativas'!$C:$C,0)),
IFERROR(VLOOKUP(G$18,'Apoio - Posto'!$A:$AA,20,FALSE),
INDEX('Apoio - Notas Explicativas'!$Q:$Q,MATCH($C$163,'Apoio - Notas Explicativas'!$C:$C,0))
)))</f>
        <v>2.5000000000000001E-2</v>
      </c>
      <c r="H164" s="389">
        <f>IF(H18="","",
IF($D$13="Simples",INDEX('Apoio - Notas Explicativas'!$Q:$Q,MATCH($C$163,'Apoio - Notas Explicativas'!$C:$C,0)),
IFERROR(VLOOKUP(H$18,'Apoio - Posto'!$A:$AA,20,FALSE),
INDEX('Apoio - Notas Explicativas'!$Q:$Q,MATCH($C$163,'Apoio - Notas Explicativas'!$C:$C,0))
)))</f>
        <v>0.05</v>
      </c>
      <c r="I164" s="389" t="str">
        <f>IF(I18="","",
IF($D$13="Simples",INDEX('Apoio - Notas Explicativas'!$Q:$Q,MATCH($C$163,'Apoio - Notas Explicativas'!$C:$C,0)),
IFERROR(VLOOKUP(I$18,'Apoio - Posto'!$A:$AA,20,FALSE),
INDEX('Apoio - Notas Explicativas'!$Q:$Q,MATCH($C$163,'Apoio - Notas Explicativas'!$C:$C,0))
)))</f>
        <v/>
      </c>
      <c r="J164" s="389" t="str">
        <f>IF(J18="","",
IF($D$13="Simples",INDEX('Apoio - Notas Explicativas'!$Q:$Q,MATCH($C$163,'Apoio - Notas Explicativas'!$C:$C,0)),
IFERROR(VLOOKUP(J$18,'Apoio - Posto'!$A:$AA,20,FALSE),
INDEX('Apoio - Notas Explicativas'!$Q:$Q,MATCH($C$163,'Apoio - Notas Explicativas'!$C:$C,0))
)))</f>
        <v/>
      </c>
      <c r="K164" s="389" t="str">
        <f>IF(K18="","",
IF($D$13="Simples",INDEX('Apoio - Notas Explicativas'!$Q:$Q,MATCH($C$163,'Apoio - Notas Explicativas'!$C:$C,0)),
IFERROR(VLOOKUP(K$18,'Apoio - Posto'!$A:$AA,20,FALSE),
INDEX('Apoio - Notas Explicativas'!$Q:$Q,MATCH($C$163,'Apoio - Notas Explicativas'!$C:$C,0))
)))</f>
        <v/>
      </c>
      <c r="L164" s="389" t="str">
        <f>IF(L18="","",
IF($D$13="Simples",INDEX('Apoio - Notas Explicativas'!$Q:$Q,MATCH($C$163,'Apoio - Notas Explicativas'!$C:$C,0)),
IFERROR(VLOOKUP(L$18,'Apoio - Posto'!$A:$AA,20,FALSE),
INDEX('Apoio - Notas Explicativas'!$Q:$Q,MATCH($C$163,'Apoio - Notas Explicativas'!$C:$C,0))
)))</f>
        <v/>
      </c>
      <c r="M164" s="389" t="str">
        <f>IF(M18="","",
IF($D$13="Simples",INDEX('Apoio - Notas Explicativas'!$Q:$Q,MATCH($C$163,'Apoio - Notas Explicativas'!$C:$C,0)),
IFERROR(VLOOKUP(M$18,'Apoio - Posto'!$A:$AA,20,FALSE),
INDEX('Apoio - Notas Explicativas'!$Q:$Q,MATCH($C$163,'Apoio - Notas Explicativas'!$C:$C,0))
)))</f>
        <v/>
      </c>
      <c r="N164" s="389" t="str">
        <f>IF(N18="","",
IF($D$13="Simples",INDEX('Apoio - Notas Explicativas'!$Q:$Q,MATCH($C$163,'Apoio - Notas Explicativas'!$C:$C,0)),
IFERROR(VLOOKUP(N$18,'Apoio - Posto'!$A:$AA,20,FALSE),
INDEX('Apoio - Notas Explicativas'!$Q:$Q,MATCH($C$163,'Apoio - Notas Explicativas'!$C:$C,0))
)))</f>
        <v/>
      </c>
      <c r="O164" s="389" t="str">
        <f>IF(O18="","",
IF($D$13="Simples",INDEX('Apoio - Notas Explicativas'!$Q:$Q,MATCH($C$163,'Apoio - Notas Explicativas'!$C:$C,0)),
IFERROR(VLOOKUP(O$18,'Apoio - Posto'!$A:$AA,20,FALSE),
INDEX('Apoio - Notas Explicativas'!$Q:$Q,MATCH($C$163,'Apoio - Notas Explicativas'!$C:$C,0))
)))</f>
        <v/>
      </c>
      <c r="P164" s="389" t="str">
        <f>IF(P18="","",
IF($D$13="Simples",INDEX('Apoio - Notas Explicativas'!$Q:$Q,MATCH($C$163,'Apoio - Notas Explicativas'!$C:$C,0)),
IFERROR(VLOOKUP(P$18,'Apoio - Posto'!$A:$AA,20,FALSE),
INDEX('Apoio - Notas Explicativas'!$Q:$Q,MATCH($C$163,'Apoio - Notas Explicativas'!$C:$C,0))
)))</f>
        <v/>
      </c>
      <c r="Q164" s="389" t="str">
        <f>IF(Q18="","",
IF($D$13="Simples",INDEX('Apoio - Notas Explicativas'!$Q:$Q,MATCH($C$163,'Apoio - Notas Explicativas'!$C:$C,0)),
IFERROR(VLOOKUP(Q$18,'Apoio - Posto'!$A:$AA,20,FALSE),
INDEX('Apoio - Notas Explicativas'!$Q:$Q,MATCH($C$163,'Apoio - Notas Explicativas'!$C:$C,0))
)))</f>
        <v/>
      </c>
      <c r="R164" s="389" t="str">
        <f>IF(R18="","",
IF($D$13="Simples",INDEX('Apoio - Notas Explicativas'!$Q:$Q,MATCH($C$163,'Apoio - Notas Explicativas'!$C:$C,0)),
IFERROR(VLOOKUP(R$18,'Apoio - Posto'!$A:$AA,20,FALSE),
INDEX('Apoio - Notas Explicativas'!$Q:$Q,MATCH($C$163,'Apoio - Notas Explicativas'!$C:$C,0))
)))</f>
        <v/>
      </c>
      <c r="S164" s="389" t="str">
        <f>IF(S18="","",
IF($D$13="Simples",INDEX('Apoio - Notas Explicativas'!$Q:$Q,MATCH($C$163,'Apoio - Notas Explicativas'!$C:$C,0)),
IFERROR(VLOOKUP(S$18,'Apoio - Posto'!$A:$AA,20,FALSE),
INDEX('Apoio - Notas Explicativas'!$Q:$Q,MATCH($C$163,'Apoio - Notas Explicativas'!$C:$C,0))
)))</f>
        <v/>
      </c>
      <c r="T164" s="389" t="str">
        <f>IF(T18="","",
IF($D$13="Simples",INDEX('Apoio - Notas Explicativas'!$Q:$Q,MATCH($C$163,'Apoio - Notas Explicativas'!$C:$C,0)),
IFERROR(VLOOKUP(T$18,'Apoio - Posto'!$A:$AA,20,FALSE),
INDEX('Apoio - Notas Explicativas'!$Q:$Q,MATCH($C$163,'Apoio - Notas Explicativas'!$C:$C,0))
)))</f>
        <v/>
      </c>
      <c r="U164" s="389" t="str">
        <f>IF(U18="","",
IF($D$13="Simples",INDEX('Apoio - Notas Explicativas'!$Q:$Q,MATCH($C$163,'Apoio - Notas Explicativas'!$C:$C,0)),
IFERROR(VLOOKUP(U$18,'Apoio - Posto'!$A:$AA,20,FALSE),
INDEX('Apoio - Notas Explicativas'!$Q:$Q,MATCH($C$163,'Apoio - Notas Explicativas'!$C:$C,0))
)))</f>
        <v/>
      </c>
      <c r="V164" s="389" t="str">
        <f>IF(V18="","",
IF($D$13="Simples",INDEX('Apoio - Notas Explicativas'!$Q:$Q,MATCH($C$163,'Apoio - Notas Explicativas'!$C:$C,0)),
IFERROR(VLOOKUP(V$18,'Apoio - Posto'!$A:$AA,20,FALSE),
INDEX('Apoio - Notas Explicativas'!$Q:$Q,MATCH($C$163,'Apoio - Notas Explicativas'!$C:$C,0))
)))</f>
        <v/>
      </c>
      <c r="W164" s="389" t="str">
        <f>IF(W18="","",
IF($D$13="Simples",INDEX('Apoio - Notas Explicativas'!$Q:$Q,MATCH($C$163,'Apoio - Notas Explicativas'!$C:$C,0)),
IFERROR(VLOOKUP(W$18,'Apoio - Posto'!$A:$AA,20,FALSE),
INDEX('Apoio - Notas Explicativas'!$Q:$Q,MATCH($C$163,'Apoio - Notas Explicativas'!$C:$C,0))
)))</f>
        <v/>
      </c>
      <c r="X164" s="389" t="str">
        <f>IF(X18="","",
IF($D$13="Simples",INDEX('Apoio - Notas Explicativas'!$Q:$Q,MATCH($C$163,'Apoio - Notas Explicativas'!$C:$C,0)),
IFERROR(VLOOKUP(X$18,'Apoio - Posto'!$A:$AA,20,FALSE),
INDEX('Apoio - Notas Explicativas'!$Q:$Q,MATCH($C$163,'Apoio - Notas Explicativas'!$C:$C,0))
)))</f>
        <v/>
      </c>
    </row>
    <row r="165" spans="1:24">
      <c r="A165" s="78"/>
      <c r="B165" s="830"/>
      <c r="C165" s="88"/>
      <c r="D165" s="416" t="s">
        <v>41</v>
      </c>
      <c r="E165" s="147">
        <f t="shared" ref="E165:N165" si="113">IF(E21="","",IFERROR(ROUND(SUM(E$158,E$61,E$114,E$123,E$146,E$151)*E164/(1-SUM($D$161:$D$166,E164)),2),""))</f>
        <v>145.71</v>
      </c>
      <c r="F165" s="147">
        <f t="shared" si="113"/>
        <v>107.24</v>
      </c>
      <c r="G165" s="147">
        <f t="shared" si="113"/>
        <v>163.05000000000001</v>
      </c>
      <c r="H165" s="147">
        <f t="shared" si="113"/>
        <v>195.27</v>
      </c>
      <c r="I165" s="147" t="str">
        <f t="shared" si="113"/>
        <v/>
      </c>
      <c r="J165" s="147" t="str">
        <f t="shared" si="113"/>
        <v/>
      </c>
      <c r="K165" s="147" t="str">
        <f t="shared" si="113"/>
        <v/>
      </c>
      <c r="L165" s="147" t="str">
        <f t="shared" si="113"/>
        <v/>
      </c>
      <c r="M165" s="147" t="str">
        <f t="shared" si="113"/>
        <v/>
      </c>
      <c r="N165" s="147" t="str">
        <f t="shared" si="113"/>
        <v/>
      </c>
      <c r="O165" s="147" t="str">
        <f t="shared" ref="O165:X165" si="114">IF(O21="","",IFERROR(ROUND(SUM(O$158,O$61,O$114,O$123,O$146,O$151)*O164/(1-SUM($D$161:$D$166,O164)),2),""))</f>
        <v/>
      </c>
      <c r="P165" s="147" t="str">
        <f t="shared" si="114"/>
        <v/>
      </c>
      <c r="Q165" s="147" t="str">
        <f t="shared" si="114"/>
        <v/>
      </c>
      <c r="R165" s="147" t="str">
        <f t="shared" si="114"/>
        <v/>
      </c>
      <c r="S165" s="147" t="str">
        <f t="shared" si="114"/>
        <v/>
      </c>
      <c r="T165" s="147" t="str">
        <f t="shared" si="114"/>
        <v/>
      </c>
      <c r="U165" s="147" t="str">
        <f t="shared" si="114"/>
        <v/>
      </c>
      <c r="V165" s="147" t="str">
        <f t="shared" si="114"/>
        <v/>
      </c>
      <c r="W165" s="147" t="str">
        <f t="shared" si="114"/>
        <v/>
      </c>
      <c r="X165" s="147" t="str">
        <f t="shared" si="114"/>
        <v/>
      </c>
    </row>
    <row r="166" spans="1:24">
      <c r="A166" s="78"/>
      <c r="B166" s="391" t="s">
        <v>3</v>
      </c>
      <c r="C166" s="392" t="s">
        <v>303</v>
      </c>
      <c r="D166" s="393">
        <v>0</v>
      </c>
      <c r="E166" s="99">
        <f t="shared" ref="E166:N166" si="115">IF(E22="","",IFERROR(ROUND(SUM(E$158,E$61,E$114,E$123,E$146,E$151)*$D166/(1-SUM($D$161:$D$166,E$164)),2),""))</f>
        <v>0</v>
      </c>
      <c r="F166" s="99">
        <f t="shared" si="115"/>
        <v>0</v>
      </c>
      <c r="G166" s="99">
        <f t="shared" si="115"/>
        <v>0</v>
      </c>
      <c r="H166" s="99">
        <f t="shared" si="115"/>
        <v>0</v>
      </c>
      <c r="I166" s="99" t="str">
        <f t="shared" si="115"/>
        <v/>
      </c>
      <c r="J166" s="99" t="str">
        <f t="shared" si="115"/>
        <v/>
      </c>
      <c r="K166" s="99" t="str">
        <f t="shared" si="115"/>
        <v/>
      </c>
      <c r="L166" s="99" t="str">
        <f t="shared" si="115"/>
        <v/>
      </c>
      <c r="M166" s="99" t="str">
        <f t="shared" si="115"/>
        <v/>
      </c>
      <c r="N166" s="99" t="str">
        <f t="shared" si="115"/>
        <v/>
      </c>
      <c r="O166" s="99" t="str">
        <f t="shared" ref="O166:X166" si="116">IF(O22="","",IFERROR(ROUND(SUM(O$158,O$61,O$114,O$123,O$146,O$151)*$D166/(1-SUM($D$161:$D$166,O$164)),2),""))</f>
        <v/>
      </c>
      <c r="P166" s="99" t="str">
        <f t="shared" si="116"/>
        <v/>
      </c>
      <c r="Q166" s="99" t="str">
        <f t="shared" si="116"/>
        <v/>
      </c>
      <c r="R166" s="99" t="str">
        <f t="shared" si="116"/>
        <v/>
      </c>
      <c r="S166" s="99" t="str">
        <f t="shared" si="116"/>
        <v/>
      </c>
      <c r="T166" s="99" t="str">
        <f t="shared" si="116"/>
        <v/>
      </c>
      <c r="U166" s="99" t="str">
        <f t="shared" si="116"/>
        <v/>
      </c>
      <c r="V166" s="99" t="str">
        <f t="shared" si="116"/>
        <v/>
      </c>
      <c r="W166" s="99" t="str">
        <f t="shared" si="116"/>
        <v/>
      </c>
      <c r="X166" s="99" t="str">
        <f t="shared" si="116"/>
        <v/>
      </c>
    </row>
    <row r="167" spans="1:24" s="5" customFormat="1">
      <c r="A167" s="76"/>
      <c r="B167" s="171"/>
      <c r="C167" s="172" t="s">
        <v>232</v>
      </c>
      <c r="D167" s="175"/>
      <c r="E167" s="192">
        <f t="shared" ref="E167:N167" si="117">IF(E18="","",SUM(E161:E162,E165:E166))</f>
        <v>358.44</v>
      </c>
      <c r="F167" s="192">
        <f t="shared" si="117"/>
        <v>263.81</v>
      </c>
      <c r="G167" s="192">
        <f t="shared" si="117"/>
        <v>401.1</v>
      </c>
      <c r="H167" s="192">
        <f t="shared" si="117"/>
        <v>337.81</v>
      </c>
      <c r="I167" s="192" t="str">
        <f t="shared" si="117"/>
        <v/>
      </c>
      <c r="J167" s="192" t="str">
        <f t="shared" si="117"/>
        <v/>
      </c>
      <c r="K167" s="192" t="str">
        <f t="shared" si="117"/>
        <v/>
      </c>
      <c r="L167" s="192" t="str">
        <f t="shared" si="117"/>
        <v/>
      </c>
      <c r="M167" s="192" t="str">
        <f t="shared" si="117"/>
        <v/>
      </c>
      <c r="N167" s="192" t="str">
        <f t="shared" si="117"/>
        <v/>
      </c>
      <c r="O167" s="192" t="str">
        <f t="shared" ref="O167:X167" si="118">IF(O18="","",SUM(O161:O162,O165:O166))</f>
        <v/>
      </c>
      <c r="P167" s="192" t="str">
        <f t="shared" si="118"/>
        <v/>
      </c>
      <c r="Q167" s="192" t="str">
        <f t="shared" si="118"/>
        <v/>
      </c>
      <c r="R167" s="192" t="str">
        <f t="shared" si="118"/>
        <v/>
      </c>
      <c r="S167" s="192" t="str">
        <f t="shared" si="118"/>
        <v/>
      </c>
      <c r="T167" s="192" t="str">
        <f t="shared" si="118"/>
        <v/>
      </c>
      <c r="U167" s="192" t="str">
        <f t="shared" si="118"/>
        <v/>
      </c>
      <c r="V167" s="192" t="str">
        <f t="shared" si="118"/>
        <v/>
      </c>
      <c r="W167" s="192" t="str">
        <f t="shared" si="118"/>
        <v/>
      </c>
      <c r="X167" s="192" t="str">
        <f t="shared" si="118"/>
        <v/>
      </c>
    </row>
    <row r="168" spans="1:24" customFormat="1" ht="3.75" customHeight="1"/>
    <row r="169" spans="1:24" s="5" customFormat="1">
      <c r="A169" s="73"/>
      <c r="B169" s="157"/>
      <c r="C169" s="90" t="s">
        <v>220</v>
      </c>
      <c r="D169" s="153"/>
      <c r="E169" s="155">
        <f t="shared" ref="E169:N169" si="119">IF(E18="","",SUM(E167,E158))</f>
        <v>1092.49</v>
      </c>
      <c r="F169" s="155">
        <f t="shared" si="119"/>
        <v>804.06</v>
      </c>
      <c r="G169" s="155">
        <f t="shared" si="119"/>
        <v>1222.54</v>
      </c>
      <c r="H169" s="155">
        <f t="shared" si="119"/>
        <v>816.56999999999994</v>
      </c>
      <c r="I169" s="155" t="str">
        <f t="shared" si="119"/>
        <v/>
      </c>
      <c r="J169" s="155" t="str">
        <f t="shared" si="119"/>
        <v/>
      </c>
      <c r="K169" s="155" t="str">
        <f t="shared" si="119"/>
        <v/>
      </c>
      <c r="L169" s="155" t="str">
        <f t="shared" si="119"/>
        <v/>
      </c>
      <c r="M169" s="155" t="str">
        <f t="shared" si="119"/>
        <v/>
      </c>
      <c r="N169" s="155" t="str">
        <f t="shared" si="119"/>
        <v/>
      </c>
      <c r="O169" s="155" t="str">
        <f t="shared" ref="O169:X169" si="120">IF(O18="","",SUM(O167,O158))</f>
        <v/>
      </c>
      <c r="P169" s="155" t="str">
        <f t="shared" si="120"/>
        <v/>
      </c>
      <c r="Q169" s="155" t="str">
        <f t="shared" si="120"/>
        <v/>
      </c>
      <c r="R169" s="155" t="str">
        <f t="shared" si="120"/>
        <v/>
      </c>
      <c r="S169" s="155" t="str">
        <f t="shared" si="120"/>
        <v/>
      </c>
      <c r="T169" s="155" t="str">
        <f t="shared" si="120"/>
        <v/>
      </c>
      <c r="U169" s="155" t="str">
        <f t="shared" si="120"/>
        <v/>
      </c>
      <c r="V169" s="155" t="str">
        <f t="shared" si="120"/>
        <v/>
      </c>
      <c r="W169" s="155" t="str">
        <f t="shared" si="120"/>
        <v/>
      </c>
      <c r="X169" s="155" t="str">
        <f t="shared" si="120"/>
        <v/>
      </c>
    </row>
    <row r="170" spans="1:24">
      <c r="F170" s="9"/>
      <c r="G170" s="9"/>
      <c r="H170" s="9"/>
      <c r="I170" s="9"/>
      <c r="J170" s="9"/>
      <c r="K170" s="9"/>
      <c r="L170" s="9"/>
      <c r="M170" s="9"/>
      <c r="N170" s="9"/>
      <c r="O170" s="9"/>
      <c r="P170" s="9"/>
      <c r="Q170" s="9"/>
      <c r="R170" s="9"/>
      <c r="S170" s="9"/>
      <c r="T170" s="9"/>
      <c r="U170" s="9"/>
      <c r="V170" s="9"/>
      <c r="W170" s="9"/>
      <c r="X170" s="9"/>
    </row>
    <row r="171" spans="1:24" s="6" customFormat="1">
      <c r="A171" s="74"/>
      <c r="B171" s="89"/>
      <c r="C171" s="90" t="s">
        <v>374</v>
      </c>
      <c r="D171" s="91"/>
      <c r="E171" s="370"/>
      <c r="F171" s="370"/>
      <c r="G171" s="370"/>
      <c r="H171" s="370"/>
      <c r="I171" s="370"/>
      <c r="J171" s="370"/>
      <c r="K171" s="370"/>
      <c r="L171" s="370"/>
      <c r="M171" s="370"/>
      <c r="N171" s="370"/>
      <c r="O171" s="370"/>
      <c r="P171" s="370"/>
      <c r="Q171" s="370"/>
      <c r="R171" s="370"/>
      <c r="S171" s="370"/>
      <c r="T171" s="370"/>
      <c r="U171" s="370"/>
      <c r="V171" s="370"/>
      <c r="W171" s="370"/>
      <c r="X171" s="370"/>
    </row>
    <row r="172" spans="1:24" ht="3.75" customHeight="1">
      <c r="A172" s="288"/>
      <c r="B172" s="3"/>
      <c r="C172" s="3"/>
      <c r="D172" s="3"/>
      <c r="E172" s="3"/>
      <c r="F172" s="3"/>
      <c r="G172" s="3"/>
      <c r="H172" s="3"/>
      <c r="I172" s="3"/>
      <c r="J172" s="3"/>
      <c r="K172" s="3"/>
      <c r="L172" s="3"/>
      <c r="M172" s="3"/>
      <c r="N172" s="3"/>
      <c r="O172" s="3"/>
      <c r="P172" s="3"/>
      <c r="Q172" s="3"/>
      <c r="R172" s="3"/>
      <c r="S172" s="3"/>
      <c r="T172" s="3"/>
      <c r="U172" s="3"/>
      <c r="V172" s="3"/>
      <c r="W172" s="3"/>
      <c r="X172" s="3"/>
    </row>
    <row r="173" spans="1:24">
      <c r="A173" s="288"/>
      <c r="B173" s="171"/>
      <c r="C173" s="172" t="s">
        <v>438</v>
      </c>
      <c r="D173" s="290"/>
      <c r="E173" s="397"/>
      <c r="F173" s="397"/>
      <c r="G173" s="397"/>
      <c r="H173" s="397"/>
      <c r="I173" s="397"/>
      <c r="J173" s="397"/>
      <c r="K173" s="397"/>
      <c r="L173" s="397"/>
      <c r="M173" s="397"/>
      <c r="N173" s="397"/>
      <c r="O173" s="397"/>
      <c r="P173" s="397"/>
      <c r="Q173" s="397"/>
      <c r="R173" s="397"/>
      <c r="S173" s="397"/>
      <c r="T173" s="397"/>
      <c r="U173" s="397"/>
      <c r="V173" s="397"/>
      <c r="W173" s="397"/>
      <c r="X173" s="397"/>
    </row>
    <row r="174" spans="1:24">
      <c r="A174" s="80"/>
      <c r="B174" s="87" t="s">
        <v>2</v>
      </c>
      <c r="C174" s="88" t="s">
        <v>375</v>
      </c>
      <c r="D174" s="177"/>
      <c r="E174" s="99">
        <f>IFERROR(IF(E18="","",ROUND(E176/SUM(E52,INDEX('Apoio - Regime de Trabalho'!$I:$I,MATCH(E26,'Apoio - Regime de Trabalho'!$A:$A,0))),2)),"")</f>
        <v>33.119999999999997</v>
      </c>
      <c r="F174" s="99">
        <f>IFERROR(IF(F18="","",ROUND(F176/SUM(F52,INDEX('Apoio - Regime de Trabalho'!$I:$I,MATCH(F26,'Apoio - Regime de Trabalho'!$A:$A,0))),2)),"")</f>
        <v>32.5</v>
      </c>
      <c r="G174" s="99">
        <f>IFERROR(IF(G18="","",ROUND(G176/SUM(G52,INDEX('Apoio - Regime de Trabalho'!$I:$I,MATCH(G26,'Apoio - Regime de Trabalho'!$A:$A,0))),2)),"")</f>
        <v>37.06</v>
      </c>
      <c r="H174" s="99">
        <f>IFERROR(IF(H18="","",ROUND(H176/SUM(H52,INDEX('Apoio - Regime de Trabalho'!$I:$I,MATCH(H26,'Apoio - Regime de Trabalho'!$A:$A,0))),2)),"")</f>
        <v>29.59</v>
      </c>
      <c r="I174" s="99" t="str">
        <f>IFERROR(IF(I18="","",ROUND(I176/SUM(I52,INDEX('Apoio - Regime de Trabalho'!$I:$I,MATCH(I26,'Apoio - Regime de Trabalho'!$A:$A,0))),2)),"")</f>
        <v/>
      </c>
      <c r="J174" s="99" t="str">
        <f>IFERROR(IF(J18="","",ROUND(J176/SUM(J52,INDEX('Apoio - Regime de Trabalho'!$I:$I,MATCH(J26,'Apoio - Regime de Trabalho'!$A:$A,0))),2)),"")</f>
        <v/>
      </c>
      <c r="K174" s="99" t="str">
        <f>IFERROR(IF(K18="","",ROUND(K176/SUM(K52,INDEX('Apoio - Regime de Trabalho'!$I:$I,MATCH(K26,'Apoio - Regime de Trabalho'!$A:$A,0))),2)),"")</f>
        <v/>
      </c>
      <c r="L174" s="99" t="str">
        <f>IFERROR(IF(L18="","",ROUND(L176/SUM(L52,INDEX('Apoio - Regime de Trabalho'!$I:$I,MATCH(L26,'Apoio - Regime de Trabalho'!$A:$A,0))),2)),"")</f>
        <v/>
      </c>
      <c r="M174" s="99" t="str">
        <f>IFERROR(IF(M18="","",ROUND(M176/SUM(M52,INDEX('Apoio - Regime de Trabalho'!$I:$I,MATCH(M26,'Apoio - Regime de Trabalho'!$A:$A,0))),2)),"")</f>
        <v/>
      </c>
      <c r="N174" s="99" t="str">
        <f>IFERROR(IF(N18="","",ROUND(N176/SUM(N52,INDEX('Apoio - Regime de Trabalho'!$I:$I,MATCH(N26,'Apoio - Regime de Trabalho'!$A:$A,0))),2)),"")</f>
        <v/>
      </c>
      <c r="O174" s="99" t="str">
        <f>IFERROR(IF(O18="","",ROUND(O176/SUM(O52,INDEX('Apoio - Regime de Trabalho'!$I:$I,MATCH(O26,'Apoio - Regime de Trabalho'!$A:$A,0))),2)),"")</f>
        <v/>
      </c>
      <c r="P174" s="99" t="str">
        <f>IFERROR(IF(P18="","",ROUND(P176/SUM(P52,INDEX('Apoio - Regime de Trabalho'!$I:$I,MATCH(P26,'Apoio - Regime de Trabalho'!$A:$A,0))),2)),"")</f>
        <v/>
      </c>
      <c r="Q174" s="99" t="str">
        <f>IFERROR(IF(Q18="","",ROUND(Q176/SUM(Q52,INDEX('Apoio - Regime de Trabalho'!$I:$I,MATCH(Q26,'Apoio - Regime de Trabalho'!$A:$A,0))),2)),"")</f>
        <v/>
      </c>
      <c r="R174" s="99" t="str">
        <f>IFERROR(IF(R18="","",ROUND(R176/SUM(R52,INDEX('Apoio - Regime de Trabalho'!$I:$I,MATCH(R26,'Apoio - Regime de Trabalho'!$A:$A,0))),2)),"")</f>
        <v/>
      </c>
      <c r="S174" s="99" t="str">
        <f>IFERROR(IF(S18="","",ROUND(S176/SUM(S52,INDEX('Apoio - Regime de Trabalho'!$I:$I,MATCH(S26,'Apoio - Regime de Trabalho'!$A:$A,0))),2)),"")</f>
        <v/>
      </c>
      <c r="T174" s="99" t="str">
        <f>IFERROR(IF(T18="","",ROUND(T176/SUM(T52,INDEX('Apoio - Regime de Trabalho'!$I:$I,MATCH(T26,'Apoio - Regime de Trabalho'!$A:$A,0))),2)),"")</f>
        <v/>
      </c>
      <c r="U174" s="99" t="str">
        <f>IFERROR(IF(U18="","",ROUND(U176/SUM(U52,INDEX('Apoio - Regime de Trabalho'!$I:$I,MATCH(U26,'Apoio - Regime de Trabalho'!$A:$A,0))),2)),"")</f>
        <v/>
      </c>
      <c r="V174" s="99" t="str">
        <f>IFERROR(IF(V18="","",ROUND(V176/SUM(V52,INDEX('Apoio - Regime de Trabalho'!$I:$I,MATCH(V26,'Apoio - Regime de Trabalho'!$A:$A,0))),2)),"")</f>
        <v/>
      </c>
      <c r="W174" s="99" t="str">
        <f>IFERROR(IF(W18="","",ROUND(W176/SUM(W52,INDEX('Apoio - Regime de Trabalho'!$I:$I,MATCH(W26,'Apoio - Regime de Trabalho'!$A:$A,0))),2)),"")</f>
        <v/>
      </c>
      <c r="X174" s="99" t="str">
        <f>IFERROR(IF(X18="","",ROUND(X176/SUM(X52,INDEX('Apoio - Regime de Trabalho'!$I:$I,MATCH(X26,'Apoio - Regime de Trabalho'!$A:$A,0))),2)),"")</f>
        <v/>
      </c>
    </row>
    <row r="175" spans="1:24">
      <c r="A175" s="80"/>
      <c r="B175" s="87" t="s">
        <v>1</v>
      </c>
      <c r="C175" s="88" t="s">
        <v>379</v>
      </c>
      <c r="D175" s="177"/>
      <c r="E175" s="99">
        <f>IF(E18="","",ROUND(SUM(E61,E114,E123,E146,E151,E169)/INDEX('Apoio - Regime de Trabalho'!$G:$G,MATCH(E26,'Apoio - Regime de Trabalho'!$A:$A,0)),2))</f>
        <v>264.92</v>
      </c>
      <c r="F175" s="99">
        <f>IF(F18="","",ROUND(SUM(F61,F114,F123,F146,F151,F169)/INDEX('Apoio - Regime de Trabalho'!$G:$G,MATCH(F26,'Apoio - Regime de Trabalho'!$A:$A,0)),2))</f>
        <v>194.98</v>
      </c>
      <c r="G175" s="99">
        <f>IF(G18="","",ROUND(SUM(G61,G114,G123,G146,G151,G169)/INDEX('Apoio - Regime de Trabalho'!$G:$G,MATCH(G26,'Apoio - Regime de Trabalho'!$A:$A,0)),2))</f>
        <v>296.45999999999998</v>
      </c>
      <c r="H175" s="99">
        <f>IF(H18="","",ROUND(SUM(H61,H114,H123,H146,H151,H169)/INDEX('Apoio - Regime de Trabalho'!$G:$G,MATCH(H26,'Apoio - Regime de Trabalho'!$A:$A,0)),2))</f>
        <v>177.52</v>
      </c>
      <c r="I175" s="99" t="str">
        <f>IF(I18="","",ROUND(SUM(I61,I114,I123,I146,I151,I169)/INDEX('Apoio - Regime de Trabalho'!$G:$G,MATCH(I26,'Apoio - Regime de Trabalho'!$A:$A,0)),2))</f>
        <v/>
      </c>
      <c r="J175" s="99" t="str">
        <f>IF(J18="","",ROUND(SUM(J61,J114,J123,J146,J151,J169)/INDEX('Apoio - Regime de Trabalho'!$G:$G,MATCH(J26,'Apoio - Regime de Trabalho'!$A:$A,0)),2))</f>
        <v/>
      </c>
      <c r="K175" s="99" t="str">
        <f>IF(K18="","",ROUND(SUM(K61,K114,K123,K146,K151,K169)/INDEX('Apoio - Regime de Trabalho'!$G:$G,MATCH(K26,'Apoio - Regime de Trabalho'!$A:$A,0)),2))</f>
        <v/>
      </c>
      <c r="L175" s="99" t="str">
        <f>IF(L18="","",ROUND(SUM(L61,L114,L123,L146,L151,L169)/INDEX('Apoio - Regime de Trabalho'!$G:$G,MATCH(L26,'Apoio - Regime de Trabalho'!$A:$A,0)),2))</f>
        <v/>
      </c>
      <c r="M175" s="99" t="str">
        <f>IF(M18="","",ROUND(SUM(M61,M114,M123,M146,M151,M169)/INDEX('Apoio - Regime de Trabalho'!$G:$G,MATCH(M26,'Apoio - Regime de Trabalho'!$A:$A,0)),2))</f>
        <v/>
      </c>
      <c r="N175" s="99" t="str">
        <f>IF(N18="","",ROUND(SUM(N61,N114,N123,N146,N151,N169)/INDEX('Apoio - Regime de Trabalho'!$G:$G,MATCH(N26,'Apoio - Regime de Trabalho'!$A:$A,0)),2))</f>
        <v/>
      </c>
      <c r="O175" s="99" t="str">
        <f>IF(O18="","",ROUND(SUM(O61,O114,O123,O146,O151,O169)/INDEX('Apoio - Regime de Trabalho'!$G:$G,MATCH(O26,'Apoio - Regime de Trabalho'!$A:$A,0)),2))</f>
        <v/>
      </c>
      <c r="P175" s="99" t="str">
        <f>IF(P18="","",ROUND(SUM(P61,P114,P123,P146,P151,P169)/INDEX('Apoio - Regime de Trabalho'!$G:$G,MATCH(P26,'Apoio - Regime de Trabalho'!$A:$A,0)),2))</f>
        <v/>
      </c>
      <c r="Q175" s="99" t="str">
        <f>IF(Q18="","",ROUND(SUM(Q61,Q114,Q123,Q146,Q151,Q169)/INDEX('Apoio - Regime de Trabalho'!$G:$G,MATCH(Q26,'Apoio - Regime de Trabalho'!$A:$A,0)),2))</f>
        <v/>
      </c>
      <c r="R175" s="99" t="str">
        <f>IF(R18="","",ROUND(SUM(R61,R114,R123,R146,R151,R169)/INDEX('Apoio - Regime de Trabalho'!$G:$G,MATCH(R26,'Apoio - Regime de Trabalho'!$A:$A,0)),2))</f>
        <v/>
      </c>
      <c r="S175" s="99" t="str">
        <f>IF(S18="","",ROUND(SUM(S61,S114,S123,S146,S151,S169)/INDEX('Apoio - Regime de Trabalho'!$G:$G,MATCH(S26,'Apoio - Regime de Trabalho'!$A:$A,0)),2))</f>
        <v/>
      </c>
      <c r="T175" s="99" t="str">
        <f>IF(T18="","",ROUND(SUM(T61,T114,T123,T146,T151,T169)/INDEX('Apoio - Regime de Trabalho'!$G:$G,MATCH(T26,'Apoio - Regime de Trabalho'!$A:$A,0)),2))</f>
        <v/>
      </c>
      <c r="U175" s="99" t="str">
        <f>IF(U18="","",ROUND(SUM(U61,U114,U123,U146,U151,U169)/INDEX('Apoio - Regime de Trabalho'!$G:$G,MATCH(U26,'Apoio - Regime de Trabalho'!$A:$A,0)),2))</f>
        <v/>
      </c>
      <c r="V175" s="99" t="str">
        <f>IF(V18="","",ROUND(SUM(V61,V114,V123,V146,V151,V169)/INDEX('Apoio - Regime de Trabalho'!$G:$G,MATCH(V26,'Apoio - Regime de Trabalho'!$A:$A,0)),2))</f>
        <v/>
      </c>
      <c r="W175" s="99" t="str">
        <f>IF(W18="","",ROUND(SUM(W61,W114,W123,W146,W151,W169)/INDEX('Apoio - Regime de Trabalho'!$G:$G,MATCH(W26,'Apoio - Regime de Trabalho'!$A:$A,0)),2))</f>
        <v/>
      </c>
      <c r="X175" s="99" t="str">
        <f>IF(X18="","",ROUND(SUM(X61,X114,X123,X146,X151,X169)/INDEX('Apoio - Regime de Trabalho'!$G:$G,MATCH(X26,'Apoio - Regime de Trabalho'!$A:$A,0)),2))</f>
        <v/>
      </c>
    </row>
    <row r="176" spans="1:24">
      <c r="A176" s="80"/>
      <c r="B176" s="87" t="s">
        <v>0</v>
      </c>
      <c r="C176" s="88" t="s">
        <v>441</v>
      </c>
      <c r="D176" s="177"/>
      <c r="E176" s="99">
        <f t="shared" ref="E176:N176" si="121">IF(E18="","",ROUND(SUM(E61,E114,E123,E146,E151,E169),2))</f>
        <v>5828.28</v>
      </c>
      <c r="F176" s="99">
        <f t="shared" si="121"/>
        <v>4289.55</v>
      </c>
      <c r="G176" s="99">
        <f t="shared" si="121"/>
        <v>6522.12</v>
      </c>
      <c r="H176" s="99">
        <f t="shared" si="121"/>
        <v>3905.37</v>
      </c>
      <c r="I176" s="99" t="str">
        <f t="shared" si="121"/>
        <v/>
      </c>
      <c r="J176" s="99" t="str">
        <f t="shared" si="121"/>
        <v/>
      </c>
      <c r="K176" s="99" t="str">
        <f t="shared" si="121"/>
        <v/>
      </c>
      <c r="L176" s="99" t="str">
        <f t="shared" si="121"/>
        <v/>
      </c>
      <c r="M176" s="99" t="str">
        <f t="shared" si="121"/>
        <v/>
      </c>
      <c r="N176" s="99" t="str">
        <f t="shared" si="121"/>
        <v/>
      </c>
      <c r="O176" s="99" t="str">
        <f t="shared" ref="O176:X176" si="122">IF(O18="","",ROUND(SUM(O61,O114,O123,O146,O151,O169),2))</f>
        <v/>
      </c>
      <c r="P176" s="99" t="str">
        <f t="shared" si="122"/>
        <v/>
      </c>
      <c r="Q176" s="99" t="str">
        <f t="shared" si="122"/>
        <v/>
      </c>
      <c r="R176" s="99" t="str">
        <f t="shared" si="122"/>
        <v/>
      </c>
      <c r="S176" s="99" t="str">
        <f t="shared" si="122"/>
        <v/>
      </c>
      <c r="T176" s="99" t="str">
        <f t="shared" si="122"/>
        <v/>
      </c>
      <c r="U176" s="99" t="str">
        <f t="shared" si="122"/>
        <v/>
      </c>
      <c r="V176" s="99" t="str">
        <f t="shared" si="122"/>
        <v/>
      </c>
      <c r="W176" s="99" t="str">
        <f t="shared" si="122"/>
        <v/>
      </c>
      <c r="X176" s="99" t="str">
        <f t="shared" si="122"/>
        <v/>
      </c>
    </row>
    <row r="177" spans="1:24">
      <c r="A177" s="80"/>
      <c r="B177" s="87" t="s">
        <v>3</v>
      </c>
      <c r="C177" s="88" t="s">
        <v>440</v>
      </c>
      <c r="D177" s="177"/>
      <c r="E177" s="99">
        <f t="shared" ref="E177:N177" si="123">IFERROR(ROUND(E176*E28,2),"")</f>
        <v>5828.28</v>
      </c>
      <c r="F177" s="99">
        <f t="shared" si="123"/>
        <v>4289.55</v>
      </c>
      <c r="G177" s="99">
        <f t="shared" si="123"/>
        <v>6522.12</v>
      </c>
      <c r="H177" s="99">
        <f t="shared" si="123"/>
        <v>3905.37</v>
      </c>
      <c r="I177" s="99" t="str">
        <f t="shared" si="123"/>
        <v/>
      </c>
      <c r="J177" s="99" t="str">
        <f t="shared" si="123"/>
        <v/>
      </c>
      <c r="K177" s="99" t="str">
        <f t="shared" si="123"/>
        <v/>
      </c>
      <c r="L177" s="99" t="str">
        <f t="shared" si="123"/>
        <v/>
      </c>
      <c r="M177" s="99" t="str">
        <f t="shared" si="123"/>
        <v/>
      </c>
      <c r="N177" s="99" t="str">
        <f t="shared" si="123"/>
        <v/>
      </c>
      <c r="O177" s="99" t="str">
        <f t="shared" ref="O177:X177" si="124">IFERROR(ROUND(O176*O28,2),"")</f>
        <v/>
      </c>
      <c r="P177" s="99" t="str">
        <f t="shared" si="124"/>
        <v/>
      </c>
      <c r="Q177" s="99" t="str">
        <f t="shared" si="124"/>
        <v/>
      </c>
      <c r="R177" s="99" t="str">
        <f t="shared" si="124"/>
        <v/>
      </c>
      <c r="S177" s="99" t="str">
        <f t="shared" si="124"/>
        <v/>
      </c>
      <c r="T177" s="99" t="str">
        <f t="shared" si="124"/>
        <v/>
      </c>
      <c r="U177" s="99" t="str">
        <f t="shared" si="124"/>
        <v/>
      </c>
      <c r="V177" s="99" t="str">
        <f t="shared" si="124"/>
        <v/>
      </c>
      <c r="W177" s="99" t="str">
        <f t="shared" si="124"/>
        <v/>
      </c>
      <c r="X177" s="99" t="str">
        <f t="shared" si="124"/>
        <v/>
      </c>
    </row>
    <row r="178" spans="1:24" ht="3.75" customHeight="1">
      <c r="A178" s="288"/>
      <c r="B178" s="3"/>
      <c r="C178" s="3"/>
      <c r="D178" s="3"/>
      <c r="E178" s="3"/>
      <c r="F178" s="3"/>
      <c r="G178" s="3"/>
      <c r="H178" s="3"/>
      <c r="I178" s="3"/>
      <c r="J178" s="3"/>
      <c r="K178" s="3"/>
      <c r="L178" s="3"/>
      <c r="M178" s="3"/>
      <c r="N178" s="3"/>
      <c r="O178" s="3"/>
      <c r="P178" s="3"/>
      <c r="Q178" s="3"/>
      <c r="R178" s="3"/>
      <c r="S178" s="3"/>
      <c r="T178" s="3"/>
      <c r="U178" s="3"/>
      <c r="V178" s="3"/>
      <c r="W178" s="3"/>
      <c r="X178" s="3"/>
    </row>
    <row r="179" spans="1:24">
      <c r="A179" s="288"/>
      <c r="B179" s="171"/>
      <c r="C179" s="172" t="s">
        <v>469</v>
      </c>
      <c r="D179" s="290"/>
      <c r="E179" s="397"/>
      <c r="F179" s="397"/>
      <c r="G179" s="397"/>
      <c r="H179" s="397"/>
      <c r="I179" s="397"/>
      <c r="J179" s="397"/>
      <c r="K179" s="397"/>
      <c r="L179" s="397"/>
      <c r="M179" s="397"/>
      <c r="N179" s="397"/>
      <c r="O179" s="397"/>
      <c r="P179" s="397"/>
      <c r="Q179" s="397"/>
      <c r="R179" s="397"/>
      <c r="S179" s="397"/>
      <c r="T179" s="397"/>
      <c r="U179" s="397"/>
      <c r="V179" s="397"/>
      <c r="W179" s="397"/>
      <c r="X179" s="397"/>
    </row>
    <row r="180" spans="1:24">
      <c r="A180" s="80"/>
      <c r="B180" s="87" t="s">
        <v>2</v>
      </c>
      <c r="C180" s="88" t="s">
        <v>376</v>
      </c>
      <c r="D180" s="177"/>
      <c r="E180" s="99">
        <f>IFERROR(ROUND(SUM(E61,E114,E123,E146),2)*E29,"")</f>
        <v>9380.7199999999993</v>
      </c>
      <c r="F180" s="99">
        <f t="shared" ref="F180:N180" si="125">IFERROR(ROUND(SUM(F61,F114,F123,F146),2)*F29,"")</f>
        <v>44720.78</v>
      </c>
      <c r="G180" s="99">
        <f t="shared" si="125"/>
        <v>5255.07</v>
      </c>
      <c r="H180" s="99">
        <f t="shared" si="125"/>
        <v>3016.52</v>
      </c>
      <c r="I180" s="99" t="str">
        <f t="shared" si="125"/>
        <v/>
      </c>
      <c r="J180" s="99" t="str">
        <f t="shared" si="125"/>
        <v/>
      </c>
      <c r="K180" s="99" t="str">
        <f t="shared" si="125"/>
        <v/>
      </c>
      <c r="L180" s="99" t="str">
        <f t="shared" si="125"/>
        <v/>
      </c>
      <c r="M180" s="99" t="str">
        <f t="shared" si="125"/>
        <v/>
      </c>
      <c r="N180" s="99" t="str">
        <f t="shared" si="125"/>
        <v/>
      </c>
      <c r="O180" s="99" t="str">
        <f t="shared" ref="O180:X180" si="126">IFERROR(ROUND(SUM(O61,O114,O123,O146),2)*O29,"")</f>
        <v/>
      </c>
      <c r="P180" s="99" t="str">
        <f t="shared" si="126"/>
        <v/>
      </c>
      <c r="Q180" s="99" t="str">
        <f t="shared" si="126"/>
        <v/>
      </c>
      <c r="R180" s="99" t="str">
        <f t="shared" si="126"/>
        <v/>
      </c>
      <c r="S180" s="99" t="str">
        <f t="shared" si="126"/>
        <v/>
      </c>
      <c r="T180" s="99" t="str">
        <f t="shared" si="126"/>
        <v/>
      </c>
      <c r="U180" s="99" t="str">
        <f t="shared" si="126"/>
        <v/>
      </c>
      <c r="V180" s="99" t="str">
        <f t="shared" si="126"/>
        <v/>
      </c>
      <c r="W180" s="99" t="str">
        <f t="shared" si="126"/>
        <v/>
      </c>
      <c r="X180" s="99" t="str">
        <f t="shared" si="126"/>
        <v/>
      </c>
    </row>
    <row r="181" spans="1:24">
      <c r="A181" s="80"/>
      <c r="B181" s="87" t="s">
        <v>1</v>
      </c>
      <c r="C181" s="88" t="s">
        <v>435</v>
      </c>
      <c r="D181" s="177"/>
      <c r="E181" s="99">
        <f t="shared" ref="E181:N181" si="127">IFERROR(ROUND(E151*E29,2),"")</f>
        <v>90.86</v>
      </c>
      <c r="F181" s="99">
        <f t="shared" si="127"/>
        <v>590.59</v>
      </c>
      <c r="G181" s="99">
        <f t="shared" si="127"/>
        <v>44.51</v>
      </c>
      <c r="H181" s="99">
        <f t="shared" si="127"/>
        <v>72.28</v>
      </c>
      <c r="I181" s="99" t="str">
        <f t="shared" si="127"/>
        <v/>
      </c>
      <c r="J181" s="99" t="str">
        <f t="shared" si="127"/>
        <v/>
      </c>
      <c r="K181" s="99" t="str">
        <f t="shared" si="127"/>
        <v/>
      </c>
      <c r="L181" s="99" t="str">
        <f t="shared" si="127"/>
        <v/>
      </c>
      <c r="M181" s="99" t="str">
        <f t="shared" si="127"/>
        <v/>
      </c>
      <c r="N181" s="99" t="str">
        <f t="shared" si="127"/>
        <v/>
      </c>
      <c r="O181" s="99" t="str">
        <f t="shared" ref="O181:X181" si="128">IFERROR(ROUND(O151*O29,2),"")</f>
        <v/>
      </c>
      <c r="P181" s="99" t="str">
        <f t="shared" si="128"/>
        <v/>
      </c>
      <c r="Q181" s="99" t="str">
        <f t="shared" si="128"/>
        <v/>
      </c>
      <c r="R181" s="99" t="str">
        <f t="shared" si="128"/>
        <v/>
      </c>
      <c r="S181" s="99" t="str">
        <f t="shared" si="128"/>
        <v/>
      </c>
      <c r="T181" s="99" t="str">
        <f t="shared" si="128"/>
        <v/>
      </c>
      <c r="U181" s="99" t="str">
        <f t="shared" si="128"/>
        <v/>
      </c>
      <c r="V181" s="99" t="str">
        <f t="shared" si="128"/>
        <v/>
      </c>
      <c r="W181" s="99" t="str">
        <f t="shared" si="128"/>
        <v/>
      </c>
      <c r="X181" s="99" t="str">
        <f t="shared" si="128"/>
        <v/>
      </c>
    </row>
    <row r="182" spans="1:24">
      <c r="A182" s="81"/>
      <c r="B182" s="87" t="s">
        <v>0</v>
      </c>
      <c r="C182" s="88" t="s">
        <v>174</v>
      </c>
      <c r="D182" s="177"/>
      <c r="E182" s="99">
        <f t="shared" ref="E182:N182" si="129">IFERROR(ROUND(E169*E29,2),"")</f>
        <v>2184.98</v>
      </c>
      <c r="F182" s="99">
        <f t="shared" si="129"/>
        <v>10452.780000000001</v>
      </c>
      <c r="G182" s="99">
        <f t="shared" si="129"/>
        <v>1222.54</v>
      </c>
      <c r="H182" s="99">
        <f t="shared" si="129"/>
        <v>816.57</v>
      </c>
      <c r="I182" s="99" t="str">
        <f t="shared" si="129"/>
        <v/>
      </c>
      <c r="J182" s="99" t="str">
        <f t="shared" si="129"/>
        <v/>
      </c>
      <c r="K182" s="99" t="str">
        <f t="shared" si="129"/>
        <v/>
      </c>
      <c r="L182" s="99" t="str">
        <f t="shared" si="129"/>
        <v/>
      </c>
      <c r="M182" s="99" t="str">
        <f t="shared" si="129"/>
        <v/>
      </c>
      <c r="N182" s="99" t="str">
        <f t="shared" si="129"/>
        <v/>
      </c>
      <c r="O182" s="99" t="str">
        <f t="shared" ref="O182:X182" si="130">IFERROR(ROUND(O169*O29,2),"")</f>
        <v/>
      </c>
      <c r="P182" s="99" t="str">
        <f t="shared" si="130"/>
        <v/>
      </c>
      <c r="Q182" s="99" t="str">
        <f t="shared" si="130"/>
        <v/>
      </c>
      <c r="R182" s="99" t="str">
        <f t="shared" si="130"/>
        <v/>
      </c>
      <c r="S182" s="99" t="str">
        <f t="shared" si="130"/>
        <v/>
      </c>
      <c r="T182" s="99" t="str">
        <f t="shared" si="130"/>
        <v/>
      </c>
      <c r="U182" s="99" t="str">
        <f t="shared" si="130"/>
        <v/>
      </c>
      <c r="V182" s="99" t="str">
        <f t="shared" si="130"/>
        <v/>
      </c>
      <c r="W182" s="99" t="str">
        <f t="shared" si="130"/>
        <v/>
      </c>
      <c r="X182" s="99" t="str">
        <f t="shared" si="130"/>
        <v/>
      </c>
    </row>
    <row r="183" spans="1:24">
      <c r="A183" s="81"/>
      <c r="B183" s="87" t="s">
        <v>3</v>
      </c>
      <c r="C183" s="88" t="s">
        <v>468</v>
      </c>
      <c r="D183" s="177"/>
      <c r="E183" s="99">
        <f>IFERROR(ROUND((E180+E181+E182),2),"")</f>
        <v>11656.56</v>
      </c>
      <c r="F183" s="99">
        <f t="shared" ref="F183:H183" si="131">IFERROR(ROUND((F180+F181+F182),2),"")</f>
        <v>55764.15</v>
      </c>
      <c r="G183" s="99">
        <f t="shared" si="131"/>
        <v>6522.12</v>
      </c>
      <c r="H183" s="99">
        <f t="shared" si="131"/>
        <v>3905.37</v>
      </c>
      <c r="I183" s="99" t="str">
        <f t="shared" ref="I183:N183" si="132">IFERROR(ROUND((I180+I181+I182),2),"")</f>
        <v/>
      </c>
      <c r="J183" s="99" t="str">
        <f t="shared" si="132"/>
        <v/>
      </c>
      <c r="K183" s="99" t="str">
        <f t="shared" si="132"/>
        <v/>
      </c>
      <c r="L183" s="99" t="str">
        <f t="shared" si="132"/>
        <v/>
      </c>
      <c r="M183" s="99" t="str">
        <f t="shared" si="132"/>
        <v/>
      </c>
      <c r="N183" s="99" t="str">
        <f t="shared" si="132"/>
        <v/>
      </c>
      <c r="O183" s="99" t="str">
        <f t="shared" ref="O183:X183" si="133">IFERROR(ROUND((O180+O181+O182),2),"")</f>
        <v/>
      </c>
      <c r="P183" s="99" t="str">
        <f t="shared" si="133"/>
        <v/>
      </c>
      <c r="Q183" s="99" t="str">
        <f t="shared" si="133"/>
        <v/>
      </c>
      <c r="R183" s="99" t="str">
        <f t="shared" si="133"/>
        <v/>
      </c>
      <c r="S183" s="99" t="str">
        <f t="shared" si="133"/>
        <v/>
      </c>
      <c r="T183" s="99" t="str">
        <f t="shared" si="133"/>
        <v/>
      </c>
      <c r="U183" s="99" t="str">
        <f t="shared" si="133"/>
        <v/>
      </c>
      <c r="V183" s="99" t="str">
        <f t="shared" si="133"/>
        <v/>
      </c>
      <c r="W183" s="99" t="str">
        <f t="shared" si="133"/>
        <v/>
      </c>
      <c r="X183" s="99" t="str">
        <f t="shared" si="133"/>
        <v/>
      </c>
    </row>
    <row r="184" spans="1:24" ht="3.75" customHeight="1">
      <c r="A184" s="288"/>
      <c r="B184" s="3"/>
      <c r="C184" s="3"/>
      <c r="D184" s="3"/>
      <c r="E184" s="3"/>
      <c r="F184" s="3"/>
      <c r="G184" s="3"/>
      <c r="H184" s="3"/>
      <c r="I184" s="3"/>
      <c r="J184" s="3"/>
      <c r="K184" s="3"/>
      <c r="L184" s="3"/>
      <c r="M184" s="3"/>
      <c r="N184" s="3"/>
      <c r="O184" s="3"/>
      <c r="P184" s="3"/>
      <c r="Q184" s="3"/>
      <c r="R184" s="3"/>
      <c r="S184" s="3"/>
      <c r="T184" s="3"/>
      <c r="U184" s="3"/>
      <c r="V184" s="3"/>
      <c r="W184" s="3"/>
      <c r="X184" s="3"/>
    </row>
    <row r="185" spans="1:24">
      <c r="A185" s="288"/>
      <c r="B185" s="171"/>
      <c r="C185" s="172" t="s">
        <v>439</v>
      </c>
      <c r="D185" s="290"/>
      <c r="E185" s="397"/>
      <c r="F185" s="397"/>
      <c r="G185" s="397"/>
      <c r="H185" s="397"/>
      <c r="I185" s="397"/>
      <c r="J185" s="397"/>
      <c r="K185" s="397"/>
      <c r="L185" s="397"/>
      <c r="M185" s="397"/>
      <c r="N185" s="397"/>
      <c r="O185" s="397"/>
      <c r="P185" s="397"/>
      <c r="Q185" s="397"/>
      <c r="R185" s="397"/>
      <c r="S185" s="397"/>
      <c r="T185" s="397"/>
      <c r="U185" s="397"/>
      <c r="V185" s="397"/>
      <c r="W185" s="397"/>
      <c r="X185" s="397"/>
    </row>
    <row r="186" spans="1:24">
      <c r="A186" s="81"/>
      <c r="B186" s="87" t="s">
        <v>2</v>
      </c>
      <c r="C186" s="88" t="s">
        <v>376</v>
      </c>
      <c r="D186" s="177"/>
      <c r="E186" s="99">
        <f>IFERROR(ROUND(E180*$D$12,2),"")</f>
        <v>225137.28</v>
      </c>
      <c r="F186" s="99">
        <f t="shared" ref="F186:N186" si="134">IFERROR(ROUND(F180*$D$12,2),"")</f>
        <v>1073298.72</v>
      </c>
      <c r="G186" s="99">
        <f t="shared" si="134"/>
        <v>126121.68</v>
      </c>
      <c r="H186" s="99">
        <f t="shared" si="134"/>
        <v>72396.479999999996</v>
      </c>
      <c r="I186" s="99" t="str">
        <f t="shared" si="134"/>
        <v/>
      </c>
      <c r="J186" s="99" t="str">
        <f t="shared" si="134"/>
        <v/>
      </c>
      <c r="K186" s="99" t="str">
        <f t="shared" si="134"/>
        <v/>
      </c>
      <c r="L186" s="99" t="str">
        <f t="shared" si="134"/>
        <v/>
      </c>
      <c r="M186" s="99" t="str">
        <f t="shared" si="134"/>
        <v/>
      </c>
      <c r="N186" s="99" t="str">
        <f t="shared" si="134"/>
        <v/>
      </c>
      <c r="O186" s="99" t="str">
        <f t="shared" ref="O186:X186" si="135">IFERROR(ROUND(O180*$D$12,2),"")</f>
        <v/>
      </c>
      <c r="P186" s="99" t="str">
        <f t="shared" si="135"/>
        <v/>
      </c>
      <c r="Q186" s="99" t="str">
        <f t="shared" si="135"/>
        <v/>
      </c>
      <c r="R186" s="99" t="str">
        <f t="shared" si="135"/>
        <v/>
      </c>
      <c r="S186" s="99" t="str">
        <f t="shared" si="135"/>
        <v/>
      </c>
      <c r="T186" s="99" t="str">
        <f t="shared" si="135"/>
        <v/>
      </c>
      <c r="U186" s="99" t="str">
        <f t="shared" si="135"/>
        <v/>
      </c>
      <c r="V186" s="99" t="str">
        <f t="shared" si="135"/>
        <v/>
      </c>
      <c r="W186" s="99" t="str">
        <f t="shared" si="135"/>
        <v/>
      </c>
      <c r="X186" s="99" t="str">
        <f t="shared" si="135"/>
        <v/>
      </c>
    </row>
    <row r="187" spans="1:24">
      <c r="A187" s="81"/>
      <c r="B187" s="87" t="s">
        <v>1</v>
      </c>
      <c r="C187" s="88" t="s">
        <v>435</v>
      </c>
      <c r="D187" s="177"/>
      <c r="E187" s="99">
        <f>IFERROR(ROUND(E181*$D$12,2),"")</f>
        <v>2180.64</v>
      </c>
      <c r="F187" s="99">
        <f t="shared" ref="F187:N187" si="136">IFERROR(ROUND(F181*$D$12,2),"")</f>
        <v>14174.16</v>
      </c>
      <c r="G187" s="99">
        <f t="shared" si="136"/>
        <v>1068.24</v>
      </c>
      <c r="H187" s="99">
        <f t="shared" si="136"/>
        <v>1734.72</v>
      </c>
      <c r="I187" s="99" t="str">
        <f t="shared" si="136"/>
        <v/>
      </c>
      <c r="J187" s="99" t="str">
        <f t="shared" si="136"/>
        <v/>
      </c>
      <c r="K187" s="99" t="str">
        <f t="shared" si="136"/>
        <v/>
      </c>
      <c r="L187" s="99" t="str">
        <f t="shared" si="136"/>
        <v/>
      </c>
      <c r="M187" s="99" t="str">
        <f t="shared" si="136"/>
        <v/>
      </c>
      <c r="N187" s="99" t="str">
        <f t="shared" si="136"/>
        <v/>
      </c>
      <c r="O187" s="99" t="str">
        <f t="shared" ref="O187:X187" si="137">IFERROR(ROUND(O181*$D$12,2),"")</f>
        <v/>
      </c>
      <c r="P187" s="99" t="str">
        <f t="shared" si="137"/>
        <v/>
      </c>
      <c r="Q187" s="99" t="str">
        <f t="shared" si="137"/>
        <v/>
      </c>
      <c r="R187" s="99" t="str">
        <f t="shared" si="137"/>
        <v/>
      </c>
      <c r="S187" s="99" t="str">
        <f t="shared" si="137"/>
        <v/>
      </c>
      <c r="T187" s="99" t="str">
        <f t="shared" si="137"/>
        <v/>
      </c>
      <c r="U187" s="99" t="str">
        <f t="shared" si="137"/>
        <v/>
      </c>
      <c r="V187" s="99" t="str">
        <f t="shared" si="137"/>
        <v/>
      </c>
      <c r="W187" s="99" t="str">
        <f t="shared" si="137"/>
        <v/>
      </c>
      <c r="X187" s="99" t="str">
        <f t="shared" si="137"/>
        <v/>
      </c>
    </row>
    <row r="188" spans="1:24">
      <c r="A188" s="81"/>
      <c r="B188" s="87" t="s">
        <v>0</v>
      </c>
      <c r="C188" s="88" t="s">
        <v>174</v>
      </c>
      <c r="D188" s="177"/>
      <c r="E188" s="99">
        <f>IFERROR(ROUND(E182*$D$12,2),"")</f>
        <v>52439.519999999997</v>
      </c>
      <c r="F188" s="99">
        <f t="shared" ref="F188:N188" si="138">IFERROR(ROUND(F182*$D$12,2),"")</f>
        <v>250866.72</v>
      </c>
      <c r="G188" s="99">
        <f t="shared" si="138"/>
        <v>29340.959999999999</v>
      </c>
      <c r="H188" s="99">
        <f t="shared" si="138"/>
        <v>19597.68</v>
      </c>
      <c r="I188" s="99" t="str">
        <f t="shared" si="138"/>
        <v/>
      </c>
      <c r="J188" s="99" t="str">
        <f t="shared" si="138"/>
        <v/>
      </c>
      <c r="K188" s="99" t="str">
        <f t="shared" si="138"/>
        <v/>
      </c>
      <c r="L188" s="99" t="str">
        <f t="shared" si="138"/>
        <v/>
      </c>
      <c r="M188" s="99" t="str">
        <f t="shared" si="138"/>
        <v/>
      </c>
      <c r="N188" s="99" t="str">
        <f t="shared" si="138"/>
        <v/>
      </c>
      <c r="O188" s="99" t="str">
        <f t="shared" ref="O188:X188" si="139">IFERROR(ROUND(O182*$D$12,2),"")</f>
        <v/>
      </c>
      <c r="P188" s="99" t="str">
        <f t="shared" si="139"/>
        <v/>
      </c>
      <c r="Q188" s="99" t="str">
        <f t="shared" si="139"/>
        <v/>
      </c>
      <c r="R188" s="99" t="str">
        <f t="shared" si="139"/>
        <v/>
      </c>
      <c r="S188" s="99" t="str">
        <f t="shared" si="139"/>
        <v/>
      </c>
      <c r="T188" s="99" t="str">
        <f t="shared" si="139"/>
        <v/>
      </c>
      <c r="U188" s="99" t="str">
        <f t="shared" si="139"/>
        <v/>
      </c>
      <c r="V188" s="99" t="str">
        <f t="shared" si="139"/>
        <v/>
      </c>
      <c r="W188" s="99" t="str">
        <f t="shared" si="139"/>
        <v/>
      </c>
      <c r="X188" s="99" t="str">
        <f t="shared" si="139"/>
        <v/>
      </c>
    </row>
    <row r="189" spans="1:24">
      <c r="A189" s="81"/>
      <c r="B189" s="87" t="s">
        <v>3</v>
      </c>
      <c r="C189" s="88" t="s">
        <v>436</v>
      </c>
      <c r="D189" s="177"/>
      <c r="E189" s="99">
        <f>IFERROR(ROUND(E183*$D$12,2),"")</f>
        <v>279757.44</v>
      </c>
      <c r="F189" s="99">
        <f t="shared" ref="F189:N189" si="140">IFERROR(ROUND(F183*$D$12,2),"")</f>
        <v>1338339.6000000001</v>
      </c>
      <c r="G189" s="99">
        <f t="shared" si="140"/>
        <v>156530.88</v>
      </c>
      <c r="H189" s="99">
        <f t="shared" si="140"/>
        <v>93728.88</v>
      </c>
      <c r="I189" s="99" t="str">
        <f t="shared" si="140"/>
        <v/>
      </c>
      <c r="J189" s="99" t="str">
        <f t="shared" si="140"/>
        <v/>
      </c>
      <c r="K189" s="99" t="str">
        <f t="shared" si="140"/>
        <v/>
      </c>
      <c r="L189" s="99" t="str">
        <f t="shared" si="140"/>
        <v/>
      </c>
      <c r="M189" s="99" t="str">
        <f t="shared" si="140"/>
        <v/>
      </c>
      <c r="N189" s="99" t="str">
        <f t="shared" si="140"/>
        <v/>
      </c>
      <c r="O189" s="99" t="str">
        <f t="shared" ref="O189:X189" si="141">IFERROR(ROUND(O183*$D$12,2),"")</f>
        <v/>
      </c>
      <c r="P189" s="99" t="str">
        <f t="shared" si="141"/>
        <v/>
      </c>
      <c r="Q189" s="99" t="str">
        <f t="shared" si="141"/>
        <v/>
      </c>
      <c r="R189" s="99" t="str">
        <f t="shared" si="141"/>
        <v/>
      </c>
      <c r="S189" s="99" t="str">
        <f t="shared" si="141"/>
        <v/>
      </c>
      <c r="T189" s="99" t="str">
        <f t="shared" si="141"/>
        <v/>
      </c>
      <c r="U189" s="99" t="str">
        <f t="shared" si="141"/>
        <v/>
      </c>
      <c r="V189" s="99" t="str">
        <f t="shared" si="141"/>
        <v/>
      </c>
      <c r="W189" s="99" t="str">
        <f t="shared" si="141"/>
        <v/>
      </c>
      <c r="X189" s="99" t="str">
        <f t="shared" si="141"/>
        <v/>
      </c>
    </row>
    <row r="190" spans="1:24">
      <c r="F190" s="9"/>
      <c r="G190" s="9"/>
      <c r="H190" s="9"/>
      <c r="I190" s="9"/>
      <c r="J190" s="9"/>
      <c r="K190" s="9"/>
      <c r="L190" s="9"/>
      <c r="M190" s="9"/>
      <c r="N190" s="9"/>
      <c r="O190" s="9"/>
      <c r="P190" s="9"/>
      <c r="Q190" s="9"/>
      <c r="R190" s="9"/>
      <c r="S190" s="9"/>
      <c r="T190" s="9"/>
      <c r="U190" s="9"/>
      <c r="V190" s="9"/>
      <c r="W190" s="9"/>
      <c r="X190" s="9"/>
    </row>
  </sheetData>
  <sheetProtection formatCells="0" formatColumns="0" formatRows="0" insertColumns="0" autoFilter="0"/>
  <dataConsolidate link="1"/>
  <mergeCells count="27">
    <mergeCell ref="A2:I2"/>
    <mergeCell ref="D9:E9"/>
    <mergeCell ref="D5:E5"/>
    <mergeCell ref="D6:E6"/>
    <mergeCell ref="D7:E7"/>
    <mergeCell ref="D8:E8"/>
    <mergeCell ref="B33:B35"/>
    <mergeCell ref="B36:B39"/>
    <mergeCell ref="B40:B42"/>
    <mergeCell ref="B43:B46"/>
    <mergeCell ref="B47:B49"/>
    <mergeCell ref="D10:E10"/>
    <mergeCell ref="D11:E11"/>
    <mergeCell ref="B108:B111"/>
    <mergeCell ref="B140:B143"/>
    <mergeCell ref="B163:B165"/>
    <mergeCell ref="B54:B58"/>
    <mergeCell ref="B78:B81"/>
    <mergeCell ref="B86:B91"/>
    <mergeCell ref="B92:B96"/>
    <mergeCell ref="B97:B100"/>
    <mergeCell ref="B103:B106"/>
    <mergeCell ref="B50:B53"/>
    <mergeCell ref="D12:E12"/>
    <mergeCell ref="D13:E13"/>
    <mergeCell ref="D14:E14"/>
    <mergeCell ref="D15:E15"/>
  </mergeCells>
  <conditionalFormatting sqref="D5:D12 E18:X27 E34:X34 E37:X38 E41:X41 E44:X45 E59:X60 E87:X90 E93:X95 E98:X99 E104:X105 E141:X142">
    <cfRule type="expression" dxfId="22" priority="6">
      <formula>$H$5=1</formula>
    </cfRule>
  </conditionalFormatting>
  <conditionalFormatting sqref="D9:D10 D13:D15 E20:X25 E34:X34 E37:X38 E41:X41 E44:X45 E59:X60 D79:D80 E88:X90 E93:X95 E98:X99 E104:X105 D128:D136 E141:X142">
    <cfRule type="expression" dxfId="21" priority="7">
      <formula>$H$5=2</formula>
    </cfRule>
  </conditionalFormatting>
  <conditionalFormatting sqref="D15 E21:X21 E24:X25 E87:X87 E93:X93 E98:X98 E101:X102 E104:X104 E107:X107 E109:X109">
    <cfRule type="expression" dxfId="20" priority="5">
      <formula>$H$5=4</formula>
    </cfRule>
  </conditionalFormatting>
  <conditionalFormatting sqref="E51:X52">
    <cfRule type="expression" dxfId="19" priority="3">
      <formula>$H$5=1</formula>
    </cfRule>
    <cfRule type="expression" dxfId="18" priority="4">
      <formula>$H$5=2</formula>
    </cfRule>
  </conditionalFormatting>
  <conditionalFormatting sqref="E164:X164">
    <cfRule type="expression" dxfId="17" priority="1">
      <formula>$H$5=1</formula>
    </cfRule>
    <cfRule type="expression" dxfId="16" priority="2">
      <formula>$H$5=2</formula>
    </cfRule>
  </conditionalFormatting>
  <dataValidations count="15">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 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3 D165 D140"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 type="list" allowBlank="1" sqref="D150" xr:uid="{415A916E-2313-4379-96DD-9029F1EE580B}">
      <formula1>"Sim,Não"</formula1>
    </dataValidation>
  </dataValidations>
  <hyperlinks>
    <hyperlink ref="C149" location="'Mat Individual e Uniformes func'!A1" display="Material Individual e Uniformes" xr:uid="{00000000-0004-0000-0000-000000000000}"/>
    <hyperlink ref="I25" r:id="rId1" display="http://www3.mte.gov.br/sistemas/mediador/ConsultarInstColetivo" xr:uid="{00000000-0004-0000-0000-000002000000}"/>
    <hyperlink ref="J25" r:id="rId2" display="http://www3.mte.gov.br/sistemas/mediador/ConsultarInstColetivo" xr:uid="{00000000-0004-0000-0000-000003000000}"/>
    <hyperlink ref="K25" r:id="rId3" display="http://www3.mte.gov.br/sistemas/mediador/ConsultarInstColetivo" xr:uid="{00000000-0004-0000-0000-000004000000}"/>
    <hyperlink ref="L25" r:id="rId4" display="http://www3.mte.gov.br/sistemas/mediador/ConsultarInstColetivo" xr:uid="{00000000-0004-0000-0000-000005000000}"/>
    <hyperlink ref="M25" r:id="rId5" display="http://www3.mte.gov.br/sistemas/mediador/ConsultarInstColetivo" xr:uid="{00000000-0004-0000-0000-000006000000}"/>
    <hyperlink ref="N25" r:id="rId6" display="http://www3.mte.gov.br/sistemas/mediador/ConsultarInstColetivo" xr:uid="{00000000-0004-0000-0000-000007000000}"/>
    <hyperlink ref="C150" location="'Mat Coletivo e Equipamentos'!A1" display="Material Coletivo e Equipamentos" xr:uid="{00000000-0004-0000-0000-000008000000}"/>
    <hyperlink ref="O25" r:id="rId7" display="http://www3.mte.gov.br/sistemas/mediador/ConsultarInstColetivo" xr:uid="{F47D2263-2442-4A1E-A9C2-EDA3C48D3C26}"/>
    <hyperlink ref="P25" r:id="rId8" display="http://www3.mte.gov.br/sistemas/mediador/ConsultarInstColetivo" xr:uid="{D09CFF6A-11C0-4E61-A990-307172C8F8FA}"/>
    <hyperlink ref="Q25" r:id="rId9" display="http://www3.mte.gov.br/sistemas/mediador/ConsultarInstColetivo" xr:uid="{03A9D12D-C542-43E4-AA00-2403DD35F9C8}"/>
    <hyperlink ref="R25" r:id="rId10" display="http://www3.mte.gov.br/sistemas/mediador/ConsultarInstColetivo" xr:uid="{50AA5FD4-7D17-4581-9634-7C1B2FA2750C}"/>
    <hyperlink ref="S25" r:id="rId11" display="http://www3.mte.gov.br/sistemas/mediador/ConsultarInstColetivo" xr:uid="{67349AE2-A9C4-4C69-809E-998CF1B390EF}"/>
    <hyperlink ref="T25" r:id="rId12" display="http://www3.mte.gov.br/sistemas/mediador/ConsultarInstColetivo" xr:uid="{3D83F391-A662-4A73-9EB4-2E9800FA9F71}"/>
    <hyperlink ref="U25" r:id="rId13" display="http://www3.mte.gov.br/sistemas/mediador/ConsultarInstColetivo" xr:uid="{DC06982E-07BF-4A82-957F-9015710FCF27}"/>
    <hyperlink ref="V25" r:id="rId14" display="http://www3.mte.gov.br/sistemas/mediador/ConsultarInstColetivo" xr:uid="{AC1C3257-813C-4AF4-9B02-D6CCEF67CF88}"/>
    <hyperlink ref="W25" r:id="rId15" display="http://www3.mte.gov.br/sistemas/mediador/ConsultarInstColetivo" xr:uid="{BDE50484-929E-4E67-BFEC-8DF93275E749}"/>
    <hyperlink ref="X25" r:id="rId16"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7"/>
  <headerFooter>
    <oddFooter>&amp;R&amp;P/&amp;N</oddFooter>
  </headerFooter>
  <drawing r:id="rId18"/>
  <legacyDrawing r:id="rId19"/>
  <mc:AlternateContent xmlns:mc="http://schemas.openxmlformats.org/markup-compatibility/2006">
    <mc:Choice Requires="x14">
      <controls>
        <mc:AlternateContent xmlns:mc="http://schemas.openxmlformats.org/markup-compatibility/2006">
          <mc:Choice Requires="x14">
            <control shapeId="30721" r:id="rId20" name="Group Box 1">
              <controlPr defaultSize="0" autoFill="0" autoPict="0">
                <anchor>
                  <from>
                    <xdr:col>5</xdr:col>
                    <xdr:colOff>333375</xdr:colOff>
                    <xdr:row>3</xdr:row>
                    <xdr:rowOff>0</xdr:rowOff>
                  </from>
                  <to>
                    <xdr:col>6</xdr:col>
                    <xdr:colOff>1104900</xdr:colOff>
                    <xdr:row>10</xdr:row>
                    <xdr:rowOff>114300</xdr:rowOff>
                  </to>
                </anchor>
              </controlPr>
            </control>
          </mc:Choice>
        </mc:AlternateContent>
        <mc:AlternateContent xmlns:mc="http://schemas.openxmlformats.org/markup-compatibility/2006">
          <mc:Choice Requires="x14">
            <control shapeId="30722" r:id="rId21" name="Option Button 2">
              <controlPr defaultSize="0" autoFill="0" autoLine="0" autoPict="0" altText="Formação de Preços">
                <anchor>
                  <from>
                    <xdr:col>5</xdr:col>
                    <xdr:colOff>485775</xdr:colOff>
                    <xdr:row>4</xdr:row>
                    <xdr:rowOff>9525</xdr:rowOff>
                  </from>
                  <to>
                    <xdr:col>6</xdr:col>
                    <xdr:colOff>552450</xdr:colOff>
                    <xdr:row>5</xdr:row>
                    <xdr:rowOff>85725</xdr:rowOff>
                  </to>
                </anchor>
              </controlPr>
            </control>
          </mc:Choice>
        </mc:AlternateContent>
        <mc:AlternateContent xmlns:mc="http://schemas.openxmlformats.org/markup-compatibility/2006">
          <mc:Choice Requires="x14">
            <control shapeId="30723" r:id="rId22" name="Option Button 3">
              <controlPr defaultSize="0" autoFill="0" autoLine="0" autoPict="0">
                <anchor moveWithCells="1">
                  <from>
                    <xdr:col>5</xdr:col>
                    <xdr:colOff>476250</xdr:colOff>
                    <xdr:row>5</xdr:row>
                    <xdr:rowOff>114300</xdr:rowOff>
                  </from>
                  <to>
                    <xdr:col>6</xdr:col>
                    <xdr:colOff>542925</xdr:colOff>
                    <xdr:row>7</xdr:row>
                    <xdr:rowOff>19050</xdr:rowOff>
                  </to>
                </anchor>
              </controlPr>
            </control>
          </mc:Choice>
        </mc:AlternateContent>
        <mc:AlternateContent xmlns:mc="http://schemas.openxmlformats.org/markup-compatibility/2006">
          <mc:Choice Requires="x14">
            <control shapeId="30724" r:id="rId23" name="Option Button 4">
              <controlPr defaultSize="0" autoFill="0" autoLine="0" autoPict="0">
                <anchor moveWithCells="1">
                  <from>
                    <xdr:col>5</xdr:col>
                    <xdr:colOff>476250</xdr:colOff>
                    <xdr:row>8</xdr:row>
                    <xdr:rowOff>171450</xdr:rowOff>
                  </from>
                  <to>
                    <xdr:col>6</xdr:col>
                    <xdr:colOff>542925</xdr:colOff>
                    <xdr:row>10</xdr:row>
                    <xdr:rowOff>66675</xdr:rowOff>
                  </to>
                </anchor>
              </controlPr>
            </control>
          </mc:Choice>
        </mc:AlternateContent>
        <mc:AlternateContent xmlns:mc="http://schemas.openxmlformats.org/markup-compatibility/2006">
          <mc:Choice Requires="x14">
            <control shapeId="30725" r:id="rId24" name="Option Button 5">
              <controlPr defaultSize="0" autoFill="0" autoLine="0" autoPict="0" altText="Formação de Preços">
                <anchor>
                  <from>
                    <xdr:col>5</xdr:col>
                    <xdr:colOff>485775</xdr:colOff>
                    <xdr:row>7</xdr:row>
                    <xdr:rowOff>47625</xdr:rowOff>
                  </from>
                  <to>
                    <xdr:col>6</xdr:col>
                    <xdr:colOff>552450</xdr:colOff>
                    <xdr:row>8</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14" sqref="D14"/>
    </sheetView>
  </sheetViews>
  <sheetFormatPr defaultRowHeight="15"/>
  <cols>
    <col min="1" max="1" width="1.42578125" style="42" customWidth="1"/>
    <col min="2" max="2" width="7.42578125" style="42" customWidth="1"/>
    <col min="3" max="3" width="10.7109375" style="291" customWidth="1"/>
    <col min="4" max="4" width="48.42578125" style="42" customWidth="1"/>
    <col min="5" max="5" width="14" style="298" customWidth="1"/>
    <col min="6" max="6" width="15" style="42" customWidth="1"/>
    <col min="7" max="7" width="11.7109375" style="42" bestFit="1" customWidth="1"/>
    <col min="8" max="8" width="18.140625" style="42" customWidth="1"/>
    <col min="9" max="9" width="0.7109375" style="42" customWidth="1"/>
    <col min="10" max="10" width="14" style="42" customWidth="1"/>
    <col min="11" max="11" width="13.5703125" style="42" customWidth="1"/>
    <col min="12" max="12" width="13.28515625" style="42" customWidth="1"/>
    <col min="13" max="13" width="16" style="42" customWidth="1"/>
    <col min="14" max="14" width="12.28515625" style="42" customWidth="1"/>
    <col min="15" max="19" width="10.5703125" style="42" hidden="1" customWidth="1"/>
    <col min="20" max="29" width="0" style="42" hidden="1" customWidth="1"/>
    <col min="30" max="16384" width="9.140625" style="42"/>
  </cols>
  <sheetData>
    <row r="1" spans="2:29" ht="9.75" customHeight="1"/>
    <row r="2" spans="2:29">
      <c r="B2" s="851" t="s">
        <v>352</v>
      </c>
      <c r="C2" s="852"/>
      <c r="D2" s="852"/>
      <c r="E2" s="852"/>
      <c r="F2" s="852"/>
      <c r="G2" s="853"/>
      <c r="H2" s="722"/>
      <c r="J2" s="854" t="s">
        <v>401</v>
      </c>
      <c r="K2" s="855"/>
      <c r="L2" s="855"/>
      <c r="M2" s="855"/>
      <c r="N2" s="855"/>
      <c r="O2" s="855"/>
      <c r="P2" s="855"/>
      <c r="Q2" s="855"/>
      <c r="R2" s="855"/>
      <c r="S2" s="855"/>
      <c r="T2" s="855"/>
      <c r="U2" s="855"/>
      <c r="V2" s="855"/>
      <c r="W2" s="855"/>
      <c r="X2" s="855"/>
      <c r="Y2" s="855"/>
      <c r="Z2" s="855"/>
      <c r="AA2" s="855"/>
      <c r="AB2" s="855"/>
      <c r="AC2" s="856"/>
    </row>
    <row r="3" spans="2:29" ht="45">
      <c r="B3" s="642" t="s">
        <v>184</v>
      </c>
      <c r="C3" s="642" t="s">
        <v>40</v>
      </c>
      <c r="D3" s="642" t="s">
        <v>493</v>
      </c>
      <c r="E3" s="642" t="s">
        <v>492</v>
      </c>
      <c r="F3" s="642" t="s">
        <v>41</v>
      </c>
      <c r="G3" s="642" t="s">
        <v>485</v>
      </c>
      <c r="H3" s="642" t="s">
        <v>486</v>
      </c>
      <c r="J3" s="642" t="str">
        <f xml:space="preserve">
IF(IFERROR(SUM(Produtividade!$L$194:$L$219)&gt;0,FALSE()),Produtividade!E17,'Mão de Obra'!E17)</f>
        <v>Posto A</v>
      </c>
      <c r="K3" s="642" t="str">
        <f xml:space="preserve">
IF(IFERROR(SUM(Produtividade!$L$194:$L$219)&gt;0,FALSE()),Produtividade!F17,'Mão de Obra'!F17)</f>
        <v>Posto B</v>
      </c>
      <c r="L3" s="642" t="str">
        <f xml:space="preserve">
IF(IFERROR(SUM(Produtividade!$L$194:$L$219)&gt;0,FALSE()),Produtividade!G17,'Mão de Obra'!G17)</f>
        <v>Posto C</v>
      </c>
      <c r="M3" s="642" t="str">
        <f xml:space="preserve">
IF(IFERROR(SUM(Produtividade!$L$194:$L$219)&gt;0,FALSE()),Produtividade!H17,'Mão de Obra'!H17)</f>
        <v>Posto D</v>
      </c>
      <c r="N3" s="642" t="str">
        <f xml:space="preserve">
IF(IFERROR(SUM(Produtividade!$L$194:$L$219)&gt;0,FALSE()),Produtividade!I17,'Mão de Obra'!I17)</f>
        <v>Posto E</v>
      </c>
      <c r="O3" s="642" t="str">
        <f xml:space="preserve">
IF(IFERROR(SUM(Produtividade!$L$194:$L$219)&gt;0,FALSE()),Produtividade!J17,'Mão de Obra'!J17)</f>
        <v>Posto F</v>
      </c>
      <c r="P3" s="642" t="str">
        <f xml:space="preserve">
IF(IFERROR(SUM(Produtividade!$L$194:$L$219)&gt;0,FALSE()),Produtividade!K17,'Mão de Obra'!K17)</f>
        <v>Posto G</v>
      </c>
      <c r="Q3" s="642" t="str">
        <f xml:space="preserve">
IF(IFERROR(SUM(Produtividade!$L$194:$L$219)&gt;0,FALSE()),Produtividade!L17,'Mão de Obra'!L17)</f>
        <v>Posto H</v>
      </c>
      <c r="R3" s="642" t="str">
        <f xml:space="preserve">
IF(IFERROR(SUM(Produtividade!$L$194:$L$219)&gt;0,FALSE()),Produtividade!M17,'Mão de Obra'!M17)</f>
        <v>Posto I</v>
      </c>
      <c r="S3" s="642" t="str">
        <f xml:space="preserve">
IF(IFERROR(SUM(Produtividade!$L$194:$L$219)&gt;0,FALSE()),Produtividade!N17,'Mão de Obra'!N17)</f>
        <v>Posto J</v>
      </c>
      <c r="T3" s="642" t="str">
        <f xml:space="preserve">
IF(IFERROR(SUM(Produtividade!$L$194:$L$219)&gt;0,FALSE()),Produtividade!O17,'Mão de Obra'!O17)</f>
        <v>Posto K</v>
      </c>
      <c r="U3" s="642" t="str">
        <f xml:space="preserve">
IF(IFERROR(SUM(Produtividade!$L$194:$L$219)&gt;0,FALSE()),Produtividade!P17,'Mão de Obra'!P17)</f>
        <v>Posto L</v>
      </c>
      <c r="V3" s="642" t="str">
        <f xml:space="preserve">
IF(IFERROR(SUM(Produtividade!$L$194:$L$219)&gt;0,FALSE()),Produtividade!Q17,'Mão de Obra'!Q17)</f>
        <v>Posto M</v>
      </c>
      <c r="W3" s="642" t="str">
        <f xml:space="preserve">
IF(IFERROR(SUM(Produtividade!$L$194:$L$219)&gt;0,FALSE()),Produtividade!R17,'Mão de Obra'!R17)</f>
        <v>Posto N</v>
      </c>
      <c r="X3" s="642" t="str">
        <f xml:space="preserve">
IF(IFERROR(SUM(Produtividade!$L$194:$L$219)&gt;0,FALSE()),Produtividade!S17,'Mão de Obra'!S17)</f>
        <v>Posto O</v>
      </c>
      <c r="Y3" s="642" t="str">
        <f xml:space="preserve">
IF(IFERROR(SUM(Produtividade!$L$194:$L$219)&gt;0,FALSE()),Produtividade!T17,'Mão de Obra'!T17)</f>
        <v>Posto P</v>
      </c>
      <c r="Z3" s="642" t="str">
        <f xml:space="preserve">
IF(IFERROR(SUM(Produtividade!$L$194:$L$219)&gt;0,FALSE()),Produtividade!U17,'Mão de Obra'!U17)</f>
        <v>Posto Q</v>
      </c>
      <c r="AA3" s="642" t="str">
        <f xml:space="preserve">
IF(IFERROR(SUM(Produtividade!$L$194:$L$219)&gt;0,FALSE()),Produtividade!V17,'Mão de Obra'!V17)</f>
        <v>Posto R</v>
      </c>
      <c r="AB3" s="642" t="str">
        <f xml:space="preserve">
IF(IFERROR(SUM(Produtividade!$L$194:$L$219)&gt;0,FALSE()),Produtividade!W17,'Mão de Obra'!W17)</f>
        <v>Posto S</v>
      </c>
      <c r="AC3" s="642" t="str">
        <f xml:space="preserve">
IF(IFERROR(SUM(Produtividade!$L$194:$L$219)&gt;0,FALSE()),Produtividade!X17,'Mão de Obra'!X17)</f>
        <v>Posto T</v>
      </c>
    </row>
    <row r="4" spans="2:29">
      <c r="F4" s="848" t="s">
        <v>552</v>
      </c>
      <c r="G4" s="849"/>
      <c r="H4" s="850"/>
      <c r="J4" s="723">
        <f>IFERROR(ROUND(SUMPRODUCT(J6:J1000,$H$6:$H$1000),2),"")</f>
        <v>1090.3699999999999</v>
      </c>
      <c r="K4" s="723">
        <f t="shared" ref="K4:S4" si="0">IFERROR(ROUND(SUMPRODUCT(K6:K1000,$H$6:$H$1000),2),"")</f>
        <v>1090.3699999999999</v>
      </c>
      <c r="L4" s="723">
        <f t="shared" si="0"/>
        <v>1068.27</v>
      </c>
      <c r="M4" s="723">
        <f t="shared" si="0"/>
        <v>1734.79</v>
      </c>
      <c r="N4" s="723">
        <f t="shared" si="0"/>
        <v>0</v>
      </c>
      <c r="O4" s="723">
        <f t="shared" si="0"/>
        <v>0</v>
      </c>
      <c r="P4" s="723">
        <f t="shared" si="0"/>
        <v>0</v>
      </c>
      <c r="Q4" s="723">
        <f t="shared" si="0"/>
        <v>0</v>
      </c>
      <c r="R4" s="723">
        <f t="shared" si="0"/>
        <v>0</v>
      </c>
      <c r="S4" s="723">
        <f t="shared" si="0"/>
        <v>0</v>
      </c>
      <c r="T4" s="723">
        <f t="shared" ref="T4:Y4" si="1">IFERROR(ROUND(SUMPRODUCT(T6:T1000,$H$6:$H$1000),2),"")</f>
        <v>0</v>
      </c>
      <c r="U4" s="723">
        <f t="shared" si="1"/>
        <v>0</v>
      </c>
      <c r="V4" s="723">
        <f t="shared" si="1"/>
        <v>0</v>
      </c>
      <c r="W4" s="723">
        <f t="shared" si="1"/>
        <v>0</v>
      </c>
      <c r="X4" s="723">
        <f t="shared" si="1"/>
        <v>0</v>
      </c>
      <c r="Y4" s="723">
        <f t="shared" si="1"/>
        <v>0</v>
      </c>
      <c r="Z4" s="723">
        <f t="shared" ref="Z4:AC4" si="2">IFERROR(ROUND(SUMPRODUCT(Z6:Z1000,$H$6:$H$1000),2),"")</f>
        <v>0</v>
      </c>
      <c r="AA4" s="723">
        <f t="shared" si="2"/>
        <v>0</v>
      </c>
      <c r="AB4" s="723">
        <f t="shared" si="2"/>
        <v>0</v>
      </c>
      <c r="AC4" s="723">
        <f t="shared" si="2"/>
        <v>0</v>
      </c>
    </row>
    <row r="5" spans="2:29">
      <c r="C5" s="42"/>
      <c r="E5" s="42"/>
    </row>
    <row r="6" spans="2:29">
      <c r="B6" s="249">
        <v>1</v>
      </c>
      <c r="C6" s="250"/>
      <c r="D6" s="251" t="s">
        <v>705</v>
      </c>
      <c r="E6" s="249" t="str">
        <f>IFERROR(VLOOKUP($D6,'Apoio - Uniforme e EPIs'!$A:$D,2,FALSE),"")</f>
        <v>peça</v>
      </c>
      <c r="F6" s="721">
        <v>49.91</v>
      </c>
      <c r="G6" s="724" t="str">
        <f>IFERROR(IF(VLOOKUP($D6,'Apoio - Uniforme e EPIs'!$A:$D,4,FALSE)=0,"",VLOOKUP($D6,'Apoio - Uniforme e EPIs'!$A:$D,4,FALSE)),"")</f>
        <v/>
      </c>
      <c r="H6" s="252">
        <f>IFERROR(IF(ISNUMBER(G6),G6*'Mão de Obra'!$D$12/12,1)*F6,"")</f>
        <v>49.91</v>
      </c>
      <c r="J6" s="249">
        <v>4</v>
      </c>
      <c r="K6" s="249">
        <v>4</v>
      </c>
      <c r="L6" s="249">
        <v>4</v>
      </c>
      <c r="M6" s="249">
        <v>0</v>
      </c>
      <c r="N6" s="249"/>
      <c r="O6" s="249"/>
      <c r="P6" s="249"/>
      <c r="Q6" s="249"/>
      <c r="R6" s="249"/>
      <c r="S6" s="249"/>
      <c r="T6" s="249"/>
      <c r="U6" s="249"/>
      <c r="V6" s="249"/>
      <c r="W6" s="249"/>
      <c r="X6" s="249"/>
      <c r="Y6" s="249"/>
      <c r="Z6" s="249"/>
      <c r="AA6" s="249"/>
      <c r="AB6" s="249"/>
      <c r="AC6" s="249"/>
    </row>
    <row r="7" spans="2:29">
      <c r="B7" s="249">
        <v>2</v>
      </c>
      <c r="C7" s="250"/>
      <c r="D7" s="251" t="s">
        <v>669</v>
      </c>
      <c r="E7" s="249" t="str">
        <f>IFERROR(VLOOKUP($D7,'Apoio - Uniforme e EPIs'!$A:$C,2,FALSE),"")</f>
        <v>peça</v>
      </c>
      <c r="F7" s="721">
        <f>IFERROR(VLOOKUP($D7,'Apoio - Uniforme e EPIs'!$A:$D,3,FALSE),"")</f>
        <v>66.94</v>
      </c>
      <c r="G7" s="724" t="str">
        <f>IFERROR(IF(VLOOKUP($D7,'Apoio - Uniforme e EPIs'!$A:$D,4,FALSE)=0,"",VLOOKUP($D7,'Apoio - Uniforme e EPIs'!$A:$D,4,FALSE)),"")</f>
        <v/>
      </c>
      <c r="H7" s="252">
        <f>IFERROR(IF(ISNUMBER(G7),G7*'Mão de Obra'!$D$12/12,1)*F7,"")</f>
        <v>66.94</v>
      </c>
      <c r="J7" s="249">
        <v>4</v>
      </c>
      <c r="K7" s="249">
        <v>4</v>
      </c>
      <c r="L7" s="249">
        <v>4</v>
      </c>
      <c r="M7" s="249">
        <v>0</v>
      </c>
      <c r="N7" s="249"/>
      <c r="O7" s="249"/>
      <c r="P7" s="249"/>
      <c r="Q7" s="249"/>
      <c r="R7" s="249"/>
      <c r="S7" s="249"/>
      <c r="T7" s="249"/>
      <c r="U7" s="249"/>
      <c r="V7" s="249"/>
      <c r="W7" s="249"/>
      <c r="X7" s="249"/>
      <c r="Y7" s="249"/>
      <c r="Z7" s="249"/>
      <c r="AA7" s="249"/>
      <c r="AB7" s="249"/>
      <c r="AC7" s="249"/>
    </row>
    <row r="8" spans="2:29">
      <c r="B8" s="249">
        <v>3</v>
      </c>
      <c r="C8" s="250"/>
      <c r="D8" s="251" t="s">
        <v>670</v>
      </c>
      <c r="E8" s="249" t="str">
        <f>IFERROR(VLOOKUP($D8,'Apoio - Uniforme e EPIs'!$A:$C,2,FALSE),"")</f>
        <v>peça</v>
      </c>
      <c r="F8" s="721">
        <f>IFERROR(VLOOKUP($D8,'Apoio - Uniforme e EPIs'!$A:$D,3,FALSE),"")</f>
        <v>76.41</v>
      </c>
      <c r="G8" s="724" t="str">
        <f>IFERROR(IF(VLOOKUP($D8,'Apoio - Uniforme e EPIs'!$A:$D,4,FALSE)=0,"",VLOOKUP($D8,'Apoio - Uniforme e EPIs'!$A:$D,4,FALSE)),"")</f>
        <v/>
      </c>
      <c r="H8" s="252">
        <f>IFERROR(IF(ISNUMBER(G8),G8*'Mão de Obra'!$D$12/12,1)*F8,"")</f>
        <v>76.41</v>
      </c>
      <c r="J8" s="249">
        <v>4</v>
      </c>
      <c r="K8" s="249">
        <v>4</v>
      </c>
      <c r="L8" s="249">
        <v>4</v>
      </c>
      <c r="M8" s="249">
        <v>0</v>
      </c>
      <c r="N8" s="249"/>
      <c r="O8" s="249"/>
      <c r="P8" s="249"/>
      <c r="Q8" s="249"/>
      <c r="R8" s="249"/>
      <c r="S8" s="249"/>
      <c r="T8" s="249"/>
      <c r="U8" s="249"/>
      <c r="V8" s="249"/>
      <c r="W8" s="249"/>
      <c r="X8" s="249"/>
      <c r="Y8" s="249"/>
      <c r="Z8" s="249"/>
      <c r="AA8" s="249"/>
      <c r="AB8" s="249"/>
      <c r="AC8" s="249"/>
    </row>
    <row r="9" spans="2:29">
      <c r="B9" s="249">
        <v>4</v>
      </c>
      <c r="C9" s="250"/>
      <c r="D9" s="251" t="s">
        <v>709</v>
      </c>
      <c r="E9" s="249" t="str">
        <f>IFERROR(VLOOKUP($D9,'Apoio - Uniforme e EPIs'!$A:$C,2,FALSE),"")</f>
        <v>peça</v>
      </c>
      <c r="F9" s="721">
        <f>IFERROR(VLOOKUP($D9,'Apoio - Uniforme e EPIs'!$A:$D,3,FALSE),"")</f>
        <v>149.16</v>
      </c>
      <c r="G9" s="724" t="str">
        <f>IFERROR(IF(VLOOKUP($D9,'Apoio - Uniforme e EPIs'!$A:$D,4,FALSE)=0,"",VLOOKUP($D9,'Apoio - Uniforme e EPIs'!$A:$D,4,FALSE)),"")</f>
        <v/>
      </c>
      <c r="H9" s="252">
        <f>IFERROR(IF(ISNUMBER(G9),G9*'Mão de Obra'!$D$12/12,1)*F9,"")</f>
        <v>149.16</v>
      </c>
      <c r="J9" s="249">
        <v>1</v>
      </c>
      <c r="K9" s="249">
        <v>1</v>
      </c>
      <c r="L9" s="249">
        <v>1</v>
      </c>
      <c r="M9" s="249">
        <v>0</v>
      </c>
      <c r="N9" s="249"/>
      <c r="O9" s="249"/>
      <c r="P9" s="249"/>
      <c r="Q9" s="249"/>
      <c r="R9" s="249"/>
      <c r="S9" s="249"/>
      <c r="T9" s="249"/>
      <c r="U9" s="249"/>
      <c r="V9" s="249"/>
      <c r="W9" s="249"/>
      <c r="X9" s="249"/>
      <c r="Y9" s="249"/>
      <c r="Z9" s="249"/>
      <c r="AA9" s="249"/>
      <c r="AB9" s="249"/>
      <c r="AC9" s="249"/>
    </row>
    <row r="10" spans="2:29">
      <c r="B10" s="249">
        <v>5</v>
      </c>
      <c r="C10" s="250"/>
      <c r="D10" s="251" t="s">
        <v>733</v>
      </c>
      <c r="E10" s="249" t="str">
        <f>IFERROR(VLOOKUP($D10,'Apoio - Uniforme e EPIs'!$A:$C,2,FALSE),"")</f>
        <v>peça</v>
      </c>
      <c r="F10" s="721">
        <f>IFERROR(VLOOKUP($D10,'Apoio - Uniforme e EPIs'!$A:$D,3,FALSE),"")</f>
        <v>3.57</v>
      </c>
      <c r="G10" s="724" t="str">
        <f>IFERROR(IF(VLOOKUP($D10,'Apoio - Uniforme e EPIs'!$A:$D,4,FALSE)=0,"",VLOOKUP($D10,'Apoio - Uniforme e EPIs'!$A:$D,4,FALSE)),"")</f>
        <v/>
      </c>
      <c r="H10" s="252">
        <f>IFERROR(IF(ISNUMBER(G10),G10*'Mão de Obra'!$D$12/12,1)*F10,"")</f>
        <v>3.57</v>
      </c>
      <c r="J10" s="249">
        <v>1</v>
      </c>
      <c r="K10" s="249">
        <v>1</v>
      </c>
      <c r="L10" s="249">
        <v>1</v>
      </c>
      <c r="M10" s="249">
        <v>1</v>
      </c>
      <c r="N10" s="249"/>
      <c r="O10" s="249"/>
      <c r="P10" s="249"/>
      <c r="Q10" s="249"/>
      <c r="R10" s="249"/>
      <c r="S10" s="249"/>
      <c r="T10" s="249"/>
      <c r="U10" s="249"/>
      <c r="V10" s="249"/>
      <c r="W10" s="249"/>
      <c r="X10" s="249"/>
      <c r="Y10" s="249"/>
      <c r="Z10" s="249"/>
      <c r="AA10" s="249"/>
      <c r="AB10" s="249"/>
      <c r="AC10" s="249"/>
    </row>
    <row r="11" spans="2:29">
      <c r="B11" s="249">
        <v>6</v>
      </c>
      <c r="C11" s="250"/>
      <c r="D11" s="251" t="s">
        <v>703</v>
      </c>
      <c r="E11" s="249" t="str">
        <f>IFERROR(VLOOKUP($D11,'Apoio - Uniforme e EPIs'!$A:$C,2,FALSE),"")</f>
        <v>par</v>
      </c>
      <c r="F11" s="721">
        <f>IFERROR(VLOOKUP($D11,'Apoio - Uniforme e EPIs'!$A:$D,3,FALSE),"")</f>
        <v>51.68</v>
      </c>
      <c r="G11" s="724" t="str">
        <f>IFERROR(IF(VLOOKUP($D11,'Apoio - Uniforme e EPIs'!$A:$D,4,FALSE)=0,"",VLOOKUP($D11,'Apoio - Uniforme e EPIs'!$A:$D,4,FALSE)),"")</f>
        <v/>
      </c>
      <c r="H11" s="252">
        <f>IFERROR(IF(ISNUMBER(G11),G11*'Mão de Obra'!$D$12/12,1)*F11,"")</f>
        <v>51.68</v>
      </c>
      <c r="J11" s="249">
        <v>2</v>
      </c>
      <c r="K11" s="249">
        <v>2</v>
      </c>
      <c r="L11" s="249">
        <v>2</v>
      </c>
      <c r="M11" s="249">
        <v>2</v>
      </c>
      <c r="N11" s="249"/>
      <c r="O11" s="249"/>
      <c r="P11" s="249"/>
      <c r="Q11" s="249"/>
      <c r="R11" s="249"/>
      <c r="S11" s="249"/>
      <c r="T11" s="249"/>
      <c r="U11" s="249"/>
      <c r="V11" s="249"/>
      <c r="W11" s="249"/>
      <c r="X11" s="249"/>
      <c r="Y11" s="249"/>
      <c r="Z11" s="249"/>
      <c r="AA11" s="249"/>
      <c r="AB11" s="249"/>
      <c r="AC11" s="249"/>
    </row>
    <row r="12" spans="2:29">
      <c r="B12" s="249">
        <v>7</v>
      </c>
      <c r="C12" s="250"/>
      <c r="D12" s="251" t="s">
        <v>676</v>
      </c>
      <c r="E12" s="249" t="str">
        <f>IFERROR(VLOOKUP($D12,'Apoio - Uniforme e EPIs'!$A:$C,2,FALSE),"")</f>
        <v>par</v>
      </c>
      <c r="F12" s="721">
        <f>IFERROR(VLOOKUP($D12,'Apoio - Uniforme e EPIs'!$A:$D,3,FALSE),"")</f>
        <v>11.05</v>
      </c>
      <c r="G12" s="724" t="str">
        <f>IFERROR(IF(VLOOKUP($D12,'Apoio - Uniforme e EPIs'!$A:$D,4,FALSE)=0,"",VLOOKUP($D12,'Apoio - Uniforme e EPIs'!$A:$D,4,FALSE)),"")</f>
        <v/>
      </c>
      <c r="H12" s="252">
        <f>IFERROR(IF(ISNUMBER(G12),G12*'Mão de Obra'!$D$12/12,1)*F12,"")</f>
        <v>11.05</v>
      </c>
      <c r="J12" s="249">
        <v>4</v>
      </c>
      <c r="K12" s="249">
        <v>4</v>
      </c>
      <c r="L12" s="249">
        <v>2</v>
      </c>
      <c r="M12" s="249">
        <v>0</v>
      </c>
      <c r="N12" s="249"/>
      <c r="O12" s="249"/>
      <c r="P12" s="249"/>
      <c r="Q12" s="249"/>
      <c r="R12" s="249"/>
      <c r="S12" s="249"/>
      <c r="T12" s="249"/>
      <c r="U12" s="249"/>
      <c r="V12" s="249"/>
      <c r="W12" s="249"/>
      <c r="X12" s="249"/>
      <c r="Y12" s="249"/>
      <c r="Z12" s="249"/>
      <c r="AA12" s="249"/>
      <c r="AB12" s="249"/>
      <c r="AC12" s="249"/>
    </row>
    <row r="13" spans="2:29">
      <c r="B13" s="249">
        <v>8</v>
      </c>
      <c r="C13" s="250"/>
      <c r="D13" s="251" t="s">
        <v>681</v>
      </c>
      <c r="E13" s="249" t="str">
        <f>IFERROR(VLOOKUP($D13,'Apoio - Uniforme e EPIs'!$A:$C,2,FALSE),"")</f>
        <v>par</v>
      </c>
      <c r="F13" s="721">
        <f>IFERROR(VLOOKUP($D13,'Apoio - Uniforme e EPIs'!$A:$D,3,FALSE),"")</f>
        <v>1.42</v>
      </c>
      <c r="G13" s="724" t="str">
        <f>IFERROR(IF(VLOOKUP($D13,'Apoio - Uniforme e EPIs'!$A:$D,4,FALSE)=0,"",VLOOKUP($D13,'Apoio - Uniforme e EPIs'!$A:$D,4,FALSE)),"")</f>
        <v/>
      </c>
      <c r="H13" s="252">
        <f>IFERROR(IF(ISNUMBER(G13),G13*'Mão de Obra'!$D$12/12,1)*F13,"")</f>
        <v>1.42</v>
      </c>
      <c r="J13" s="249">
        <v>12</v>
      </c>
      <c r="K13" s="249">
        <v>12</v>
      </c>
      <c r="L13" s="249">
        <v>12</v>
      </c>
      <c r="M13" s="249">
        <v>0</v>
      </c>
      <c r="N13" s="249"/>
      <c r="O13" s="249"/>
      <c r="P13" s="249"/>
      <c r="Q13" s="249"/>
      <c r="R13" s="249"/>
      <c r="S13" s="249"/>
      <c r="T13" s="249"/>
      <c r="U13" s="249"/>
      <c r="V13" s="249"/>
      <c r="W13" s="249"/>
      <c r="X13" s="249"/>
      <c r="Y13" s="249"/>
      <c r="Z13" s="249"/>
      <c r="AA13" s="249"/>
      <c r="AB13" s="249"/>
      <c r="AC13" s="249"/>
    </row>
    <row r="14" spans="2:29">
      <c r="B14" s="249">
        <v>9</v>
      </c>
      <c r="C14" s="250"/>
      <c r="D14" s="251" t="s">
        <v>666</v>
      </c>
      <c r="E14" s="249" t="str">
        <f>IFERROR(VLOOKUP($D14,'Apoio - Uniforme e EPIs'!$A:$C,2,FALSE),"")</f>
        <v>peça</v>
      </c>
      <c r="F14" s="721">
        <f>IFERROR(VLOOKUP($D14,'Apoio - Uniforme e EPIs'!$A:$D,3,FALSE),"")</f>
        <v>97.21</v>
      </c>
      <c r="G14" s="724" t="str">
        <f>IFERROR(IF(VLOOKUP($D14,'Apoio - Uniforme e EPIs'!$A:$D,4,FALSE)=0,"",VLOOKUP($D14,'Apoio - Uniforme e EPIs'!$A:$D,4,FALSE)),"")</f>
        <v/>
      </c>
      <c r="H14" s="252">
        <f>IFERROR(IF(ISNUMBER(G14),G14*'Mão de Obra'!$D$12/12,1)*F14,"")</f>
        <v>97.21</v>
      </c>
      <c r="J14" s="249" t="s">
        <v>388</v>
      </c>
      <c r="K14" s="249" t="s">
        <v>388</v>
      </c>
      <c r="L14" s="249" t="s">
        <v>388</v>
      </c>
      <c r="M14" s="249">
        <v>4</v>
      </c>
      <c r="N14" s="249"/>
      <c r="O14" s="249"/>
      <c r="P14" s="249"/>
      <c r="Q14" s="249"/>
      <c r="R14" s="249"/>
      <c r="S14" s="249"/>
      <c r="T14" s="249"/>
      <c r="U14" s="249"/>
      <c r="V14" s="249"/>
      <c r="W14" s="249"/>
      <c r="X14" s="249"/>
      <c r="Y14" s="249"/>
      <c r="Z14" s="249"/>
      <c r="AA14" s="249"/>
      <c r="AB14" s="249"/>
      <c r="AC14" s="249"/>
    </row>
    <row r="15" spans="2:29">
      <c r="B15" s="249">
        <v>10</v>
      </c>
      <c r="C15" s="250"/>
      <c r="D15" s="251" t="s">
        <v>667</v>
      </c>
      <c r="E15" s="249" t="str">
        <f>IFERROR(VLOOKUP($D15,'Apoio - Uniforme e EPIs'!$A:$C,2,FALSE),"")</f>
        <v>peça</v>
      </c>
      <c r="F15" s="721">
        <f>IFERROR(VLOOKUP($D15,'Apoio - Uniforme e EPIs'!$A:$D,3,FALSE),"")</f>
        <v>82.12</v>
      </c>
      <c r="G15" s="724" t="str">
        <f>IFERROR(IF(VLOOKUP($D15,'Apoio - Uniforme e EPIs'!$A:$D,4,FALSE)=0,"",VLOOKUP($D15,'Apoio - Uniforme e EPIs'!$A:$D,4,FALSE)),"")</f>
        <v/>
      </c>
      <c r="H15" s="252">
        <f>IFERROR(IF(ISNUMBER(G15),G15*'Mão de Obra'!$D$12/12,1)*F15,"")</f>
        <v>82.12</v>
      </c>
      <c r="J15" s="249" t="s">
        <v>388</v>
      </c>
      <c r="K15" s="249" t="s">
        <v>388</v>
      </c>
      <c r="L15" s="249" t="s">
        <v>388</v>
      </c>
      <c r="M15" s="249">
        <v>4</v>
      </c>
      <c r="N15" s="249"/>
      <c r="O15" s="249"/>
      <c r="P15" s="249"/>
      <c r="Q15" s="249"/>
      <c r="R15" s="249"/>
      <c r="S15" s="249"/>
      <c r="T15" s="249"/>
      <c r="U15" s="249"/>
      <c r="V15" s="249"/>
      <c r="W15" s="249"/>
      <c r="X15" s="249"/>
      <c r="Y15" s="249"/>
      <c r="Z15" s="249"/>
      <c r="AA15" s="249"/>
      <c r="AB15" s="249"/>
      <c r="AC15" s="249"/>
    </row>
    <row r="16" spans="2:29">
      <c r="B16" s="249">
        <v>11</v>
      </c>
      <c r="C16" s="250"/>
      <c r="D16" s="251" t="s">
        <v>668</v>
      </c>
      <c r="E16" s="249" t="str">
        <f>IFERROR(VLOOKUP($D16,'Apoio - Uniforme e EPIs'!$A:$C,2,FALSE),"")</f>
        <v>peça</v>
      </c>
      <c r="F16" s="721">
        <f>IFERROR(VLOOKUP($D16,'Apoio - Uniforme e EPIs'!$A:$D,3,FALSE),"")</f>
        <v>113.35</v>
      </c>
      <c r="G16" s="724" t="str">
        <f>IFERROR(IF(VLOOKUP($D16,'Apoio - Uniforme e EPIs'!$A:$D,4,FALSE)=0,"",VLOOKUP($D16,'Apoio - Uniforme e EPIs'!$A:$D,4,FALSE)),"")</f>
        <v/>
      </c>
      <c r="H16" s="252">
        <f>IFERROR(IF(ISNUMBER(G16),G16*'Mão de Obra'!$D$12/12,1)*F16,"")</f>
        <v>113.35</v>
      </c>
      <c r="J16" s="249" t="s">
        <v>388</v>
      </c>
      <c r="K16" s="249" t="s">
        <v>388</v>
      </c>
      <c r="L16" s="249" t="s">
        <v>388</v>
      </c>
      <c r="M16" s="249">
        <v>4</v>
      </c>
      <c r="N16" s="249"/>
      <c r="O16" s="249"/>
      <c r="P16" s="249"/>
      <c r="Q16" s="249"/>
      <c r="R16" s="249"/>
      <c r="S16" s="249"/>
      <c r="T16" s="249"/>
      <c r="U16" s="249"/>
      <c r="V16" s="249"/>
      <c r="W16" s="249"/>
      <c r="X16" s="249"/>
      <c r="Y16" s="249"/>
      <c r="Z16" s="249"/>
      <c r="AA16" s="249"/>
      <c r="AB16" s="249"/>
      <c r="AC16" s="249"/>
    </row>
    <row r="17" spans="2:29">
      <c r="B17" s="249">
        <v>12</v>
      </c>
      <c r="C17" s="250"/>
      <c r="D17" s="785" t="s">
        <v>704</v>
      </c>
      <c r="E17" s="249" t="str">
        <f>IFERROR(VLOOKUP($D17,'Apoio - Uniforme e EPIs'!$A:$C,2,FALSE),"")</f>
        <v>peça</v>
      </c>
      <c r="F17" s="721">
        <f>IFERROR(VLOOKUP($D17,'Apoio - Uniforme e EPIs'!$A:$D,3,FALSE),"")</f>
        <v>106.35</v>
      </c>
      <c r="G17" s="724" t="str">
        <f>IFERROR(IF(VLOOKUP($D17,'Apoio - Uniforme e EPIs'!$A:$D,4,FALSE)=0,"",VLOOKUP($D17,'Apoio - Uniforme e EPIs'!$A:$D,4,FALSE)),"")</f>
        <v/>
      </c>
      <c r="H17" s="252">
        <f>IFERROR(IF(ISNUMBER(G17),G17*'Mão de Obra'!$D$12/12,1)*F17,"")</f>
        <v>106.35</v>
      </c>
      <c r="J17" s="249" t="s">
        <v>388</v>
      </c>
      <c r="K17" s="249" t="s">
        <v>388</v>
      </c>
      <c r="L17" s="249" t="s">
        <v>388</v>
      </c>
      <c r="M17" s="249">
        <v>2</v>
      </c>
      <c r="N17" s="249"/>
      <c r="O17" s="249"/>
      <c r="P17" s="249"/>
      <c r="Q17" s="249"/>
      <c r="R17" s="249"/>
      <c r="S17" s="249"/>
      <c r="T17" s="249"/>
      <c r="U17" s="249"/>
      <c r="V17" s="249"/>
      <c r="W17" s="249"/>
      <c r="X17" s="249"/>
      <c r="Y17" s="249"/>
      <c r="Z17" s="249"/>
      <c r="AA17" s="249"/>
      <c r="AB17" s="249"/>
      <c r="AC17" s="249"/>
    </row>
    <row r="18" spans="2:29">
      <c r="B18" s="249">
        <v>13</v>
      </c>
      <c r="C18" s="250"/>
      <c r="D18" s="251" t="s">
        <v>664</v>
      </c>
      <c r="E18" s="249" t="str">
        <f>IFERROR(VLOOKUP($D18,'Apoio - Uniforme e EPIs'!$A:$C,2,FALSE),"")</f>
        <v>peça</v>
      </c>
      <c r="F18" s="721">
        <f>IFERROR(VLOOKUP($D18,'Apoio - Uniforme e EPIs'!$A:$D,3,FALSE),"")</f>
        <v>117.54</v>
      </c>
      <c r="G18" s="724" t="str">
        <f>IFERROR(IF(VLOOKUP($D18,'Apoio - Uniforme e EPIs'!$A:$D,4,FALSE)=0,"",VLOOKUP($D18,'Apoio - Uniforme e EPIs'!$A:$D,4,FALSE)),"")</f>
        <v/>
      </c>
      <c r="H18" s="252">
        <f>IFERROR(IF(ISNUMBER(G18),G18*'Mão de Obra'!$D$12/12,1)*F18,"")</f>
        <v>117.54</v>
      </c>
      <c r="J18" s="249" t="s">
        <v>388</v>
      </c>
      <c r="K18" s="249" t="s">
        <v>388</v>
      </c>
      <c r="L18" s="249" t="s">
        <v>388</v>
      </c>
      <c r="M18" s="249">
        <v>2</v>
      </c>
      <c r="N18" s="249"/>
      <c r="O18" s="249"/>
      <c r="P18" s="249"/>
      <c r="Q18" s="249"/>
      <c r="R18" s="249"/>
      <c r="S18" s="249"/>
      <c r="T18" s="249"/>
      <c r="U18" s="249"/>
      <c r="V18" s="249"/>
      <c r="W18" s="249"/>
      <c r="X18" s="249"/>
      <c r="Y18" s="249"/>
      <c r="Z18" s="249"/>
      <c r="AA18" s="249"/>
      <c r="AB18" s="249"/>
      <c r="AC18" s="249"/>
    </row>
    <row r="19" spans="2:29">
      <c r="B19" s="249">
        <v>14</v>
      </c>
      <c r="C19" s="250"/>
      <c r="D19" s="251" t="s">
        <v>699</v>
      </c>
      <c r="E19" s="249" t="str">
        <f>IFERROR(VLOOKUP($D19,'Apoio - Uniforme e EPIs'!$A:$C,2,FALSE),"")</f>
        <v>peça</v>
      </c>
      <c r="F19" s="721">
        <f>IFERROR(VLOOKUP($D19,'Apoio - Uniforme e EPIs'!$A:$D,3,FALSE),"")</f>
        <v>2.34</v>
      </c>
      <c r="G19" s="724" t="str">
        <f>IFERROR(IF(VLOOKUP($D19,'Apoio - Uniforme e EPIs'!$A:$D,4,FALSE)=0,"",VLOOKUP($D19,'Apoio - Uniforme e EPIs'!$A:$D,4,FALSE)),"")</f>
        <v/>
      </c>
      <c r="H19" s="252">
        <f>IFERROR(IF(ISNUMBER(G19),G19*'Mão de Obra'!$D$12/12,1)*F19,"")</f>
        <v>2.34</v>
      </c>
      <c r="J19" s="249" t="s">
        <v>388</v>
      </c>
      <c r="K19" s="249" t="s">
        <v>388</v>
      </c>
      <c r="L19" s="249" t="s">
        <v>388</v>
      </c>
      <c r="M19" s="249">
        <v>4</v>
      </c>
      <c r="N19" s="249"/>
      <c r="O19" s="249"/>
      <c r="P19" s="249"/>
      <c r="Q19" s="249"/>
      <c r="R19" s="249"/>
      <c r="S19" s="249"/>
      <c r="T19" s="249"/>
      <c r="U19" s="249"/>
      <c r="V19" s="249"/>
      <c r="W19" s="249"/>
      <c r="X19" s="249"/>
      <c r="Y19" s="249"/>
      <c r="Z19" s="249"/>
      <c r="AA19" s="249"/>
      <c r="AB19" s="249"/>
      <c r="AC19" s="249"/>
    </row>
    <row r="20" spans="2:29">
      <c r="B20" s="249">
        <v>15</v>
      </c>
      <c r="C20" s="250"/>
      <c r="D20" s="251"/>
      <c r="E20" s="249" t="str">
        <f>IFERROR(VLOOKUP($D20,'Apoio - Uniforme e EPIs'!$A:$C,2,FALSE),"")</f>
        <v/>
      </c>
      <c r="F20" s="721" t="str">
        <f>IFERROR(VLOOKUP($D20,'Apoio - Uniforme e EPIs'!$A:$D,3,FALSE),"")</f>
        <v/>
      </c>
      <c r="G20" s="724" t="str">
        <f>IFERROR(IF(VLOOKUP($D20,'Apoio - Uniforme e EPIs'!$A:$D,4,FALSE)=0,"",VLOOKUP($D20,'Apoio - Uniforme e EPIs'!$A:$D,4,FALSE)),"")</f>
        <v/>
      </c>
      <c r="H20" s="252" t="str">
        <f>IFERROR(IF(ISNUMBER(G20),G20*'Mão de Obra'!$D$12/12,1)*F20,"")</f>
        <v/>
      </c>
      <c r="J20" s="249"/>
      <c r="K20" s="249"/>
      <c r="L20" s="249"/>
      <c r="M20" s="249"/>
      <c r="N20" s="249"/>
      <c r="O20" s="249"/>
      <c r="P20" s="249"/>
      <c r="Q20" s="249"/>
      <c r="R20" s="249"/>
      <c r="S20" s="249"/>
      <c r="T20" s="249"/>
      <c r="U20" s="249"/>
      <c r="V20" s="249"/>
      <c r="W20" s="249"/>
      <c r="X20" s="249"/>
      <c r="Y20" s="249"/>
      <c r="Z20" s="249"/>
      <c r="AA20" s="249"/>
      <c r="AB20" s="249"/>
      <c r="AC20" s="249"/>
    </row>
    <row r="21" spans="2:29">
      <c r="B21" s="249">
        <v>16</v>
      </c>
      <c r="C21" s="250"/>
      <c r="D21" s="251"/>
      <c r="E21" s="249" t="str">
        <f>IFERROR(VLOOKUP($D21,'Apoio - Uniforme e EPIs'!$A:$C,2,FALSE),"")</f>
        <v/>
      </c>
      <c r="F21" s="721" t="str">
        <f>IFERROR(VLOOKUP($D21,'Apoio - Uniforme e EPIs'!$A:$D,3,FALSE),"")</f>
        <v/>
      </c>
      <c r="G21" s="724" t="str">
        <f>IFERROR(IF(VLOOKUP($D21,'Apoio - Uniforme e EPIs'!$A:$D,4,FALSE)=0,"",VLOOKUP($D21,'Apoio - Uniforme e EPIs'!$A:$D,4,FALSE)),"")</f>
        <v/>
      </c>
      <c r="H21" s="252" t="str">
        <f>IFERROR(IF(ISNUMBER(G21),G21*'Mão de Obra'!$D$12/12,1)*F21,"")</f>
        <v/>
      </c>
      <c r="J21" s="249"/>
      <c r="K21" s="249"/>
      <c r="L21" s="249"/>
      <c r="M21" s="249"/>
      <c r="N21" s="249"/>
      <c r="O21" s="249"/>
      <c r="P21" s="249"/>
      <c r="Q21" s="249"/>
      <c r="R21" s="249"/>
      <c r="S21" s="249"/>
      <c r="T21" s="249"/>
      <c r="U21" s="249"/>
      <c r="V21" s="249"/>
      <c r="W21" s="249"/>
      <c r="X21" s="249"/>
      <c r="Y21" s="249"/>
      <c r="Z21" s="249"/>
      <c r="AA21" s="249"/>
      <c r="AB21" s="249"/>
      <c r="AC21" s="249"/>
    </row>
    <row r="22" spans="2:29">
      <c r="B22" s="249">
        <v>17</v>
      </c>
      <c r="C22" s="250"/>
      <c r="D22" s="251"/>
      <c r="E22" s="249" t="str">
        <f>IFERROR(VLOOKUP($D22,'Apoio - Uniforme e EPIs'!$A:$C,2,FALSE),"")</f>
        <v/>
      </c>
      <c r="F22" s="721" t="str">
        <f>IFERROR(VLOOKUP($D22,'Apoio - Uniforme e EPIs'!$A:$D,3,FALSE),"")</f>
        <v/>
      </c>
      <c r="G22" s="724" t="str">
        <f>IFERROR(IF(VLOOKUP($D22,'Apoio - Uniforme e EPIs'!$A:$D,4,FALSE)=0,"",VLOOKUP($D22,'Apoio - Uniforme e EPIs'!$A:$D,4,FALSE)),"")</f>
        <v/>
      </c>
      <c r="H22" s="252" t="str">
        <f>IFERROR(IF(ISNUMBER(G22),G22*'Mão de Obra'!$D$12/12,1)*F22,"")</f>
        <v/>
      </c>
      <c r="J22" s="249"/>
      <c r="K22" s="249"/>
      <c r="L22" s="249"/>
      <c r="M22" s="249"/>
      <c r="N22" s="249"/>
      <c r="O22" s="249"/>
      <c r="P22" s="249"/>
      <c r="Q22" s="249"/>
      <c r="R22" s="249"/>
      <c r="S22" s="249"/>
      <c r="T22" s="249"/>
      <c r="U22" s="249"/>
      <c r="V22" s="249"/>
      <c r="W22" s="249"/>
      <c r="X22" s="249"/>
      <c r="Y22" s="249"/>
      <c r="Z22" s="249"/>
      <c r="AA22" s="249"/>
      <c r="AB22" s="249"/>
      <c r="AC22" s="249"/>
    </row>
    <row r="23" spans="2:29">
      <c r="B23" s="249">
        <v>18</v>
      </c>
      <c r="C23" s="250"/>
      <c r="D23" s="251"/>
      <c r="E23" s="249" t="str">
        <f>IFERROR(VLOOKUP($D23,'Apoio - Uniforme e EPIs'!$A:$C,2,FALSE),"")</f>
        <v/>
      </c>
      <c r="F23" s="721" t="str">
        <f>IFERROR(VLOOKUP($D23,'Apoio - Uniforme e EPIs'!$A:$D,3,FALSE),"")</f>
        <v/>
      </c>
      <c r="G23" s="724" t="str">
        <f>IFERROR(IF(VLOOKUP($D23,'Apoio - Uniforme e EPIs'!$A:$D,4,FALSE)=0,"",VLOOKUP($D23,'Apoio - Uniforme e EPIs'!$A:$D,4,FALSE)),"")</f>
        <v/>
      </c>
      <c r="H23" s="252" t="str">
        <f>IFERROR(IF(ISNUMBER(G23),G23*'Mão de Obra'!$D$12/12,1)*F23,"")</f>
        <v/>
      </c>
      <c r="J23" s="249"/>
      <c r="K23" s="249"/>
      <c r="L23" s="249"/>
      <c r="M23" s="249"/>
      <c r="N23" s="249"/>
      <c r="O23" s="249"/>
      <c r="P23" s="249"/>
      <c r="Q23" s="249"/>
      <c r="R23" s="249"/>
      <c r="S23" s="249"/>
      <c r="T23" s="249"/>
      <c r="U23" s="249"/>
      <c r="V23" s="249"/>
      <c r="W23" s="249"/>
      <c r="X23" s="249"/>
      <c r="Y23" s="249"/>
      <c r="Z23" s="249"/>
      <c r="AA23" s="249"/>
      <c r="AB23" s="249"/>
      <c r="AC23" s="249"/>
    </row>
    <row r="24" spans="2:29">
      <c r="B24" s="249">
        <v>19</v>
      </c>
      <c r="C24" s="250"/>
      <c r="D24" s="251"/>
      <c r="E24" s="249" t="str">
        <f>IFERROR(VLOOKUP($D24,'Apoio - Uniforme e EPIs'!$A:$C,2,FALSE),"")</f>
        <v/>
      </c>
      <c r="F24" s="721" t="str">
        <f>IFERROR(VLOOKUP($D24,'Apoio - Uniforme e EPIs'!$A:$D,3,FALSE),"")</f>
        <v/>
      </c>
      <c r="G24" s="724" t="str">
        <f>IFERROR(IF(VLOOKUP($D24,'Apoio - Uniforme e EPIs'!$A:$D,4,FALSE)=0,"",VLOOKUP($D24,'Apoio - Uniforme e EPIs'!$A:$D,4,FALSE)),"")</f>
        <v/>
      </c>
      <c r="H24" s="252" t="str">
        <f>IFERROR(IF(ISNUMBER(G24),G24*'Mão de Obra'!$D$12/12,1)*F24,"")</f>
        <v/>
      </c>
      <c r="J24" s="249"/>
      <c r="K24" s="249"/>
      <c r="L24" s="249"/>
      <c r="M24" s="249"/>
      <c r="N24" s="249"/>
      <c r="O24" s="249"/>
      <c r="P24" s="249"/>
      <c r="Q24" s="249"/>
      <c r="R24" s="249"/>
      <c r="S24" s="249"/>
      <c r="T24" s="249"/>
      <c r="U24" s="249"/>
      <c r="V24" s="249"/>
      <c r="W24" s="249"/>
      <c r="X24" s="249"/>
      <c r="Y24" s="249"/>
      <c r="Z24" s="249"/>
      <c r="AA24" s="249"/>
      <c r="AB24" s="249"/>
      <c r="AC24" s="249"/>
    </row>
    <row r="25" spans="2:29">
      <c r="B25" s="249">
        <v>20</v>
      </c>
      <c r="C25" s="250"/>
      <c r="D25" s="251"/>
      <c r="E25" s="249" t="str">
        <f>IFERROR(VLOOKUP($D25,'Apoio - Uniforme e EPIs'!$A:$C,2,FALSE),"")</f>
        <v/>
      </c>
      <c r="F25" s="721" t="str">
        <f>IFERROR(VLOOKUP($D25,'Apoio - Uniforme e EPIs'!$A:$D,3,FALSE),"")</f>
        <v/>
      </c>
      <c r="G25" s="724" t="str">
        <f>IFERROR(IF(VLOOKUP($D25,'Apoio - Uniforme e EPIs'!$A:$D,4,FALSE)=0,"",VLOOKUP($D25,'Apoio - Uniforme e EPIs'!$A:$D,4,FALSE)),"")</f>
        <v/>
      </c>
      <c r="H25" s="252" t="str">
        <f>IFERROR(IF(ISNUMBER(G25),G25*'Mão de Obra'!$D$12/12,1)*F25,"")</f>
        <v/>
      </c>
      <c r="J25" s="249"/>
      <c r="K25" s="249"/>
      <c r="L25" s="249"/>
      <c r="M25" s="249"/>
      <c r="N25" s="249"/>
      <c r="O25" s="249"/>
      <c r="P25" s="249"/>
      <c r="Q25" s="249"/>
      <c r="R25" s="249"/>
      <c r="S25" s="249"/>
      <c r="T25" s="249"/>
      <c r="U25" s="249"/>
      <c r="V25" s="249"/>
      <c r="W25" s="249"/>
      <c r="X25" s="249"/>
      <c r="Y25" s="249"/>
      <c r="Z25" s="249"/>
      <c r="AA25" s="249"/>
      <c r="AB25" s="249"/>
      <c r="AC25" s="249"/>
    </row>
    <row r="26" spans="2:29">
      <c r="B26" s="249">
        <v>21</v>
      </c>
      <c r="C26" s="250"/>
      <c r="D26" s="251"/>
      <c r="E26" s="249" t="str">
        <f>IFERROR(VLOOKUP($D26,'Apoio - Uniforme e EPIs'!$A:$C,2,FALSE),"")</f>
        <v/>
      </c>
      <c r="F26" s="721" t="str">
        <f>IFERROR(VLOOKUP($D26,'Apoio - Uniforme e EPIs'!$A:$D,3,FALSE),"")</f>
        <v/>
      </c>
      <c r="G26" s="724" t="str">
        <f>IFERROR(IF(VLOOKUP($D26,'Apoio - Uniforme e EPIs'!$A:$D,4,FALSE)=0,"",VLOOKUP($D26,'Apoio - Uniforme e EPIs'!$A:$D,4,FALSE)),"")</f>
        <v/>
      </c>
      <c r="H26" s="252" t="str">
        <f>IFERROR(IF(ISNUMBER(G26),G26*'Mão de Obra'!$D$12/12,1)*F26,"")</f>
        <v/>
      </c>
      <c r="J26" s="249"/>
      <c r="K26" s="249"/>
      <c r="L26" s="249"/>
      <c r="M26" s="249"/>
      <c r="N26" s="249"/>
    </row>
    <row r="27" spans="2:29">
      <c r="B27" s="249">
        <v>22</v>
      </c>
      <c r="C27" s="250"/>
      <c r="D27" s="251"/>
      <c r="E27" s="249" t="str">
        <f>IFERROR(VLOOKUP($D27,'Apoio - Uniforme e EPIs'!$A:$C,2,FALSE),"")</f>
        <v/>
      </c>
      <c r="F27" s="721" t="str">
        <f>IFERROR(VLOOKUP($D27,'Apoio - Uniforme e EPIs'!$A:$D,3,FALSE),"")</f>
        <v/>
      </c>
      <c r="G27" s="724" t="str">
        <f>IFERROR(IF(VLOOKUP($D27,'Apoio - Uniforme e EPIs'!$A:$D,4,FALSE)=0,"",VLOOKUP($D27,'Apoio - Uniforme e EPIs'!$A:$D,4,FALSE)),"")</f>
        <v/>
      </c>
      <c r="H27" s="252" t="str">
        <f>IFERROR(IF(ISNUMBER(G27),G27*'Mão de Obra'!$D$12/12,1)*F27,"")</f>
        <v/>
      </c>
      <c r="J27" s="249"/>
      <c r="K27" s="249"/>
      <c r="L27" s="249"/>
      <c r="M27" s="249"/>
      <c r="N27" s="249"/>
    </row>
    <row r="28" spans="2:29">
      <c r="B28" s="249">
        <v>23</v>
      </c>
      <c r="C28" s="250"/>
      <c r="D28" s="251"/>
      <c r="E28" s="249" t="str">
        <f>IFERROR(VLOOKUP($D28,'Apoio - Uniforme e EPIs'!$A:$C,2,FALSE),"")</f>
        <v/>
      </c>
      <c r="F28" s="721" t="str">
        <f>IFERROR(VLOOKUP($D28,'Apoio - Uniforme e EPIs'!$A:$D,3,FALSE),"")</f>
        <v/>
      </c>
      <c r="G28" s="724" t="str">
        <f>IFERROR(IF(VLOOKUP($D28,'Apoio - Uniforme e EPIs'!$A:$D,4,FALSE)=0,"",VLOOKUP($D28,'Apoio - Uniforme e EPIs'!$A:$D,4,FALSE)),"")</f>
        <v/>
      </c>
      <c r="H28" s="252" t="str">
        <f>IFERROR(IF(ISNUMBER(G28),G28*'Mão de Obra'!$D$12/12,1)*F28,"")</f>
        <v/>
      </c>
      <c r="J28" s="249"/>
      <c r="K28" s="249"/>
      <c r="L28" s="249"/>
      <c r="M28" s="249"/>
      <c r="N28" s="249"/>
    </row>
    <row r="29" spans="2:29">
      <c r="B29" s="249">
        <v>24</v>
      </c>
      <c r="C29" s="250"/>
      <c r="D29" s="251"/>
      <c r="E29" s="249" t="str">
        <f>IFERROR(VLOOKUP($D29,'Apoio - Uniforme e EPIs'!$A:$C,2,FALSE),"")</f>
        <v/>
      </c>
      <c r="F29" s="721" t="str">
        <f>IFERROR(VLOOKUP($D29,'Apoio - Uniforme e EPIs'!$A:$D,3,FALSE),"")</f>
        <v/>
      </c>
      <c r="G29" s="724" t="str">
        <f>IFERROR(IF(VLOOKUP($D29,'Apoio - Uniforme e EPIs'!$A:$D,4,FALSE)=0,"",VLOOKUP($D29,'Apoio - Uniforme e EPIs'!$A:$D,4,FALSE)),"")</f>
        <v/>
      </c>
      <c r="H29" s="252" t="str">
        <f>IFERROR(IF(ISNUMBER(G29),G29*'Mão de Obra'!$D$12/12,1)*F29,"")</f>
        <v/>
      </c>
      <c r="J29" s="249"/>
      <c r="K29" s="249"/>
      <c r="L29" s="249"/>
      <c r="M29" s="249"/>
      <c r="N29" s="249"/>
    </row>
    <row r="30" spans="2:29">
      <c r="B30" s="249">
        <v>25</v>
      </c>
      <c r="C30" s="250"/>
      <c r="D30" s="251"/>
      <c r="E30" s="249" t="str">
        <f>IFERROR(VLOOKUP($D30,'Apoio - Uniforme e EPIs'!$A:$C,2,FALSE),"")</f>
        <v/>
      </c>
      <c r="F30" s="721" t="str">
        <f>IFERROR(VLOOKUP($D30,'Apoio - Uniforme e EPIs'!$A:$D,3,FALSE),"")</f>
        <v/>
      </c>
      <c r="G30" s="724" t="str">
        <f>IFERROR(IF(VLOOKUP($D30,'Apoio - Uniforme e EPIs'!$A:$D,4,FALSE)=0,"",VLOOKUP($D30,'Apoio - Uniforme e EPIs'!$A:$D,4,FALSE)),"")</f>
        <v/>
      </c>
      <c r="H30" s="252" t="str">
        <f>IFERROR(IF(ISNUMBER(G30),G30*'Mão de Obra'!$D$12/12,1)*F30,"")</f>
        <v/>
      </c>
      <c r="J30" s="249"/>
      <c r="K30" s="249"/>
      <c r="L30" s="249"/>
      <c r="M30" s="249"/>
      <c r="N30" s="249"/>
    </row>
    <row r="31" spans="2:29">
      <c r="B31" s="249">
        <v>26</v>
      </c>
      <c r="C31" s="250"/>
      <c r="D31" s="251"/>
      <c r="E31" s="249" t="str">
        <f>IFERROR(VLOOKUP($D31,'Apoio - Uniforme e EPIs'!$A:$C,2,FALSE),"")</f>
        <v/>
      </c>
      <c r="F31" s="721" t="str">
        <f>IFERROR(VLOOKUP($D31,'Apoio - Uniforme e EPIs'!$A:$D,3,FALSE),"")</f>
        <v/>
      </c>
      <c r="G31" s="724" t="str">
        <f>IFERROR(IF(VLOOKUP($D31,'Apoio - Uniforme e EPIs'!$A:$D,4,FALSE)=0,"",VLOOKUP($D31,'Apoio - Uniforme e EPIs'!$A:$D,4,FALSE)),"")</f>
        <v/>
      </c>
      <c r="H31" s="252" t="str">
        <f>IFERROR(IF(ISNUMBER(G31),G31*'Mão de Obra'!$D$12/12,1)*F31,"")</f>
        <v/>
      </c>
      <c r="J31" s="249"/>
      <c r="K31" s="249"/>
      <c r="L31" s="249"/>
      <c r="M31" s="249"/>
      <c r="N31" s="249"/>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44"/>
  <sheetViews>
    <sheetView workbookViewId="0">
      <selection activeCell="A47" sqref="A47"/>
    </sheetView>
  </sheetViews>
  <sheetFormatPr defaultRowHeight="15"/>
  <cols>
    <col min="1" max="1" width="76.5703125" customWidth="1"/>
    <col min="2" max="2" width="11.140625" customWidth="1"/>
    <col min="3" max="3" width="16.7109375" customWidth="1"/>
    <col min="4" max="4" width="16.7109375" style="756" customWidth="1"/>
    <col min="7" max="7" width="75.85546875" customWidth="1"/>
  </cols>
  <sheetData>
    <row r="1" spans="1:7" ht="30" customHeight="1" thickBot="1">
      <c r="A1" s="739" t="s">
        <v>660</v>
      </c>
      <c r="B1" s="740" t="s">
        <v>492</v>
      </c>
      <c r="C1" s="741" t="s">
        <v>661</v>
      </c>
      <c r="D1" s="755" t="s">
        <v>485</v>
      </c>
    </row>
    <row r="2" spans="1:7" ht="15.75" thickBot="1">
      <c r="A2" s="733"/>
      <c r="B2" s="734"/>
      <c r="C2" s="725"/>
      <c r="D2" s="757"/>
      <c r="G2" s="751" t="s">
        <v>721</v>
      </c>
    </row>
    <row r="3" spans="1:7">
      <c r="A3" s="733" t="s">
        <v>662</v>
      </c>
      <c r="B3" s="734" t="s">
        <v>696</v>
      </c>
      <c r="C3" s="725">
        <v>11.59</v>
      </c>
      <c r="D3" s="757"/>
      <c r="G3" s="750" t="s">
        <v>720</v>
      </c>
    </row>
    <row r="4" spans="1:7">
      <c r="A4" s="733" t="s">
        <v>697</v>
      </c>
      <c r="B4" s="734" t="s">
        <v>696</v>
      </c>
      <c r="C4" s="725">
        <v>10.69</v>
      </c>
      <c r="D4" s="757"/>
    </row>
    <row r="5" spans="1:7">
      <c r="A5" s="733" t="s">
        <v>698</v>
      </c>
      <c r="B5" s="734" t="s">
        <v>696</v>
      </c>
      <c r="C5" s="725">
        <v>24.8</v>
      </c>
      <c r="D5" s="757"/>
    </row>
    <row r="6" spans="1:7">
      <c r="A6" s="733" t="s">
        <v>699</v>
      </c>
      <c r="B6" s="734" t="s">
        <v>696</v>
      </c>
      <c r="C6" s="725">
        <v>2.34</v>
      </c>
      <c r="D6" s="757"/>
    </row>
    <row r="7" spans="1:7">
      <c r="A7" s="733" t="s">
        <v>663</v>
      </c>
      <c r="B7" s="734" t="s">
        <v>696</v>
      </c>
      <c r="C7" s="725">
        <v>243.65</v>
      </c>
      <c r="D7" s="757"/>
    </row>
    <row r="8" spans="1:7">
      <c r="A8" s="733" t="s">
        <v>664</v>
      </c>
      <c r="B8" s="734" t="s">
        <v>696</v>
      </c>
      <c r="C8" s="725">
        <v>117.54</v>
      </c>
      <c r="D8" s="757"/>
    </row>
    <row r="9" spans="1:7">
      <c r="A9" s="733" t="s">
        <v>665</v>
      </c>
      <c r="B9" s="734" t="s">
        <v>696</v>
      </c>
      <c r="C9" s="725">
        <v>82.95</v>
      </c>
      <c r="D9" s="757"/>
    </row>
    <row r="10" spans="1:7">
      <c r="A10" s="733" t="s">
        <v>700</v>
      </c>
      <c r="B10" s="734" t="s">
        <v>701</v>
      </c>
      <c r="C10" s="725">
        <v>53.14</v>
      </c>
      <c r="D10" s="757"/>
    </row>
    <row r="11" spans="1:7">
      <c r="A11" s="733" t="s">
        <v>702</v>
      </c>
      <c r="B11" s="734" t="s">
        <v>701</v>
      </c>
      <c r="C11" s="725">
        <v>63.8</v>
      </c>
      <c r="D11" s="757"/>
    </row>
    <row r="12" spans="1:7">
      <c r="A12" s="733" t="s">
        <v>703</v>
      </c>
      <c r="B12" s="734" t="s">
        <v>701</v>
      </c>
      <c r="C12" s="725">
        <v>51.68</v>
      </c>
      <c r="D12" s="757"/>
    </row>
    <row r="13" spans="1:7">
      <c r="A13" s="733" t="s">
        <v>704</v>
      </c>
      <c r="B13" s="734" t="s">
        <v>696</v>
      </c>
      <c r="C13" s="725">
        <v>106.35</v>
      </c>
      <c r="D13" s="757"/>
    </row>
    <row r="14" spans="1:7">
      <c r="A14" s="733" t="s">
        <v>705</v>
      </c>
      <c r="B14" s="734" t="s">
        <v>696</v>
      </c>
      <c r="C14" s="725">
        <v>69.36</v>
      </c>
      <c r="D14" s="757"/>
    </row>
    <row r="15" spans="1:7">
      <c r="A15" s="733" t="s">
        <v>666</v>
      </c>
      <c r="B15" s="734" t="s">
        <v>696</v>
      </c>
      <c r="C15" s="725">
        <v>97.21</v>
      </c>
      <c r="D15" s="757"/>
    </row>
    <row r="16" spans="1:7">
      <c r="A16" s="733" t="s">
        <v>667</v>
      </c>
      <c r="B16" s="734" t="s">
        <v>696</v>
      </c>
      <c r="C16" s="725">
        <v>82.12</v>
      </c>
      <c r="D16" s="757"/>
    </row>
    <row r="17" spans="1:4">
      <c r="A17" s="733" t="s">
        <v>668</v>
      </c>
      <c r="B17" s="734" t="s">
        <v>696</v>
      </c>
      <c r="C17" s="725">
        <v>113.35</v>
      </c>
      <c r="D17" s="757"/>
    </row>
    <row r="18" spans="1:4">
      <c r="A18" s="733" t="s">
        <v>669</v>
      </c>
      <c r="B18" s="734" t="s">
        <v>696</v>
      </c>
      <c r="C18" s="725">
        <v>66.94</v>
      </c>
      <c r="D18" s="757"/>
    </row>
    <row r="19" spans="1:4">
      <c r="A19" s="733" t="s">
        <v>670</v>
      </c>
      <c r="B19" s="734" t="s">
        <v>696</v>
      </c>
      <c r="C19" s="725">
        <v>76.41</v>
      </c>
      <c r="D19" s="757"/>
    </row>
    <row r="20" spans="1:4">
      <c r="A20" s="733" t="s">
        <v>671</v>
      </c>
      <c r="B20" s="734" t="s">
        <v>696</v>
      </c>
      <c r="C20" s="725">
        <v>35.21</v>
      </c>
      <c r="D20" s="757"/>
    </row>
    <row r="21" spans="1:4">
      <c r="A21" s="733" t="s">
        <v>672</v>
      </c>
      <c r="B21" s="734" t="s">
        <v>696</v>
      </c>
      <c r="C21" s="725">
        <v>531.99</v>
      </c>
      <c r="D21" s="757"/>
    </row>
    <row r="22" spans="1:4">
      <c r="A22" s="733" t="s">
        <v>733</v>
      </c>
      <c r="B22" s="734" t="s">
        <v>696</v>
      </c>
      <c r="C22" s="725">
        <v>3.57</v>
      </c>
      <c r="D22" s="757"/>
    </row>
    <row r="23" spans="1:4">
      <c r="A23" s="733" t="s">
        <v>694</v>
      </c>
      <c r="B23" s="734" t="s">
        <v>696</v>
      </c>
      <c r="C23" s="725">
        <v>50.86</v>
      </c>
      <c r="D23" s="757"/>
    </row>
    <row r="24" spans="1:4">
      <c r="A24" s="733" t="s">
        <v>706</v>
      </c>
      <c r="B24" s="734" t="s">
        <v>696</v>
      </c>
      <c r="C24" s="725">
        <v>52.98</v>
      </c>
      <c r="D24" s="757"/>
    </row>
    <row r="25" spans="1:4">
      <c r="A25" s="733" t="s">
        <v>689</v>
      </c>
      <c r="B25" s="734" t="s">
        <v>715</v>
      </c>
      <c r="C25" s="725">
        <v>5.7</v>
      </c>
      <c r="D25" s="757"/>
    </row>
    <row r="26" spans="1:4">
      <c r="A26" s="733" t="s">
        <v>673</v>
      </c>
      <c r="B26" s="734" t="s">
        <v>696</v>
      </c>
      <c r="C26" s="725">
        <v>1439.06</v>
      </c>
      <c r="D26" s="757">
        <v>0.2</v>
      </c>
    </row>
    <row r="27" spans="1:4">
      <c r="A27" s="733" t="s">
        <v>674</v>
      </c>
      <c r="B27" s="734" t="s">
        <v>696</v>
      </c>
      <c r="C27" s="725">
        <v>24.36</v>
      </c>
      <c r="D27" s="757"/>
    </row>
    <row r="28" spans="1:4">
      <c r="A28" s="733" t="s">
        <v>707</v>
      </c>
      <c r="B28" s="734" t="s">
        <v>696</v>
      </c>
      <c r="C28" s="725">
        <v>65.58</v>
      </c>
      <c r="D28" s="757"/>
    </row>
    <row r="29" spans="1:4">
      <c r="A29" s="733" t="s">
        <v>708</v>
      </c>
      <c r="B29" s="734" t="s">
        <v>696</v>
      </c>
      <c r="C29" s="725">
        <v>71.92</v>
      </c>
      <c r="D29" s="757"/>
    </row>
    <row r="30" spans="1:4">
      <c r="A30" s="733" t="s">
        <v>709</v>
      </c>
      <c r="B30" s="734" t="s">
        <v>696</v>
      </c>
      <c r="C30" s="725">
        <v>149.16</v>
      </c>
      <c r="D30" s="757"/>
    </row>
    <row r="31" spans="1:4">
      <c r="A31" s="733" t="s">
        <v>675</v>
      </c>
      <c r="B31" s="734" t="s">
        <v>696</v>
      </c>
      <c r="C31" s="725">
        <v>163.58000000000001</v>
      </c>
      <c r="D31" s="757"/>
    </row>
    <row r="32" spans="1:4">
      <c r="A32" s="733" t="s">
        <v>676</v>
      </c>
      <c r="B32" s="734" t="s">
        <v>701</v>
      </c>
      <c r="C32" s="725">
        <v>11.05</v>
      </c>
      <c r="D32" s="757"/>
    </row>
    <row r="33" spans="1:4">
      <c r="A33" s="733" t="s">
        <v>710</v>
      </c>
      <c r="B33" s="734" t="s">
        <v>701</v>
      </c>
      <c r="C33" s="725">
        <v>11.52</v>
      </c>
      <c r="D33" s="757"/>
    </row>
    <row r="34" spans="1:4">
      <c r="A34" s="733" t="s">
        <v>677</v>
      </c>
      <c r="B34" s="734" t="s">
        <v>701</v>
      </c>
      <c r="C34" s="725">
        <v>0.24060000000000001</v>
      </c>
      <c r="D34" s="757"/>
    </row>
    <row r="35" spans="1:4">
      <c r="A35" s="733" t="s">
        <v>678</v>
      </c>
      <c r="B35" s="734" t="s">
        <v>701</v>
      </c>
      <c r="C35" s="725">
        <v>57.71</v>
      </c>
      <c r="D35" s="757"/>
    </row>
    <row r="36" spans="1:4">
      <c r="A36" s="733" t="s">
        <v>679</v>
      </c>
      <c r="B36" s="734" t="s">
        <v>701</v>
      </c>
      <c r="C36" s="725">
        <v>15.33</v>
      </c>
      <c r="D36" s="757"/>
    </row>
    <row r="37" spans="1:4">
      <c r="A37" s="733" t="s">
        <v>680</v>
      </c>
      <c r="B37" s="734" t="s">
        <v>696</v>
      </c>
      <c r="C37" s="725">
        <v>0.1356</v>
      </c>
      <c r="D37" s="757"/>
    </row>
    <row r="38" spans="1:4">
      <c r="A38" s="733" t="s">
        <v>681</v>
      </c>
      <c r="B38" s="734" t="s">
        <v>701</v>
      </c>
      <c r="C38" s="725">
        <v>1.42</v>
      </c>
      <c r="D38" s="757"/>
    </row>
    <row r="39" spans="1:4">
      <c r="A39" s="733" t="s">
        <v>711</v>
      </c>
      <c r="B39" s="734" t="s">
        <v>701</v>
      </c>
      <c r="C39" s="725">
        <v>10.79</v>
      </c>
      <c r="D39" s="757"/>
    </row>
    <row r="40" spans="1:4">
      <c r="A40" s="733" t="s">
        <v>682</v>
      </c>
      <c r="B40" s="734" t="s">
        <v>696</v>
      </c>
      <c r="C40" s="725">
        <v>8.11</v>
      </c>
      <c r="D40" s="757"/>
    </row>
    <row r="41" spans="1:4">
      <c r="A41" s="733" t="s">
        <v>683</v>
      </c>
      <c r="B41" s="734" t="s">
        <v>712</v>
      </c>
      <c r="C41" s="725">
        <v>20.97</v>
      </c>
      <c r="D41" s="757"/>
    </row>
    <row r="42" spans="1:4">
      <c r="A42" s="733" t="s">
        <v>713</v>
      </c>
      <c r="B42" s="734" t="s">
        <v>701</v>
      </c>
      <c r="C42" s="725">
        <v>75.72</v>
      </c>
      <c r="D42" s="757"/>
    </row>
    <row r="43" spans="1:4">
      <c r="A43" s="733" t="s">
        <v>684</v>
      </c>
      <c r="B43" s="734" t="s">
        <v>696</v>
      </c>
      <c r="C43" s="725">
        <v>6.3200000000000006E-2</v>
      </c>
      <c r="D43" s="757"/>
    </row>
    <row r="44" spans="1:4">
      <c r="A44" s="733" t="s">
        <v>714</v>
      </c>
      <c r="B44" s="734" t="s">
        <v>696</v>
      </c>
      <c r="C44" s="725">
        <v>12.58</v>
      </c>
      <c r="D44" s="757"/>
    </row>
  </sheetData>
  <sheetProtection algorithmName="SHA-512" hashValue="dchHF3LD/qPk9xP9CPpE/K1e2orsL79PkEGh/faeMBAGhfA9Aa8XjD8LqbYiyfGa27sc/n4A3pOue8kjpbbeNQ==" saltValue="iLFJZloXZwBKpzA6pO95QA=="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tabSelected="1" zoomScale="90" zoomScaleNormal="90" workbookViewId="0">
      <selection activeCell="F34" sqref="F34"/>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1" customWidth="1"/>
    <col min="8" max="8" width="14.85546875" style="42" customWidth="1"/>
    <col min="9" max="9" width="15.42578125" style="41" customWidth="1"/>
    <col min="10" max="10" width="13.28515625" style="41" hidden="1" customWidth="1"/>
    <col min="11" max="13" width="16" customWidth="1"/>
  </cols>
  <sheetData>
    <row r="1" spans="2:10" ht="9" customHeight="1">
      <c r="H1"/>
    </row>
    <row r="2" spans="2:10">
      <c r="B2" s="857" t="s">
        <v>484</v>
      </c>
      <c r="C2" s="858"/>
      <c r="D2" s="858"/>
      <c r="E2" s="858"/>
      <c r="F2" s="858"/>
      <c r="G2" s="858"/>
      <c r="H2" s="858"/>
      <c r="I2" s="858"/>
      <c r="J2" s="859"/>
    </row>
    <row r="3" spans="2:10" ht="45">
      <c r="B3" s="253" t="s">
        <v>184</v>
      </c>
      <c r="C3" s="253" t="s">
        <v>40</v>
      </c>
      <c r="D3" s="253" t="s">
        <v>493</v>
      </c>
      <c r="E3" s="406" t="s">
        <v>492</v>
      </c>
      <c r="F3" s="253" t="s">
        <v>310</v>
      </c>
      <c r="G3" s="406" t="s">
        <v>41</v>
      </c>
      <c r="H3" s="642" t="s">
        <v>485</v>
      </c>
      <c r="I3" s="254" t="s">
        <v>494</v>
      </c>
      <c r="J3" s="254" t="s">
        <v>735</v>
      </c>
    </row>
    <row r="4" spans="2:10">
      <c r="C4"/>
      <c r="G4"/>
      <c r="I4" s="299">
        <f>SUM(I5:I251)</f>
        <v>123.40710616666667</v>
      </c>
      <c r="J4" s="299">
        <f>SUM(J5:J251)</f>
        <v>2752.9905479999998</v>
      </c>
    </row>
    <row r="5" spans="2:10" ht="3.75" customHeight="1">
      <c r="C5"/>
      <c r="G5"/>
      <c r="I5" s="778"/>
      <c r="J5" s="778"/>
    </row>
    <row r="6" spans="2:10">
      <c r="B6" s="250">
        <v>1</v>
      </c>
      <c r="C6" s="250"/>
      <c r="D6" s="784" t="s">
        <v>737</v>
      </c>
      <c r="E6" s="250" t="s">
        <v>492</v>
      </c>
      <c r="F6" s="250">
        <v>12</v>
      </c>
      <c r="G6" s="748">
        <v>18.329999999999998</v>
      </c>
      <c r="H6" s="747" t="str">
        <f>IFERROR(IF(VLOOKUP($D6,'Apoio - Mat Coletivo e Equip'!$A:$D,4,FALSE)=0,"",VLOOKUP($D6,'Apoio - Mat Coletivo e Equip'!$A:$D,4,FALSE)),"")</f>
        <v/>
      </c>
      <c r="I6" s="779">
        <f>IFERROR(ROUND((IF(ISNUMBER(H6),H6*'Mão de Obra'!$D$12/12,1)*G6*F6)/'Mão de Obra'!$D$12,2),"")</f>
        <v>9.17</v>
      </c>
      <c r="J6" s="779">
        <f>ROUND(I6*(1+
SUM(
IFERROR(SUMPRODUCT('Mão de Obra'!E169:II169,'Mão de Obra'!$E$29:$II$29),0),
IFERROR(SUMPRODUCT(Produtividade!E169:II169,Produtividade!$E$29:$II$29),0),
IFERROR(SUMPRODUCT(Veículos!E81:II81,Veículos!$E$4:$II$4),0)
)
/
Proposta!J62),2)</f>
        <v>11.3</v>
      </c>
    </row>
    <row r="7" spans="2:10">
      <c r="B7" s="250">
        <v>2</v>
      </c>
      <c r="C7" s="250"/>
      <c r="D7" s="387" t="s">
        <v>738</v>
      </c>
      <c r="E7" s="250" t="s">
        <v>492</v>
      </c>
      <c r="F7" s="450">
        <v>1</v>
      </c>
      <c r="G7" s="748">
        <v>997.99</v>
      </c>
      <c r="H7" s="747">
        <v>8.3000000000000001E-3</v>
      </c>
      <c r="I7" s="779">
        <f>IFERROR(J7/'Mão de Obra'!$D$12,"")</f>
        <v>0.69027641666666673</v>
      </c>
      <c r="J7" s="779">
        <f>IFERROR(IF(ISNUMBER(H7),H7*'Mão de Obra'!$D$12/12,1)*G7*F7,"")</f>
        <v>16.566634000000001</v>
      </c>
    </row>
    <row r="8" spans="2:10">
      <c r="B8" s="250">
        <v>3</v>
      </c>
      <c r="C8" s="250"/>
      <c r="D8" s="387" t="s">
        <v>751</v>
      </c>
      <c r="E8" s="250" t="s">
        <v>492</v>
      </c>
      <c r="F8" s="450">
        <v>1</v>
      </c>
      <c r="G8" s="748">
        <v>2276.79</v>
      </c>
      <c r="H8" s="747">
        <v>8.3000000000000001E-3</v>
      </c>
      <c r="I8" s="779">
        <f>IFERROR(J8/'Mão de Obra'!$D$12,"")</f>
        <v>1.57477975</v>
      </c>
      <c r="J8" s="779">
        <f>IFERROR(IF(ISNUMBER(H8),H8*'Mão de Obra'!$D$12/12,1)*G8*F8,"")</f>
        <v>37.794713999999999</v>
      </c>
    </row>
    <row r="9" spans="2:10">
      <c r="B9" s="250">
        <v>4</v>
      </c>
      <c r="C9" s="250"/>
      <c r="D9" s="387" t="s">
        <v>739</v>
      </c>
      <c r="E9" s="250" t="s">
        <v>492</v>
      </c>
      <c r="F9" s="450">
        <v>1</v>
      </c>
      <c r="G9" s="748">
        <v>362</v>
      </c>
      <c r="H9" s="747">
        <v>8.3000000000000001E-3</v>
      </c>
      <c r="I9" s="779">
        <f>IFERROR(J9/'Mão de Obra'!$D$12,"")</f>
        <v>0.25038333333333335</v>
      </c>
      <c r="J9" s="779">
        <f>IFERROR(IF(ISNUMBER(H9),H9*'Mão de Obra'!$D$12/12,1)*G9*F9,"")</f>
        <v>6.0091999999999999</v>
      </c>
    </row>
    <row r="10" spans="2:10">
      <c r="B10" s="250">
        <v>5</v>
      </c>
      <c r="C10" s="250"/>
      <c r="D10" s="387" t="s">
        <v>740</v>
      </c>
      <c r="E10" s="250" t="s">
        <v>492</v>
      </c>
      <c r="F10" s="450">
        <v>1</v>
      </c>
      <c r="G10" s="748">
        <v>131.69999999999999</v>
      </c>
      <c r="H10" s="747" t="str">
        <f>IFERROR(IF(VLOOKUP($D10,'Apoio - Mat Coletivo e Equip'!$A:$D,4,FALSE)=0,"",VLOOKUP($D10,'Apoio - Mat Coletivo e Equip'!$A:$D,4,FALSE)),"")</f>
        <v/>
      </c>
      <c r="I10" s="779">
        <f>IFERROR(J10/'Mão de Obra'!$D$12,"")</f>
        <v>5.4874999999999998</v>
      </c>
      <c r="J10" s="779">
        <f>IFERROR(IF(ISNUMBER(H10),H10*'Mão de Obra'!$D$12/12,1)*G10*F10,"")</f>
        <v>131.69999999999999</v>
      </c>
    </row>
    <row r="11" spans="2:10">
      <c r="B11" s="250">
        <v>6</v>
      </c>
      <c r="C11" s="250"/>
      <c r="D11" s="387" t="s">
        <v>741</v>
      </c>
      <c r="E11" s="250" t="s">
        <v>492</v>
      </c>
      <c r="F11" s="450">
        <v>1</v>
      </c>
      <c r="G11" s="748">
        <v>693.09</v>
      </c>
      <c r="H11" s="747" t="str">
        <f>IFERROR(IF(VLOOKUP($D11,'Apoio - Mat Coletivo e Equip'!$A:$D,4,FALSE)=0,"",VLOOKUP($D11,'Apoio - Mat Coletivo e Equip'!$A:$D,4,FALSE)),"")</f>
        <v/>
      </c>
      <c r="I11" s="779">
        <f>IFERROR(J11/'Mão de Obra'!$D$12,"")</f>
        <v>28.87875</v>
      </c>
      <c r="J11" s="779">
        <f>IFERROR(IF(ISNUMBER(H11),H11*'Mão de Obra'!$D$12/12,1)*G11*F11,"")</f>
        <v>693.09</v>
      </c>
    </row>
    <row r="12" spans="2:10">
      <c r="B12" s="250">
        <v>7</v>
      </c>
      <c r="C12" s="250"/>
      <c r="D12" s="387" t="s">
        <v>752</v>
      </c>
      <c r="E12" s="250" t="s">
        <v>492</v>
      </c>
      <c r="F12" s="450">
        <v>1</v>
      </c>
      <c r="G12" s="748">
        <v>529.92999999999995</v>
      </c>
      <c r="H12" s="747" t="str">
        <f>IFERROR(IF(VLOOKUP($D12,'Apoio - Mat Coletivo e Equip'!$A:$D,4,FALSE)=0,"",VLOOKUP($D12,'Apoio - Mat Coletivo e Equip'!$A:$D,4,FALSE)),"")</f>
        <v/>
      </c>
      <c r="I12" s="779">
        <f>IFERROR(J12/'Mão de Obra'!$D$12,"")</f>
        <v>22.080416666666665</v>
      </c>
      <c r="J12" s="779">
        <f>IFERROR(IF(ISNUMBER(H12),H12*'Mão de Obra'!$D$12/12,1)*G12*F12,"")</f>
        <v>529.92999999999995</v>
      </c>
    </row>
    <row r="13" spans="2:10">
      <c r="B13" s="250">
        <v>8</v>
      </c>
      <c r="C13" s="250"/>
      <c r="D13" s="784" t="s">
        <v>753</v>
      </c>
      <c r="E13" s="250" t="s">
        <v>492</v>
      </c>
      <c r="F13" s="450">
        <v>12</v>
      </c>
      <c r="G13" s="748">
        <v>74.66</v>
      </c>
      <c r="H13" s="747" t="str">
        <f>IFERROR(IF(VLOOKUP($D13,'Apoio - Mat Coletivo e Equip'!$A:$D,4,FALSE)=0,"",VLOOKUP($D13,'Apoio - Mat Coletivo e Equip'!$A:$D,4,FALSE)),"")</f>
        <v/>
      </c>
      <c r="I13" s="779">
        <f>IFERROR(J13/'Mão de Obra'!$D$12,"")</f>
        <v>37.33</v>
      </c>
      <c r="J13" s="779">
        <f>IFERROR(IF(ISNUMBER(H13),H13*'Mão de Obra'!$D$12/12,1)*G13*F13,"")</f>
        <v>895.92</v>
      </c>
    </row>
    <row r="14" spans="2:10">
      <c r="B14" s="250">
        <v>9</v>
      </c>
      <c r="C14" s="250"/>
      <c r="D14" s="784" t="s">
        <v>742</v>
      </c>
      <c r="E14" s="250" t="s">
        <v>492</v>
      </c>
      <c r="F14" s="450">
        <v>12</v>
      </c>
      <c r="G14" s="748">
        <v>35.89</v>
      </c>
      <c r="H14" s="747" t="str">
        <f>IFERROR(IF(VLOOKUP($D14,'Apoio - Mat Coletivo e Equip'!$A:$D,4,FALSE)=0,"",VLOOKUP($D14,'Apoio - Mat Coletivo e Equip'!$A:$D,4,FALSE)),"")</f>
        <v/>
      </c>
      <c r="I14" s="779">
        <f>IFERROR(J14/'Mão de Obra'!$D$12,"")</f>
        <v>17.945</v>
      </c>
      <c r="J14" s="779">
        <f>IFERROR(IF(ISNUMBER(H14),H14*'Mão de Obra'!$D$12/12,1)*G14*F14,"")</f>
        <v>430.68</v>
      </c>
    </row>
    <row r="15" spans="2:10">
      <c r="B15" s="250">
        <v>10</v>
      </c>
      <c r="C15" s="250"/>
      <c r="D15" s="387"/>
      <c r="E15" s="250" t="str">
        <f>IFERROR(VLOOKUP($D15,'Apoio - Mat Coletivo e Equip'!$A:$D,2,FALSE),"")</f>
        <v/>
      </c>
      <c r="F15" s="450"/>
      <c r="G15" s="748" t="str">
        <f>IFERROR(VLOOKUP($D15,'Apoio - Mat Coletivo e Equip'!$A:$D,3,FALSE),"")</f>
        <v/>
      </c>
      <c r="H15" s="747" t="str">
        <f>IFERROR(IF(VLOOKUP($D15,'Apoio - Mat Coletivo e Equip'!$A:$D,4,FALSE)=0,"",VLOOKUP($D15,'Apoio - Mat Coletivo e Equip'!$A:$D,4,FALSE)),"")</f>
        <v/>
      </c>
      <c r="I15" s="779" t="str">
        <f>IFERROR(J15/'Mão de Obra'!$D$12,"")</f>
        <v/>
      </c>
      <c r="J15" s="779" t="str">
        <f>IFERROR(IF(ISNUMBER(H15),H15*'Mão de Obra'!$D$12/12,1)*G15*F15,"")</f>
        <v/>
      </c>
    </row>
    <row r="16" spans="2:10">
      <c r="B16" s="250">
        <v>11</v>
      </c>
      <c r="C16" s="250"/>
      <c r="D16" s="387"/>
      <c r="E16" s="250" t="str">
        <f>IFERROR(VLOOKUP($D16,'Apoio - Mat Coletivo e Equip'!$A:$D,2,FALSE),"")</f>
        <v/>
      </c>
      <c r="F16" s="450"/>
      <c r="G16" s="748" t="str">
        <f>IFERROR(VLOOKUP($D16,'Apoio - Mat Coletivo e Equip'!$A:$D,3,FALSE),"")</f>
        <v/>
      </c>
      <c r="H16" s="747" t="str">
        <f>IFERROR(IF(VLOOKUP($D16,'Apoio - Mat Coletivo e Equip'!$A:$D,4,FALSE)=0,"",VLOOKUP($D16,'Apoio - Mat Coletivo e Equip'!$A:$D,4,FALSE)),"")</f>
        <v/>
      </c>
      <c r="I16" s="779" t="str">
        <f>IFERROR(J16/'Mão de Obra'!$D$12,"")</f>
        <v/>
      </c>
      <c r="J16" s="779" t="str">
        <f>IFERROR(IF(ISNUMBER(H16),H16*'Mão de Obra'!$D$12/12,1)*G16*F16,"")</f>
        <v/>
      </c>
    </row>
    <row r="17" spans="2:10">
      <c r="B17" s="250">
        <v>12</v>
      </c>
      <c r="C17" s="250"/>
      <c r="D17" s="387"/>
      <c r="E17" s="250" t="str">
        <f>IFERROR(VLOOKUP($D17,'Apoio - Mat Coletivo e Equip'!$A:$D,2,FALSE),"")</f>
        <v/>
      </c>
      <c r="F17" s="450"/>
      <c r="G17" s="748" t="str">
        <f>IFERROR(VLOOKUP($D17,'Apoio - Mat Coletivo e Equip'!$A:$D,3,FALSE),"")</f>
        <v/>
      </c>
      <c r="H17" s="747" t="str">
        <f>IFERROR(IF(VLOOKUP($D17,'Apoio - Mat Coletivo e Equip'!$A:$D,4,FALSE)=0,"",VLOOKUP($D17,'Apoio - Mat Coletivo e Equip'!$A:$D,4,FALSE)),"")</f>
        <v/>
      </c>
      <c r="I17" s="779" t="str">
        <f>IFERROR(J17/'Mão de Obra'!$D$12,"")</f>
        <v/>
      </c>
      <c r="J17" s="779" t="str">
        <f>IFERROR(IF(ISNUMBER(H17),H17*'Mão de Obra'!$D$12/12,1)*G17*F17,"")</f>
        <v/>
      </c>
    </row>
    <row r="18" spans="2:10">
      <c r="B18" s="250">
        <v>13</v>
      </c>
      <c r="C18" s="250"/>
      <c r="D18" s="387"/>
      <c r="E18" s="250" t="str">
        <f>IFERROR(VLOOKUP($D18,'Apoio - Mat Coletivo e Equip'!$A:$D,2,FALSE),"")</f>
        <v/>
      </c>
      <c r="F18" s="450"/>
      <c r="G18" s="748" t="str">
        <f>IFERROR(VLOOKUP($D18,'Apoio - Mat Coletivo e Equip'!$A:$D,3,FALSE),"")</f>
        <v/>
      </c>
      <c r="H18" s="747" t="str">
        <f>IFERROR(IF(VLOOKUP($D18,'Apoio - Mat Coletivo e Equip'!$A:$D,4,FALSE)=0,"",VLOOKUP($D18,'Apoio - Mat Coletivo e Equip'!$A:$D,4,FALSE)),"")</f>
        <v/>
      </c>
      <c r="I18" s="779" t="str">
        <f>IFERROR(J18/'Mão de Obra'!$D$12,"")</f>
        <v/>
      </c>
      <c r="J18" s="779" t="str">
        <f>IFERROR(IF(ISNUMBER(H18),H18*'Mão de Obra'!$D$12/12,1)*G18*F18,"")</f>
        <v/>
      </c>
    </row>
    <row r="19" spans="2:10">
      <c r="B19" s="250">
        <v>14</v>
      </c>
      <c r="C19" s="250"/>
      <c r="D19" s="387"/>
      <c r="E19" s="250" t="str">
        <f>IFERROR(VLOOKUP($D19,'Apoio - Mat Coletivo e Equip'!$A:$D,2,FALSE),"")</f>
        <v/>
      </c>
      <c r="F19" s="450"/>
      <c r="G19" s="748" t="str">
        <f>IFERROR(VLOOKUP($D19,'Apoio - Mat Coletivo e Equip'!$A:$D,3,FALSE),"")</f>
        <v/>
      </c>
      <c r="H19" s="747" t="str">
        <f>IFERROR(IF(VLOOKUP($D19,'Apoio - Mat Coletivo e Equip'!$A:$D,4,FALSE)=0,"",VLOOKUP($D19,'Apoio - Mat Coletivo e Equip'!$A:$D,4,FALSE)),"")</f>
        <v/>
      </c>
      <c r="I19" s="779" t="str">
        <f>IFERROR(J19/'Mão de Obra'!$D$12,"")</f>
        <v/>
      </c>
      <c r="J19" s="779" t="str">
        <f>IFERROR(IF(ISNUMBER(H19),H19*'Mão de Obra'!$D$12/12,1)*G19*F19,"")</f>
        <v/>
      </c>
    </row>
    <row r="20" spans="2:10">
      <c r="B20" s="250">
        <v>15</v>
      </c>
      <c r="C20" s="250"/>
      <c r="D20" s="387"/>
      <c r="E20" s="250" t="str">
        <f>IFERROR(VLOOKUP($D20,'Apoio - Mat Coletivo e Equip'!$A:$D,2,FALSE),"")</f>
        <v/>
      </c>
      <c r="F20" s="450"/>
      <c r="G20" s="748" t="str">
        <f>IFERROR(VLOOKUP($D20,'Apoio - Mat Coletivo e Equip'!$A:$D,3,FALSE),"")</f>
        <v/>
      </c>
      <c r="H20" s="747" t="str">
        <f>IFERROR(IF(VLOOKUP($D20,'Apoio - Mat Coletivo e Equip'!$A:$D,4,FALSE)=0,"",VLOOKUP($D20,'Apoio - Mat Coletivo e Equip'!$A:$D,4,FALSE)),"")</f>
        <v/>
      </c>
      <c r="I20" s="779" t="str">
        <f>IFERROR(J20/'Mão de Obra'!$D$12,"")</f>
        <v/>
      </c>
      <c r="J20" s="779" t="str">
        <f>IFERROR(IF(ISNUMBER(H20),H20*'Mão de Obra'!$D$12/12,1)*G20*F20,"")</f>
        <v/>
      </c>
    </row>
    <row r="21" spans="2:10">
      <c r="B21" s="250">
        <v>16</v>
      </c>
      <c r="C21" s="250"/>
      <c r="D21" s="387"/>
      <c r="E21" s="250" t="str">
        <f>IFERROR(VLOOKUP($D21,'Apoio - Mat Coletivo e Equip'!$A:$D,2,FALSE),"")</f>
        <v/>
      </c>
      <c r="F21" s="450"/>
      <c r="G21" s="748" t="str">
        <f>IFERROR(VLOOKUP($D21,'Apoio - Mat Coletivo e Equip'!$A:$D,3,FALSE),"")</f>
        <v/>
      </c>
      <c r="H21" s="747" t="str">
        <f>IFERROR(IF(VLOOKUP($D21,'Apoio - Mat Coletivo e Equip'!$A:$D,4,FALSE)=0,"",VLOOKUP($D21,'Apoio - Mat Coletivo e Equip'!$A:$D,4,FALSE)),"")</f>
        <v/>
      </c>
      <c r="I21" s="779" t="str">
        <f>IFERROR(J21/'Mão de Obra'!$D$12,"")</f>
        <v/>
      </c>
      <c r="J21" s="779" t="str">
        <f>IFERROR(IF(ISNUMBER(H21),H21*'Mão de Obra'!$D$12/12,1)*G21*F21,"")</f>
        <v/>
      </c>
    </row>
    <row r="22" spans="2:10">
      <c r="B22" s="250">
        <v>17</v>
      </c>
      <c r="C22" s="250"/>
      <c r="D22" s="387"/>
      <c r="E22" s="250" t="str">
        <f>IFERROR(VLOOKUP($D22,'Apoio - Mat Coletivo e Equip'!$A:$D,2,FALSE),"")</f>
        <v/>
      </c>
      <c r="F22" s="450"/>
      <c r="G22" s="748" t="str">
        <f>IFERROR(VLOOKUP($D22,'Apoio - Mat Coletivo e Equip'!$A:$D,3,FALSE),"")</f>
        <v/>
      </c>
      <c r="H22" s="747" t="str">
        <f>IFERROR(IF(VLOOKUP($D22,'Apoio - Mat Coletivo e Equip'!$A:$D,4,FALSE)=0,"",VLOOKUP($D22,'Apoio - Mat Coletivo e Equip'!$A:$D,4,FALSE)),"")</f>
        <v/>
      </c>
      <c r="I22" s="779" t="str">
        <f>IFERROR(J22/'Mão de Obra'!$D$12,"")</f>
        <v/>
      </c>
      <c r="J22" s="779" t="str">
        <f>IFERROR(IF(ISNUMBER(H22),H22*'Mão de Obra'!$D$12/12,1)*G22*F22,"")</f>
        <v/>
      </c>
    </row>
    <row r="23" spans="2:10">
      <c r="B23" s="250">
        <v>18</v>
      </c>
      <c r="C23" s="250"/>
      <c r="D23" s="387"/>
      <c r="E23" s="250" t="str">
        <f>IFERROR(VLOOKUP($D23,'Apoio - Mat Coletivo e Equip'!$A:$D,2,FALSE),"")</f>
        <v/>
      </c>
      <c r="F23" s="450"/>
      <c r="G23" s="748" t="str">
        <f>IFERROR(VLOOKUP($D23,'Apoio - Mat Coletivo e Equip'!$A:$D,3,FALSE),"")</f>
        <v/>
      </c>
      <c r="H23" s="747" t="str">
        <f>IFERROR(IF(VLOOKUP($D23,'Apoio - Mat Coletivo e Equip'!$A:$D,4,FALSE)=0,"",VLOOKUP($D23,'Apoio - Mat Coletivo e Equip'!$A:$D,4,FALSE)),"")</f>
        <v/>
      </c>
      <c r="I23" s="779" t="str">
        <f>IFERROR(J23/'Mão de Obra'!$D$12,"")</f>
        <v/>
      </c>
      <c r="J23" s="779" t="str">
        <f>IFERROR(IF(ISNUMBER(H23),H23*'Mão de Obra'!$D$12/12,1)*G23*F23,"")</f>
        <v/>
      </c>
    </row>
    <row r="24" spans="2:10">
      <c r="B24" s="250">
        <v>19</v>
      </c>
      <c r="C24" s="250"/>
      <c r="D24" s="387"/>
      <c r="E24" s="250" t="str">
        <f>IFERROR(VLOOKUP($D24,'Apoio - Mat Coletivo e Equip'!$A:$D,2,FALSE),"")</f>
        <v/>
      </c>
      <c r="F24" s="450"/>
      <c r="G24" s="748" t="str">
        <f>IFERROR(VLOOKUP($D24,'Apoio - Mat Coletivo e Equip'!$A:$D,3,FALSE),"")</f>
        <v/>
      </c>
      <c r="H24" s="747" t="str">
        <f>IFERROR(IF(VLOOKUP($D24,'Apoio - Mat Coletivo e Equip'!$A:$D,4,FALSE)=0,"",VLOOKUP($D24,'Apoio - Mat Coletivo e Equip'!$A:$D,4,FALSE)),"")</f>
        <v/>
      </c>
      <c r="I24" s="779" t="str">
        <f>IFERROR(J24/'Mão de Obra'!$D$12,"")</f>
        <v/>
      </c>
      <c r="J24" s="779" t="str">
        <f>IFERROR(IF(ISNUMBER(H24),H24*'Mão de Obra'!$D$12/12,1)*G24*F24,"")</f>
        <v/>
      </c>
    </row>
    <row r="25" spans="2:10">
      <c r="B25" s="250">
        <v>20</v>
      </c>
      <c r="C25" s="250"/>
      <c r="D25" s="387"/>
      <c r="E25" s="250" t="str">
        <f>IFERROR(VLOOKUP($D25,'Apoio - Mat Coletivo e Equip'!$A:$D,2,FALSE),"")</f>
        <v/>
      </c>
      <c r="F25" s="450"/>
      <c r="G25" s="748" t="str">
        <f>IFERROR(VLOOKUP($D25,'Apoio - Mat Coletivo e Equip'!$A:$D,3,FALSE),"")</f>
        <v/>
      </c>
      <c r="H25" s="747" t="str">
        <f>IFERROR(IF(VLOOKUP($D25,'Apoio - Mat Coletivo e Equip'!$A:$D,4,FALSE)=0,"",VLOOKUP($D25,'Apoio - Mat Coletivo e Equip'!$A:$D,4,FALSE)),"")</f>
        <v/>
      </c>
      <c r="I25" s="779" t="str">
        <f>IFERROR(J25/'Mão de Obra'!$D$12,"")</f>
        <v/>
      </c>
      <c r="J25" s="779" t="str">
        <f>IFERROR(IF(ISNUMBER(H25),H25*'Mão de Obra'!$D$12/12,1)*G25*F25,"")</f>
        <v/>
      </c>
    </row>
    <row r="26" spans="2:10">
      <c r="B26" s="250">
        <v>21</v>
      </c>
      <c r="C26" s="250"/>
      <c r="D26" s="387"/>
      <c r="E26" s="250" t="str">
        <f>IFERROR(VLOOKUP($D26,'Apoio - Mat Coletivo e Equip'!$A:$D,2,FALSE),"")</f>
        <v/>
      </c>
      <c r="F26" s="450"/>
      <c r="G26" s="748" t="str">
        <f>IFERROR(VLOOKUP($D26,'Apoio - Mat Coletivo e Equip'!$A:$D,3,FALSE),"")</f>
        <v/>
      </c>
      <c r="H26" s="747" t="str">
        <f>IFERROR(IF(VLOOKUP($D26,'Apoio - Mat Coletivo e Equip'!$A:$D,4,FALSE)=0,"",VLOOKUP($D26,'Apoio - Mat Coletivo e Equip'!$A:$D,4,FALSE)),"")</f>
        <v/>
      </c>
      <c r="I26" s="779" t="str">
        <f>IFERROR(J26/'Mão de Obra'!$D$12,"")</f>
        <v/>
      </c>
      <c r="J26" s="779" t="str">
        <f>IFERROR(IF(ISNUMBER(H26),H26*'Mão de Obra'!$D$12/12,1)*G26*F26,"")</f>
        <v/>
      </c>
    </row>
    <row r="27" spans="2:10" s="42" customFormat="1">
      <c r="B27" s="250">
        <v>22</v>
      </c>
      <c r="C27" s="250"/>
      <c r="D27" s="387"/>
      <c r="E27" s="250" t="str">
        <f>IFERROR(VLOOKUP($D27,'Apoio - Mat Coletivo e Equip'!$A:$D,2,FALSE),"")</f>
        <v/>
      </c>
      <c r="F27" s="450"/>
      <c r="G27" s="748" t="str">
        <f>IFERROR(VLOOKUP($D27,'Apoio - Mat Coletivo e Equip'!$A:$D,3,FALSE),"")</f>
        <v/>
      </c>
      <c r="H27" s="747" t="str">
        <f>IFERROR(IF(VLOOKUP($D27,'Apoio - Mat Coletivo e Equip'!$A:$D,4,FALSE)=0,"",VLOOKUP($D27,'Apoio - Mat Coletivo e Equip'!$A:$D,4,FALSE)),"")</f>
        <v/>
      </c>
      <c r="I27" s="779" t="str">
        <f>IFERROR(J27/'Mão de Obra'!$D$12,"")</f>
        <v/>
      </c>
      <c r="J27" s="779" t="str">
        <f>IFERROR(IF(ISNUMBER(H27),H27*'Mão de Obra'!$D$12/12,1)*G27*F27,"")</f>
        <v/>
      </c>
    </row>
    <row r="28" spans="2:10" s="42" customFormat="1">
      <c r="B28" s="250">
        <v>23</v>
      </c>
      <c r="C28" s="250"/>
      <c r="D28" s="387"/>
      <c r="E28" s="250" t="str">
        <f>IFERROR(VLOOKUP($D28,'Apoio - Mat Coletivo e Equip'!$A:$D,2,FALSE),"")</f>
        <v/>
      </c>
      <c r="F28" s="450"/>
      <c r="G28" s="748" t="str">
        <f>IFERROR(VLOOKUP($D28,'Apoio - Mat Coletivo e Equip'!$A:$D,3,FALSE),"")</f>
        <v/>
      </c>
      <c r="H28" s="747" t="str">
        <f>IFERROR(IF(VLOOKUP($D28,'Apoio - Mat Coletivo e Equip'!$A:$D,4,FALSE)=0,"",VLOOKUP($D28,'Apoio - Mat Coletivo e Equip'!$A:$D,4,FALSE)),"")</f>
        <v/>
      </c>
      <c r="I28" s="779" t="str">
        <f>IFERROR(J28/'Mão de Obra'!$D$12,"")</f>
        <v/>
      </c>
      <c r="J28" s="779" t="str">
        <f>IFERROR(IF(ISNUMBER(H28),H28*'Mão de Obra'!$D$12/12,1)*G28*F28,"")</f>
        <v/>
      </c>
    </row>
    <row r="29" spans="2:10" s="42" customFormat="1">
      <c r="B29" s="250">
        <v>24</v>
      </c>
      <c r="C29" s="250"/>
      <c r="D29" s="387"/>
      <c r="E29" s="250" t="str">
        <f>IFERROR(VLOOKUP($D29,'Apoio - Mat Coletivo e Equip'!$A:$D,2,FALSE),"")</f>
        <v/>
      </c>
      <c r="F29" s="450"/>
      <c r="G29" s="748" t="str">
        <f>IFERROR(VLOOKUP($D29,'Apoio - Mat Coletivo e Equip'!$A:$D,3,FALSE),"")</f>
        <v/>
      </c>
      <c r="H29" s="747" t="str">
        <f>IFERROR(IF(VLOOKUP($D29,'Apoio - Mat Coletivo e Equip'!$A:$D,4,FALSE)=0,"",VLOOKUP($D29,'Apoio - Mat Coletivo e Equip'!$A:$D,4,FALSE)),"")</f>
        <v/>
      </c>
      <c r="I29" s="779" t="str">
        <f>IFERROR(J29/'Mão de Obra'!$D$12,"")</f>
        <v/>
      </c>
      <c r="J29" s="779" t="str">
        <f>IFERROR(IF(ISNUMBER(H29),H29*'Mão de Obra'!$D$12/12,1)*G29*F29,"")</f>
        <v/>
      </c>
    </row>
    <row r="30" spans="2:10" s="42" customFormat="1">
      <c r="B30" s="250">
        <v>25</v>
      </c>
      <c r="C30" s="250"/>
      <c r="D30" s="387"/>
      <c r="E30" s="250" t="str">
        <f>IFERROR(VLOOKUP($D30,'Apoio - Mat Coletivo e Equip'!$A:$D,2,FALSE),"")</f>
        <v/>
      </c>
      <c r="F30" s="450"/>
      <c r="G30" s="748" t="str">
        <f>IFERROR(VLOOKUP($D30,'Apoio - Mat Coletivo e Equip'!$A:$D,3,FALSE),"")</f>
        <v/>
      </c>
      <c r="H30" s="747" t="str">
        <f>IFERROR(IF(VLOOKUP($D30,'Apoio - Mat Coletivo e Equip'!$A:$D,4,FALSE)=0,"",VLOOKUP($D30,'Apoio - Mat Coletivo e Equip'!$A:$D,4,FALSE)),"")</f>
        <v/>
      </c>
      <c r="I30" s="779" t="str">
        <f>IFERROR(J30/'Mão de Obra'!$D$12,"")</f>
        <v/>
      </c>
      <c r="J30" s="779" t="str">
        <f>IFERROR(IF(ISNUMBER(H30),H30*'Mão de Obra'!$D$12/12,1)*G30*F30,"")</f>
        <v/>
      </c>
    </row>
    <row r="31" spans="2:10" s="42" customFormat="1">
      <c r="B31" s="250">
        <v>26</v>
      </c>
      <c r="C31" s="250"/>
      <c r="D31" s="387"/>
      <c r="E31" s="250" t="str">
        <f>IFERROR(VLOOKUP($D31,'Apoio - Mat Coletivo e Equip'!$A:$D,2,FALSE),"")</f>
        <v/>
      </c>
      <c r="F31" s="450"/>
      <c r="G31" s="748" t="str">
        <f>IFERROR(VLOOKUP($D31,'Apoio - Mat Coletivo e Equip'!$A:$D,3,FALSE),"")</f>
        <v/>
      </c>
      <c r="H31" s="747" t="str">
        <f>IFERROR(IF(VLOOKUP($D31,'Apoio - Mat Coletivo e Equip'!$A:$D,4,FALSE)=0,"",VLOOKUP($D31,'Apoio - Mat Coletivo e Equip'!$A:$D,4,FALSE)),"")</f>
        <v/>
      </c>
      <c r="I31" s="779" t="str">
        <f>IFERROR(J31/'Mão de Obra'!$D$12,"")</f>
        <v/>
      </c>
      <c r="J31" s="779" t="str">
        <f>IFERROR(IF(ISNUMBER(H31),H31*'Mão de Obra'!$D$12/12,1)*G31*F31,"")</f>
        <v/>
      </c>
    </row>
    <row r="32" spans="2:10" s="42" customFormat="1">
      <c r="B32" s="250">
        <v>27</v>
      </c>
      <c r="C32" s="250"/>
      <c r="D32" s="387"/>
      <c r="E32" s="250" t="str">
        <f>IFERROR(VLOOKUP($D32,'Apoio - Mat Coletivo e Equip'!$A:$D,2,FALSE),"")</f>
        <v/>
      </c>
      <c r="F32" s="450"/>
      <c r="G32" s="748" t="str">
        <f>IFERROR(VLOOKUP($D32,'Apoio - Mat Coletivo e Equip'!$A:$D,3,FALSE),"")</f>
        <v/>
      </c>
      <c r="H32" s="747" t="str">
        <f>IFERROR(IF(VLOOKUP($D32,'Apoio - Mat Coletivo e Equip'!$A:$D,4,FALSE)=0,"",VLOOKUP($D32,'Apoio - Mat Coletivo e Equip'!$A:$D,4,FALSE)),"")</f>
        <v/>
      </c>
      <c r="I32" s="779" t="str">
        <f>IFERROR(J32/'Mão de Obra'!$D$12,"")</f>
        <v/>
      </c>
      <c r="J32" s="779" t="str">
        <f>IFERROR(IF(ISNUMBER(H32),H32*'Mão de Obra'!$D$12/12,1)*G32*F32,"")</f>
        <v/>
      </c>
    </row>
    <row r="33" spans="2:10" s="42" customFormat="1">
      <c r="B33" s="250">
        <v>28</v>
      </c>
      <c r="C33" s="250"/>
      <c r="D33" s="387"/>
      <c r="E33" s="250" t="str">
        <f>IFERROR(VLOOKUP($D33,'Apoio - Mat Coletivo e Equip'!$A:$D,2,FALSE),"")</f>
        <v/>
      </c>
      <c r="F33" s="450"/>
      <c r="G33" s="748" t="str">
        <f>IFERROR(VLOOKUP($D33,'Apoio - Mat Coletivo e Equip'!$A:$D,3,FALSE),"")</f>
        <v/>
      </c>
      <c r="H33" s="747" t="str">
        <f>IFERROR(IF(VLOOKUP($D33,'Apoio - Mat Coletivo e Equip'!$A:$D,4,FALSE)=0,"",VLOOKUP($D33,'Apoio - Mat Coletivo e Equip'!$A:$D,4,FALSE)),"")</f>
        <v/>
      </c>
      <c r="I33" s="779" t="str">
        <f>IFERROR(J33/'Mão de Obra'!$D$12,"")</f>
        <v/>
      </c>
      <c r="J33" s="779" t="str">
        <f>IFERROR(IF(ISNUMBER(H33),H33*'Mão de Obra'!$D$12/12,1)*G33*F33,"")</f>
        <v/>
      </c>
    </row>
    <row r="34" spans="2:10" s="42" customFormat="1">
      <c r="B34" s="250">
        <v>29</v>
      </c>
      <c r="C34" s="250"/>
      <c r="D34" s="387"/>
      <c r="E34" s="250" t="str">
        <f>IFERROR(VLOOKUP($D34,'Apoio - Mat Coletivo e Equip'!$A:$D,2,FALSE),"")</f>
        <v/>
      </c>
      <c r="F34" s="450"/>
      <c r="G34" s="748" t="str">
        <f>IFERROR(VLOOKUP($D34,'Apoio - Mat Coletivo e Equip'!$A:$D,3,FALSE),"")</f>
        <v/>
      </c>
      <c r="H34" s="747" t="str">
        <f>IFERROR(IF(VLOOKUP($D34,'Apoio - Mat Coletivo e Equip'!$A:$D,4,FALSE)=0,"",VLOOKUP($D34,'Apoio - Mat Coletivo e Equip'!$A:$D,4,FALSE)),"")</f>
        <v/>
      </c>
      <c r="I34" s="779" t="str">
        <f>IFERROR(J34/'Mão de Obra'!$D$12,"")</f>
        <v/>
      </c>
      <c r="J34" s="779" t="str">
        <f>IFERROR(IF(ISNUMBER(H34),H34*'Mão de Obra'!$D$12/12,1)*G34*F34,"")</f>
        <v/>
      </c>
    </row>
    <row r="35" spans="2:10" s="42" customFormat="1">
      <c r="B35" s="250">
        <v>30</v>
      </c>
      <c r="C35" s="250"/>
      <c r="D35" s="387"/>
      <c r="E35" s="250" t="str">
        <f>IFERROR(VLOOKUP($D35,'Apoio - Mat Coletivo e Equip'!$A:$D,2,FALSE),"")</f>
        <v/>
      </c>
      <c r="F35" s="450"/>
      <c r="G35" s="748" t="str">
        <f>IFERROR(VLOOKUP($D35,'Apoio - Mat Coletivo e Equip'!$A:$D,3,FALSE),"")</f>
        <v/>
      </c>
      <c r="H35" s="747" t="str">
        <f>IFERROR(IF(VLOOKUP($D35,'Apoio - Mat Coletivo e Equip'!$A:$D,4,FALSE)=0,"",VLOOKUP($D35,'Apoio - Mat Coletivo e Equip'!$A:$D,4,FALSE)),"")</f>
        <v/>
      </c>
      <c r="I35" s="779" t="str">
        <f>IFERROR(J35/'Mão de Obra'!$D$12,"")</f>
        <v/>
      </c>
      <c r="J35" s="779" t="str">
        <f>IFERROR(IF(ISNUMBER(H35),H35*'Mão de Obra'!$D$12/12,1)*G35*F35,"")</f>
        <v/>
      </c>
    </row>
    <row r="36" spans="2:10" s="42" customFormat="1">
      <c r="B36" s="250">
        <v>31</v>
      </c>
      <c r="C36" s="250"/>
      <c r="D36" s="387"/>
      <c r="E36" s="250" t="str">
        <f>IFERROR(VLOOKUP($D36,'Apoio - Mat Coletivo e Equip'!$A:$D,2,FALSE),"")</f>
        <v/>
      </c>
      <c r="F36" s="450"/>
      <c r="G36" s="748" t="str">
        <f>IFERROR(VLOOKUP($D36,'Apoio - Mat Coletivo e Equip'!$A:$D,3,FALSE),"")</f>
        <v/>
      </c>
      <c r="H36" s="747" t="str">
        <f>IFERROR(IF(VLOOKUP($D36,'Apoio - Mat Coletivo e Equip'!$A:$D,4,FALSE)=0,"",VLOOKUP($D36,'Apoio - Mat Coletivo e Equip'!$A:$D,4,FALSE)),"")</f>
        <v/>
      </c>
      <c r="I36" s="779" t="str">
        <f>IFERROR(J36/'Mão de Obra'!$D$12,"")</f>
        <v/>
      </c>
      <c r="J36" s="779" t="str">
        <f>IFERROR(IF(ISNUMBER(H36),H36*'Mão de Obra'!$D$12/12,1)*G36*F36,"")</f>
        <v/>
      </c>
    </row>
    <row r="37" spans="2:10" s="42" customFormat="1">
      <c r="B37" s="250">
        <v>32</v>
      </c>
      <c r="C37" s="250"/>
      <c r="D37" s="387"/>
      <c r="E37" s="250" t="str">
        <f>IFERROR(VLOOKUP($D37,'Apoio - Mat Coletivo e Equip'!$A:$D,2,FALSE),"")</f>
        <v/>
      </c>
      <c r="F37" s="450"/>
      <c r="G37" s="748" t="str">
        <f>IFERROR(VLOOKUP($D37,'Apoio - Mat Coletivo e Equip'!$A:$D,3,FALSE),"")</f>
        <v/>
      </c>
      <c r="H37" s="747" t="str">
        <f>IFERROR(IF(VLOOKUP($D37,'Apoio - Mat Coletivo e Equip'!$A:$D,4,FALSE)=0,"",VLOOKUP($D37,'Apoio - Mat Coletivo e Equip'!$A:$D,4,FALSE)),"")</f>
        <v/>
      </c>
      <c r="I37" s="779" t="str">
        <f>IFERROR(J37/'Mão de Obra'!$D$12,"")</f>
        <v/>
      </c>
      <c r="J37" s="779" t="str">
        <f>IFERROR(IF(ISNUMBER(H37),H37*'Mão de Obra'!$D$12/12,1)*G37*F37,"")</f>
        <v/>
      </c>
    </row>
    <row r="38" spans="2:10" s="42" customFormat="1">
      <c r="B38" s="250">
        <v>33</v>
      </c>
      <c r="C38" s="250"/>
      <c r="D38" s="387"/>
      <c r="E38" s="250" t="str">
        <f>IFERROR(VLOOKUP($D38,'Apoio - Mat Coletivo e Equip'!$A:$D,2,FALSE),"")</f>
        <v/>
      </c>
      <c r="F38" s="450"/>
      <c r="G38" s="748" t="str">
        <f>IFERROR(VLOOKUP($D38,'Apoio - Mat Coletivo e Equip'!$A:$D,3,FALSE),"")</f>
        <v/>
      </c>
      <c r="H38" s="747" t="str">
        <f>IFERROR(IF(VLOOKUP($D38,'Apoio - Mat Coletivo e Equip'!$A:$D,4,FALSE)=0,"",VLOOKUP($D38,'Apoio - Mat Coletivo e Equip'!$A:$D,4,FALSE)),"")</f>
        <v/>
      </c>
      <c r="I38" s="779" t="str">
        <f>IFERROR(J38/'Mão de Obra'!$D$12,"")</f>
        <v/>
      </c>
      <c r="J38" s="779" t="str">
        <f>IFERROR(IF(ISNUMBER(H38),H38*'Mão de Obra'!$D$12/12,1)*G38*F38,"")</f>
        <v/>
      </c>
    </row>
    <row r="39" spans="2:10" s="42" customFormat="1">
      <c r="B39" s="250">
        <v>34</v>
      </c>
      <c r="C39" s="250"/>
      <c r="D39" s="387"/>
      <c r="E39" s="250" t="str">
        <f>IFERROR(VLOOKUP($D39,'Apoio - Mat Coletivo e Equip'!$A:$D,2,FALSE),"")</f>
        <v/>
      </c>
      <c r="F39" s="450"/>
      <c r="G39" s="748" t="str">
        <f>IFERROR(VLOOKUP($D39,'Apoio - Mat Coletivo e Equip'!$A:$D,3,FALSE),"")</f>
        <v/>
      </c>
      <c r="H39" s="747" t="str">
        <f>IFERROR(IF(VLOOKUP($D39,'Apoio - Mat Coletivo e Equip'!$A:$D,4,FALSE)=0,"",VLOOKUP($D39,'Apoio - Mat Coletivo e Equip'!$A:$D,4,FALSE)),"")</f>
        <v/>
      </c>
      <c r="I39" s="779" t="str">
        <f>IFERROR(J39/'Mão de Obra'!$D$12,"")</f>
        <v/>
      </c>
      <c r="J39" s="779" t="str">
        <f>IFERROR(IF(ISNUMBER(H39),H39*'Mão de Obra'!$D$12/12,1)*G39*F39,"")</f>
        <v/>
      </c>
    </row>
    <row r="40" spans="2:10" s="42" customFormat="1">
      <c r="B40" s="250">
        <v>35</v>
      </c>
      <c r="C40" s="250"/>
      <c r="D40" s="387"/>
      <c r="E40" s="250" t="str">
        <f>IFERROR(VLOOKUP($D40,'Apoio - Mat Coletivo e Equip'!$A:$D,2,FALSE),"")</f>
        <v/>
      </c>
      <c r="F40" s="450"/>
      <c r="G40" s="748" t="str">
        <f>IFERROR(VLOOKUP($D40,'Apoio - Mat Coletivo e Equip'!$A:$D,3,FALSE),"")</f>
        <v/>
      </c>
      <c r="H40" s="747" t="str">
        <f>IFERROR(IF(VLOOKUP($D40,'Apoio - Mat Coletivo e Equip'!$A:$D,4,FALSE)=0,"",VLOOKUP($D40,'Apoio - Mat Coletivo e Equip'!$A:$D,4,FALSE)),"")</f>
        <v/>
      </c>
      <c r="I40" s="779" t="str">
        <f>IFERROR(J40/'Mão de Obra'!$D$12,"")</f>
        <v/>
      </c>
      <c r="J40" s="779" t="str">
        <f>IFERROR(IF(ISNUMBER(H40),H40*'Mão de Obra'!$D$12/12,1)*G40*F40,"")</f>
        <v/>
      </c>
    </row>
    <row r="41" spans="2:10" s="42" customFormat="1">
      <c r="B41" s="250">
        <v>36</v>
      </c>
      <c r="C41" s="250"/>
      <c r="D41" s="387"/>
      <c r="E41" s="250" t="str">
        <f>IFERROR(VLOOKUP($D41,'Apoio - Mat Coletivo e Equip'!$A:$D,2,FALSE),"")</f>
        <v/>
      </c>
      <c r="F41" s="450"/>
      <c r="G41" s="748" t="str">
        <f>IFERROR(VLOOKUP($D41,'Apoio - Mat Coletivo e Equip'!$A:$D,3,FALSE),"")</f>
        <v/>
      </c>
      <c r="H41" s="747" t="str">
        <f>IFERROR(IF(VLOOKUP($D41,'Apoio - Mat Coletivo e Equip'!$A:$D,4,FALSE)=0,"",VLOOKUP($D41,'Apoio - Mat Coletivo e Equip'!$A:$D,4,FALSE)),"")</f>
        <v/>
      </c>
      <c r="I41" s="779" t="str">
        <f>IFERROR(J41/'Mão de Obra'!$D$12,"")</f>
        <v/>
      </c>
      <c r="J41" s="779" t="str">
        <f>IFERROR(IF(ISNUMBER(H41),H41*'Mão de Obra'!$D$12/12,1)*G41*F41,"")</f>
        <v/>
      </c>
    </row>
    <row r="42" spans="2:10" s="42" customFormat="1">
      <c r="B42" s="250">
        <v>37</v>
      </c>
      <c r="C42" s="250"/>
      <c r="D42" s="387"/>
      <c r="E42" s="250" t="str">
        <f>IFERROR(VLOOKUP($D42,'Apoio - Mat Coletivo e Equip'!$A:$D,2,FALSE),"")</f>
        <v/>
      </c>
      <c r="F42" s="450"/>
      <c r="G42" s="748" t="str">
        <f>IFERROR(VLOOKUP($D42,'Apoio - Mat Coletivo e Equip'!$A:$D,3,FALSE),"")</f>
        <v/>
      </c>
      <c r="H42" s="747" t="str">
        <f>IFERROR(IF(VLOOKUP($D42,'Apoio - Mat Coletivo e Equip'!$A:$D,4,FALSE)=0,"",VLOOKUP($D42,'Apoio - Mat Coletivo e Equip'!$A:$D,4,FALSE)),"")</f>
        <v/>
      </c>
      <c r="I42" s="779" t="str">
        <f>IFERROR(J42/'Mão de Obra'!$D$12,"")</f>
        <v/>
      </c>
      <c r="J42" s="779" t="str">
        <f>IFERROR(IF(ISNUMBER(H42),H42*'Mão de Obra'!$D$12/12,1)*G42*F42,"")</f>
        <v/>
      </c>
    </row>
    <row r="43" spans="2:10" s="42" customFormat="1">
      <c r="B43" s="250">
        <v>38</v>
      </c>
      <c r="C43" s="250"/>
      <c r="D43" s="387"/>
      <c r="E43" s="250" t="str">
        <f>IFERROR(VLOOKUP($D43,'Apoio - Mat Coletivo e Equip'!$A:$D,2,FALSE),"")</f>
        <v/>
      </c>
      <c r="F43" s="450"/>
      <c r="G43" s="748" t="str">
        <f>IFERROR(VLOOKUP($D43,'Apoio - Mat Coletivo e Equip'!$A:$D,3,FALSE),"")</f>
        <v/>
      </c>
      <c r="H43" s="747" t="str">
        <f>IFERROR(IF(VLOOKUP($D43,'Apoio - Mat Coletivo e Equip'!$A:$D,4,FALSE)=0,"",VLOOKUP($D43,'Apoio - Mat Coletivo e Equip'!$A:$D,4,FALSE)),"")</f>
        <v/>
      </c>
      <c r="I43" s="779" t="str">
        <f>IFERROR(J43/'Mão de Obra'!$D$12,"")</f>
        <v/>
      </c>
      <c r="J43" s="779" t="str">
        <f>IFERROR(IF(ISNUMBER(H43),H43*'Mão de Obra'!$D$12/12,1)*G43*F43,"")</f>
        <v/>
      </c>
    </row>
    <row r="44" spans="2:10" s="42" customFormat="1">
      <c r="B44" s="250">
        <v>39</v>
      </c>
      <c r="C44" s="250"/>
      <c r="D44" s="387"/>
      <c r="E44" s="250" t="str">
        <f>IFERROR(VLOOKUP($D44,'Apoio - Mat Coletivo e Equip'!$A:$D,2,FALSE),"")</f>
        <v/>
      </c>
      <c r="F44" s="450"/>
      <c r="G44" s="748" t="str">
        <f>IFERROR(VLOOKUP($D44,'Apoio - Mat Coletivo e Equip'!$A:$D,3,FALSE),"")</f>
        <v/>
      </c>
      <c r="H44" s="747" t="str">
        <f>IFERROR(IF(VLOOKUP($D44,'Apoio - Mat Coletivo e Equip'!$A:$D,4,FALSE)=0,"",VLOOKUP($D44,'Apoio - Mat Coletivo e Equip'!$A:$D,4,FALSE)),"")</f>
        <v/>
      </c>
      <c r="I44" s="779" t="str">
        <f>IFERROR(J44/'Mão de Obra'!$D$12,"")</f>
        <v/>
      </c>
      <c r="J44" s="779" t="str">
        <f>IFERROR(IF(ISNUMBER(H44),H44*'Mão de Obra'!$D$12/12,1)*G44*F44,"")</f>
        <v/>
      </c>
    </row>
    <row r="45" spans="2:10" s="42" customFormat="1">
      <c r="B45" s="250">
        <v>40</v>
      </c>
      <c r="C45" s="250"/>
      <c r="D45" s="387"/>
      <c r="E45" s="250" t="str">
        <f>IFERROR(VLOOKUP($D45,'Apoio - Mat Coletivo e Equip'!$A:$D,2,FALSE),"")</f>
        <v/>
      </c>
      <c r="F45" s="450"/>
      <c r="G45" s="748" t="str">
        <f>IFERROR(VLOOKUP($D45,'Apoio - Mat Coletivo e Equip'!$A:$D,3,FALSE),"")</f>
        <v/>
      </c>
      <c r="H45" s="747" t="str">
        <f>IFERROR(IF(VLOOKUP($D45,'Apoio - Mat Coletivo e Equip'!$A:$D,4,FALSE)=0,"",VLOOKUP($D45,'Apoio - Mat Coletivo e Equip'!$A:$D,4,FALSE)),"")</f>
        <v/>
      </c>
      <c r="I45" s="779" t="str">
        <f>IFERROR(J45/'Mão de Obra'!$D$12,"")</f>
        <v/>
      </c>
      <c r="J45" s="779" t="str">
        <f>IFERROR(IF(ISNUMBER(H45),H45*'Mão de Obra'!$D$12/12,1)*G45*F45,"")</f>
        <v/>
      </c>
    </row>
    <row r="46" spans="2:10" s="42" customFormat="1">
      <c r="B46" s="250">
        <v>41</v>
      </c>
      <c r="C46" s="250"/>
      <c r="D46" s="387"/>
      <c r="E46" s="250" t="str">
        <f>IFERROR(VLOOKUP($D46,'Apoio - Mat Coletivo e Equip'!$A:$D,2,FALSE),"")</f>
        <v/>
      </c>
      <c r="F46" s="450"/>
      <c r="G46" s="748" t="str">
        <f>IFERROR(VLOOKUP($D46,'Apoio - Mat Coletivo e Equip'!$A:$D,3,FALSE),"")</f>
        <v/>
      </c>
      <c r="H46" s="747" t="str">
        <f>IFERROR(IF(VLOOKUP($D46,'Apoio - Mat Coletivo e Equip'!$A:$D,4,FALSE)=0,"",VLOOKUP($D46,'Apoio - Mat Coletivo e Equip'!$A:$D,4,FALSE)),"")</f>
        <v/>
      </c>
      <c r="I46" s="779" t="str">
        <f>IFERROR(J46/'Mão de Obra'!$D$12,"")</f>
        <v/>
      </c>
      <c r="J46" s="779" t="str">
        <f>IFERROR(IF(ISNUMBER(H46),H46*'Mão de Obra'!$D$12/12,1)*G46*F46,"")</f>
        <v/>
      </c>
    </row>
    <row r="47" spans="2:10" s="42" customFormat="1">
      <c r="B47" s="250">
        <v>42</v>
      </c>
      <c r="C47" s="250"/>
      <c r="D47" s="387"/>
      <c r="E47" s="250" t="str">
        <f>IFERROR(VLOOKUP($D47,'Apoio - Mat Coletivo e Equip'!$A:$D,2,FALSE),"")</f>
        <v/>
      </c>
      <c r="F47" s="450"/>
      <c r="G47" s="748" t="str">
        <f>IFERROR(VLOOKUP($D47,'Apoio - Mat Coletivo e Equip'!$A:$D,3,FALSE),"")</f>
        <v/>
      </c>
      <c r="H47" s="747" t="str">
        <f>IFERROR(IF(VLOOKUP($D47,'Apoio - Mat Coletivo e Equip'!$A:$D,4,FALSE)=0,"",VLOOKUP($D47,'Apoio - Mat Coletivo e Equip'!$A:$D,4,FALSE)),"")</f>
        <v/>
      </c>
      <c r="I47" s="779" t="str">
        <f>IFERROR(J47/'Mão de Obra'!$D$12,"")</f>
        <v/>
      </c>
      <c r="J47" s="779" t="str">
        <f>IFERROR(IF(ISNUMBER(H47),H47*'Mão de Obra'!$D$12/12,1)*G47*F47,"")</f>
        <v/>
      </c>
    </row>
    <row r="48" spans="2:10" s="42" customFormat="1">
      <c r="B48" s="250">
        <v>43</v>
      </c>
      <c r="C48" s="250"/>
      <c r="D48" s="387"/>
      <c r="E48" s="250" t="str">
        <f>IFERROR(VLOOKUP($D48,'Apoio - Mat Coletivo e Equip'!$A:$D,2,FALSE),"")</f>
        <v/>
      </c>
      <c r="F48" s="450"/>
      <c r="G48" s="748" t="str">
        <f>IFERROR(VLOOKUP($D48,'Apoio - Mat Coletivo e Equip'!$A:$D,3,FALSE),"")</f>
        <v/>
      </c>
      <c r="H48" s="747" t="str">
        <f>IFERROR(IF(VLOOKUP($D48,'Apoio - Mat Coletivo e Equip'!$A:$D,4,FALSE)=0,"",VLOOKUP($D48,'Apoio - Mat Coletivo e Equip'!$A:$D,4,FALSE)),"")</f>
        <v/>
      </c>
      <c r="I48" s="779" t="str">
        <f>IFERROR(J48/'Mão de Obra'!$D$12,"")</f>
        <v/>
      </c>
      <c r="J48" s="779" t="str">
        <f>IFERROR(IF(ISNUMBER(H48),H48*'Mão de Obra'!$D$12/12,1)*G48*F48,"")</f>
        <v/>
      </c>
    </row>
    <row r="49" spans="2:10" s="42" customFormat="1">
      <c r="B49" s="250">
        <v>44</v>
      </c>
      <c r="C49" s="250"/>
      <c r="D49" s="387"/>
      <c r="E49" s="250" t="str">
        <f>IFERROR(VLOOKUP($D49,'Apoio - Mat Coletivo e Equip'!$A:$D,2,FALSE),"")</f>
        <v/>
      </c>
      <c r="F49" s="450"/>
      <c r="G49" s="748" t="str">
        <f>IFERROR(VLOOKUP($D49,'Apoio - Mat Coletivo e Equip'!$A:$D,3,FALSE),"")</f>
        <v/>
      </c>
      <c r="H49" s="747" t="str">
        <f>IFERROR(IF(VLOOKUP($D49,'Apoio - Mat Coletivo e Equip'!$A:$D,4,FALSE)=0,"",VLOOKUP($D49,'Apoio - Mat Coletivo e Equip'!$A:$D,4,FALSE)),"")</f>
        <v/>
      </c>
      <c r="I49" s="779" t="str">
        <f>IFERROR(J49/'Mão de Obra'!$D$12,"")</f>
        <v/>
      </c>
      <c r="J49" s="779" t="str">
        <f>IFERROR(IF(ISNUMBER(H49),H49*'Mão de Obra'!$D$12/12,1)*G49*F49,"")</f>
        <v/>
      </c>
    </row>
    <row r="50" spans="2:10" s="42" customFormat="1">
      <c r="B50" s="250">
        <v>45</v>
      </c>
      <c r="C50" s="250"/>
      <c r="D50" s="387"/>
      <c r="E50" s="250" t="str">
        <f>IFERROR(VLOOKUP($D50,'Apoio - Mat Coletivo e Equip'!$A:$D,2,FALSE),"")</f>
        <v/>
      </c>
      <c r="F50" s="450"/>
      <c r="G50" s="748" t="str">
        <f>IFERROR(VLOOKUP($D50,'Apoio - Mat Coletivo e Equip'!$A:$D,3,FALSE),"")</f>
        <v/>
      </c>
      <c r="H50" s="747" t="str">
        <f>IFERROR(IF(VLOOKUP($D50,'Apoio - Mat Coletivo e Equip'!$A:$D,4,FALSE)=0,"",VLOOKUP($D50,'Apoio - Mat Coletivo e Equip'!$A:$D,4,FALSE)),"")</f>
        <v/>
      </c>
      <c r="I50" s="779" t="str">
        <f>IFERROR(J50/'Mão de Obra'!$D$12,"")</f>
        <v/>
      </c>
      <c r="J50" s="779" t="str">
        <f>IFERROR(IF(ISNUMBER(H50),H50*'Mão de Obra'!$D$12/12,1)*G50*F50,"")</f>
        <v/>
      </c>
    </row>
    <row r="51" spans="2:10" s="42" customFormat="1">
      <c r="B51" s="250">
        <v>46</v>
      </c>
      <c r="C51" s="250"/>
      <c r="D51" s="387"/>
      <c r="E51" s="250" t="str">
        <f>IFERROR(VLOOKUP($D51,'Apoio - Mat Coletivo e Equip'!$A:$D,2,FALSE),"")</f>
        <v/>
      </c>
      <c r="F51" s="450"/>
      <c r="G51" s="748" t="str">
        <f>IFERROR(VLOOKUP($D51,'Apoio - Mat Coletivo e Equip'!$A:$D,3,FALSE),"")</f>
        <v/>
      </c>
      <c r="H51" s="747" t="str">
        <f>IFERROR(IF(VLOOKUP($D51,'Apoio - Mat Coletivo e Equip'!$A:$D,4,FALSE)=0,"",VLOOKUP($D51,'Apoio - Mat Coletivo e Equip'!$A:$D,4,FALSE)),"")</f>
        <v/>
      </c>
      <c r="I51" s="779" t="str">
        <f>IFERROR(J51/'Mão de Obra'!$D$12,"")</f>
        <v/>
      </c>
      <c r="J51" s="779" t="str">
        <f>IFERROR(IF(ISNUMBER(H51),H51*'Mão de Obra'!$D$12/12,1)*G51*F51,"")</f>
        <v/>
      </c>
    </row>
    <row r="52" spans="2:10" s="42" customFormat="1">
      <c r="B52" s="250">
        <v>47</v>
      </c>
      <c r="C52" s="250"/>
      <c r="D52" s="387"/>
      <c r="E52" s="250" t="str">
        <f>IFERROR(VLOOKUP($D52,'Apoio - Mat Coletivo e Equip'!$A:$D,2,FALSE),"")</f>
        <v/>
      </c>
      <c r="F52" s="450"/>
      <c r="G52" s="748" t="str">
        <f>IFERROR(VLOOKUP($D52,'Apoio - Mat Coletivo e Equip'!$A:$D,3,FALSE),"")</f>
        <v/>
      </c>
      <c r="H52" s="747" t="str">
        <f>IFERROR(IF(VLOOKUP($D52,'Apoio - Mat Coletivo e Equip'!$A:$D,4,FALSE)=0,"",VLOOKUP($D52,'Apoio - Mat Coletivo e Equip'!$A:$D,4,FALSE)),"")</f>
        <v/>
      </c>
      <c r="I52" s="779" t="str">
        <f>IFERROR(J52/'Mão de Obra'!$D$12,"")</f>
        <v/>
      </c>
      <c r="J52" s="779" t="str">
        <f>IFERROR(IF(ISNUMBER(H52),H52*'Mão de Obra'!$D$12/12,1)*G52*F52,"")</f>
        <v/>
      </c>
    </row>
    <row r="53" spans="2:10" s="42" customFormat="1">
      <c r="B53" s="250">
        <v>48</v>
      </c>
      <c r="C53" s="250"/>
      <c r="D53" s="387"/>
      <c r="E53" s="250" t="str">
        <f>IFERROR(VLOOKUP($D53,'Apoio - Mat Coletivo e Equip'!$A:$D,2,FALSE),"")</f>
        <v/>
      </c>
      <c r="F53" s="450"/>
      <c r="G53" s="748" t="str">
        <f>IFERROR(VLOOKUP($D53,'Apoio - Mat Coletivo e Equip'!$A:$D,3,FALSE),"")</f>
        <v/>
      </c>
      <c r="H53" s="747" t="str">
        <f>IFERROR(IF(VLOOKUP($D53,'Apoio - Mat Coletivo e Equip'!$A:$D,4,FALSE)=0,"",VLOOKUP($D53,'Apoio - Mat Coletivo e Equip'!$A:$D,4,FALSE)),"")</f>
        <v/>
      </c>
      <c r="I53" s="779" t="str">
        <f>IFERROR(J53/'Mão de Obra'!$D$12,"")</f>
        <v/>
      </c>
      <c r="J53" s="779" t="str">
        <f>IFERROR(IF(ISNUMBER(H53),H53*'Mão de Obra'!$D$12/12,1)*G53*F53,"")</f>
        <v/>
      </c>
    </row>
    <row r="54" spans="2:10" s="42" customFormat="1">
      <c r="B54" s="250">
        <v>49</v>
      </c>
      <c r="C54" s="250"/>
      <c r="D54" s="387"/>
      <c r="E54" s="250" t="str">
        <f>IFERROR(VLOOKUP($D54,'Apoio - Mat Coletivo e Equip'!$A:$D,2,FALSE),"")</f>
        <v/>
      </c>
      <c r="F54" s="450"/>
      <c r="G54" s="748" t="str">
        <f>IFERROR(VLOOKUP($D54,'Apoio - Mat Coletivo e Equip'!$A:$D,3,FALSE),"")</f>
        <v/>
      </c>
      <c r="H54" s="747" t="str">
        <f>IFERROR(IF(VLOOKUP($D54,'Apoio - Mat Coletivo e Equip'!$A:$D,4,FALSE)=0,"",VLOOKUP($D54,'Apoio - Mat Coletivo e Equip'!$A:$D,4,FALSE)),"")</f>
        <v/>
      </c>
      <c r="I54" s="779" t="str">
        <f>IFERROR(J54/'Mão de Obra'!$D$12,"")</f>
        <v/>
      </c>
      <c r="J54" s="779" t="str">
        <f>IFERROR(IF(ISNUMBER(H54),H54*'Mão de Obra'!$D$12/12,1)*G54*F54,"")</f>
        <v/>
      </c>
    </row>
    <row r="55" spans="2:10" s="42" customFormat="1">
      <c r="B55" s="250">
        <v>50</v>
      </c>
      <c r="C55" s="250"/>
      <c r="D55" s="387"/>
      <c r="E55" s="250" t="str">
        <f>IFERROR(VLOOKUP($D55,'Apoio - Mat Coletivo e Equip'!$A:$D,2,FALSE),"")</f>
        <v/>
      </c>
      <c r="F55" s="450"/>
      <c r="G55" s="748" t="str">
        <f>IFERROR(VLOOKUP($D55,'Apoio - Mat Coletivo e Equip'!$A:$D,3,FALSE),"")</f>
        <v/>
      </c>
      <c r="H55" s="747" t="str">
        <f>IFERROR(IF(VLOOKUP($D55,'Apoio - Mat Coletivo e Equip'!$A:$D,4,FALSE)=0,"",VLOOKUP($D55,'Apoio - Mat Coletivo e Equip'!$A:$D,4,FALSE)),"")</f>
        <v/>
      </c>
      <c r="I55" s="779" t="str">
        <f>IFERROR(J55/'Mão de Obra'!$D$12,"")</f>
        <v/>
      </c>
      <c r="J55" s="779" t="str">
        <f>IFERROR(IF(ISNUMBER(H55),H55*'Mão de Obra'!$D$12/12,1)*G55*F55,"")</f>
        <v/>
      </c>
    </row>
    <row r="56" spans="2:10" s="42" customFormat="1">
      <c r="B56" s="250">
        <v>51</v>
      </c>
      <c r="C56" s="250"/>
      <c r="D56" s="387"/>
      <c r="E56" s="250" t="str">
        <f>IFERROR(VLOOKUP($D56,'Apoio - Mat Coletivo e Equip'!$A:$D,2,FALSE),"")</f>
        <v/>
      </c>
      <c r="F56" s="450"/>
      <c r="G56" s="748" t="str">
        <f>IFERROR(VLOOKUP($D56,'Apoio - Mat Coletivo e Equip'!$A:$D,3,FALSE),"")</f>
        <v/>
      </c>
      <c r="H56" s="747" t="str">
        <f>IFERROR(IF(VLOOKUP($D56,'Apoio - Mat Coletivo e Equip'!$A:$D,4,FALSE)=0,"",VLOOKUP($D56,'Apoio - Mat Coletivo e Equip'!$A:$D,4,FALSE)),"")</f>
        <v/>
      </c>
      <c r="I56" s="779" t="str">
        <f>IFERROR(J56/'Mão de Obra'!$D$12,"")</f>
        <v/>
      </c>
      <c r="J56" s="779" t="str">
        <f>IFERROR(IF(ISNUMBER(H56),H56*'Mão de Obra'!$D$12/12,1)*G56*F56,"")</f>
        <v/>
      </c>
    </row>
    <row r="57" spans="2:10" s="42" customFormat="1">
      <c r="B57" s="250">
        <v>52</v>
      </c>
      <c r="C57" s="250"/>
      <c r="D57" s="387"/>
      <c r="E57" s="250" t="str">
        <f>IFERROR(VLOOKUP($D57,'Apoio - Mat Coletivo e Equip'!$A:$D,2,FALSE),"")</f>
        <v/>
      </c>
      <c r="F57" s="450"/>
      <c r="G57" s="748" t="str">
        <f>IFERROR(VLOOKUP($D57,'Apoio - Mat Coletivo e Equip'!$A:$D,3,FALSE),"")</f>
        <v/>
      </c>
      <c r="H57" s="747" t="str">
        <f>IFERROR(IF(VLOOKUP($D57,'Apoio - Mat Coletivo e Equip'!$A:$D,4,FALSE)=0,"",VLOOKUP($D57,'Apoio - Mat Coletivo e Equip'!$A:$D,4,FALSE)),"")</f>
        <v/>
      </c>
      <c r="I57" s="779" t="str">
        <f>IFERROR(J57/'Mão de Obra'!$D$12,"")</f>
        <v/>
      </c>
      <c r="J57" s="779" t="str">
        <f>IFERROR(IF(ISNUMBER(H57),H57*'Mão de Obra'!$D$12/12,1)*G57*F57,"")</f>
        <v/>
      </c>
    </row>
    <row r="58" spans="2:10" s="42" customFormat="1">
      <c r="B58" s="250">
        <v>53</v>
      </c>
      <c r="C58" s="250"/>
      <c r="D58" s="387"/>
      <c r="E58" s="250" t="str">
        <f>IFERROR(VLOOKUP($D58,'Apoio - Mat Coletivo e Equip'!$A:$D,2,FALSE),"")</f>
        <v/>
      </c>
      <c r="F58" s="450"/>
      <c r="G58" s="748" t="str">
        <f>IFERROR(VLOOKUP($D58,'Apoio - Mat Coletivo e Equip'!$A:$D,3,FALSE),"")</f>
        <v/>
      </c>
      <c r="H58" s="747" t="str">
        <f>IFERROR(IF(VLOOKUP($D58,'Apoio - Mat Coletivo e Equip'!$A:$D,4,FALSE)=0,"",VLOOKUP($D58,'Apoio - Mat Coletivo e Equip'!$A:$D,4,FALSE)),"")</f>
        <v/>
      </c>
      <c r="I58" s="779" t="str">
        <f>IFERROR(J58/'Mão de Obra'!$D$12,"")</f>
        <v/>
      </c>
      <c r="J58" s="779" t="str">
        <f>IFERROR(IF(ISNUMBER(H58),H58*'Mão de Obra'!$D$12/12,1)*G58*F58,"")</f>
        <v/>
      </c>
    </row>
    <row r="59" spans="2:10" s="42" customFormat="1">
      <c r="B59" s="250">
        <v>54</v>
      </c>
      <c r="C59" s="250"/>
      <c r="D59" s="387"/>
      <c r="E59" s="250" t="str">
        <f>IFERROR(VLOOKUP($D59,'Apoio - Mat Coletivo e Equip'!$A:$D,2,FALSE),"")</f>
        <v/>
      </c>
      <c r="F59" s="450"/>
      <c r="G59" s="748" t="str">
        <f>IFERROR(VLOOKUP($D59,'Apoio - Mat Coletivo e Equip'!$A:$D,3,FALSE),"")</f>
        <v/>
      </c>
      <c r="H59" s="747" t="str">
        <f>IFERROR(IF(VLOOKUP($D59,'Apoio - Mat Coletivo e Equip'!$A:$D,4,FALSE)=0,"",VLOOKUP($D59,'Apoio - Mat Coletivo e Equip'!$A:$D,4,FALSE)),"")</f>
        <v/>
      </c>
      <c r="I59" s="779" t="str">
        <f>IFERROR(J59/'Mão de Obra'!$D$12,"")</f>
        <v/>
      </c>
      <c r="J59" s="779" t="str">
        <f>IFERROR(IF(ISNUMBER(H59),H59*'Mão de Obra'!$D$12/12,1)*G59*F59,"")</f>
        <v/>
      </c>
    </row>
    <row r="60" spans="2:10" s="42" customFormat="1">
      <c r="B60" s="250">
        <v>55</v>
      </c>
      <c r="C60" s="250"/>
      <c r="D60" s="387"/>
      <c r="E60" s="250" t="str">
        <f>IFERROR(VLOOKUP($D60,'Apoio - Mat Coletivo e Equip'!$A:$D,2,FALSE),"")</f>
        <v/>
      </c>
      <c r="F60" s="450"/>
      <c r="G60" s="748" t="str">
        <f>IFERROR(VLOOKUP($D60,'Apoio - Mat Coletivo e Equip'!$A:$D,3,FALSE),"")</f>
        <v/>
      </c>
      <c r="H60" s="747" t="str">
        <f>IFERROR(IF(VLOOKUP($D60,'Apoio - Mat Coletivo e Equip'!$A:$D,4,FALSE)=0,"",VLOOKUP($D60,'Apoio - Mat Coletivo e Equip'!$A:$D,4,FALSE)),"")</f>
        <v/>
      </c>
      <c r="I60" s="779" t="str">
        <f>IFERROR(J60/'Mão de Obra'!$D$12,"")</f>
        <v/>
      </c>
      <c r="J60" s="779" t="str">
        <f>IFERROR(IF(ISNUMBER(H60),H60*'Mão de Obra'!$D$12/12,1)*G60*F60,"")</f>
        <v/>
      </c>
    </row>
    <row r="61" spans="2:10" s="42" customFormat="1">
      <c r="B61" s="250">
        <v>56</v>
      </c>
      <c r="C61" s="250"/>
      <c r="D61" s="387"/>
      <c r="E61" s="250" t="str">
        <f>IFERROR(VLOOKUP($D61,'Apoio - Mat Coletivo e Equip'!$A:$D,2,FALSE),"")</f>
        <v/>
      </c>
      <c r="F61" s="450"/>
      <c r="G61" s="748" t="str">
        <f>IFERROR(VLOOKUP($D61,'Apoio - Mat Coletivo e Equip'!$A:$D,3,FALSE),"")</f>
        <v/>
      </c>
      <c r="H61" s="747" t="str">
        <f>IFERROR(IF(VLOOKUP($D61,'Apoio - Mat Coletivo e Equip'!$A:$D,4,FALSE)=0,"",VLOOKUP($D61,'Apoio - Mat Coletivo e Equip'!$A:$D,4,FALSE)),"")</f>
        <v/>
      </c>
      <c r="I61" s="779" t="str">
        <f>IFERROR(J61/'Mão de Obra'!$D$12,"")</f>
        <v/>
      </c>
      <c r="J61" s="779" t="str">
        <f>IFERROR(IF(ISNUMBER(H61),H61*'Mão de Obra'!$D$12/12,1)*G61*F61,"")</f>
        <v/>
      </c>
    </row>
    <row r="62" spans="2:10" s="42" customFormat="1">
      <c r="B62" s="250">
        <v>57</v>
      </c>
      <c r="C62" s="250"/>
      <c r="D62" s="387"/>
      <c r="E62" s="250" t="str">
        <f>IFERROR(VLOOKUP($D62,'Apoio - Mat Coletivo e Equip'!$A:$D,2,FALSE),"")</f>
        <v/>
      </c>
      <c r="F62" s="450"/>
      <c r="G62" s="748" t="str">
        <f>IFERROR(VLOOKUP($D62,'Apoio - Mat Coletivo e Equip'!$A:$D,3,FALSE),"")</f>
        <v/>
      </c>
      <c r="H62" s="747" t="str">
        <f>IFERROR(IF(VLOOKUP($D62,'Apoio - Mat Coletivo e Equip'!$A:$D,4,FALSE)=0,"",VLOOKUP($D62,'Apoio - Mat Coletivo e Equip'!$A:$D,4,FALSE)),"")</f>
        <v/>
      </c>
      <c r="I62" s="779" t="str">
        <f>IFERROR(J62/'Mão de Obra'!$D$12,"")</f>
        <v/>
      </c>
      <c r="J62" s="779" t="str">
        <f>IFERROR(IF(ISNUMBER(H62),H62*'Mão de Obra'!$D$12/12,1)*G62*F62,"")</f>
        <v/>
      </c>
    </row>
    <row r="63" spans="2:10" s="42" customFormat="1">
      <c r="B63" s="250">
        <v>58</v>
      </c>
      <c r="C63" s="250"/>
      <c r="D63" s="387"/>
      <c r="E63" s="250" t="str">
        <f>IFERROR(VLOOKUP($D63,'Apoio - Mat Coletivo e Equip'!$A:$D,2,FALSE),"")</f>
        <v/>
      </c>
      <c r="F63" s="450"/>
      <c r="G63" s="748" t="str">
        <f>IFERROR(VLOOKUP($D63,'Apoio - Mat Coletivo e Equip'!$A:$D,3,FALSE),"")</f>
        <v/>
      </c>
      <c r="H63" s="747" t="str">
        <f>IFERROR(IF(VLOOKUP($D63,'Apoio - Mat Coletivo e Equip'!$A:$D,4,FALSE)=0,"",VLOOKUP($D63,'Apoio - Mat Coletivo e Equip'!$A:$D,4,FALSE)),"")</f>
        <v/>
      </c>
      <c r="I63" s="779" t="str">
        <f>IFERROR(J63/'Mão de Obra'!$D$12,"")</f>
        <v/>
      </c>
      <c r="J63" s="779" t="str">
        <f>IFERROR(IF(ISNUMBER(H63),H63*'Mão de Obra'!$D$12/12,1)*G63*F63,"")</f>
        <v/>
      </c>
    </row>
    <row r="64" spans="2:10" s="42" customFormat="1">
      <c r="B64" s="250">
        <v>59</v>
      </c>
      <c r="C64" s="250"/>
      <c r="D64" s="387"/>
      <c r="E64" s="250" t="str">
        <f>IFERROR(VLOOKUP($D64,'Apoio - Mat Coletivo e Equip'!$A:$D,2,FALSE),"")</f>
        <v/>
      </c>
      <c r="F64" s="450"/>
      <c r="G64" s="748" t="str">
        <f>IFERROR(VLOOKUP($D64,'Apoio - Mat Coletivo e Equip'!$A:$D,3,FALSE),"")</f>
        <v/>
      </c>
      <c r="H64" s="747" t="str">
        <f>IFERROR(IF(VLOOKUP($D64,'Apoio - Mat Coletivo e Equip'!$A:$D,4,FALSE)=0,"",VLOOKUP($D64,'Apoio - Mat Coletivo e Equip'!$A:$D,4,FALSE)),"")</f>
        <v/>
      </c>
      <c r="I64" s="779" t="str">
        <f>IFERROR(J64/'Mão de Obra'!$D$12,"")</f>
        <v/>
      </c>
      <c r="J64" s="779" t="str">
        <f>IFERROR(IF(ISNUMBER(H64),H64*'Mão de Obra'!$D$12/12,1)*G64*F64,"")</f>
        <v/>
      </c>
    </row>
    <row r="65" spans="2:10" s="42" customFormat="1">
      <c r="B65" s="250">
        <v>60</v>
      </c>
      <c r="C65" s="250"/>
      <c r="D65" s="387"/>
      <c r="E65" s="250" t="str">
        <f>IFERROR(VLOOKUP($D65,'Apoio - Mat Coletivo e Equip'!$A:$D,2,FALSE),"")</f>
        <v/>
      </c>
      <c r="F65" s="450"/>
      <c r="G65" s="748" t="str">
        <f>IFERROR(VLOOKUP($D65,'Apoio - Mat Coletivo e Equip'!$A:$D,3,FALSE),"")</f>
        <v/>
      </c>
      <c r="H65" s="747" t="str">
        <f>IFERROR(IF(VLOOKUP($D65,'Apoio - Mat Coletivo e Equip'!$A:$D,4,FALSE)=0,"",VLOOKUP($D65,'Apoio - Mat Coletivo e Equip'!$A:$D,4,FALSE)),"")</f>
        <v/>
      </c>
      <c r="I65" s="779" t="str">
        <f>IFERROR(J65/'Mão de Obra'!$D$12,"")</f>
        <v/>
      </c>
      <c r="J65" s="779" t="str">
        <f>IFERROR(IF(ISNUMBER(H65),H65*'Mão de Obra'!$D$12/12,1)*G65*F65,"")</f>
        <v/>
      </c>
    </row>
    <row r="66" spans="2:10" s="42" customFormat="1">
      <c r="B66" s="250">
        <v>61</v>
      </c>
      <c r="C66" s="250"/>
      <c r="D66" s="387"/>
      <c r="E66" s="250" t="str">
        <f>IFERROR(VLOOKUP($D66,'Apoio - Mat Coletivo e Equip'!$A:$D,2,FALSE),"")</f>
        <v/>
      </c>
      <c r="F66" s="450"/>
      <c r="G66" s="748" t="str">
        <f>IFERROR(VLOOKUP($D66,'Apoio - Mat Coletivo e Equip'!$A:$D,3,FALSE),"")</f>
        <v/>
      </c>
      <c r="H66" s="747" t="str">
        <f>IFERROR(IF(VLOOKUP($D66,'Apoio - Mat Coletivo e Equip'!$A:$D,4,FALSE)=0,"",VLOOKUP($D66,'Apoio - Mat Coletivo e Equip'!$A:$D,4,FALSE)),"")</f>
        <v/>
      </c>
      <c r="I66" s="779" t="str">
        <f>IFERROR(J66/'Mão de Obra'!$D$12,"")</f>
        <v/>
      </c>
      <c r="J66" s="779" t="str">
        <f>IFERROR(IF(ISNUMBER(H66),H66*'Mão de Obra'!$D$12/12,1)*G66*F66,"")</f>
        <v/>
      </c>
    </row>
    <row r="67" spans="2:10" s="42" customFormat="1">
      <c r="B67" s="250">
        <v>62</v>
      </c>
      <c r="C67" s="250"/>
      <c r="D67" s="387"/>
      <c r="E67" s="250" t="str">
        <f>IFERROR(VLOOKUP($D67,'Apoio - Mat Coletivo e Equip'!$A:$D,2,FALSE),"")</f>
        <v/>
      </c>
      <c r="F67" s="450"/>
      <c r="G67" s="748" t="str">
        <f>IFERROR(VLOOKUP($D67,'Apoio - Mat Coletivo e Equip'!$A:$D,3,FALSE),"")</f>
        <v/>
      </c>
      <c r="H67" s="747" t="str">
        <f>IFERROR(IF(VLOOKUP($D67,'Apoio - Mat Coletivo e Equip'!$A:$D,4,FALSE)=0,"",VLOOKUP($D67,'Apoio - Mat Coletivo e Equip'!$A:$D,4,FALSE)),"")</f>
        <v/>
      </c>
      <c r="I67" s="779" t="str">
        <f>IFERROR(J67/'Mão de Obra'!$D$12,"")</f>
        <v/>
      </c>
      <c r="J67" s="779" t="str">
        <f>IFERROR(IF(ISNUMBER(H67),H67*'Mão de Obra'!$D$12/12,1)*G67*F67,"")</f>
        <v/>
      </c>
    </row>
    <row r="68" spans="2:10" s="42" customFormat="1">
      <c r="B68" s="250">
        <v>63</v>
      </c>
      <c r="C68" s="250"/>
      <c r="D68" s="387"/>
      <c r="E68" s="250" t="str">
        <f>IFERROR(VLOOKUP($D68,'Apoio - Mat Coletivo e Equip'!$A:$D,2,FALSE),"")</f>
        <v/>
      </c>
      <c r="F68" s="450"/>
      <c r="G68" s="748" t="str">
        <f>IFERROR(VLOOKUP($D68,'Apoio - Mat Coletivo e Equip'!$A:$D,3,FALSE),"")</f>
        <v/>
      </c>
      <c r="H68" s="747" t="str">
        <f>IFERROR(IF(VLOOKUP($D68,'Apoio - Mat Coletivo e Equip'!$A:$D,4,FALSE)=0,"",VLOOKUP($D68,'Apoio - Mat Coletivo e Equip'!$A:$D,4,FALSE)),"")</f>
        <v/>
      </c>
      <c r="I68" s="779" t="str">
        <f>IFERROR(J68/'Mão de Obra'!$D$12,"")</f>
        <v/>
      </c>
      <c r="J68" s="779" t="str">
        <f>IFERROR(IF(ISNUMBER(H68),H68*'Mão de Obra'!$D$12/12,1)*G68*F68,"")</f>
        <v/>
      </c>
    </row>
    <row r="69" spans="2:10" s="42" customFormat="1">
      <c r="B69" s="250">
        <v>64</v>
      </c>
      <c r="C69" s="250"/>
      <c r="D69" s="387"/>
      <c r="E69" s="250" t="str">
        <f>IFERROR(VLOOKUP($D69,'Apoio - Mat Coletivo e Equip'!$A:$D,2,FALSE),"")</f>
        <v/>
      </c>
      <c r="F69" s="450"/>
      <c r="G69" s="748" t="str">
        <f>IFERROR(VLOOKUP($D69,'Apoio - Mat Coletivo e Equip'!$A:$D,3,FALSE),"")</f>
        <v/>
      </c>
      <c r="H69" s="747" t="str">
        <f>IFERROR(IF(VLOOKUP($D69,'Apoio - Mat Coletivo e Equip'!$A:$D,4,FALSE)=0,"",VLOOKUP($D69,'Apoio - Mat Coletivo e Equip'!$A:$D,4,FALSE)),"")</f>
        <v/>
      </c>
      <c r="I69" s="779" t="str">
        <f>IFERROR(J69/'Mão de Obra'!$D$12,"")</f>
        <v/>
      </c>
      <c r="J69" s="779" t="str">
        <f>IFERROR(IF(ISNUMBER(H69),H69*'Mão de Obra'!$D$12/12,1)*G69*F69,"")</f>
        <v/>
      </c>
    </row>
    <row r="70" spans="2:10" s="42" customFormat="1">
      <c r="B70" s="250">
        <v>65</v>
      </c>
      <c r="C70" s="250"/>
      <c r="D70" s="387"/>
      <c r="E70" s="250" t="str">
        <f>IFERROR(VLOOKUP($D70,'Apoio - Mat Coletivo e Equip'!$A:$D,2,FALSE),"")</f>
        <v/>
      </c>
      <c r="F70" s="450"/>
      <c r="G70" s="748" t="str">
        <f>IFERROR(VLOOKUP($D70,'Apoio - Mat Coletivo e Equip'!$A:$D,3,FALSE),"")</f>
        <v/>
      </c>
      <c r="H70" s="747" t="str">
        <f>IFERROR(IF(VLOOKUP($D70,'Apoio - Mat Coletivo e Equip'!$A:$D,4,FALSE)=0,"",VLOOKUP($D70,'Apoio - Mat Coletivo e Equip'!$A:$D,4,FALSE)),"")</f>
        <v/>
      </c>
      <c r="I70" s="779" t="str">
        <f>IFERROR(J70/'Mão de Obra'!$D$12,"")</f>
        <v/>
      </c>
      <c r="J70" s="779" t="str">
        <f>IFERROR(IF(ISNUMBER(H70),H70*'Mão de Obra'!$D$12/12,1)*G70*F70,"")</f>
        <v/>
      </c>
    </row>
    <row r="71" spans="2:10" s="42" customFormat="1">
      <c r="B71" s="250">
        <v>66</v>
      </c>
      <c r="C71" s="250"/>
      <c r="D71" s="387"/>
      <c r="E71" s="250" t="str">
        <f>IFERROR(VLOOKUP($D71,'Apoio - Mat Coletivo e Equip'!$A:$D,2,FALSE),"")</f>
        <v/>
      </c>
      <c r="F71" s="450"/>
      <c r="G71" s="748" t="str">
        <f>IFERROR(VLOOKUP($D71,'Apoio - Mat Coletivo e Equip'!$A:$D,3,FALSE),"")</f>
        <v/>
      </c>
      <c r="H71" s="747" t="str">
        <f>IFERROR(IF(VLOOKUP($D71,'Apoio - Mat Coletivo e Equip'!$A:$D,4,FALSE)=0,"",VLOOKUP($D71,'Apoio - Mat Coletivo e Equip'!$A:$D,4,FALSE)),"")</f>
        <v/>
      </c>
      <c r="I71" s="779" t="str">
        <f>IFERROR(J71/'Mão de Obra'!$D$12,"")</f>
        <v/>
      </c>
      <c r="J71" s="779" t="str">
        <f>IFERROR(IF(ISNUMBER(H71),H71*'Mão de Obra'!$D$12/12,1)*G71*F71,"")</f>
        <v/>
      </c>
    </row>
    <row r="72" spans="2:10" s="42" customFormat="1">
      <c r="B72" s="250">
        <v>67</v>
      </c>
      <c r="C72" s="250"/>
      <c r="D72" s="387"/>
      <c r="E72" s="250" t="str">
        <f>IFERROR(VLOOKUP($D72,'Apoio - Mat Coletivo e Equip'!$A:$D,2,FALSE),"")</f>
        <v/>
      </c>
      <c r="F72" s="450"/>
      <c r="G72" s="748" t="str">
        <f>IFERROR(VLOOKUP($D72,'Apoio - Mat Coletivo e Equip'!$A:$D,3,FALSE),"")</f>
        <v/>
      </c>
      <c r="H72" s="747" t="str">
        <f>IFERROR(IF(VLOOKUP($D72,'Apoio - Mat Coletivo e Equip'!$A:$D,4,FALSE)=0,"",VLOOKUP($D72,'Apoio - Mat Coletivo e Equip'!$A:$D,4,FALSE)),"")</f>
        <v/>
      </c>
      <c r="I72" s="779" t="str">
        <f>IFERROR(J72/'Mão de Obra'!$D$12,"")</f>
        <v/>
      </c>
      <c r="J72" s="779" t="str">
        <f>IFERROR(IF(ISNUMBER(H72),H72*'Mão de Obra'!$D$12/12,1)*G72*F72,"")</f>
        <v/>
      </c>
    </row>
    <row r="73" spans="2:10" s="42" customFormat="1">
      <c r="B73" s="250">
        <v>68</v>
      </c>
      <c r="C73" s="250"/>
      <c r="D73" s="387"/>
      <c r="E73" s="250" t="str">
        <f>IFERROR(VLOOKUP($D73,'Apoio - Mat Coletivo e Equip'!$A:$D,2,FALSE),"")</f>
        <v/>
      </c>
      <c r="F73" s="450"/>
      <c r="G73" s="748" t="str">
        <f>IFERROR(VLOOKUP($D73,'Apoio - Mat Coletivo e Equip'!$A:$D,3,FALSE),"")</f>
        <v/>
      </c>
      <c r="H73" s="747" t="str">
        <f>IFERROR(IF(VLOOKUP($D73,'Apoio - Mat Coletivo e Equip'!$A:$D,4,FALSE)=0,"",VLOOKUP($D73,'Apoio - Mat Coletivo e Equip'!$A:$D,4,FALSE)),"")</f>
        <v/>
      </c>
      <c r="I73" s="779" t="str">
        <f>IFERROR(J73/'Mão de Obra'!$D$12,"")</f>
        <v/>
      </c>
      <c r="J73" s="779" t="str">
        <f>IFERROR(IF(ISNUMBER(H73),H73*'Mão de Obra'!$D$12/12,1)*G73*F73,"")</f>
        <v/>
      </c>
    </row>
    <row r="74" spans="2:10" s="42" customFormat="1">
      <c r="B74" s="250">
        <v>69</v>
      </c>
      <c r="C74" s="250"/>
      <c r="D74" s="387"/>
      <c r="E74" s="250" t="str">
        <f>IFERROR(VLOOKUP($D74,'Apoio - Mat Coletivo e Equip'!$A:$D,2,FALSE),"")</f>
        <v/>
      </c>
      <c r="F74" s="450"/>
      <c r="G74" s="748" t="str">
        <f>IFERROR(VLOOKUP($D74,'Apoio - Mat Coletivo e Equip'!$A:$D,3,FALSE),"")</f>
        <v/>
      </c>
      <c r="H74" s="747" t="str">
        <f>IFERROR(IF(VLOOKUP($D74,'Apoio - Mat Coletivo e Equip'!$A:$D,4,FALSE)=0,"",VLOOKUP($D74,'Apoio - Mat Coletivo e Equip'!$A:$D,4,FALSE)),"")</f>
        <v/>
      </c>
      <c r="I74" s="779" t="str">
        <f>IFERROR(J74/'Mão de Obra'!$D$12,"")</f>
        <v/>
      </c>
      <c r="J74" s="779" t="str">
        <f>IFERROR(IF(ISNUMBER(H74),H74*'Mão de Obra'!$D$12/12,1)*G74*F74,"")</f>
        <v/>
      </c>
    </row>
    <row r="75" spans="2:10" s="42" customFormat="1">
      <c r="B75" s="250">
        <v>70</v>
      </c>
      <c r="C75" s="250"/>
      <c r="D75" s="387"/>
      <c r="E75" s="250" t="str">
        <f>IFERROR(VLOOKUP($D75,'Apoio - Mat Coletivo e Equip'!$A:$D,2,FALSE),"")</f>
        <v/>
      </c>
      <c r="F75" s="450"/>
      <c r="G75" s="748" t="str">
        <f>IFERROR(VLOOKUP($D75,'Apoio - Mat Coletivo e Equip'!$A:$D,3,FALSE),"")</f>
        <v/>
      </c>
      <c r="H75" s="747" t="str">
        <f>IFERROR(IF(VLOOKUP($D75,'Apoio - Mat Coletivo e Equip'!$A:$D,4,FALSE)=0,"",VLOOKUP($D75,'Apoio - Mat Coletivo e Equip'!$A:$D,4,FALSE)),"")</f>
        <v/>
      </c>
      <c r="I75" s="779" t="str">
        <f>IFERROR(J75/'Mão de Obra'!$D$12,"")</f>
        <v/>
      </c>
      <c r="J75" s="779" t="str">
        <f>IFERROR(IF(ISNUMBER(H75),H75*'Mão de Obra'!$D$12/12,1)*G75*F75,"")</f>
        <v/>
      </c>
    </row>
    <row r="76" spans="2:10" s="42" customFormat="1">
      <c r="B76" s="250">
        <v>71</v>
      </c>
      <c r="C76" s="250"/>
      <c r="D76" s="387"/>
      <c r="E76" s="250" t="str">
        <f>IFERROR(VLOOKUP($D76,'Apoio - Mat Coletivo e Equip'!$A:$D,2,FALSE),"")</f>
        <v/>
      </c>
      <c r="F76" s="450"/>
      <c r="G76" s="748" t="str">
        <f>IFERROR(VLOOKUP($D76,'Apoio - Mat Coletivo e Equip'!$A:$D,3,FALSE),"")</f>
        <v/>
      </c>
      <c r="H76" s="747" t="str">
        <f>IFERROR(IF(VLOOKUP($D76,'Apoio - Mat Coletivo e Equip'!$A:$D,4,FALSE)=0,"",VLOOKUP($D76,'Apoio - Mat Coletivo e Equip'!$A:$D,4,FALSE)),"")</f>
        <v/>
      </c>
      <c r="I76" s="779" t="str">
        <f>IFERROR(J76/'Mão de Obra'!$D$12,"")</f>
        <v/>
      </c>
      <c r="J76" s="779" t="str">
        <f>IFERROR(IF(ISNUMBER(H76),H76*'Mão de Obra'!$D$12/12,1)*G76*F76,"")</f>
        <v/>
      </c>
    </row>
    <row r="77" spans="2:10" s="42" customFormat="1">
      <c r="B77" s="250">
        <v>72</v>
      </c>
      <c r="C77" s="250"/>
      <c r="D77" s="387"/>
      <c r="E77" s="250" t="str">
        <f>IFERROR(VLOOKUP($D77,'Apoio - Mat Coletivo e Equip'!$A:$D,2,FALSE),"")</f>
        <v/>
      </c>
      <c r="F77" s="450"/>
      <c r="G77" s="748" t="str">
        <f>IFERROR(VLOOKUP($D77,'Apoio - Mat Coletivo e Equip'!$A:$D,3,FALSE),"")</f>
        <v/>
      </c>
      <c r="H77" s="747" t="str">
        <f>IFERROR(IF(VLOOKUP($D77,'Apoio - Mat Coletivo e Equip'!$A:$D,4,FALSE)=0,"",VLOOKUP($D77,'Apoio - Mat Coletivo e Equip'!$A:$D,4,FALSE)),"")</f>
        <v/>
      </c>
      <c r="I77" s="779" t="str">
        <f>IFERROR(J77/'Mão de Obra'!$D$12,"")</f>
        <v/>
      </c>
      <c r="J77" s="779" t="str">
        <f>IFERROR(IF(ISNUMBER(H77),H77*'Mão de Obra'!$D$12/12,1)*G77*F77,"")</f>
        <v/>
      </c>
    </row>
    <row r="78" spans="2:10" s="42" customFormat="1">
      <c r="B78" s="250">
        <v>73</v>
      </c>
      <c r="C78" s="250"/>
      <c r="D78" s="387"/>
      <c r="E78" s="250" t="str">
        <f>IFERROR(VLOOKUP($D78,'Apoio - Mat Coletivo e Equip'!$A:$D,2,FALSE),"")</f>
        <v/>
      </c>
      <c r="F78" s="450"/>
      <c r="G78" s="748" t="str">
        <f>IFERROR(VLOOKUP($D78,'Apoio - Mat Coletivo e Equip'!$A:$D,3,FALSE),"")</f>
        <v/>
      </c>
      <c r="H78" s="747" t="str">
        <f>IFERROR(IF(VLOOKUP($D78,'Apoio - Mat Coletivo e Equip'!$A:$D,4,FALSE)=0,"",VLOOKUP($D78,'Apoio - Mat Coletivo e Equip'!$A:$D,4,FALSE)),"")</f>
        <v/>
      </c>
      <c r="I78" s="779" t="str">
        <f>IFERROR(J78/'Mão de Obra'!$D$12,"")</f>
        <v/>
      </c>
      <c r="J78" s="779" t="str">
        <f>IFERROR(IF(ISNUMBER(H78),H78*'Mão de Obra'!$D$12/12,1)*G78*F78,"")</f>
        <v/>
      </c>
    </row>
    <row r="79" spans="2:10" s="42" customFormat="1">
      <c r="B79" s="250">
        <v>74</v>
      </c>
      <c r="C79" s="250"/>
      <c r="D79" s="387"/>
      <c r="E79" s="250" t="str">
        <f>IFERROR(VLOOKUP($D79,'Apoio - Mat Coletivo e Equip'!$A:$D,2,FALSE),"")</f>
        <v/>
      </c>
      <c r="F79" s="450"/>
      <c r="G79" s="748" t="str">
        <f>IFERROR(VLOOKUP($D79,'Apoio - Mat Coletivo e Equip'!$A:$D,3,FALSE),"")</f>
        <v/>
      </c>
      <c r="H79" s="747" t="str">
        <f>IFERROR(IF(VLOOKUP($D79,'Apoio - Mat Coletivo e Equip'!$A:$D,4,FALSE)=0,"",VLOOKUP($D79,'Apoio - Mat Coletivo e Equip'!$A:$D,4,FALSE)),"")</f>
        <v/>
      </c>
      <c r="I79" s="779" t="str">
        <f>IFERROR(J79/'Mão de Obra'!$D$12,"")</f>
        <v/>
      </c>
      <c r="J79" s="779" t="str">
        <f>IFERROR(IF(ISNUMBER(H79),H79*'Mão de Obra'!$D$12/12,1)*G79*F79,"")</f>
        <v/>
      </c>
    </row>
    <row r="80" spans="2:10" s="42" customFormat="1">
      <c r="B80" s="250">
        <v>75</v>
      </c>
      <c r="C80" s="250"/>
      <c r="D80" s="387"/>
      <c r="E80" s="250" t="str">
        <f>IFERROR(VLOOKUP($D80,'Apoio - Mat Coletivo e Equip'!$A:$D,2,FALSE),"")</f>
        <v/>
      </c>
      <c r="F80" s="450"/>
      <c r="G80" s="748" t="str">
        <f>IFERROR(VLOOKUP($D80,'Apoio - Mat Coletivo e Equip'!$A:$D,3,FALSE),"")</f>
        <v/>
      </c>
      <c r="H80" s="747" t="str">
        <f>IFERROR(IF(VLOOKUP($D80,'Apoio - Mat Coletivo e Equip'!$A:$D,4,FALSE)=0,"",VLOOKUP($D80,'Apoio - Mat Coletivo e Equip'!$A:$D,4,FALSE)),"")</f>
        <v/>
      </c>
      <c r="I80" s="779" t="str">
        <f>IFERROR(J80/'Mão de Obra'!$D$12,"")</f>
        <v/>
      </c>
      <c r="J80" s="779" t="str">
        <f>IFERROR(IF(ISNUMBER(H80),H80*'Mão de Obra'!$D$12/12,1)*G80*F80,"")</f>
        <v/>
      </c>
    </row>
    <row r="81" spans="2:10" s="42" customFormat="1">
      <c r="B81" s="250">
        <v>76</v>
      </c>
      <c r="C81" s="250"/>
      <c r="D81" s="387"/>
      <c r="E81" s="250" t="str">
        <f>IFERROR(VLOOKUP($D81,'Apoio - Mat Coletivo e Equip'!$A:$D,2,FALSE),"")</f>
        <v/>
      </c>
      <c r="F81" s="450"/>
      <c r="G81" s="748" t="str">
        <f>IFERROR(VLOOKUP($D81,'Apoio - Mat Coletivo e Equip'!$A:$D,3,FALSE),"")</f>
        <v/>
      </c>
      <c r="H81" s="747" t="str">
        <f>IFERROR(IF(VLOOKUP($D81,'Apoio - Mat Coletivo e Equip'!$A:$D,4,FALSE)=0,"",VLOOKUP($D81,'Apoio - Mat Coletivo e Equip'!$A:$D,4,FALSE)),"")</f>
        <v/>
      </c>
      <c r="I81" s="779" t="str">
        <f>IFERROR(J81/'Mão de Obra'!$D$12,"")</f>
        <v/>
      </c>
      <c r="J81" s="779" t="str">
        <f>IFERROR(IF(ISNUMBER(H81),H81*'Mão de Obra'!$D$12/12,1)*G81*F81,"")</f>
        <v/>
      </c>
    </row>
    <row r="82" spans="2:10" s="42" customFormat="1">
      <c r="B82" s="250">
        <v>77</v>
      </c>
      <c r="C82" s="250"/>
      <c r="D82" s="387"/>
      <c r="E82" s="250" t="str">
        <f>IFERROR(VLOOKUP($D82,'Apoio - Mat Coletivo e Equip'!$A:$D,2,FALSE),"")</f>
        <v/>
      </c>
      <c r="F82" s="450"/>
      <c r="G82" s="748" t="str">
        <f>IFERROR(VLOOKUP($D82,'Apoio - Mat Coletivo e Equip'!$A:$D,3,FALSE),"")</f>
        <v/>
      </c>
      <c r="H82" s="747" t="str">
        <f>IFERROR(IF(VLOOKUP($D82,'Apoio - Mat Coletivo e Equip'!$A:$D,4,FALSE)=0,"",VLOOKUP($D82,'Apoio - Mat Coletivo e Equip'!$A:$D,4,FALSE)),"")</f>
        <v/>
      </c>
      <c r="I82" s="779" t="str">
        <f>IFERROR(J82/'Mão de Obra'!$D$12,"")</f>
        <v/>
      </c>
      <c r="J82" s="779" t="str">
        <f>IFERROR(IF(ISNUMBER(H82),H82*'Mão de Obra'!$D$12/12,1)*G82*F82,"")</f>
        <v/>
      </c>
    </row>
    <row r="83" spans="2:10" s="42" customFormat="1">
      <c r="B83" s="250">
        <v>78</v>
      </c>
      <c r="C83" s="250"/>
      <c r="D83" s="387"/>
      <c r="E83" s="250" t="str">
        <f>IFERROR(VLOOKUP($D83,'Apoio - Mat Coletivo e Equip'!$A:$D,2,FALSE),"")</f>
        <v/>
      </c>
      <c r="F83" s="450"/>
      <c r="G83" s="748" t="str">
        <f>IFERROR(VLOOKUP($D83,'Apoio - Mat Coletivo e Equip'!$A:$D,3,FALSE),"")</f>
        <v/>
      </c>
      <c r="H83" s="747" t="str">
        <f>IFERROR(IF(VLOOKUP($D83,'Apoio - Mat Coletivo e Equip'!$A:$D,4,FALSE)=0,"",VLOOKUP($D83,'Apoio - Mat Coletivo e Equip'!$A:$D,4,FALSE)),"")</f>
        <v/>
      </c>
      <c r="I83" s="779" t="str">
        <f>IFERROR(J83/'Mão de Obra'!$D$12,"")</f>
        <v/>
      </c>
      <c r="J83" s="779" t="str">
        <f>IFERROR(IF(ISNUMBER(H83),H83*'Mão de Obra'!$D$12/12,1)*G83*F83,"")</f>
        <v/>
      </c>
    </row>
    <row r="84" spans="2:10" s="42" customFormat="1">
      <c r="B84" s="250">
        <v>79</v>
      </c>
      <c r="C84" s="250"/>
      <c r="D84" s="387"/>
      <c r="E84" s="250" t="str">
        <f>IFERROR(VLOOKUP($D84,'Apoio - Mat Coletivo e Equip'!$A:$D,2,FALSE),"")</f>
        <v/>
      </c>
      <c r="F84" s="450"/>
      <c r="G84" s="748" t="str">
        <f>IFERROR(VLOOKUP($D84,'Apoio - Mat Coletivo e Equip'!$A:$D,3,FALSE),"")</f>
        <v/>
      </c>
      <c r="H84" s="747" t="str">
        <f>IFERROR(IF(VLOOKUP($D84,'Apoio - Mat Coletivo e Equip'!$A:$D,4,FALSE)=0,"",VLOOKUP($D84,'Apoio - Mat Coletivo e Equip'!$A:$D,4,FALSE)),"")</f>
        <v/>
      </c>
      <c r="I84" s="779" t="str">
        <f>IFERROR(J84/'Mão de Obra'!$D$12,"")</f>
        <v/>
      </c>
      <c r="J84" s="779" t="str">
        <f>IFERROR(IF(ISNUMBER(H84),H84*'Mão de Obra'!$D$12/12,1)*G84*F84,"")</f>
        <v/>
      </c>
    </row>
    <row r="85" spans="2:10" s="42" customFormat="1">
      <c r="B85" s="250">
        <v>80</v>
      </c>
      <c r="C85" s="250"/>
      <c r="D85" s="387"/>
      <c r="E85" s="250" t="str">
        <f>IFERROR(VLOOKUP($D85,'Apoio - Mat Coletivo e Equip'!$A:$D,2,FALSE),"")</f>
        <v/>
      </c>
      <c r="F85" s="450"/>
      <c r="G85" s="748" t="str">
        <f>IFERROR(VLOOKUP($D85,'Apoio - Mat Coletivo e Equip'!$A:$D,3,FALSE),"")</f>
        <v/>
      </c>
      <c r="H85" s="747" t="str">
        <f>IFERROR(IF(VLOOKUP($D85,'Apoio - Mat Coletivo e Equip'!$A:$D,4,FALSE)=0,"",VLOOKUP($D85,'Apoio - Mat Coletivo e Equip'!$A:$D,4,FALSE)),"")</f>
        <v/>
      </c>
      <c r="I85" s="779" t="str">
        <f>IFERROR(J85/'Mão de Obra'!$D$12,"")</f>
        <v/>
      </c>
      <c r="J85" s="779" t="str">
        <f>IFERROR(IF(ISNUMBER(H85),H85*'Mão de Obra'!$D$12/12,1)*G85*F85,"")</f>
        <v/>
      </c>
    </row>
    <row r="86" spans="2:10" s="42" customFormat="1">
      <c r="B86" s="250">
        <v>81</v>
      </c>
      <c r="C86" s="250"/>
      <c r="D86" s="387"/>
      <c r="E86" s="250" t="str">
        <f>IFERROR(VLOOKUP($D86,'Apoio - Mat Coletivo e Equip'!$A:$D,2,FALSE),"")</f>
        <v/>
      </c>
      <c r="F86" s="450"/>
      <c r="G86" s="748" t="str">
        <f>IFERROR(VLOOKUP($D86,'Apoio - Mat Coletivo e Equip'!$A:$D,3,FALSE),"")</f>
        <v/>
      </c>
      <c r="H86" s="747" t="str">
        <f>IFERROR(IF(VLOOKUP($D86,'Apoio - Mat Coletivo e Equip'!$A:$D,4,FALSE)=0,"",VLOOKUP($D86,'Apoio - Mat Coletivo e Equip'!$A:$D,4,FALSE)),"")</f>
        <v/>
      </c>
      <c r="I86" s="779" t="str">
        <f>IFERROR(J86/'Mão de Obra'!$D$12,"")</f>
        <v/>
      </c>
      <c r="J86" s="779" t="str">
        <f>IFERROR(IF(ISNUMBER(H86),H86*'Mão de Obra'!$D$12/12,1)*G86*F86,"")</f>
        <v/>
      </c>
    </row>
    <row r="87" spans="2:10" s="42" customFormat="1">
      <c r="B87" s="250">
        <v>82</v>
      </c>
      <c r="C87" s="250"/>
      <c r="D87" s="387"/>
      <c r="E87" s="250" t="str">
        <f>IFERROR(VLOOKUP($D87,'Apoio - Mat Coletivo e Equip'!$A:$D,2,FALSE),"")</f>
        <v/>
      </c>
      <c r="F87" s="450"/>
      <c r="G87" s="748" t="str">
        <f>IFERROR(VLOOKUP($D87,'Apoio - Mat Coletivo e Equip'!$A:$D,3,FALSE),"")</f>
        <v/>
      </c>
      <c r="H87" s="747" t="str">
        <f>IFERROR(IF(VLOOKUP($D87,'Apoio - Mat Coletivo e Equip'!$A:$D,4,FALSE)=0,"",VLOOKUP($D87,'Apoio - Mat Coletivo e Equip'!$A:$D,4,FALSE)),"")</f>
        <v/>
      </c>
      <c r="I87" s="779" t="str">
        <f>IFERROR(J87/'Mão de Obra'!$D$12,"")</f>
        <v/>
      </c>
      <c r="J87" s="779" t="str">
        <f>IFERROR(IF(ISNUMBER(H87),H87*'Mão de Obra'!$D$12/12,1)*G87*F87,"")</f>
        <v/>
      </c>
    </row>
    <row r="88" spans="2:10" s="42" customFormat="1">
      <c r="B88" s="250">
        <v>83</v>
      </c>
      <c r="C88" s="250"/>
      <c r="D88" s="387"/>
      <c r="E88" s="250" t="str">
        <f>IFERROR(VLOOKUP($D88,'Apoio - Mat Coletivo e Equip'!$A:$D,2,FALSE),"")</f>
        <v/>
      </c>
      <c r="F88" s="450"/>
      <c r="G88" s="748" t="str">
        <f>IFERROR(VLOOKUP($D88,'Apoio - Mat Coletivo e Equip'!$A:$D,3,FALSE),"")</f>
        <v/>
      </c>
      <c r="H88" s="747" t="str">
        <f>IFERROR(IF(VLOOKUP($D88,'Apoio - Mat Coletivo e Equip'!$A:$D,4,FALSE)=0,"",VLOOKUP($D88,'Apoio - Mat Coletivo e Equip'!$A:$D,4,FALSE)),"")</f>
        <v/>
      </c>
      <c r="I88" s="779" t="str">
        <f>IFERROR(J88/'Mão de Obra'!$D$12,"")</f>
        <v/>
      </c>
      <c r="J88" s="779" t="str">
        <f>IFERROR(IF(ISNUMBER(H88),H88*'Mão de Obra'!$D$12/12,1)*G88*F88,"")</f>
        <v/>
      </c>
    </row>
    <row r="89" spans="2:10" s="42" customFormat="1">
      <c r="B89" s="250">
        <v>84</v>
      </c>
      <c r="C89" s="250"/>
      <c r="D89" s="387"/>
      <c r="E89" s="250" t="str">
        <f>IFERROR(VLOOKUP($D89,'Apoio - Mat Coletivo e Equip'!$A:$D,2,FALSE),"")</f>
        <v/>
      </c>
      <c r="F89" s="450"/>
      <c r="G89" s="748" t="str">
        <f>IFERROR(VLOOKUP($D89,'Apoio - Mat Coletivo e Equip'!$A:$D,3,FALSE),"")</f>
        <v/>
      </c>
      <c r="H89" s="747" t="str">
        <f>IFERROR(IF(VLOOKUP($D89,'Apoio - Mat Coletivo e Equip'!$A:$D,4,FALSE)=0,"",VLOOKUP($D89,'Apoio - Mat Coletivo e Equip'!$A:$D,4,FALSE)),"")</f>
        <v/>
      </c>
      <c r="I89" s="779" t="str">
        <f>IFERROR(J89/'Mão de Obra'!$D$12,"")</f>
        <v/>
      </c>
      <c r="J89" s="779" t="str">
        <f>IFERROR(IF(ISNUMBER(H89),H89*'Mão de Obra'!$D$12/12,1)*G89*F89,"")</f>
        <v/>
      </c>
    </row>
    <row r="90" spans="2:10" s="42" customFormat="1">
      <c r="B90" s="250">
        <v>85</v>
      </c>
      <c r="C90" s="250"/>
      <c r="D90" s="387"/>
      <c r="E90" s="250" t="str">
        <f>IFERROR(VLOOKUP($D90,'Apoio - Mat Coletivo e Equip'!$A:$D,2,FALSE),"")</f>
        <v/>
      </c>
      <c r="F90" s="450"/>
      <c r="G90" s="748" t="str">
        <f>IFERROR(VLOOKUP($D90,'Apoio - Mat Coletivo e Equip'!$A:$D,3,FALSE),"")</f>
        <v/>
      </c>
      <c r="H90" s="747" t="str">
        <f>IFERROR(IF(VLOOKUP($D90,'Apoio - Mat Coletivo e Equip'!$A:$D,4,FALSE)=0,"",VLOOKUP($D90,'Apoio - Mat Coletivo e Equip'!$A:$D,4,FALSE)),"")</f>
        <v/>
      </c>
      <c r="I90" s="779" t="str">
        <f>IFERROR(J90/'Mão de Obra'!$D$12,"")</f>
        <v/>
      </c>
      <c r="J90" s="779" t="str">
        <f>IFERROR(IF(ISNUMBER(H90),H90*'Mão de Obra'!$D$12/12,1)*G90*F90,"")</f>
        <v/>
      </c>
    </row>
    <row r="91" spans="2:10" s="42" customFormat="1">
      <c r="B91" s="250">
        <v>86</v>
      </c>
      <c r="C91" s="250"/>
      <c r="D91" s="387"/>
      <c r="E91" s="250" t="str">
        <f>IFERROR(VLOOKUP($D91,'Apoio - Mat Coletivo e Equip'!$A:$D,2,FALSE),"")</f>
        <v/>
      </c>
      <c r="F91" s="450"/>
      <c r="G91" s="748" t="str">
        <f>IFERROR(VLOOKUP($D91,'Apoio - Mat Coletivo e Equip'!$A:$D,3,FALSE),"")</f>
        <v/>
      </c>
      <c r="H91" s="747" t="str">
        <f>IFERROR(IF(VLOOKUP($D91,'Apoio - Mat Coletivo e Equip'!$A:$D,4,FALSE)=0,"",VLOOKUP($D91,'Apoio - Mat Coletivo e Equip'!$A:$D,4,FALSE)),"")</f>
        <v/>
      </c>
      <c r="I91" s="779" t="str">
        <f>IFERROR(J91/'Mão de Obra'!$D$12,"")</f>
        <v/>
      </c>
      <c r="J91" s="779" t="str">
        <f>IFERROR(IF(ISNUMBER(H91),H91*'Mão de Obra'!$D$12/12,1)*G91*F91,"")</f>
        <v/>
      </c>
    </row>
    <row r="92" spans="2:10" s="42" customFormat="1">
      <c r="B92" s="250">
        <v>87</v>
      </c>
      <c r="C92" s="250"/>
      <c r="D92" s="387"/>
      <c r="E92" s="250" t="str">
        <f>IFERROR(VLOOKUP($D92,'Apoio - Mat Coletivo e Equip'!$A:$D,2,FALSE),"")</f>
        <v/>
      </c>
      <c r="F92" s="450"/>
      <c r="G92" s="748" t="str">
        <f>IFERROR(VLOOKUP($D92,'Apoio - Mat Coletivo e Equip'!$A:$D,3,FALSE),"")</f>
        <v/>
      </c>
      <c r="H92" s="747" t="str">
        <f>IFERROR(IF(VLOOKUP($D92,'Apoio - Mat Coletivo e Equip'!$A:$D,4,FALSE)=0,"",VLOOKUP($D92,'Apoio - Mat Coletivo e Equip'!$A:$D,4,FALSE)),"")</f>
        <v/>
      </c>
      <c r="I92" s="779" t="str">
        <f>IFERROR(J92/'Mão de Obra'!$D$12,"")</f>
        <v/>
      </c>
      <c r="J92" s="779" t="str">
        <f>IFERROR(IF(ISNUMBER(H92),H92*'Mão de Obra'!$D$12/12,1)*G92*F92,"")</f>
        <v/>
      </c>
    </row>
    <row r="93" spans="2:10" s="42" customFormat="1">
      <c r="B93" s="250">
        <v>88</v>
      </c>
      <c r="C93" s="250"/>
      <c r="D93" s="387"/>
      <c r="E93" s="250" t="str">
        <f>IFERROR(VLOOKUP($D93,'Apoio - Mat Coletivo e Equip'!$A:$D,2,FALSE),"")</f>
        <v/>
      </c>
      <c r="F93" s="450"/>
      <c r="G93" s="748" t="str">
        <f>IFERROR(VLOOKUP($D93,'Apoio - Mat Coletivo e Equip'!$A:$D,3,FALSE),"")</f>
        <v/>
      </c>
      <c r="H93" s="747" t="str">
        <f>IFERROR(IF(VLOOKUP($D93,'Apoio - Mat Coletivo e Equip'!$A:$D,4,FALSE)=0,"",VLOOKUP($D93,'Apoio - Mat Coletivo e Equip'!$A:$D,4,FALSE)),"")</f>
        <v/>
      </c>
      <c r="I93" s="779" t="str">
        <f>IFERROR(J93/'Mão de Obra'!$D$12,"")</f>
        <v/>
      </c>
      <c r="J93" s="779" t="str">
        <f>IFERROR(IF(ISNUMBER(H93),H93*'Mão de Obra'!$D$12/12,1)*G93*F93,"")</f>
        <v/>
      </c>
    </row>
    <row r="94" spans="2:10" s="42" customFormat="1">
      <c r="B94" s="250">
        <v>89</v>
      </c>
      <c r="C94" s="250"/>
      <c r="D94" s="387"/>
      <c r="E94" s="250" t="str">
        <f>IFERROR(VLOOKUP($D94,'Apoio - Mat Coletivo e Equip'!$A:$D,2,FALSE),"")</f>
        <v/>
      </c>
      <c r="F94" s="450"/>
      <c r="G94" s="748" t="str">
        <f>IFERROR(VLOOKUP($D94,'Apoio - Mat Coletivo e Equip'!$A:$D,3,FALSE),"")</f>
        <v/>
      </c>
      <c r="H94" s="747" t="str">
        <f>IFERROR(IF(VLOOKUP($D94,'Apoio - Mat Coletivo e Equip'!$A:$D,4,FALSE)=0,"",VLOOKUP($D94,'Apoio - Mat Coletivo e Equip'!$A:$D,4,FALSE)),"")</f>
        <v/>
      </c>
      <c r="I94" s="779" t="str">
        <f>IFERROR(J94/'Mão de Obra'!$D$12,"")</f>
        <v/>
      </c>
      <c r="J94" s="779" t="str">
        <f>IFERROR(IF(ISNUMBER(H94),H94*'Mão de Obra'!$D$12/12,1)*G94*F94,"")</f>
        <v/>
      </c>
    </row>
    <row r="95" spans="2:10" s="42" customFormat="1">
      <c r="B95" s="250">
        <v>90</v>
      </c>
      <c r="C95" s="250"/>
      <c r="D95" s="387"/>
      <c r="E95" s="250" t="str">
        <f>IFERROR(VLOOKUP($D95,'Apoio - Mat Coletivo e Equip'!$A:$D,2,FALSE),"")</f>
        <v/>
      </c>
      <c r="F95" s="450"/>
      <c r="G95" s="748" t="str">
        <f>IFERROR(VLOOKUP($D95,'Apoio - Mat Coletivo e Equip'!$A:$D,3,FALSE),"")</f>
        <v/>
      </c>
      <c r="H95" s="747" t="str">
        <f>IFERROR(IF(VLOOKUP($D95,'Apoio - Mat Coletivo e Equip'!$A:$D,4,FALSE)=0,"",VLOOKUP($D95,'Apoio - Mat Coletivo e Equip'!$A:$D,4,FALSE)),"")</f>
        <v/>
      </c>
      <c r="I95" s="779" t="str">
        <f>IFERROR(J95/'Mão de Obra'!$D$12,"")</f>
        <v/>
      </c>
      <c r="J95" s="779" t="str">
        <f>IFERROR(IF(ISNUMBER(H95),H95*'Mão de Obra'!$D$12/12,1)*G95*F95,"")</f>
        <v/>
      </c>
    </row>
    <row r="96" spans="2:10" s="42" customFormat="1">
      <c r="B96" s="250">
        <v>91</v>
      </c>
      <c r="C96" s="250"/>
      <c r="D96" s="387"/>
      <c r="E96" s="250" t="str">
        <f>IFERROR(VLOOKUP($D96,'Apoio - Mat Coletivo e Equip'!$A:$D,2,FALSE),"")</f>
        <v/>
      </c>
      <c r="F96" s="450"/>
      <c r="G96" s="748" t="str">
        <f>IFERROR(VLOOKUP($D96,'Apoio - Mat Coletivo e Equip'!$A:$D,3,FALSE),"")</f>
        <v/>
      </c>
      <c r="H96" s="747" t="str">
        <f>IFERROR(IF(VLOOKUP($D96,'Apoio - Mat Coletivo e Equip'!$A:$D,4,FALSE)=0,"",VLOOKUP($D96,'Apoio - Mat Coletivo e Equip'!$A:$D,4,FALSE)),"")</f>
        <v/>
      </c>
      <c r="I96" s="779" t="str">
        <f>IFERROR(J96/'Mão de Obra'!$D$12,"")</f>
        <v/>
      </c>
      <c r="J96" s="779" t="str">
        <f>IFERROR(IF(ISNUMBER(H96),H96*'Mão de Obra'!$D$12/12,1)*G96*F96,"")</f>
        <v/>
      </c>
    </row>
    <row r="97" spans="2:10" s="42" customFormat="1">
      <c r="B97" s="250">
        <v>92</v>
      </c>
      <c r="C97" s="250"/>
      <c r="D97" s="387"/>
      <c r="E97" s="250" t="str">
        <f>IFERROR(VLOOKUP($D97,'Apoio - Mat Coletivo e Equip'!$A:$D,2,FALSE),"")</f>
        <v/>
      </c>
      <c r="F97" s="450"/>
      <c r="G97" s="748" t="str">
        <f>IFERROR(VLOOKUP($D97,'Apoio - Mat Coletivo e Equip'!$A:$D,3,FALSE),"")</f>
        <v/>
      </c>
      <c r="H97" s="747" t="str">
        <f>IFERROR(IF(VLOOKUP($D97,'Apoio - Mat Coletivo e Equip'!$A:$D,4,FALSE)=0,"",VLOOKUP($D97,'Apoio - Mat Coletivo e Equip'!$A:$D,4,FALSE)),"")</f>
        <v/>
      </c>
      <c r="I97" s="779" t="str">
        <f>IFERROR(J97/'Mão de Obra'!$D$12,"")</f>
        <v/>
      </c>
      <c r="J97" s="779" t="str">
        <f>IFERROR(IF(ISNUMBER(H97),H97*'Mão de Obra'!$D$12/12,1)*G97*F97,"")</f>
        <v/>
      </c>
    </row>
    <row r="98" spans="2:10" s="42" customFormat="1">
      <c r="B98" s="250">
        <v>93</v>
      </c>
      <c r="C98" s="250"/>
      <c r="D98" s="387"/>
      <c r="E98" s="250" t="str">
        <f>IFERROR(VLOOKUP($D98,'Apoio - Mat Coletivo e Equip'!$A:$D,2,FALSE),"")</f>
        <v/>
      </c>
      <c r="F98" s="450"/>
      <c r="G98" s="748" t="str">
        <f>IFERROR(VLOOKUP($D98,'Apoio - Mat Coletivo e Equip'!$A:$D,3,FALSE),"")</f>
        <v/>
      </c>
      <c r="H98" s="747" t="str">
        <f>IFERROR(IF(VLOOKUP($D98,'Apoio - Mat Coletivo e Equip'!$A:$D,4,FALSE)=0,"",VLOOKUP($D98,'Apoio - Mat Coletivo e Equip'!$A:$D,4,FALSE)),"")</f>
        <v/>
      </c>
      <c r="I98" s="779" t="str">
        <f>IFERROR(J98/'Mão de Obra'!$D$12,"")</f>
        <v/>
      </c>
      <c r="J98" s="779" t="str">
        <f>IFERROR(IF(ISNUMBER(H98),H98*'Mão de Obra'!$D$12/12,1)*G98*F98,"")</f>
        <v/>
      </c>
    </row>
    <row r="99" spans="2:10" s="42" customFormat="1">
      <c r="B99" s="250">
        <v>94</v>
      </c>
      <c r="C99" s="250"/>
      <c r="D99" s="387"/>
      <c r="E99" s="250" t="str">
        <f>IFERROR(VLOOKUP($D99,'Apoio - Mat Coletivo e Equip'!$A:$D,2,FALSE),"")</f>
        <v/>
      </c>
      <c r="F99" s="450"/>
      <c r="G99" s="748" t="str">
        <f>IFERROR(VLOOKUP($D99,'Apoio - Mat Coletivo e Equip'!$A:$D,3,FALSE),"")</f>
        <v/>
      </c>
      <c r="H99" s="747" t="str">
        <f>IFERROR(IF(VLOOKUP($D99,'Apoio - Mat Coletivo e Equip'!$A:$D,4,FALSE)=0,"",VLOOKUP($D99,'Apoio - Mat Coletivo e Equip'!$A:$D,4,FALSE)),"")</f>
        <v/>
      </c>
      <c r="I99" s="779" t="str">
        <f>IFERROR(J99/'Mão de Obra'!$D$12,"")</f>
        <v/>
      </c>
      <c r="J99" s="779" t="str">
        <f>IFERROR(IF(ISNUMBER(H99),H99*'Mão de Obra'!$D$12/12,1)*G99*F99,"")</f>
        <v/>
      </c>
    </row>
    <row r="100" spans="2:10" s="42" customFormat="1">
      <c r="B100" s="250">
        <v>95</v>
      </c>
      <c r="C100" s="250"/>
      <c r="D100" s="387"/>
      <c r="E100" s="250" t="str">
        <f>IFERROR(VLOOKUP($D100,'Apoio - Mat Coletivo e Equip'!$A:$D,2,FALSE),"")</f>
        <v/>
      </c>
      <c r="F100" s="450"/>
      <c r="G100" s="748" t="str">
        <f>IFERROR(VLOOKUP($D100,'Apoio - Mat Coletivo e Equip'!$A:$D,3,FALSE),"")</f>
        <v/>
      </c>
      <c r="H100" s="747" t="str">
        <f>IFERROR(IF(VLOOKUP($D100,'Apoio - Mat Coletivo e Equip'!$A:$D,4,FALSE)=0,"",VLOOKUP($D100,'Apoio - Mat Coletivo e Equip'!$A:$D,4,FALSE)),"")</f>
        <v/>
      </c>
      <c r="I100" s="779" t="str">
        <f>IFERROR(J100/'Mão de Obra'!$D$12,"")</f>
        <v/>
      </c>
      <c r="J100" s="779" t="str">
        <f>IFERROR(IF(ISNUMBER(H100),H100*'Mão de Obra'!$D$12/12,1)*G100*F100,"")</f>
        <v/>
      </c>
    </row>
    <row r="101" spans="2:10" s="42" customFormat="1">
      <c r="B101" s="250">
        <v>96</v>
      </c>
      <c r="C101" s="250"/>
      <c r="D101" s="387"/>
      <c r="E101" s="250" t="str">
        <f>IFERROR(VLOOKUP($D101,'Apoio - Mat Coletivo e Equip'!$A:$D,2,FALSE),"")</f>
        <v/>
      </c>
      <c r="F101" s="450"/>
      <c r="G101" s="748" t="str">
        <f>IFERROR(VLOOKUP($D101,'Apoio - Mat Coletivo e Equip'!$A:$D,3,FALSE),"")</f>
        <v/>
      </c>
      <c r="H101" s="747" t="str">
        <f>IFERROR(IF(VLOOKUP($D101,'Apoio - Mat Coletivo e Equip'!$A:$D,4,FALSE)=0,"",VLOOKUP($D101,'Apoio - Mat Coletivo e Equip'!$A:$D,4,FALSE)),"")</f>
        <v/>
      </c>
      <c r="I101" s="779" t="str">
        <f>IFERROR(J101/'Mão de Obra'!$D$12,"")</f>
        <v/>
      </c>
      <c r="J101" s="779" t="str">
        <f>IFERROR(IF(ISNUMBER(H101),H101*'Mão de Obra'!$D$12/12,1)*G101*F101,"")</f>
        <v/>
      </c>
    </row>
    <row r="102" spans="2:10" s="42" customFormat="1">
      <c r="B102" s="250">
        <v>97</v>
      </c>
      <c r="C102" s="250"/>
      <c r="D102" s="387"/>
      <c r="E102" s="250" t="str">
        <f>IFERROR(VLOOKUP($D102,'Apoio - Mat Coletivo e Equip'!$A:$D,2,FALSE),"")</f>
        <v/>
      </c>
      <c r="F102" s="450"/>
      <c r="G102" s="748" t="str">
        <f>IFERROR(VLOOKUP($D102,'Apoio - Mat Coletivo e Equip'!$A:$D,3,FALSE),"")</f>
        <v/>
      </c>
      <c r="H102" s="747" t="str">
        <f>IFERROR(IF(VLOOKUP($D102,'Apoio - Mat Coletivo e Equip'!$A:$D,4,FALSE)=0,"",VLOOKUP($D102,'Apoio - Mat Coletivo e Equip'!$A:$D,4,FALSE)),"")</f>
        <v/>
      </c>
      <c r="I102" s="779" t="str">
        <f>IFERROR(J102/'Mão de Obra'!$D$12,"")</f>
        <v/>
      </c>
      <c r="J102" s="779" t="str">
        <f>IFERROR(IF(ISNUMBER(H102),H102*'Mão de Obra'!$D$12/12,1)*G102*F102,"")</f>
        <v/>
      </c>
    </row>
    <row r="103" spans="2:10" s="42" customFormat="1">
      <c r="B103" s="250">
        <v>98</v>
      </c>
      <c r="C103" s="250"/>
      <c r="D103" s="387"/>
      <c r="E103" s="250" t="str">
        <f>IFERROR(VLOOKUP($D103,'Apoio - Mat Coletivo e Equip'!$A:$D,2,FALSE),"")</f>
        <v/>
      </c>
      <c r="F103" s="450"/>
      <c r="G103" s="748" t="str">
        <f>IFERROR(VLOOKUP($D103,'Apoio - Mat Coletivo e Equip'!$A:$D,3,FALSE),"")</f>
        <v/>
      </c>
      <c r="H103" s="747" t="str">
        <f>IFERROR(IF(VLOOKUP($D103,'Apoio - Mat Coletivo e Equip'!$A:$D,4,FALSE)=0,"",VLOOKUP($D103,'Apoio - Mat Coletivo e Equip'!$A:$D,4,FALSE)),"")</f>
        <v/>
      </c>
      <c r="I103" s="779" t="str">
        <f>IFERROR(J103/'Mão de Obra'!$D$12,"")</f>
        <v/>
      </c>
      <c r="J103" s="779" t="str">
        <f>IFERROR(IF(ISNUMBER(H103),H103*'Mão de Obra'!$D$12/12,1)*G103*F103,"")</f>
        <v/>
      </c>
    </row>
    <row r="104" spans="2:10" s="42" customFormat="1">
      <c r="B104" s="250">
        <v>99</v>
      </c>
      <c r="C104" s="250"/>
      <c r="D104" s="387"/>
      <c r="E104" s="250" t="str">
        <f>IFERROR(VLOOKUP($D104,'Apoio - Mat Coletivo e Equip'!$A:$D,2,FALSE),"")</f>
        <v/>
      </c>
      <c r="F104" s="450"/>
      <c r="G104" s="748" t="str">
        <f>IFERROR(VLOOKUP($D104,'Apoio - Mat Coletivo e Equip'!$A:$D,3,FALSE),"")</f>
        <v/>
      </c>
      <c r="H104" s="747" t="str">
        <f>IFERROR(IF(VLOOKUP($D104,'Apoio - Mat Coletivo e Equip'!$A:$D,4,FALSE)=0,"",VLOOKUP($D104,'Apoio - Mat Coletivo e Equip'!$A:$D,4,FALSE)),"")</f>
        <v/>
      </c>
      <c r="I104" s="779" t="str">
        <f>IFERROR(J104/'Mão de Obra'!$D$12,"")</f>
        <v/>
      </c>
      <c r="J104" s="779" t="str">
        <f>IFERROR(IF(ISNUMBER(H104),H104*'Mão de Obra'!$D$12/12,1)*G104*F104,"")</f>
        <v/>
      </c>
    </row>
    <row r="105" spans="2:10" s="42" customFormat="1">
      <c r="B105" s="250">
        <v>100</v>
      </c>
      <c r="C105" s="250"/>
      <c r="D105" s="387"/>
      <c r="E105" s="250" t="str">
        <f>IFERROR(VLOOKUP($D105,'Apoio - Mat Coletivo e Equip'!$A:$D,2,FALSE),"")</f>
        <v/>
      </c>
      <c r="F105" s="450"/>
      <c r="G105" s="748" t="str">
        <f>IFERROR(VLOOKUP($D105,'Apoio - Mat Coletivo e Equip'!$A:$D,3,FALSE),"")</f>
        <v/>
      </c>
      <c r="H105" s="747" t="str">
        <f>IFERROR(IF(VLOOKUP($D105,'Apoio - Mat Coletivo e Equip'!$A:$D,4,FALSE)=0,"",VLOOKUP($D105,'Apoio - Mat Coletivo e Equip'!$A:$D,4,FALSE)),"")</f>
        <v/>
      </c>
      <c r="I105" s="779" t="str">
        <f>IFERROR(J105/'Mão de Obra'!$D$12,"")</f>
        <v/>
      </c>
      <c r="J105" s="779" t="str">
        <f>IFERROR(IF(ISNUMBER(H105),H105*'Mão de Obra'!$D$12/12,1)*G105*F105,"")</f>
        <v/>
      </c>
    </row>
    <row r="106" spans="2:10" s="42" customFormat="1">
      <c r="B106" s="250">
        <v>101</v>
      </c>
      <c r="C106" s="250"/>
      <c r="D106" s="387"/>
      <c r="E106" s="250" t="str">
        <f>IFERROR(VLOOKUP($D106,'Apoio - Mat Coletivo e Equip'!$A:$D,2,FALSE),"")</f>
        <v/>
      </c>
      <c r="F106" s="450"/>
      <c r="G106" s="748" t="str">
        <f>IFERROR(VLOOKUP($D106,'Apoio - Mat Coletivo e Equip'!$A:$D,3,FALSE),"")</f>
        <v/>
      </c>
      <c r="H106" s="747" t="str">
        <f>IFERROR(IF(VLOOKUP($D106,'Apoio - Mat Coletivo e Equip'!$A:$D,4,FALSE)=0,"",VLOOKUP($D106,'Apoio - Mat Coletivo e Equip'!$A:$D,4,FALSE)),"")</f>
        <v/>
      </c>
      <c r="I106" s="779" t="str">
        <f>IFERROR(J106/'Mão de Obra'!$D$12,"")</f>
        <v/>
      </c>
      <c r="J106" s="779" t="str">
        <f>IFERROR(IF(ISNUMBER(H106),H106*'Mão de Obra'!$D$12/12,1)*G106*F106,"")</f>
        <v/>
      </c>
    </row>
    <row r="107" spans="2:10" s="42" customFormat="1">
      <c r="B107" s="250">
        <v>102</v>
      </c>
      <c r="C107" s="250"/>
      <c r="D107" s="387"/>
      <c r="E107" s="250" t="str">
        <f>IFERROR(VLOOKUP($D107,'Apoio - Mat Coletivo e Equip'!$A:$D,2,FALSE),"")</f>
        <v/>
      </c>
      <c r="F107" s="450"/>
      <c r="G107" s="748" t="str">
        <f>IFERROR(VLOOKUP($D107,'Apoio - Mat Coletivo e Equip'!$A:$D,3,FALSE),"")</f>
        <v/>
      </c>
      <c r="H107" s="747" t="str">
        <f>IFERROR(IF(VLOOKUP($D107,'Apoio - Mat Coletivo e Equip'!$A:$D,4,FALSE)=0,"",VLOOKUP($D107,'Apoio - Mat Coletivo e Equip'!$A:$D,4,FALSE)),"")</f>
        <v/>
      </c>
      <c r="I107" s="779" t="str">
        <f>IFERROR(J107/'Mão de Obra'!$D$12,"")</f>
        <v/>
      </c>
      <c r="J107" s="779" t="str">
        <f>IFERROR(IF(ISNUMBER(H107),H107*'Mão de Obra'!$D$12/12,1)*G107*F107,"")</f>
        <v/>
      </c>
    </row>
    <row r="108" spans="2:10" s="42" customFormat="1">
      <c r="B108" s="250">
        <v>103</v>
      </c>
      <c r="C108" s="250"/>
      <c r="D108" s="387"/>
      <c r="E108" s="250" t="str">
        <f>IFERROR(VLOOKUP($D108,'Apoio - Mat Coletivo e Equip'!$A:$D,2,FALSE),"")</f>
        <v/>
      </c>
      <c r="F108" s="450"/>
      <c r="G108" s="748" t="str">
        <f>IFERROR(VLOOKUP($D108,'Apoio - Mat Coletivo e Equip'!$A:$D,3,FALSE),"")</f>
        <v/>
      </c>
      <c r="H108" s="747" t="str">
        <f>IFERROR(IF(VLOOKUP($D108,'Apoio - Mat Coletivo e Equip'!$A:$D,4,FALSE)=0,"",VLOOKUP($D108,'Apoio - Mat Coletivo e Equip'!$A:$D,4,FALSE)),"")</f>
        <v/>
      </c>
      <c r="I108" s="779" t="str">
        <f>IFERROR(J108/'Mão de Obra'!$D$12,"")</f>
        <v/>
      </c>
      <c r="J108" s="779" t="str">
        <f>IFERROR(IF(ISNUMBER(H108),H108*'Mão de Obra'!$D$12/12,1)*G108*F108,"")</f>
        <v/>
      </c>
    </row>
    <row r="109" spans="2:10" s="42" customFormat="1">
      <c r="B109" s="250">
        <v>104</v>
      </c>
      <c r="C109" s="250"/>
      <c r="D109" s="387"/>
      <c r="E109" s="250" t="str">
        <f>IFERROR(VLOOKUP($D109,'Apoio - Mat Coletivo e Equip'!$A:$D,2,FALSE),"")</f>
        <v/>
      </c>
      <c r="F109" s="450"/>
      <c r="G109" s="748" t="str">
        <f>IFERROR(VLOOKUP($D109,'Apoio - Mat Coletivo e Equip'!$A:$D,3,FALSE),"")</f>
        <v/>
      </c>
      <c r="H109" s="747" t="str">
        <f>IFERROR(IF(VLOOKUP($D109,'Apoio - Mat Coletivo e Equip'!$A:$D,4,FALSE)=0,"",VLOOKUP($D109,'Apoio - Mat Coletivo e Equip'!$A:$D,4,FALSE)),"")</f>
        <v/>
      </c>
      <c r="I109" s="779" t="str">
        <f>IFERROR(J109/'Mão de Obra'!$D$12,"")</f>
        <v/>
      </c>
      <c r="J109" s="779" t="str">
        <f>IFERROR(IF(ISNUMBER(H109),H109*'Mão de Obra'!$D$12/12,1)*G109*F109,"")</f>
        <v/>
      </c>
    </row>
    <row r="110" spans="2:10" s="42" customFormat="1">
      <c r="B110" s="250">
        <v>105</v>
      </c>
      <c r="C110" s="250"/>
      <c r="D110" s="387"/>
      <c r="E110" s="250" t="str">
        <f>IFERROR(VLOOKUP($D110,'Apoio - Mat Coletivo e Equip'!$A:$D,2,FALSE),"")</f>
        <v/>
      </c>
      <c r="F110" s="450"/>
      <c r="G110" s="748" t="str">
        <f>IFERROR(VLOOKUP($D110,'Apoio - Mat Coletivo e Equip'!$A:$D,3,FALSE),"")</f>
        <v/>
      </c>
      <c r="H110" s="747" t="str">
        <f>IFERROR(IF(VLOOKUP($D110,'Apoio - Mat Coletivo e Equip'!$A:$D,4,FALSE)=0,"",VLOOKUP($D110,'Apoio - Mat Coletivo e Equip'!$A:$D,4,FALSE)),"")</f>
        <v/>
      </c>
      <c r="I110" s="779" t="str">
        <f>IFERROR(J110/'Mão de Obra'!$D$12,"")</f>
        <v/>
      </c>
      <c r="J110" s="779" t="str">
        <f>IFERROR(IF(ISNUMBER(H110),H110*'Mão de Obra'!$D$12/12,1)*G110*F110,"")</f>
        <v/>
      </c>
    </row>
    <row r="111" spans="2:10" s="42" customFormat="1">
      <c r="B111" s="250">
        <v>106</v>
      </c>
      <c r="C111" s="250"/>
      <c r="D111" s="387"/>
      <c r="E111" s="250" t="str">
        <f>IFERROR(VLOOKUP($D111,'Apoio - Mat Coletivo e Equip'!$A:$D,2,FALSE),"")</f>
        <v/>
      </c>
      <c r="F111" s="450"/>
      <c r="G111" s="748" t="str">
        <f>IFERROR(VLOOKUP($D111,'Apoio - Mat Coletivo e Equip'!$A:$D,3,FALSE),"")</f>
        <v/>
      </c>
      <c r="H111" s="747" t="str">
        <f>IFERROR(IF(VLOOKUP($D111,'Apoio - Mat Coletivo e Equip'!$A:$D,4,FALSE)=0,"",VLOOKUP($D111,'Apoio - Mat Coletivo e Equip'!$A:$D,4,FALSE)),"")</f>
        <v/>
      </c>
      <c r="I111" s="779" t="str">
        <f>IFERROR(J111/'Mão de Obra'!$D$12,"")</f>
        <v/>
      </c>
      <c r="J111" s="779" t="str">
        <f>IFERROR(IF(ISNUMBER(H111),H111*'Mão de Obra'!$D$12/12,1)*G111*F111,"")</f>
        <v/>
      </c>
    </row>
    <row r="112" spans="2:10" s="42" customFormat="1">
      <c r="B112" s="250">
        <v>107</v>
      </c>
      <c r="C112" s="250"/>
      <c r="D112" s="387"/>
      <c r="E112" s="250" t="str">
        <f>IFERROR(VLOOKUP($D112,'Apoio - Mat Coletivo e Equip'!$A:$D,2,FALSE),"")</f>
        <v/>
      </c>
      <c r="F112" s="450"/>
      <c r="G112" s="748" t="str">
        <f>IFERROR(VLOOKUP($D112,'Apoio - Mat Coletivo e Equip'!$A:$D,3,FALSE),"")</f>
        <v/>
      </c>
      <c r="H112" s="747" t="str">
        <f>IFERROR(IF(VLOOKUP($D112,'Apoio - Mat Coletivo e Equip'!$A:$D,4,FALSE)=0,"",VLOOKUP($D112,'Apoio - Mat Coletivo e Equip'!$A:$D,4,FALSE)),"")</f>
        <v/>
      </c>
      <c r="I112" s="779" t="str">
        <f>IFERROR(J112/'Mão de Obra'!$D$12,"")</f>
        <v/>
      </c>
      <c r="J112" s="779" t="str">
        <f>IFERROR(IF(ISNUMBER(H112),H112*'Mão de Obra'!$D$12/12,1)*G112*F112,"")</f>
        <v/>
      </c>
    </row>
    <row r="113" spans="2:10" s="42" customFormat="1">
      <c r="B113" s="250">
        <v>108</v>
      </c>
      <c r="C113" s="250"/>
      <c r="D113" s="387"/>
      <c r="E113" s="250" t="str">
        <f>IFERROR(VLOOKUP($D113,'Apoio - Mat Coletivo e Equip'!$A:$D,2,FALSE),"")</f>
        <v/>
      </c>
      <c r="F113" s="450"/>
      <c r="G113" s="748" t="str">
        <f>IFERROR(VLOOKUP($D113,'Apoio - Mat Coletivo e Equip'!$A:$D,3,FALSE),"")</f>
        <v/>
      </c>
      <c r="H113" s="747" t="str">
        <f>IFERROR(IF(VLOOKUP($D113,'Apoio - Mat Coletivo e Equip'!$A:$D,4,FALSE)=0,"",VLOOKUP($D113,'Apoio - Mat Coletivo e Equip'!$A:$D,4,FALSE)),"")</f>
        <v/>
      </c>
      <c r="I113" s="779" t="str">
        <f>IFERROR(J113/'Mão de Obra'!$D$12,"")</f>
        <v/>
      </c>
      <c r="J113" s="779" t="str">
        <f>IFERROR(IF(ISNUMBER(H113),H113*'Mão de Obra'!$D$12/12,1)*G113*F113,"")</f>
        <v/>
      </c>
    </row>
    <row r="114" spans="2:10" s="42" customFormat="1">
      <c r="B114" s="250">
        <v>109</v>
      </c>
      <c r="C114" s="250"/>
      <c r="D114" s="387"/>
      <c r="E114" s="250" t="str">
        <f>IFERROR(VLOOKUP($D114,'Apoio - Mat Coletivo e Equip'!$A:$D,2,FALSE),"")</f>
        <v/>
      </c>
      <c r="F114" s="450"/>
      <c r="G114" s="748" t="str">
        <f>IFERROR(VLOOKUP($D114,'Apoio - Mat Coletivo e Equip'!$A:$D,3,FALSE),"")</f>
        <v/>
      </c>
      <c r="H114" s="747" t="str">
        <f>IFERROR(IF(VLOOKUP($D114,'Apoio - Mat Coletivo e Equip'!$A:$D,4,FALSE)=0,"",VLOOKUP($D114,'Apoio - Mat Coletivo e Equip'!$A:$D,4,FALSE)),"")</f>
        <v/>
      </c>
      <c r="I114" s="779" t="str">
        <f>IFERROR(J114/'Mão de Obra'!$D$12,"")</f>
        <v/>
      </c>
      <c r="J114" s="779" t="str">
        <f>IFERROR(IF(ISNUMBER(H114),H114*'Mão de Obra'!$D$12/12,1)*G114*F114,"")</f>
        <v/>
      </c>
    </row>
    <row r="115" spans="2:10" s="42" customFormat="1">
      <c r="B115" s="250">
        <v>110</v>
      </c>
      <c r="C115" s="250"/>
      <c r="D115" s="387"/>
      <c r="E115" s="250" t="str">
        <f>IFERROR(VLOOKUP($D115,'Apoio - Mat Coletivo e Equip'!$A:$D,2,FALSE),"")</f>
        <v/>
      </c>
      <c r="F115" s="450"/>
      <c r="G115" s="748" t="str">
        <f>IFERROR(VLOOKUP($D115,'Apoio - Mat Coletivo e Equip'!$A:$D,3,FALSE),"")</f>
        <v/>
      </c>
      <c r="H115" s="747" t="str">
        <f>IFERROR(IF(VLOOKUP($D115,'Apoio - Mat Coletivo e Equip'!$A:$D,4,FALSE)=0,"",VLOOKUP($D115,'Apoio - Mat Coletivo e Equip'!$A:$D,4,FALSE)),"")</f>
        <v/>
      </c>
      <c r="I115" s="779" t="str">
        <f>IFERROR(J115/'Mão de Obra'!$D$12,"")</f>
        <v/>
      </c>
      <c r="J115" s="779" t="str">
        <f>IFERROR(IF(ISNUMBER(H115),H115*'Mão de Obra'!$D$12/12,1)*G115*F115,"")</f>
        <v/>
      </c>
    </row>
    <row r="116" spans="2:10" s="42" customFormat="1">
      <c r="B116" s="250">
        <v>111</v>
      </c>
      <c r="C116" s="250"/>
      <c r="D116" s="387"/>
      <c r="E116" s="250" t="str">
        <f>IFERROR(VLOOKUP($D116,'Apoio - Mat Coletivo e Equip'!$A:$D,2,FALSE),"")</f>
        <v/>
      </c>
      <c r="F116" s="450"/>
      <c r="G116" s="748" t="str">
        <f>IFERROR(VLOOKUP($D116,'Apoio - Mat Coletivo e Equip'!$A:$D,3,FALSE),"")</f>
        <v/>
      </c>
      <c r="H116" s="747" t="str">
        <f>IFERROR(IF(VLOOKUP($D116,'Apoio - Mat Coletivo e Equip'!$A:$D,4,FALSE)=0,"",VLOOKUP($D116,'Apoio - Mat Coletivo e Equip'!$A:$D,4,FALSE)),"")</f>
        <v/>
      </c>
      <c r="I116" s="779" t="str">
        <f>IFERROR(J116/'Mão de Obra'!$D$12,"")</f>
        <v/>
      </c>
      <c r="J116" s="779" t="str">
        <f>IFERROR(IF(ISNUMBER(H116),H116*'Mão de Obra'!$D$12/12,1)*G116*F116,"")</f>
        <v/>
      </c>
    </row>
    <row r="117" spans="2:10" s="42" customFormat="1">
      <c r="B117" s="250">
        <v>112</v>
      </c>
      <c r="C117" s="250"/>
      <c r="D117" s="387"/>
      <c r="E117" s="250" t="str">
        <f>IFERROR(VLOOKUP($D117,'Apoio - Mat Coletivo e Equip'!$A:$D,2,FALSE),"")</f>
        <v/>
      </c>
      <c r="F117" s="450"/>
      <c r="G117" s="748" t="str">
        <f>IFERROR(VLOOKUP($D117,'Apoio - Mat Coletivo e Equip'!$A:$D,3,FALSE),"")</f>
        <v/>
      </c>
      <c r="H117" s="747" t="str">
        <f>IFERROR(IF(VLOOKUP($D117,'Apoio - Mat Coletivo e Equip'!$A:$D,4,FALSE)=0,"",VLOOKUP($D117,'Apoio - Mat Coletivo e Equip'!$A:$D,4,FALSE)),"")</f>
        <v/>
      </c>
      <c r="I117" s="779" t="str">
        <f>IFERROR(J117/'Mão de Obra'!$D$12,"")</f>
        <v/>
      </c>
      <c r="J117" s="779" t="str">
        <f>IFERROR(IF(ISNUMBER(H117),H117*'Mão de Obra'!$D$12/12,1)*G117*F117,"")</f>
        <v/>
      </c>
    </row>
    <row r="118" spans="2:10" s="42" customFormat="1">
      <c r="B118" s="250">
        <v>113</v>
      </c>
      <c r="C118" s="250"/>
      <c r="D118" s="387"/>
      <c r="E118" s="250" t="str">
        <f>IFERROR(VLOOKUP($D118,'Apoio - Mat Coletivo e Equip'!$A:$D,2,FALSE),"")</f>
        <v/>
      </c>
      <c r="F118" s="450"/>
      <c r="G118" s="748" t="str">
        <f>IFERROR(VLOOKUP($D118,'Apoio - Mat Coletivo e Equip'!$A:$D,3,FALSE),"")</f>
        <v/>
      </c>
      <c r="H118" s="747" t="str">
        <f>IFERROR(IF(VLOOKUP($D118,'Apoio - Mat Coletivo e Equip'!$A:$D,4,FALSE)=0,"",VLOOKUP($D118,'Apoio - Mat Coletivo e Equip'!$A:$D,4,FALSE)),"")</f>
        <v/>
      </c>
      <c r="I118" s="779" t="str">
        <f>IFERROR(J118/'Mão de Obra'!$D$12,"")</f>
        <v/>
      </c>
      <c r="J118" s="779" t="str">
        <f>IFERROR(IF(ISNUMBER(H118),H118*'Mão de Obra'!$D$12/12,1)*G118*F118,"")</f>
        <v/>
      </c>
    </row>
    <row r="119" spans="2:10" s="42" customFormat="1">
      <c r="B119" s="250">
        <v>114</v>
      </c>
      <c r="C119" s="250"/>
      <c r="D119" s="387"/>
      <c r="E119" s="250" t="str">
        <f>IFERROR(VLOOKUP($D119,'Apoio - Mat Coletivo e Equip'!$A:$D,2,FALSE),"")</f>
        <v/>
      </c>
      <c r="F119" s="450"/>
      <c r="G119" s="748" t="str">
        <f>IFERROR(VLOOKUP($D119,'Apoio - Mat Coletivo e Equip'!$A:$D,3,FALSE),"")</f>
        <v/>
      </c>
      <c r="H119" s="747" t="str">
        <f>IFERROR(IF(VLOOKUP($D119,'Apoio - Mat Coletivo e Equip'!$A:$D,4,FALSE)=0,"",VLOOKUP($D119,'Apoio - Mat Coletivo e Equip'!$A:$D,4,FALSE)),"")</f>
        <v/>
      </c>
      <c r="I119" s="779" t="str">
        <f>IFERROR(J119/'Mão de Obra'!$D$12,"")</f>
        <v/>
      </c>
      <c r="J119" s="779" t="str">
        <f>IFERROR(IF(ISNUMBER(H119),H119*'Mão de Obra'!$D$12/12,1)*G119*F119,"")</f>
        <v/>
      </c>
    </row>
    <row r="120" spans="2:10" s="42" customFormat="1">
      <c r="B120" s="250">
        <v>115</v>
      </c>
      <c r="C120" s="250"/>
      <c r="D120" s="387"/>
      <c r="E120" s="250" t="str">
        <f>IFERROR(VLOOKUP($D120,'Apoio - Mat Coletivo e Equip'!$A:$D,2,FALSE),"")</f>
        <v/>
      </c>
      <c r="F120" s="450"/>
      <c r="G120" s="748" t="str">
        <f>IFERROR(VLOOKUP($D120,'Apoio - Mat Coletivo e Equip'!$A:$D,3,FALSE),"")</f>
        <v/>
      </c>
      <c r="H120" s="747" t="str">
        <f>IFERROR(IF(VLOOKUP($D120,'Apoio - Mat Coletivo e Equip'!$A:$D,4,FALSE)=0,"",VLOOKUP($D120,'Apoio - Mat Coletivo e Equip'!$A:$D,4,FALSE)),"")</f>
        <v/>
      </c>
      <c r="I120" s="779" t="str">
        <f>IFERROR(J120/'Mão de Obra'!$D$12,"")</f>
        <v/>
      </c>
      <c r="J120" s="779" t="str">
        <f>IFERROR(IF(ISNUMBER(H120),H120*'Mão de Obra'!$D$12/12,1)*G120*F120,"")</f>
        <v/>
      </c>
    </row>
    <row r="121" spans="2:10" s="42" customFormat="1">
      <c r="B121" s="250">
        <v>116</v>
      </c>
      <c r="C121" s="250"/>
      <c r="D121" s="387"/>
      <c r="E121" s="250" t="str">
        <f>IFERROR(VLOOKUP($D121,'Apoio - Mat Coletivo e Equip'!$A:$D,2,FALSE),"")</f>
        <v/>
      </c>
      <c r="F121" s="450"/>
      <c r="G121" s="748" t="str">
        <f>IFERROR(VLOOKUP($D121,'Apoio - Mat Coletivo e Equip'!$A:$D,3,FALSE),"")</f>
        <v/>
      </c>
      <c r="H121" s="747" t="str">
        <f>IFERROR(IF(VLOOKUP($D121,'Apoio - Mat Coletivo e Equip'!$A:$D,4,FALSE)=0,"",VLOOKUP($D121,'Apoio - Mat Coletivo e Equip'!$A:$D,4,FALSE)),"")</f>
        <v/>
      </c>
      <c r="I121" s="779" t="str">
        <f>IFERROR(J121/'Mão de Obra'!$D$12,"")</f>
        <v/>
      </c>
      <c r="J121" s="779" t="str">
        <f>IFERROR(IF(ISNUMBER(H121),H121*'Mão de Obra'!$D$12/12,1)*G121*F121,"")</f>
        <v/>
      </c>
    </row>
    <row r="122" spans="2:10" s="42" customFormat="1">
      <c r="B122" s="250">
        <v>117</v>
      </c>
      <c r="C122" s="250"/>
      <c r="D122" s="387"/>
      <c r="E122" s="250" t="str">
        <f>IFERROR(VLOOKUP($D122,'Apoio - Mat Coletivo e Equip'!$A:$D,2,FALSE),"")</f>
        <v/>
      </c>
      <c r="F122" s="450"/>
      <c r="G122" s="748" t="str">
        <f>IFERROR(VLOOKUP($D122,'Apoio - Mat Coletivo e Equip'!$A:$D,3,FALSE),"")</f>
        <v/>
      </c>
      <c r="H122" s="747" t="str">
        <f>IFERROR(IF(VLOOKUP($D122,'Apoio - Mat Coletivo e Equip'!$A:$D,4,FALSE)=0,"",VLOOKUP($D122,'Apoio - Mat Coletivo e Equip'!$A:$D,4,FALSE)),"")</f>
        <v/>
      </c>
      <c r="I122" s="779" t="str">
        <f>IFERROR(J122/'Mão de Obra'!$D$12,"")</f>
        <v/>
      </c>
      <c r="J122" s="779" t="str">
        <f>IFERROR(IF(ISNUMBER(H122),H122*'Mão de Obra'!$D$12/12,1)*G122*F122,"")</f>
        <v/>
      </c>
    </row>
    <row r="123" spans="2:10" s="42" customFormat="1">
      <c r="B123" s="250">
        <v>118</v>
      </c>
      <c r="C123" s="250"/>
      <c r="D123" s="387"/>
      <c r="E123" s="250" t="str">
        <f>IFERROR(VLOOKUP($D123,'Apoio - Mat Coletivo e Equip'!$A:$D,2,FALSE),"")</f>
        <v/>
      </c>
      <c r="F123" s="450"/>
      <c r="G123" s="748" t="str">
        <f>IFERROR(VLOOKUP($D123,'Apoio - Mat Coletivo e Equip'!$A:$D,3,FALSE),"")</f>
        <v/>
      </c>
      <c r="H123" s="747" t="str">
        <f>IFERROR(IF(VLOOKUP($D123,'Apoio - Mat Coletivo e Equip'!$A:$D,4,FALSE)=0,"",VLOOKUP($D123,'Apoio - Mat Coletivo e Equip'!$A:$D,4,FALSE)),"")</f>
        <v/>
      </c>
      <c r="I123" s="779" t="str">
        <f>IFERROR(J123/'Mão de Obra'!$D$12,"")</f>
        <v/>
      </c>
      <c r="J123" s="779" t="str">
        <f>IFERROR(IF(ISNUMBER(H123),H123*'Mão de Obra'!$D$12/12,1)*G123*F123,"")</f>
        <v/>
      </c>
    </row>
    <row r="124" spans="2:10" s="42" customFormat="1">
      <c r="B124" s="250">
        <v>119</v>
      </c>
      <c r="C124" s="250"/>
      <c r="D124" s="387"/>
      <c r="E124" s="250" t="str">
        <f>IFERROR(VLOOKUP($D124,'Apoio - Mat Coletivo e Equip'!$A:$D,2,FALSE),"")</f>
        <v/>
      </c>
      <c r="F124" s="450"/>
      <c r="G124" s="748" t="str">
        <f>IFERROR(VLOOKUP($D124,'Apoio - Mat Coletivo e Equip'!$A:$D,3,FALSE),"")</f>
        <v/>
      </c>
      <c r="H124" s="747" t="str">
        <f>IFERROR(IF(VLOOKUP($D124,'Apoio - Mat Coletivo e Equip'!$A:$D,4,FALSE)=0,"",VLOOKUP($D124,'Apoio - Mat Coletivo e Equip'!$A:$D,4,FALSE)),"")</f>
        <v/>
      </c>
      <c r="I124" s="779" t="str">
        <f>IFERROR(J124/'Mão de Obra'!$D$12,"")</f>
        <v/>
      </c>
      <c r="J124" s="779" t="str">
        <f>IFERROR(IF(ISNUMBER(H124),H124*'Mão de Obra'!$D$12/12,1)*G124*F124,"")</f>
        <v/>
      </c>
    </row>
    <row r="125" spans="2:10" s="42" customFormat="1">
      <c r="B125" s="250">
        <v>120</v>
      </c>
      <c r="C125" s="250"/>
      <c r="D125" s="387"/>
      <c r="E125" s="250" t="str">
        <f>IFERROR(VLOOKUP($D125,'Apoio - Mat Coletivo e Equip'!$A:$D,2,FALSE),"")</f>
        <v/>
      </c>
      <c r="F125" s="450"/>
      <c r="G125" s="748" t="str">
        <f>IFERROR(VLOOKUP($D125,'Apoio - Mat Coletivo e Equip'!$A:$D,3,FALSE),"")</f>
        <v/>
      </c>
      <c r="H125" s="747" t="str">
        <f>IFERROR(IF(VLOOKUP($D125,'Apoio - Mat Coletivo e Equip'!$A:$D,4,FALSE)=0,"",VLOOKUP($D125,'Apoio - Mat Coletivo e Equip'!$A:$D,4,FALSE)),"")</f>
        <v/>
      </c>
      <c r="I125" s="779" t="str">
        <f>IFERROR(J125/'Mão de Obra'!$D$12,"")</f>
        <v/>
      </c>
      <c r="J125" s="779" t="str">
        <f>IFERROR(IF(ISNUMBER(H125),H125*'Mão de Obra'!$D$12/12,1)*G125*F125,"")</f>
        <v/>
      </c>
    </row>
    <row r="126" spans="2:10" s="42" customFormat="1">
      <c r="B126" s="250">
        <v>121</v>
      </c>
      <c r="C126" s="250"/>
      <c r="D126" s="387"/>
      <c r="E126" s="250" t="str">
        <f>IFERROR(VLOOKUP($D126,'Apoio - Mat Coletivo e Equip'!$A:$D,2,FALSE),"")</f>
        <v/>
      </c>
      <c r="F126" s="450"/>
      <c r="G126" s="748" t="str">
        <f>IFERROR(VLOOKUP($D126,'Apoio - Mat Coletivo e Equip'!$A:$D,3,FALSE),"")</f>
        <v/>
      </c>
      <c r="H126" s="747" t="str">
        <f>IFERROR(IF(VLOOKUP($D126,'Apoio - Mat Coletivo e Equip'!$A:$D,4,FALSE)=0,"",VLOOKUP($D126,'Apoio - Mat Coletivo e Equip'!$A:$D,4,FALSE)),"")</f>
        <v/>
      </c>
      <c r="I126" s="779" t="str">
        <f>IFERROR(J126/'Mão de Obra'!$D$12,"")</f>
        <v/>
      </c>
      <c r="J126" s="779" t="str">
        <f>IFERROR(IF(ISNUMBER(H126),H126*'Mão de Obra'!$D$12/12,1)*G126*F126,"")</f>
        <v/>
      </c>
    </row>
    <row r="127" spans="2:10" s="42" customFormat="1">
      <c r="B127" s="250">
        <v>122</v>
      </c>
      <c r="C127" s="250"/>
      <c r="D127" s="387"/>
      <c r="E127" s="250" t="str">
        <f>IFERROR(VLOOKUP($D127,'Apoio - Mat Coletivo e Equip'!$A:$D,2,FALSE),"")</f>
        <v/>
      </c>
      <c r="F127" s="450"/>
      <c r="G127" s="748" t="str">
        <f>IFERROR(VLOOKUP($D127,'Apoio - Mat Coletivo e Equip'!$A:$D,3,FALSE),"")</f>
        <v/>
      </c>
      <c r="H127" s="747" t="str">
        <f>IFERROR(IF(VLOOKUP($D127,'Apoio - Mat Coletivo e Equip'!$A:$D,4,FALSE)=0,"",VLOOKUP($D127,'Apoio - Mat Coletivo e Equip'!$A:$D,4,FALSE)),"")</f>
        <v/>
      </c>
      <c r="I127" s="779" t="str">
        <f>IFERROR(J127/'Mão de Obra'!$D$12,"")</f>
        <v/>
      </c>
      <c r="J127" s="779" t="str">
        <f>IFERROR(IF(ISNUMBER(H127),H127*'Mão de Obra'!$D$12/12,1)*G127*F127,"")</f>
        <v/>
      </c>
    </row>
    <row r="128" spans="2:10" s="42" customFormat="1">
      <c r="B128" s="250">
        <v>123</v>
      </c>
      <c r="C128" s="250"/>
      <c r="D128" s="387"/>
      <c r="E128" s="250" t="str">
        <f>IFERROR(VLOOKUP($D128,'Apoio - Mat Coletivo e Equip'!$A:$D,2,FALSE),"")</f>
        <v/>
      </c>
      <c r="F128" s="450"/>
      <c r="G128" s="748" t="str">
        <f>IFERROR(VLOOKUP($D128,'Apoio - Mat Coletivo e Equip'!$A:$D,3,FALSE),"")</f>
        <v/>
      </c>
      <c r="H128" s="747" t="str">
        <f>IFERROR(IF(VLOOKUP($D128,'Apoio - Mat Coletivo e Equip'!$A:$D,4,FALSE)=0,"",VLOOKUP($D128,'Apoio - Mat Coletivo e Equip'!$A:$D,4,FALSE)),"")</f>
        <v/>
      </c>
      <c r="I128" s="779" t="str">
        <f>IFERROR(J128/'Mão de Obra'!$D$12,"")</f>
        <v/>
      </c>
      <c r="J128" s="779" t="str">
        <f>IFERROR(IF(ISNUMBER(H128),H128*'Mão de Obra'!$D$12/12,1)*G128*F128,"")</f>
        <v/>
      </c>
    </row>
    <row r="129" spans="2:10" s="42" customFormat="1">
      <c r="B129" s="250">
        <v>124</v>
      </c>
      <c r="C129" s="250"/>
      <c r="D129" s="387"/>
      <c r="E129" s="250" t="str">
        <f>IFERROR(VLOOKUP($D129,'Apoio - Mat Coletivo e Equip'!$A:$D,2,FALSE),"")</f>
        <v/>
      </c>
      <c r="F129" s="450"/>
      <c r="G129" s="748" t="str">
        <f>IFERROR(VLOOKUP($D129,'Apoio - Mat Coletivo e Equip'!$A:$D,3,FALSE),"")</f>
        <v/>
      </c>
      <c r="H129" s="747" t="str">
        <f>IFERROR(IF(VLOOKUP($D129,'Apoio - Mat Coletivo e Equip'!$A:$D,4,FALSE)=0,"",VLOOKUP($D129,'Apoio - Mat Coletivo e Equip'!$A:$D,4,FALSE)),"")</f>
        <v/>
      </c>
      <c r="I129" s="779" t="str">
        <f>IFERROR(J129/'Mão de Obra'!$D$12,"")</f>
        <v/>
      </c>
      <c r="J129" s="779" t="str">
        <f>IFERROR(IF(ISNUMBER(H129),H129*'Mão de Obra'!$D$12/12,1)*G129*F129,"")</f>
        <v/>
      </c>
    </row>
    <row r="130" spans="2:10" s="42" customFormat="1">
      <c r="B130" s="250">
        <v>125</v>
      </c>
      <c r="C130" s="250"/>
      <c r="D130" s="387"/>
      <c r="E130" s="250" t="str">
        <f>IFERROR(VLOOKUP($D130,'Apoio - Mat Coletivo e Equip'!$A:$D,2,FALSE),"")</f>
        <v/>
      </c>
      <c r="F130" s="450"/>
      <c r="G130" s="748" t="str">
        <f>IFERROR(VLOOKUP($D130,'Apoio - Mat Coletivo e Equip'!$A:$D,3,FALSE),"")</f>
        <v/>
      </c>
      <c r="H130" s="747" t="str">
        <f>IFERROR(IF(VLOOKUP($D130,'Apoio - Mat Coletivo e Equip'!$A:$D,4,FALSE)=0,"",VLOOKUP($D130,'Apoio - Mat Coletivo e Equip'!$A:$D,4,FALSE)),"")</f>
        <v/>
      </c>
      <c r="I130" s="779" t="str">
        <f>IFERROR(J130/'Mão de Obra'!$D$12,"")</f>
        <v/>
      </c>
      <c r="J130" s="779" t="str">
        <f>IFERROR(IF(ISNUMBER(H130),H130*'Mão de Obra'!$D$12/12,1)*G130*F130,"")</f>
        <v/>
      </c>
    </row>
    <row r="131" spans="2:10" s="42" customFormat="1">
      <c r="B131" s="250">
        <v>126</v>
      </c>
      <c r="C131" s="250"/>
      <c r="D131" s="387"/>
      <c r="E131" s="250" t="str">
        <f>IFERROR(VLOOKUP($D131,'Apoio - Mat Coletivo e Equip'!$A:$D,2,FALSE),"")</f>
        <v/>
      </c>
      <c r="F131" s="450"/>
      <c r="G131" s="748" t="str">
        <f>IFERROR(VLOOKUP($D131,'Apoio - Mat Coletivo e Equip'!$A:$D,3,FALSE),"")</f>
        <v/>
      </c>
      <c r="H131" s="747" t="str">
        <f>IFERROR(IF(VLOOKUP($D131,'Apoio - Mat Coletivo e Equip'!$A:$D,4,FALSE)=0,"",VLOOKUP($D131,'Apoio - Mat Coletivo e Equip'!$A:$D,4,FALSE)),"")</f>
        <v/>
      </c>
      <c r="I131" s="779" t="str">
        <f>IFERROR(J131/'Mão de Obra'!$D$12,"")</f>
        <v/>
      </c>
      <c r="J131" s="779" t="str">
        <f>IFERROR(IF(ISNUMBER(H131),H131*'Mão de Obra'!$D$12/12,1)*G131*F131,"")</f>
        <v/>
      </c>
    </row>
    <row r="132" spans="2:10" s="42" customFormat="1">
      <c r="B132" s="250">
        <v>127</v>
      </c>
      <c r="C132" s="250"/>
      <c r="D132" s="387"/>
      <c r="E132" s="250" t="str">
        <f>IFERROR(VLOOKUP($D132,'Apoio - Mat Coletivo e Equip'!$A:$D,2,FALSE),"")</f>
        <v/>
      </c>
      <c r="F132" s="450"/>
      <c r="G132" s="748" t="str">
        <f>IFERROR(VLOOKUP($D132,'Apoio - Mat Coletivo e Equip'!$A:$D,3,FALSE),"")</f>
        <v/>
      </c>
      <c r="H132" s="747" t="str">
        <f>IFERROR(IF(VLOOKUP($D132,'Apoio - Mat Coletivo e Equip'!$A:$D,4,FALSE)=0,"",VLOOKUP($D132,'Apoio - Mat Coletivo e Equip'!$A:$D,4,FALSE)),"")</f>
        <v/>
      </c>
      <c r="I132" s="779" t="str">
        <f>IFERROR(J132/'Mão de Obra'!$D$12,"")</f>
        <v/>
      </c>
      <c r="J132" s="779" t="str">
        <f>IFERROR(IF(ISNUMBER(H132),H132*'Mão de Obra'!$D$12/12,1)*G132*F132,"")</f>
        <v/>
      </c>
    </row>
    <row r="133" spans="2:10" s="42" customFormat="1">
      <c r="B133" s="250">
        <v>128</v>
      </c>
      <c r="C133" s="250"/>
      <c r="D133" s="387"/>
      <c r="E133" s="250" t="str">
        <f>IFERROR(VLOOKUP($D133,'Apoio - Mat Coletivo e Equip'!$A:$D,2,FALSE),"")</f>
        <v/>
      </c>
      <c r="F133" s="450"/>
      <c r="G133" s="748" t="str">
        <f>IFERROR(VLOOKUP($D133,'Apoio - Mat Coletivo e Equip'!$A:$D,3,FALSE),"")</f>
        <v/>
      </c>
      <c r="H133" s="747" t="str">
        <f>IFERROR(IF(VLOOKUP($D133,'Apoio - Mat Coletivo e Equip'!$A:$D,4,FALSE)=0,"",VLOOKUP($D133,'Apoio - Mat Coletivo e Equip'!$A:$D,4,FALSE)),"")</f>
        <v/>
      </c>
      <c r="I133" s="779" t="str">
        <f>IFERROR(J133/'Mão de Obra'!$D$12,"")</f>
        <v/>
      </c>
      <c r="J133" s="779" t="str">
        <f>IFERROR(IF(ISNUMBER(H133),H133*'Mão de Obra'!$D$12/12,1)*G133*F133,"")</f>
        <v/>
      </c>
    </row>
    <row r="134" spans="2:10" s="42" customFormat="1">
      <c r="B134" s="250">
        <v>129</v>
      </c>
      <c r="C134" s="250"/>
      <c r="D134" s="387"/>
      <c r="E134" s="250" t="str">
        <f>IFERROR(VLOOKUP($D134,'Apoio - Mat Coletivo e Equip'!$A:$D,2,FALSE),"")</f>
        <v/>
      </c>
      <c r="F134" s="450"/>
      <c r="G134" s="748" t="str">
        <f>IFERROR(VLOOKUP($D134,'Apoio - Mat Coletivo e Equip'!$A:$D,3,FALSE),"")</f>
        <v/>
      </c>
      <c r="H134" s="747" t="str">
        <f>IFERROR(IF(VLOOKUP($D134,'Apoio - Mat Coletivo e Equip'!$A:$D,4,FALSE)=0,"",VLOOKUP($D134,'Apoio - Mat Coletivo e Equip'!$A:$D,4,FALSE)),"")</f>
        <v/>
      </c>
      <c r="I134" s="779" t="str">
        <f>IFERROR(J134/'Mão de Obra'!$D$12,"")</f>
        <v/>
      </c>
      <c r="J134" s="779" t="str">
        <f>IFERROR(IF(ISNUMBER(H134),H134*'Mão de Obra'!$D$12/12,1)*G134*F134,"")</f>
        <v/>
      </c>
    </row>
    <row r="135" spans="2:10" s="42" customFormat="1">
      <c r="B135" s="250">
        <v>130</v>
      </c>
      <c r="C135" s="250"/>
      <c r="D135" s="387"/>
      <c r="E135" s="250" t="str">
        <f>IFERROR(VLOOKUP($D135,'Apoio - Mat Coletivo e Equip'!$A:$D,2,FALSE),"")</f>
        <v/>
      </c>
      <c r="F135" s="450"/>
      <c r="G135" s="748" t="str">
        <f>IFERROR(VLOOKUP($D135,'Apoio - Mat Coletivo e Equip'!$A:$D,3,FALSE),"")</f>
        <v/>
      </c>
      <c r="H135" s="747" t="str">
        <f>IFERROR(IF(VLOOKUP($D135,'Apoio - Mat Coletivo e Equip'!$A:$D,4,FALSE)=0,"",VLOOKUP($D135,'Apoio - Mat Coletivo e Equip'!$A:$D,4,FALSE)),"")</f>
        <v/>
      </c>
      <c r="I135" s="779" t="str">
        <f>IFERROR(J135/'Mão de Obra'!$D$12,"")</f>
        <v/>
      </c>
      <c r="J135" s="779" t="str">
        <f>IFERROR(IF(ISNUMBER(H135),H135*'Mão de Obra'!$D$12/12,1)*G135*F135,"")</f>
        <v/>
      </c>
    </row>
    <row r="136" spans="2:10" s="42" customFormat="1">
      <c r="B136" s="250">
        <v>131</v>
      </c>
      <c r="C136" s="250"/>
      <c r="D136" s="387"/>
      <c r="E136" s="250" t="str">
        <f>IFERROR(VLOOKUP($D136,'Apoio - Mat Coletivo e Equip'!$A:$D,2,FALSE),"")</f>
        <v/>
      </c>
      <c r="F136" s="450"/>
      <c r="G136" s="748" t="str">
        <f>IFERROR(VLOOKUP($D136,'Apoio - Mat Coletivo e Equip'!$A:$D,3,FALSE),"")</f>
        <v/>
      </c>
      <c r="H136" s="747" t="str">
        <f>IFERROR(IF(VLOOKUP($D136,'Apoio - Mat Coletivo e Equip'!$A:$D,4,FALSE)=0,"",VLOOKUP($D136,'Apoio - Mat Coletivo e Equip'!$A:$D,4,FALSE)),"")</f>
        <v/>
      </c>
      <c r="I136" s="779" t="str">
        <f>IFERROR(J136/'Mão de Obra'!$D$12,"")</f>
        <v/>
      </c>
      <c r="J136" s="779" t="str">
        <f>IFERROR(IF(ISNUMBER(H136),H136*'Mão de Obra'!$D$12/12,1)*G136*F136,"")</f>
        <v/>
      </c>
    </row>
    <row r="137" spans="2:10" s="42" customFormat="1">
      <c r="B137" s="250">
        <v>132</v>
      </c>
      <c r="C137" s="250"/>
      <c r="D137" s="387"/>
      <c r="E137" s="250" t="str">
        <f>IFERROR(VLOOKUP($D137,'Apoio - Mat Coletivo e Equip'!$A:$D,2,FALSE),"")</f>
        <v/>
      </c>
      <c r="F137" s="450"/>
      <c r="G137" s="748" t="str">
        <f>IFERROR(VLOOKUP($D137,'Apoio - Mat Coletivo e Equip'!$A:$D,3,FALSE),"")</f>
        <v/>
      </c>
      <c r="H137" s="747" t="str">
        <f>IFERROR(IF(VLOOKUP($D137,'Apoio - Mat Coletivo e Equip'!$A:$D,4,FALSE)=0,"",VLOOKUP($D137,'Apoio - Mat Coletivo e Equip'!$A:$D,4,FALSE)),"")</f>
        <v/>
      </c>
      <c r="I137" s="779" t="str">
        <f>IFERROR(J137/'Mão de Obra'!$D$12,"")</f>
        <v/>
      </c>
      <c r="J137" s="779" t="str">
        <f>IFERROR(IF(ISNUMBER(H137),H137*'Mão de Obra'!$D$12/12,1)*G137*F137,"")</f>
        <v/>
      </c>
    </row>
    <row r="138" spans="2:10" s="42" customFormat="1">
      <c r="B138" s="250">
        <v>133</v>
      </c>
      <c r="C138" s="250"/>
      <c r="D138" s="387"/>
      <c r="E138" s="250" t="str">
        <f>IFERROR(VLOOKUP($D138,'Apoio - Mat Coletivo e Equip'!$A:$D,2,FALSE),"")</f>
        <v/>
      </c>
      <c r="F138" s="450"/>
      <c r="G138" s="748" t="str">
        <f>IFERROR(VLOOKUP($D138,'Apoio - Mat Coletivo e Equip'!$A:$D,3,FALSE),"")</f>
        <v/>
      </c>
      <c r="H138" s="747" t="str">
        <f>IFERROR(IF(VLOOKUP($D138,'Apoio - Mat Coletivo e Equip'!$A:$D,4,FALSE)=0,"",VLOOKUP($D138,'Apoio - Mat Coletivo e Equip'!$A:$D,4,FALSE)),"")</f>
        <v/>
      </c>
      <c r="I138" s="779" t="str">
        <f>IFERROR(J138/'Mão de Obra'!$D$12,"")</f>
        <v/>
      </c>
      <c r="J138" s="779" t="str">
        <f>IFERROR(IF(ISNUMBER(H138),H138*'Mão de Obra'!$D$12/12,1)*G138*F138,"")</f>
        <v/>
      </c>
    </row>
    <row r="139" spans="2:10" s="42" customFormat="1">
      <c r="B139" s="250">
        <v>134</v>
      </c>
      <c r="C139" s="250"/>
      <c r="D139" s="387"/>
      <c r="E139" s="250" t="str">
        <f>IFERROR(VLOOKUP($D139,'Apoio - Mat Coletivo e Equip'!$A:$D,2,FALSE),"")</f>
        <v/>
      </c>
      <c r="F139" s="450"/>
      <c r="G139" s="748" t="str">
        <f>IFERROR(VLOOKUP($D139,'Apoio - Mat Coletivo e Equip'!$A:$D,3,FALSE),"")</f>
        <v/>
      </c>
      <c r="H139" s="747" t="str">
        <f>IFERROR(IF(VLOOKUP($D139,'Apoio - Mat Coletivo e Equip'!$A:$D,4,FALSE)=0,"",VLOOKUP($D139,'Apoio - Mat Coletivo e Equip'!$A:$D,4,FALSE)),"")</f>
        <v/>
      </c>
      <c r="I139" s="779" t="str">
        <f>IFERROR(J139/'Mão de Obra'!$D$12,"")</f>
        <v/>
      </c>
      <c r="J139" s="779" t="str">
        <f>IFERROR(IF(ISNUMBER(H139),H139*'Mão de Obra'!$D$12/12,1)*G139*F139,"")</f>
        <v/>
      </c>
    </row>
    <row r="140" spans="2:10" s="42" customFormat="1">
      <c r="B140" s="250">
        <v>135</v>
      </c>
      <c r="C140" s="250"/>
      <c r="D140" s="387"/>
      <c r="E140" s="250" t="str">
        <f>IFERROR(VLOOKUP($D140,'Apoio - Mat Coletivo e Equip'!$A:$D,2,FALSE),"")</f>
        <v/>
      </c>
      <c r="F140" s="450"/>
      <c r="G140" s="748" t="str">
        <f>IFERROR(VLOOKUP($D140,'Apoio - Mat Coletivo e Equip'!$A:$D,3,FALSE),"")</f>
        <v/>
      </c>
      <c r="H140" s="747" t="str">
        <f>IFERROR(IF(VLOOKUP($D140,'Apoio - Mat Coletivo e Equip'!$A:$D,4,FALSE)=0,"",VLOOKUP($D140,'Apoio - Mat Coletivo e Equip'!$A:$D,4,FALSE)),"")</f>
        <v/>
      </c>
      <c r="I140" s="779" t="str">
        <f>IFERROR(J140/'Mão de Obra'!$D$12,"")</f>
        <v/>
      </c>
      <c r="J140" s="779" t="str">
        <f>IFERROR(IF(ISNUMBER(H140),H140*'Mão de Obra'!$D$12/12,1)*G140*F140,"")</f>
        <v/>
      </c>
    </row>
    <row r="141" spans="2:10" s="42" customFormat="1">
      <c r="B141" s="250">
        <v>136</v>
      </c>
      <c r="C141" s="250"/>
      <c r="D141" s="387"/>
      <c r="E141" s="250" t="str">
        <f>IFERROR(VLOOKUP($D141,'Apoio - Mat Coletivo e Equip'!$A:$D,2,FALSE),"")</f>
        <v/>
      </c>
      <c r="F141" s="450"/>
      <c r="G141" s="748" t="str">
        <f>IFERROR(VLOOKUP($D141,'Apoio - Mat Coletivo e Equip'!$A:$D,3,FALSE),"")</f>
        <v/>
      </c>
      <c r="H141" s="747" t="str">
        <f>IFERROR(IF(VLOOKUP($D141,'Apoio - Mat Coletivo e Equip'!$A:$D,4,FALSE)=0,"",VLOOKUP($D141,'Apoio - Mat Coletivo e Equip'!$A:$D,4,FALSE)),"")</f>
        <v/>
      </c>
      <c r="I141" s="779" t="str">
        <f>IFERROR(J141/'Mão de Obra'!$D$12,"")</f>
        <v/>
      </c>
      <c r="J141" s="779" t="str">
        <f>IFERROR(IF(ISNUMBER(H141),H141*'Mão de Obra'!$D$12/12,1)*G141*F141,"")</f>
        <v/>
      </c>
    </row>
    <row r="142" spans="2:10" s="42" customFormat="1">
      <c r="B142" s="250">
        <v>137</v>
      </c>
      <c r="C142" s="250"/>
      <c r="D142" s="387"/>
      <c r="E142" s="250" t="str">
        <f>IFERROR(VLOOKUP($D142,'Apoio - Mat Coletivo e Equip'!$A:$D,2,FALSE),"")</f>
        <v/>
      </c>
      <c r="F142" s="450"/>
      <c r="G142" s="748" t="str">
        <f>IFERROR(VLOOKUP($D142,'Apoio - Mat Coletivo e Equip'!$A:$D,3,FALSE),"")</f>
        <v/>
      </c>
      <c r="H142" s="747" t="str">
        <f>IFERROR(IF(VLOOKUP($D142,'Apoio - Mat Coletivo e Equip'!$A:$D,4,FALSE)=0,"",VLOOKUP($D142,'Apoio - Mat Coletivo e Equip'!$A:$D,4,FALSE)),"")</f>
        <v/>
      </c>
      <c r="I142" s="779" t="str">
        <f>IFERROR(J142/'Mão de Obra'!$D$12,"")</f>
        <v/>
      </c>
      <c r="J142" s="779" t="str">
        <f>IFERROR(IF(ISNUMBER(H142),H142*'Mão de Obra'!$D$12/12,1)*G142*F142,"")</f>
        <v/>
      </c>
    </row>
    <row r="143" spans="2:10" s="42" customFormat="1">
      <c r="B143" s="250">
        <v>138</v>
      </c>
      <c r="C143" s="250"/>
      <c r="D143" s="387"/>
      <c r="E143" s="250" t="str">
        <f>IFERROR(VLOOKUP($D143,'Apoio - Mat Coletivo e Equip'!$A:$D,2,FALSE),"")</f>
        <v/>
      </c>
      <c r="F143" s="450"/>
      <c r="G143" s="748" t="str">
        <f>IFERROR(VLOOKUP($D143,'Apoio - Mat Coletivo e Equip'!$A:$D,3,FALSE),"")</f>
        <v/>
      </c>
      <c r="H143" s="747" t="str">
        <f>IFERROR(IF(VLOOKUP($D143,'Apoio - Mat Coletivo e Equip'!$A:$D,4,FALSE)=0,"",VLOOKUP($D143,'Apoio - Mat Coletivo e Equip'!$A:$D,4,FALSE)),"")</f>
        <v/>
      </c>
      <c r="I143" s="779" t="str">
        <f>IFERROR(J143/'Mão de Obra'!$D$12,"")</f>
        <v/>
      </c>
      <c r="J143" s="779" t="str">
        <f>IFERROR(IF(ISNUMBER(H143),H143*'Mão de Obra'!$D$12/12,1)*G143*F143,"")</f>
        <v/>
      </c>
    </row>
    <row r="144" spans="2:10" s="42" customFormat="1">
      <c r="B144" s="250">
        <v>139</v>
      </c>
      <c r="C144" s="250"/>
      <c r="D144" s="387"/>
      <c r="E144" s="250" t="str">
        <f>IFERROR(VLOOKUP($D144,'Apoio - Mat Coletivo e Equip'!$A:$D,2,FALSE),"")</f>
        <v/>
      </c>
      <c r="F144" s="450"/>
      <c r="G144" s="748" t="str">
        <f>IFERROR(VLOOKUP($D144,'Apoio - Mat Coletivo e Equip'!$A:$D,3,FALSE),"")</f>
        <v/>
      </c>
      <c r="H144" s="747" t="str">
        <f>IFERROR(IF(VLOOKUP($D144,'Apoio - Mat Coletivo e Equip'!$A:$D,4,FALSE)=0,"",VLOOKUP($D144,'Apoio - Mat Coletivo e Equip'!$A:$D,4,FALSE)),"")</f>
        <v/>
      </c>
      <c r="I144" s="779" t="str">
        <f>IFERROR(J144/'Mão de Obra'!$D$12,"")</f>
        <v/>
      </c>
      <c r="J144" s="779" t="str">
        <f>IFERROR(IF(ISNUMBER(H144),H144*'Mão de Obra'!$D$12/12,1)*G144*F144,"")</f>
        <v/>
      </c>
    </row>
    <row r="145" spans="2:10">
      <c r="B145" s="250">
        <v>140</v>
      </c>
      <c r="C145" s="250"/>
      <c r="D145" s="387"/>
      <c r="E145" s="250" t="str">
        <f>IFERROR(VLOOKUP($D145,'Apoio - Mat Coletivo e Equip'!$A:$D,2,FALSE),"")</f>
        <v/>
      </c>
      <c r="F145" s="450"/>
      <c r="G145" s="748" t="str">
        <f>IFERROR(VLOOKUP($D145,'Apoio - Mat Coletivo e Equip'!$A:$D,3,FALSE),"")</f>
        <v/>
      </c>
      <c r="H145" s="747" t="str">
        <f>IFERROR(IF(VLOOKUP($D145,'Apoio - Mat Coletivo e Equip'!$A:$D,4,FALSE)=0,"",VLOOKUP($D145,'Apoio - Mat Coletivo e Equip'!$A:$D,4,FALSE)),"")</f>
        <v/>
      </c>
      <c r="I145" s="779" t="str">
        <f>IFERROR(J145/'Mão de Obra'!$D$12,"")</f>
        <v/>
      </c>
      <c r="J145" s="779" t="str">
        <f>IFERROR(IF(ISNUMBER(H145),H145*'Mão de Obra'!$D$12/12,1)*G145*F145,"")</f>
        <v/>
      </c>
    </row>
    <row r="146" spans="2:10">
      <c r="B146" s="250">
        <v>141</v>
      </c>
      <c r="C146" s="250"/>
      <c r="D146" s="387"/>
      <c r="E146" s="250" t="str">
        <f>IFERROR(VLOOKUP($D146,'Apoio - Mat Coletivo e Equip'!$A:$D,2,FALSE),"")</f>
        <v/>
      </c>
      <c r="F146" s="450"/>
      <c r="G146" s="748" t="str">
        <f>IFERROR(VLOOKUP($D146,'Apoio - Mat Coletivo e Equip'!$A:$D,3,FALSE),"")</f>
        <v/>
      </c>
      <c r="H146" s="747" t="str">
        <f>IFERROR(IF(VLOOKUP($D146,'Apoio - Mat Coletivo e Equip'!$A:$D,4,FALSE)=0,"",VLOOKUP($D146,'Apoio - Mat Coletivo e Equip'!$A:$D,4,FALSE)),"")</f>
        <v/>
      </c>
      <c r="I146" s="779" t="str">
        <f>IFERROR(J146/'Mão de Obra'!$D$12,"")</f>
        <v/>
      </c>
      <c r="J146" s="779" t="str">
        <f>IFERROR(IF(ISNUMBER(H146),H146*'Mão de Obra'!$D$12/12,1)*G146*F146,"")</f>
        <v/>
      </c>
    </row>
    <row r="147" spans="2:10">
      <c r="B147" s="250">
        <v>142</v>
      </c>
      <c r="C147" s="250"/>
      <c r="D147" s="387"/>
      <c r="E147" s="250" t="str">
        <f>IFERROR(VLOOKUP($D147,'Apoio - Mat Coletivo e Equip'!$A:$D,2,FALSE),"")</f>
        <v/>
      </c>
      <c r="F147" s="450"/>
      <c r="G147" s="748" t="str">
        <f>IFERROR(VLOOKUP($D147,'Apoio - Mat Coletivo e Equip'!$A:$D,3,FALSE),"")</f>
        <v/>
      </c>
      <c r="H147" s="747" t="str">
        <f>IFERROR(IF(VLOOKUP($D147,'Apoio - Mat Coletivo e Equip'!$A:$D,4,FALSE)=0,"",VLOOKUP($D147,'Apoio - Mat Coletivo e Equip'!$A:$D,4,FALSE)),"")</f>
        <v/>
      </c>
      <c r="I147" s="779" t="str">
        <f>IFERROR(J147/'Mão de Obra'!$D$12,"")</f>
        <v/>
      </c>
      <c r="J147" s="779" t="str">
        <f>IFERROR(IF(ISNUMBER(H147),H147*'Mão de Obra'!$D$12/12,1)*G147*F147,"")</f>
        <v/>
      </c>
    </row>
    <row r="148" spans="2:10">
      <c r="B148" s="250">
        <v>143</v>
      </c>
      <c r="C148" s="250"/>
      <c r="D148" s="387"/>
      <c r="E148" s="250" t="str">
        <f>IFERROR(VLOOKUP($D148,'Apoio - Mat Coletivo e Equip'!$A:$D,2,FALSE),"")</f>
        <v/>
      </c>
      <c r="F148" s="450"/>
      <c r="G148" s="748" t="str">
        <f>IFERROR(VLOOKUP($D148,'Apoio - Mat Coletivo e Equip'!$A:$D,3,FALSE),"")</f>
        <v/>
      </c>
      <c r="H148" s="747" t="str">
        <f>IFERROR(IF(VLOOKUP($D148,'Apoio - Mat Coletivo e Equip'!$A:$D,4,FALSE)=0,"",VLOOKUP($D148,'Apoio - Mat Coletivo e Equip'!$A:$D,4,FALSE)),"")</f>
        <v/>
      </c>
      <c r="I148" s="779" t="str">
        <f>IFERROR(J148/'Mão de Obra'!$D$12,"")</f>
        <v/>
      </c>
      <c r="J148" s="779" t="str">
        <f>IFERROR(IF(ISNUMBER(H148),H148*'Mão de Obra'!$D$12/12,1)*G148*F148,"")</f>
        <v/>
      </c>
    </row>
    <row r="149" spans="2:10">
      <c r="B149" s="250">
        <v>144</v>
      </c>
      <c r="C149" s="250"/>
      <c r="D149" s="387"/>
      <c r="E149" s="250" t="str">
        <f>IFERROR(VLOOKUP($D149,'Apoio - Mat Coletivo e Equip'!$A:$D,2,FALSE),"")</f>
        <v/>
      </c>
      <c r="F149" s="450"/>
      <c r="G149" s="748" t="str">
        <f>IFERROR(VLOOKUP($D149,'Apoio - Mat Coletivo e Equip'!$A:$D,3,FALSE),"")</f>
        <v/>
      </c>
      <c r="H149" s="747" t="str">
        <f>IFERROR(IF(VLOOKUP($D149,'Apoio - Mat Coletivo e Equip'!$A:$D,4,FALSE)=0,"",VLOOKUP($D149,'Apoio - Mat Coletivo e Equip'!$A:$D,4,FALSE)),"")</f>
        <v/>
      </c>
      <c r="I149" s="779" t="str">
        <f>IFERROR(J149/'Mão de Obra'!$D$12,"")</f>
        <v/>
      </c>
      <c r="J149" s="779" t="str">
        <f>IFERROR(IF(ISNUMBER(H149),H149*'Mão de Obra'!$D$12/12,1)*G149*F149,"")</f>
        <v/>
      </c>
    </row>
    <row r="150" spans="2:10">
      <c r="B150" s="250">
        <v>145</v>
      </c>
      <c r="C150" s="250"/>
      <c r="D150" s="387"/>
      <c r="E150" s="250" t="str">
        <f>IFERROR(VLOOKUP($D150,'Apoio - Mat Coletivo e Equip'!$A:$D,2,FALSE),"")</f>
        <v/>
      </c>
      <c r="F150" s="450"/>
      <c r="G150" s="748" t="str">
        <f>IFERROR(VLOOKUP($D150,'Apoio - Mat Coletivo e Equip'!$A:$D,3,FALSE),"")</f>
        <v/>
      </c>
      <c r="H150" s="747" t="str">
        <f>IFERROR(IF(VLOOKUP($D150,'Apoio - Mat Coletivo e Equip'!$A:$D,4,FALSE)=0,"",VLOOKUP($D150,'Apoio - Mat Coletivo e Equip'!$A:$D,4,FALSE)),"")</f>
        <v/>
      </c>
      <c r="I150" s="779" t="str">
        <f>IFERROR(J150/'Mão de Obra'!$D$12,"")</f>
        <v/>
      </c>
      <c r="J150" s="779" t="str">
        <f>IFERROR(IF(ISNUMBER(H150),H150*'Mão de Obra'!$D$12/12,1)*G150*F150,"")</f>
        <v/>
      </c>
    </row>
    <row r="151" spans="2:10">
      <c r="B151" s="250">
        <v>146</v>
      </c>
      <c r="C151" s="250"/>
      <c r="D151" s="387"/>
      <c r="E151" s="250" t="str">
        <f>IFERROR(VLOOKUP($D151,'Apoio - Mat Coletivo e Equip'!$A:$D,2,FALSE),"")</f>
        <v/>
      </c>
      <c r="F151" s="450"/>
      <c r="G151" s="748" t="str">
        <f>IFERROR(VLOOKUP($D151,'Apoio - Mat Coletivo e Equip'!$A:$D,3,FALSE),"")</f>
        <v/>
      </c>
      <c r="H151" s="747" t="str">
        <f>IFERROR(IF(VLOOKUP($D151,'Apoio - Mat Coletivo e Equip'!$A:$D,4,FALSE)=0,"",VLOOKUP($D151,'Apoio - Mat Coletivo e Equip'!$A:$D,4,FALSE)),"")</f>
        <v/>
      </c>
      <c r="I151" s="779" t="str">
        <f>IFERROR(J151/'Mão de Obra'!$D$12,"")</f>
        <v/>
      </c>
      <c r="J151" s="779" t="str">
        <f>IFERROR(IF(ISNUMBER(H151),H151*'Mão de Obra'!$D$12/12,1)*G151*F151,"")</f>
        <v/>
      </c>
    </row>
    <row r="152" spans="2:10">
      <c r="B152" s="250">
        <v>147</v>
      </c>
      <c r="C152" s="250"/>
      <c r="D152" s="387"/>
      <c r="E152" s="250" t="str">
        <f>IFERROR(VLOOKUP($D152,'Apoio - Mat Coletivo e Equip'!$A:$D,2,FALSE),"")</f>
        <v/>
      </c>
      <c r="F152" s="450"/>
      <c r="G152" s="748" t="str">
        <f>IFERROR(VLOOKUP($D152,'Apoio - Mat Coletivo e Equip'!$A:$D,3,FALSE),"")</f>
        <v/>
      </c>
      <c r="H152" s="747" t="str">
        <f>IFERROR(IF(VLOOKUP($D152,'Apoio - Mat Coletivo e Equip'!$A:$D,4,FALSE)=0,"",VLOOKUP($D152,'Apoio - Mat Coletivo e Equip'!$A:$D,4,FALSE)),"")</f>
        <v/>
      </c>
      <c r="I152" s="779" t="str">
        <f>IFERROR(J152/'Mão de Obra'!$D$12,"")</f>
        <v/>
      </c>
      <c r="J152" s="779" t="str">
        <f>IFERROR(IF(ISNUMBER(H152),H152*'Mão de Obra'!$D$12/12,1)*G152*F152,"")</f>
        <v/>
      </c>
    </row>
    <row r="153" spans="2:10">
      <c r="B153" s="250">
        <v>148</v>
      </c>
      <c r="C153" s="250"/>
      <c r="D153" s="387"/>
      <c r="E153" s="250" t="str">
        <f>IFERROR(VLOOKUP($D153,'Apoio - Mat Coletivo e Equip'!$A:$D,2,FALSE),"")</f>
        <v/>
      </c>
      <c r="F153" s="450"/>
      <c r="G153" s="748" t="str">
        <f>IFERROR(VLOOKUP($D153,'Apoio - Mat Coletivo e Equip'!$A:$D,3,FALSE),"")</f>
        <v/>
      </c>
      <c r="H153" s="747" t="str">
        <f>IFERROR(IF(VLOOKUP($D153,'Apoio - Mat Coletivo e Equip'!$A:$D,4,FALSE)=0,"",VLOOKUP($D153,'Apoio - Mat Coletivo e Equip'!$A:$D,4,FALSE)),"")</f>
        <v/>
      </c>
      <c r="I153" s="779" t="str">
        <f>IFERROR(J153/'Mão de Obra'!$D$12,"")</f>
        <v/>
      </c>
      <c r="J153" s="779" t="str">
        <f>IFERROR(IF(ISNUMBER(H153),H153*'Mão de Obra'!$D$12/12,1)*G153*F153,"")</f>
        <v/>
      </c>
    </row>
    <row r="154" spans="2:10">
      <c r="B154" s="250">
        <v>149</v>
      </c>
      <c r="C154" s="250"/>
      <c r="D154" s="387"/>
      <c r="E154" s="250" t="str">
        <f>IFERROR(VLOOKUP($D154,'Apoio - Mat Coletivo e Equip'!$A:$D,2,FALSE),"")</f>
        <v/>
      </c>
      <c r="F154" s="450"/>
      <c r="G154" s="748" t="str">
        <f>IFERROR(VLOOKUP($D154,'Apoio - Mat Coletivo e Equip'!$A:$D,3,FALSE),"")</f>
        <v/>
      </c>
      <c r="H154" s="747" t="str">
        <f>IFERROR(IF(VLOOKUP($D154,'Apoio - Mat Coletivo e Equip'!$A:$D,4,FALSE)=0,"",VLOOKUP($D154,'Apoio - Mat Coletivo e Equip'!$A:$D,4,FALSE)),"")</f>
        <v/>
      </c>
      <c r="I154" s="779" t="str">
        <f>IFERROR(J154/'Mão de Obra'!$D$12,"")</f>
        <v/>
      </c>
      <c r="J154" s="779" t="str">
        <f>IFERROR(IF(ISNUMBER(H154),H154*'Mão de Obra'!$D$12/12,1)*G154*F154,"")</f>
        <v/>
      </c>
    </row>
    <row r="155" spans="2:10">
      <c r="B155" s="250">
        <v>150</v>
      </c>
      <c r="C155" s="250"/>
      <c r="D155" s="387"/>
      <c r="E155" s="250" t="str">
        <f>IFERROR(VLOOKUP($D155,'Apoio - Mat Coletivo e Equip'!$A:$D,2,FALSE),"")</f>
        <v/>
      </c>
      <c r="F155" s="450"/>
      <c r="G155" s="748" t="str">
        <f>IFERROR(VLOOKUP($D155,'Apoio - Mat Coletivo e Equip'!$A:$D,3,FALSE),"")</f>
        <v/>
      </c>
      <c r="H155" s="747" t="str">
        <f>IFERROR(IF(VLOOKUP($D155,'Apoio - Mat Coletivo e Equip'!$A:$D,4,FALSE)=0,"",VLOOKUP($D155,'Apoio - Mat Coletivo e Equip'!$A:$D,4,FALSE)),"")</f>
        <v/>
      </c>
      <c r="I155" s="779" t="str">
        <f>IFERROR(J155/'Mão de Obra'!$D$12,"")</f>
        <v/>
      </c>
      <c r="J155" s="779" t="str">
        <f>IFERROR(IF(ISNUMBER(H155),H155*'Mão de Obra'!$D$12/12,1)*G155*F155,"")</f>
        <v/>
      </c>
    </row>
    <row r="156" spans="2:10">
      <c r="B156" s="250">
        <v>151</v>
      </c>
      <c r="C156" s="250"/>
      <c r="D156" s="387"/>
      <c r="E156" s="250" t="str">
        <f>IFERROR(VLOOKUP($D156,'Apoio - Mat Coletivo e Equip'!$A:$D,2,FALSE),"")</f>
        <v/>
      </c>
      <c r="F156" s="450"/>
      <c r="G156" s="748" t="str">
        <f>IFERROR(VLOOKUP($D156,'Apoio - Mat Coletivo e Equip'!$A:$D,3,FALSE),"")</f>
        <v/>
      </c>
      <c r="H156" s="747" t="str">
        <f>IFERROR(IF(VLOOKUP($D156,'Apoio - Mat Coletivo e Equip'!$A:$D,4,FALSE)=0,"",VLOOKUP($D156,'Apoio - Mat Coletivo e Equip'!$A:$D,4,FALSE)),"")</f>
        <v/>
      </c>
      <c r="I156" s="779" t="str">
        <f>IFERROR(J156/'Mão de Obra'!$D$12,"")</f>
        <v/>
      </c>
      <c r="J156" s="779" t="str">
        <f>IFERROR(IF(ISNUMBER(H156),H156*'Mão de Obra'!$D$12/12,1)*G156*F156,"")</f>
        <v/>
      </c>
    </row>
    <row r="157" spans="2:10">
      <c r="B157" s="250">
        <v>152</v>
      </c>
      <c r="C157" s="250"/>
      <c r="D157" s="387"/>
      <c r="E157" s="250" t="str">
        <f>IFERROR(VLOOKUP($D157,'Apoio - Mat Coletivo e Equip'!$A:$D,2,FALSE),"")</f>
        <v/>
      </c>
      <c r="F157" s="450"/>
      <c r="G157" s="748" t="str">
        <f>IFERROR(VLOOKUP($D157,'Apoio - Mat Coletivo e Equip'!$A:$D,3,FALSE),"")</f>
        <v/>
      </c>
      <c r="H157" s="747" t="str">
        <f>IFERROR(IF(VLOOKUP($D157,'Apoio - Mat Coletivo e Equip'!$A:$D,4,FALSE)=0,"",VLOOKUP($D157,'Apoio - Mat Coletivo e Equip'!$A:$D,4,FALSE)),"")</f>
        <v/>
      </c>
      <c r="I157" s="779" t="str">
        <f>IFERROR(J157/'Mão de Obra'!$D$12,"")</f>
        <v/>
      </c>
      <c r="J157" s="779" t="str">
        <f>IFERROR(IF(ISNUMBER(H157),H157*'Mão de Obra'!$D$12/12,1)*G157*F157,"")</f>
        <v/>
      </c>
    </row>
    <row r="158" spans="2:10">
      <c r="B158" s="250">
        <v>153</v>
      </c>
      <c r="C158" s="250"/>
      <c r="D158" s="387"/>
      <c r="E158" s="250" t="str">
        <f>IFERROR(VLOOKUP($D158,'Apoio - Mat Coletivo e Equip'!$A:$D,2,FALSE),"")</f>
        <v/>
      </c>
      <c r="F158" s="450"/>
      <c r="G158" s="748" t="str">
        <f>IFERROR(VLOOKUP($D158,'Apoio - Mat Coletivo e Equip'!$A:$D,3,FALSE),"")</f>
        <v/>
      </c>
      <c r="H158" s="747" t="str">
        <f>IFERROR(IF(VLOOKUP($D158,'Apoio - Mat Coletivo e Equip'!$A:$D,4,FALSE)=0,"",VLOOKUP($D158,'Apoio - Mat Coletivo e Equip'!$A:$D,4,FALSE)),"")</f>
        <v/>
      </c>
      <c r="I158" s="779" t="str">
        <f>IFERROR(J158/'Mão de Obra'!$D$12,"")</f>
        <v/>
      </c>
      <c r="J158" s="779" t="str">
        <f>IFERROR(IF(ISNUMBER(H158),H158*'Mão de Obra'!$D$12/12,1)*G158*F158,"")</f>
        <v/>
      </c>
    </row>
    <row r="159" spans="2:10">
      <c r="B159" s="250">
        <v>154</v>
      </c>
      <c r="C159" s="250"/>
      <c r="D159" s="387"/>
      <c r="E159" s="250" t="str">
        <f>IFERROR(VLOOKUP($D159,'Apoio - Mat Coletivo e Equip'!$A:$D,2,FALSE),"")</f>
        <v/>
      </c>
      <c r="F159" s="450"/>
      <c r="G159" s="748" t="str">
        <f>IFERROR(VLOOKUP($D159,'Apoio - Mat Coletivo e Equip'!$A:$D,3,FALSE),"")</f>
        <v/>
      </c>
      <c r="H159" s="747" t="str">
        <f>IFERROR(IF(VLOOKUP($D159,'Apoio - Mat Coletivo e Equip'!$A:$D,4,FALSE)=0,"",VLOOKUP($D159,'Apoio - Mat Coletivo e Equip'!$A:$D,4,FALSE)),"")</f>
        <v/>
      </c>
      <c r="I159" s="779" t="str">
        <f>IFERROR(J159/'Mão de Obra'!$D$12,"")</f>
        <v/>
      </c>
      <c r="J159" s="779" t="str">
        <f>IFERROR(IF(ISNUMBER(H159),H159*'Mão de Obra'!$D$12/12,1)*G159*F159,"")</f>
        <v/>
      </c>
    </row>
    <row r="160" spans="2:10">
      <c r="B160" s="250">
        <v>155</v>
      </c>
      <c r="C160" s="250"/>
      <c r="D160" s="387"/>
      <c r="E160" s="250" t="str">
        <f>IFERROR(VLOOKUP($D160,'Apoio - Mat Coletivo e Equip'!$A:$D,2,FALSE),"")</f>
        <v/>
      </c>
      <c r="F160" s="450"/>
      <c r="G160" s="748" t="str">
        <f>IFERROR(VLOOKUP($D160,'Apoio - Mat Coletivo e Equip'!$A:$D,3,FALSE),"")</f>
        <v/>
      </c>
      <c r="H160" s="747" t="str">
        <f>IFERROR(IF(VLOOKUP($D160,'Apoio - Mat Coletivo e Equip'!$A:$D,4,FALSE)=0,"",VLOOKUP($D160,'Apoio - Mat Coletivo e Equip'!$A:$D,4,FALSE)),"")</f>
        <v/>
      </c>
      <c r="I160" s="779" t="str">
        <f>IFERROR(J160/'Mão de Obra'!$D$12,"")</f>
        <v/>
      </c>
      <c r="J160" s="779" t="str">
        <f>IFERROR(IF(ISNUMBER(H160),H160*'Mão de Obra'!$D$12/12,1)*G160*F160,"")</f>
        <v/>
      </c>
    </row>
    <row r="161" spans="2:10">
      <c r="B161" s="250">
        <v>156</v>
      </c>
      <c r="C161" s="250"/>
      <c r="D161" s="387"/>
      <c r="E161" s="250" t="str">
        <f>IFERROR(VLOOKUP($D161,'Apoio - Mat Coletivo e Equip'!$A:$D,2,FALSE),"")</f>
        <v/>
      </c>
      <c r="F161" s="450"/>
      <c r="G161" s="748" t="str">
        <f>IFERROR(VLOOKUP($D161,'Apoio - Mat Coletivo e Equip'!$A:$D,3,FALSE),"")</f>
        <v/>
      </c>
      <c r="H161" s="747" t="str">
        <f>IFERROR(IF(VLOOKUP($D161,'Apoio - Mat Coletivo e Equip'!$A:$D,4,FALSE)=0,"",VLOOKUP($D161,'Apoio - Mat Coletivo e Equip'!$A:$D,4,FALSE)),"")</f>
        <v/>
      </c>
      <c r="I161" s="779" t="str">
        <f>IFERROR(J161/'Mão de Obra'!$D$12,"")</f>
        <v/>
      </c>
      <c r="J161" s="779" t="str">
        <f>IFERROR(IF(ISNUMBER(H161),H161*'Mão de Obra'!$D$12/12,1)*G161*F161,"")</f>
        <v/>
      </c>
    </row>
    <row r="162" spans="2:10">
      <c r="B162" s="250">
        <v>157</v>
      </c>
      <c r="C162" s="250"/>
      <c r="D162" s="387"/>
      <c r="E162" s="250" t="str">
        <f>IFERROR(VLOOKUP($D162,'Apoio - Mat Coletivo e Equip'!$A:$D,2,FALSE),"")</f>
        <v/>
      </c>
      <c r="F162" s="450"/>
      <c r="G162" s="748" t="str">
        <f>IFERROR(VLOOKUP($D162,'Apoio - Mat Coletivo e Equip'!$A:$D,3,FALSE),"")</f>
        <v/>
      </c>
      <c r="H162" s="747" t="str">
        <f>IFERROR(IF(VLOOKUP($D162,'Apoio - Mat Coletivo e Equip'!$A:$D,4,FALSE)=0,"",VLOOKUP($D162,'Apoio - Mat Coletivo e Equip'!$A:$D,4,FALSE)),"")</f>
        <v/>
      </c>
      <c r="I162" s="779" t="str">
        <f>IFERROR(J162/'Mão de Obra'!$D$12,"")</f>
        <v/>
      </c>
      <c r="J162" s="779" t="str">
        <f>IFERROR(IF(ISNUMBER(H162),H162*'Mão de Obra'!$D$12/12,1)*G162*F162,"")</f>
        <v/>
      </c>
    </row>
    <row r="163" spans="2:10">
      <c r="B163" s="250">
        <v>158</v>
      </c>
      <c r="C163" s="250"/>
      <c r="D163" s="387"/>
      <c r="E163" s="250" t="str">
        <f>IFERROR(VLOOKUP($D163,'Apoio - Mat Coletivo e Equip'!$A:$D,2,FALSE),"")</f>
        <v/>
      </c>
      <c r="F163" s="450"/>
      <c r="G163" s="748" t="str">
        <f>IFERROR(VLOOKUP($D163,'Apoio - Mat Coletivo e Equip'!$A:$D,3,FALSE),"")</f>
        <v/>
      </c>
      <c r="H163" s="747" t="str">
        <f>IFERROR(IF(VLOOKUP($D163,'Apoio - Mat Coletivo e Equip'!$A:$D,4,FALSE)=0,"",VLOOKUP($D163,'Apoio - Mat Coletivo e Equip'!$A:$D,4,FALSE)),"")</f>
        <v/>
      </c>
      <c r="I163" s="779" t="str">
        <f>IFERROR(J163/'Mão de Obra'!$D$12,"")</f>
        <v/>
      </c>
      <c r="J163" s="779" t="str">
        <f>IFERROR(IF(ISNUMBER(H163),H163*'Mão de Obra'!$D$12/12,1)*G163*F163,"")</f>
        <v/>
      </c>
    </row>
    <row r="164" spans="2:10">
      <c r="B164" s="250">
        <v>159</v>
      </c>
      <c r="C164" s="250"/>
      <c r="D164" s="387"/>
      <c r="E164" s="250" t="str">
        <f>IFERROR(VLOOKUP($D164,'Apoio - Mat Coletivo e Equip'!$A:$D,2,FALSE),"")</f>
        <v/>
      </c>
      <c r="F164" s="450"/>
      <c r="G164" s="748" t="str">
        <f>IFERROR(VLOOKUP($D164,'Apoio - Mat Coletivo e Equip'!$A:$D,3,FALSE),"")</f>
        <v/>
      </c>
      <c r="H164" s="747" t="str">
        <f>IFERROR(IF(VLOOKUP($D164,'Apoio - Mat Coletivo e Equip'!$A:$D,4,FALSE)=0,"",VLOOKUP($D164,'Apoio - Mat Coletivo e Equip'!$A:$D,4,FALSE)),"")</f>
        <v/>
      </c>
      <c r="I164" s="779" t="str">
        <f>IFERROR(J164/'Mão de Obra'!$D$12,"")</f>
        <v/>
      </c>
      <c r="J164" s="779" t="str">
        <f>IFERROR(IF(ISNUMBER(H164),H164*'Mão de Obra'!$D$12/12,1)*G164*F164,"")</f>
        <v/>
      </c>
    </row>
    <row r="165" spans="2:10">
      <c r="B165" s="250">
        <v>160</v>
      </c>
      <c r="C165" s="250"/>
      <c r="D165" s="387"/>
      <c r="E165" s="250" t="str">
        <f>IFERROR(VLOOKUP($D165,'Apoio - Mat Coletivo e Equip'!$A:$D,2,FALSE),"")</f>
        <v/>
      </c>
      <c r="F165" s="450"/>
      <c r="G165" s="748" t="str">
        <f>IFERROR(VLOOKUP($D165,'Apoio - Mat Coletivo e Equip'!$A:$D,3,FALSE),"")</f>
        <v/>
      </c>
      <c r="H165" s="747" t="str">
        <f>IFERROR(IF(VLOOKUP($D165,'Apoio - Mat Coletivo e Equip'!$A:$D,4,FALSE)=0,"",VLOOKUP($D165,'Apoio - Mat Coletivo e Equip'!$A:$D,4,FALSE)),"")</f>
        <v/>
      </c>
      <c r="I165" s="779" t="str">
        <f>IFERROR(J165/'Mão de Obra'!$D$12,"")</f>
        <v/>
      </c>
      <c r="J165" s="779" t="str">
        <f>IFERROR(IF(ISNUMBER(H165),H165*'Mão de Obra'!$D$12/12,1)*G165*F165,"")</f>
        <v/>
      </c>
    </row>
    <row r="166" spans="2:10">
      <c r="B166" s="250">
        <v>161</v>
      </c>
      <c r="C166" s="250"/>
      <c r="D166" s="387"/>
      <c r="E166" s="250" t="str">
        <f>IFERROR(VLOOKUP($D166,'Apoio - Mat Coletivo e Equip'!$A:$D,2,FALSE),"")</f>
        <v/>
      </c>
      <c r="F166" s="450"/>
      <c r="G166" s="748" t="str">
        <f>IFERROR(VLOOKUP($D166,'Apoio - Mat Coletivo e Equip'!$A:$D,3,FALSE),"")</f>
        <v/>
      </c>
      <c r="H166" s="747" t="str">
        <f>IFERROR(IF(VLOOKUP($D166,'Apoio - Mat Coletivo e Equip'!$A:$D,4,FALSE)=0,"",VLOOKUP($D166,'Apoio - Mat Coletivo e Equip'!$A:$D,4,FALSE)),"")</f>
        <v/>
      </c>
      <c r="I166" s="779" t="str">
        <f>IFERROR(J166/'Mão de Obra'!$D$12,"")</f>
        <v/>
      </c>
      <c r="J166" s="779" t="str">
        <f>IFERROR(IF(ISNUMBER(H166),H166*'Mão de Obra'!$D$12/12,1)*G166*F166,"")</f>
        <v/>
      </c>
    </row>
    <row r="167" spans="2:10">
      <c r="B167" s="250">
        <v>162</v>
      </c>
      <c r="C167" s="250"/>
      <c r="D167" s="387"/>
      <c r="E167" s="250" t="str">
        <f>IFERROR(VLOOKUP($D167,'Apoio - Mat Coletivo e Equip'!$A:$D,2,FALSE),"")</f>
        <v/>
      </c>
      <c r="F167" s="450"/>
      <c r="G167" s="748" t="str">
        <f>IFERROR(VLOOKUP($D167,'Apoio - Mat Coletivo e Equip'!$A:$D,3,FALSE),"")</f>
        <v/>
      </c>
      <c r="H167" s="747" t="str">
        <f>IFERROR(IF(VLOOKUP($D167,'Apoio - Mat Coletivo e Equip'!$A:$D,4,FALSE)=0,"",VLOOKUP($D167,'Apoio - Mat Coletivo e Equip'!$A:$D,4,FALSE)),"")</f>
        <v/>
      </c>
      <c r="I167" s="779" t="str">
        <f>IFERROR(J167/'Mão de Obra'!$D$12,"")</f>
        <v/>
      </c>
      <c r="J167" s="779" t="str">
        <f>IFERROR(IF(ISNUMBER(H167),H167*'Mão de Obra'!$D$12/12,1)*G167*F167,"")</f>
        <v/>
      </c>
    </row>
    <row r="168" spans="2:10">
      <c r="B168" s="250">
        <v>163</v>
      </c>
      <c r="C168" s="250"/>
      <c r="D168" s="387"/>
      <c r="E168" s="250" t="str">
        <f>IFERROR(VLOOKUP($D168,'Apoio - Mat Coletivo e Equip'!$A:$D,2,FALSE),"")</f>
        <v/>
      </c>
      <c r="F168" s="450"/>
      <c r="G168" s="748" t="str">
        <f>IFERROR(VLOOKUP($D168,'Apoio - Mat Coletivo e Equip'!$A:$D,3,FALSE),"")</f>
        <v/>
      </c>
      <c r="H168" s="747" t="str">
        <f>IFERROR(IF(VLOOKUP($D168,'Apoio - Mat Coletivo e Equip'!$A:$D,4,FALSE)=0,"",VLOOKUP($D168,'Apoio - Mat Coletivo e Equip'!$A:$D,4,FALSE)),"")</f>
        <v/>
      </c>
      <c r="I168" s="779" t="str">
        <f>IFERROR(J168/'Mão de Obra'!$D$12,"")</f>
        <v/>
      </c>
      <c r="J168" s="779" t="str">
        <f>IFERROR(IF(ISNUMBER(H168),H168*'Mão de Obra'!$D$12/12,1)*G168*F168,"")</f>
        <v/>
      </c>
    </row>
    <row r="169" spans="2:10">
      <c r="B169" s="250">
        <v>164</v>
      </c>
      <c r="C169" s="250"/>
      <c r="D169" s="387"/>
      <c r="E169" s="250" t="str">
        <f>IFERROR(VLOOKUP($D169,'Apoio - Mat Coletivo e Equip'!$A:$D,2,FALSE),"")</f>
        <v/>
      </c>
      <c r="F169" s="450"/>
      <c r="G169" s="748" t="str">
        <f>IFERROR(VLOOKUP($D169,'Apoio - Mat Coletivo e Equip'!$A:$D,3,FALSE),"")</f>
        <v/>
      </c>
      <c r="H169" s="747" t="str">
        <f>IFERROR(IF(VLOOKUP($D169,'Apoio - Mat Coletivo e Equip'!$A:$D,4,FALSE)=0,"",VLOOKUP($D169,'Apoio - Mat Coletivo e Equip'!$A:$D,4,FALSE)),"")</f>
        <v/>
      </c>
      <c r="I169" s="779" t="str">
        <f>IFERROR(J169/'Mão de Obra'!$D$12,"")</f>
        <v/>
      </c>
      <c r="J169" s="779" t="str">
        <f>IFERROR(IF(ISNUMBER(H169),H169*'Mão de Obra'!$D$12/12,1)*G169*F169,"")</f>
        <v/>
      </c>
    </row>
    <row r="170" spans="2:10">
      <c r="B170" s="250">
        <v>165</v>
      </c>
      <c r="C170" s="250"/>
      <c r="D170" s="387"/>
      <c r="E170" s="250" t="str">
        <f>IFERROR(VLOOKUP($D170,'Apoio - Mat Coletivo e Equip'!$A:$D,2,FALSE),"")</f>
        <v/>
      </c>
      <c r="F170" s="450"/>
      <c r="G170" s="748" t="str">
        <f>IFERROR(VLOOKUP($D170,'Apoio - Mat Coletivo e Equip'!$A:$D,3,FALSE),"")</f>
        <v/>
      </c>
      <c r="H170" s="747" t="str">
        <f>IFERROR(IF(VLOOKUP($D170,'Apoio - Mat Coletivo e Equip'!$A:$D,4,FALSE)=0,"",VLOOKUP($D170,'Apoio - Mat Coletivo e Equip'!$A:$D,4,FALSE)),"")</f>
        <v/>
      </c>
      <c r="I170" s="779" t="str">
        <f>IFERROR(J170/'Mão de Obra'!$D$12,"")</f>
        <v/>
      </c>
      <c r="J170" s="779" t="str">
        <f>IFERROR(IF(ISNUMBER(H170),H170*'Mão de Obra'!$D$12/12,1)*G170*F170,"")</f>
        <v/>
      </c>
    </row>
    <row r="171" spans="2:10">
      <c r="B171" s="250">
        <v>166</v>
      </c>
      <c r="C171" s="250"/>
      <c r="D171" s="387"/>
      <c r="E171" s="250" t="str">
        <f>IFERROR(VLOOKUP($D171,'Apoio - Mat Coletivo e Equip'!$A:$D,2,FALSE),"")</f>
        <v/>
      </c>
      <c r="F171" s="450"/>
      <c r="G171" s="748" t="str">
        <f>IFERROR(VLOOKUP($D171,'Apoio - Mat Coletivo e Equip'!$A:$D,3,FALSE),"")</f>
        <v/>
      </c>
      <c r="H171" s="747" t="str">
        <f>IFERROR(IF(VLOOKUP($D171,'Apoio - Mat Coletivo e Equip'!$A:$D,4,FALSE)=0,"",VLOOKUP($D171,'Apoio - Mat Coletivo e Equip'!$A:$D,4,FALSE)),"")</f>
        <v/>
      </c>
      <c r="I171" s="779" t="str">
        <f>IFERROR(J171/'Mão de Obra'!$D$12,"")</f>
        <v/>
      </c>
      <c r="J171" s="779" t="str">
        <f>IFERROR(IF(ISNUMBER(H171),H171*'Mão de Obra'!$D$12/12,1)*G171*F171,"")</f>
        <v/>
      </c>
    </row>
    <row r="172" spans="2:10">
      <c r="B172" s="250">
        <v>167</v>
      </c>
      <c r="C172" s="250"/>
      <c r="D172" s="387"/>
      <c r="E172" s="250" t="str">
        <f>IFERROR(VLOOKUP($D172,'Apoio - Mat Coletivo e Equip'!$A:$D,2,FALSE),"")</f>
        <v/>
      </c>
      <c r="F172" s="450"/>
      <c r="G172" s="748" t="str">
        <f>IFERROR(VLOOKUP($D172,'Apoio - Mat Coletivo e Equip'!$A:$D,3,FALSE),"")</f>
        <v/>
      </c>
      <c r="H172" s="747" t="str">
        <f>IFERROR(IF(VLOOKUP($D172,'Apoio - Mat Coletivo e Equip'!$A:$D,4,FALSE)=0,"",VLOOKUP($D172,'Apoio - Mat Coletivo e Equip'!$A:$D,4,FALSE)),"")</f>
        <v/>
      </c>
      <c r="I172" s="779" t="str">
        <f>IFERROR(J172/'Mão de Obra'!$D$12,"")</f>
        <v/>
      </c>
      <c r="J172" s="779" t="str">
        <f>IFERROR(IF(ISNUMBER(H172),H172*'Mão de Obra'!$D$12/12,1)*G172*F172,"")</f>
        <v/>
      </c>
    </row>
    <row r="173" spans="2:10">
      <c r="B173" s="250">
        <v>168</v>
      </c>
      <c r="C173" s="250"/>
      <c r="D173" s="387"/>
      <c r="E173" s="250" t="str">
        <f>IFERROR(VLOOKUP($D173,'Apoio - Mat Coletivo e Equip'!$A:$D,2,FALSE),"")</f>
        <v/>
      </c>
      <c r="F173" s="450"/>
      <c r="G173" s="748" t="str">
        <f>IFERROR(VLOOKUP($D173,'Apoio - Mat Coletivo e Equip'!$A:$D,3,FALSE),"")</f>
        <v/>
      </c>
      <c r="H173" s="747" t="str">
        <f>IFERROR(IF(VLOOKUP($D173,'Apoio - Mat Coletivo e Equip'!$A:$D,4,FALSE)=0,"",VLOOKUP($D173,'Apoio - Mat Coletivo e Equip'!$A:$D,4,FALSE)),"")</f>
        <v/>
      </c>
      <c r="I173" s="779" t="str">
        <f>IFERROR(J173/'Mão de Obra'!$D$12,"")</f>
        <v/>
      </c>
      <c r="J173" s="779" t="str">
        <f>IFERROR(IF(ISNUMBER(H173),H173*'Mão de Obra'!$D$12/12,1)*G173*F173,"")</f>
        <v/>
      </c>
    </row>
    <row r="174" spans="2:10">
      <c r="B174" s="250">
        <v>169</v>
      </c>
      <c r="C174" s="250"/>
      <c r="D174" s="387"/>
      <c r="E174" s="250" t="str">
        <f>IFERROR(VLOOKUP($D174,'Apoio - Mat Coletivo e Equip'!$A:$D,2,FALSE),"")</f>
        <v/>
      </c>
      <c r="F174" s="450"/>
      <c r="G174" s="748" t="str">
        <f>IFERROR(VLOOKUP($D174,'Apoio - Mat Coletivo e Equip'!$A:$D,3,FALSE),"")</f>
        <v/>
      </c>
      <c r="H174" s="747" t="str">
        <f>IFERROR(IF(VLOOKUP($D174,'Apoio - Mat Coletivo e Equip'!$A:$D,4,FALSE)=0,"",VLOOKUP($D174,'Apoio - Mat Coletivo e Equip'!$A:$D,4,FALSE)),"")</f>
        <v/>
      </c>
      <c r="I174" s="779" t="str">
        <f>IFERROR(J174/'Mão de Obra'!$D$12,"")</f>
        <v/>
      </c>
      <c r="J174" s="779" t="str">
        <f>IFERROR(IF(ISNUMBER(H174),H174*'Mão de Obra'!$D$12/12,1)*G174*F174,"")</f>
        <v/>
      </c>
    </row>
    <row r="175" spans="2:10">
      <c r="B175" s="250">
        <v>170</v>
      </c>
      <c r="C175" s="250"/>
      <c r="D175" s="387"/>
      <c r="E175" s="250" t="str">
        <f>IFERROR(VLOOKUP($D175,'Apoio - Mat Coletivo e Equip'!$A:$D,2,FALSE),"")</f>
        <v/>
      </c>
      <c r="F175" s="450"/>
      <c r="G175" s="748" t="str">
        <f>IFERROR(VLOOKUP($D175,'Apoio - Mat Coletivo e Equip'!$A:$D,3,FALSE),"")</f>
        <v/>
      </c>
      <c r="H175" s="747" t="str">
        <f>IFERROR(IF(VLOOKUP($D175,'Apoio - Mat Coletivo e Equip'!$A:$D,4,FALSE)=0,"",VLOOKUP($D175,'Apoio - Mat Coletivo e Equip'!$A:$D,4,FALSE)),"")</f>
        <v/>
      </c>
      <c r="I175" s="779" t="str">
        <f>IFERROR(J175/'Mão de Obra'!$D$12,"")</f>
        <v/>
      </c>
      <c r="J175" s="779" t="str">
        <f>IFERROR(IF(ISNUMBER(H175),H175*'Mão de Obra'!$D$12/12,1)*G175*F175,"")</f>
        <v/>
      </c>
    </row>
    <row r="176" spans="2:10">
      <c r="B176" s="250">
        <v>171</v>
      </c>
      <c r="C176" s="250"/>
      <c r="D176" s="387"/>
      <c r="E176" s="250" t="str">
        <f>IFERROR(VLOOKUP($D176,'Apoio - Mat Coletivo e Equip'!$A:$D,2,FALSE),"")</f>
        <v/>
      </c>
      <c r="F176" s="450"/>
      <c r="G176" s="748" t="str">
        <f>IFERROR(VLOOKUP($D176,'Apoio - Mat Coletivo e Equip'!$A:$D,3,FALSE),"")</f>
        <v/>
      </c>
      <c r="H176" s="747" t="str">
        <f>IFERROR(IF(VLOOKUP($D176,'Apoio - Mat Coletivo e Equip'!$A:$D,4,FALSE)=0,"",VLOOKUP($D176,'Apoio - Mat Coletivo e Equip'!$A:$D,4,FALSE)),"")</f>
        <v/>
      </c>
      <c r="I176" s="779" t="str">
        <f>IFERROR(J176/'Mão de Obra'!$D$12,"")</f>
        <v/>
      </c>
      <c r="J176" s="779" t="str">
        <f>IFERROR(IF(ISNUMBER(H176),H176*'Mão de Obra'!$D$12/12,1)*G176*F176,"")</f>
        <v/>
      </c>
    </row>
    <row r="177" spans="2:10">
      <c r="B177" s="250">
        <v>172</v>
      </c>
      <c r="C177" s="250"/>
      <c r="D177" s="387"/>
      <c r="E177" s="250" t="str">
        <f>IFERROR(VLOOKUP($D177,'Apoio - Mat Coletivo e Equip'!$A:$D,2,FALSE),"")</f>
        <v/>
      </c>
      <c r="F177" s="450"/>
      <c r="G177" s="748" t="str">
        <f>IFERROR(VLOOKUP($D177,'Apoio - Mat Coletivo e Equip'!$A:$D,3,FALSE),"")</f>
        <v/>
      </c>
      <c r="H177" s="747" t="str">
        <f>IFERROR(IF(VLOOKUP($D177,'Apoio - Mat Coletivo e Equip'!$A:$D,4,FALSE)=0,"",VLOOKUP($D177,'Apoio - Mat Coletivo e Equip'!$A:$D,4,FALSE)),"")</f>
        <v/>
      </c>
      <c r="I177" s="779" t="str">
        <f>IFERROR(J177/'Mão de Obra'!$D$12,"")</f>
        <v/>
      </c>
      <c r="J177" s="779" t="str">
        <f>IFERROR(IF(ISNUMBER(H177),H177*'Mão de Obra'!$D$12/12,1)*G177*F177,"")</f>
        <v/>
      </c>
    </row>
    <row r="178" spans="2:10">
      <c r="B178" s="250">
        <v>173</v>
      </c>
      <c r="C178" s="250"/>
      <c r="D178" s="387"/>
      <c r="E178" s="250" t="str">
        <f>IFERROR(VLOOKUP($D178,'Apoio - Mat Coletivo e Equip'!$A:$D,2,FALSE),"")</f>
        <v/>
      </c>
      <c r="F178" s="450"/>
      <c r="G178" s="748" t="str">
        <f>IFERROR(VLOOKUP($D178,'Apoio - Mat Coletivo e Equip'!$A:$D,3,FALSE),"")</f>
        <v/>
      </c>
      <c r="H178" s="747" t="str">
        <f>IFERROR(IF(VLOOKUP($D178,'Apoio - Mat Coletivo e Equip'!$A:$D,4,FALSE)=0,"",VLOOKUP($D178,'Apoio - Mat Coletivo e Equip'!$A:$D,4,FALSE)),"")</f>
        <v/>
      </c>
      <c r="I178" s="779" t="str">
        <f>IFERROR(J178/'Mão de Obra'!$D$12,"")</f>
        <v/>
      </c>
      <c r="J178" s="779" t="str">
        <f>IFERROR(IF(ISNUMBER(H178),H178*'Mão de Obra'!$D$12/12,1)*G178*F178,"")</f>
        <v/>
      </c>
    </row>
    <row r="179" spans="2:10">
      <c r="B179" s="250">
        <v>174</v>
      </c>
      <c r="C179" s="250"/>
      <c r="D179" s="387"/>
      <c r="E179" s="250" t="str">
        <f>IFERROR(VLOOKUP($D179,'Apoio - Mat Coletivo e Equip'!$A:$D,2,FALSE),"")</f>
        <v/>
      </c>
      <c r="F179" s="450"/>
      <c r="G179" s="748" t="str">
        <f>IFERROR(VLOOKUP($D179,'Apoio - Mat Coletivo e Equip'!$A:$D,3,FALSE),"")</f>
        <v/>
      </c>
      <c r="H179" s="747" t="str">
        <f>IFERROR(IF(VLOOKUP($D179,'Apoio - Mat Coletivo e Equip'!$A:$D,4,FALSE)=0,"",VLOOKUP($D179,'Apoio - Mat Coletivo e Equip'!$A:$D,4,FALSE)),"")</f>
        <v/>
      </c>
      <c r="I179" s="779" t="str">
        <f>IFERROR(J179/'Mão de Obra'!$D$12,"")</f>
        <v/>
      </c>
      <c r="J179" s="779" t="str">
        <f>IFERROR(IF(ISNUMBER(H179),H179*'Mão de Obra'!$D$12/12,1)*G179*F179,"")</f>
        <v/>
      </c>
    </row>
    <row r="180" spans="2:10">
      <c r="B180" s="250">
        <v>175</v>
      </c>
      <c r="C180" s="250"/>
      <c r="D180" s="387"/>
      <c r="E180" s="250" t="str">
        <f>IFERROR(VLOOKUP($D180,'Apoio - Mat Coletivo e Equip'!$A:$D,2,FALSE),"")</f>
        <v/>
      </c>
      <c r="F180" s="450"/>
      <c r="G180" s="748" t="str">
        <f>IFERROR(VLOOKUP($D180,'Apoio - Mat Coletivo e Equip'!$A:$D,3,FALSE),"")</f>
        <v/>
      </c>
      <c r="H180" s="747" t="str">
        <f>IFERROR(IF(VLOOKUP($D180,'Apoio - Mat Coletivo e Equip'!$A:$D,4,FALSE)=0,"",VLOOKUP($D180,'Apoio - Mat Coletivo e Equip'!$A:$D,4,FALSE)),"")</f>
        <v/>
      </c>
      <c r="I180" s="779" t="str">
        <f>IFERROR(J180/'Mão de Obra'!$D$12,"")</f>
        <v/>
      </c>
      <c r="J180" s="779" t="str">
        <f>IFERROR(IF(ISNUMBER(H180),H180*'Mão de Obra'!$D$12/12,1)*G180*F180,"")</f>
        <v/>
      </c>
    </row>
    <row r="181" spans="2:10">
      <c r="B181" s="250">
        <v>176</v>
      </c>
      <c r="C181" s="250"/>
      <c r="D181" s="387"/>
      <c r="E181" s="250" t="str">
        <f>IFERROR(VLOOKUP($D181,'Apoio - Mat Coletivo e Equip'!$A:$D,2,FALSE),"")</f>
        <v/>
      </c>
      <c r="F181" s="450"/>
      <c r="G181" s="748" t="str">
        <f>IFERROR(VLOOKUP($D181,'Apoio - Mat Coletivo e Equip'!$A:$D,3,FALSE),"")</f>
        <v/>
      </c>
      <c r="H181" s="747" t="str">
        <f>IFERROR(IF(VLOOKUP($D181,'Apoio - Mat Coletivo e Equip'!$A:$D,4,FALSE)=0,"",VLOOKUP($D181,'Apoio - Mat Coletivo e Equip'!$A:$D,4,FALSE)),"")</f>
        <v/>
      </c>
      <c r="I181" s="779" t="str">
        <f>IFERROR(J181/'Mão de Obra'!$D$12,"")</f>
        <v/>
      </c>
      <c r="J181" s="779" t="str">
        <f>IFERROR(IF(ISNUMBER(H181),H181*'Mão de Obra'!$D$12/12,1)*G181*F181,"")</f>
        <v/>
      </c>
    </row>
    <row r="182" spans="2:10">
      <c r="B182" s="250">
        <v>177</v>
      </c>
      <c r="C182" s="250"/>
      <c r="D182" s="387"/>
      <c r="E182" s="250" t="str">
        <f>IFERROR(VLOOKUP($D182,'Apoio - Mat Coletivo e Equip'!$A:$D,2,FALSE),"")</f>
        <v/>
      </c>
      <c r="F182" s="450"/>
      <c r="G182" s="748" t="str">
        <f>IFERROR(VLOOKUP($D182,'Apoio - Mat Coletivo e Equip'!$A:$D,3,FALSE),"")</f>
        <v/>
      </c>
      <c r="H182" s="747" t="str">
        <f>IFERROR(IF(VLOOKUP($D182,'Apoio - Mat Coletivo e Equip'!$A:$D,4,FALSE)=0,"",VLOOKUP($D182,'Apoio - Mat Coletivo e Equip'!$A:$D,4,FALSE)),"")</f>
        <v/>
      </c>
      <c r="I182" s="779" t="str">
        <f>IFERROR(J182/'Mão de Obra'!$D$12,"")</f>
        <v/>
      </c>
      <c r="J182" s="779" t="str">
        <f>IFERROR(IF(ISNUMBER(H182),H182*'Mão de Obra'!$D$12/12,1)*G182*F182,"")</f>
        <v/>
      </c>
    </row>
    <row r="183" spans="2:10">
      <c r="B183" s="250">
        <v>178</v>
      </c>
      <c r="C183" s="250"/>
      <c r="D183" s="387"/>
      <c r="E183" s="250" t="str">
        <f>IFERROR(VLOOKUP($D183,'Apoio - Mat Coletivo e Equip'!$A:$D,2,FALSE),"")</f>
        <v/>
      </c>
      <c r="F183" s="450"/>
      <c r="G183" s="748" t="str">
        <f>IFERROR(VLOOKUP($D183,'Apoio - Mat Coletivo e Equip'!$A:$D,3,FALSE),"")</f>
        <v/>
      </c>
      <c r="H183" s="747" t="str">
        <f>IFERROR(IF(VLOOKUP($D183,'Apoio - Mat Coletivo e Equip'!$A:$D,4,FALSE)=0,"",VLOOKUP($D183,'Apoio - Mat Coletivo e Equip'!$A:$D,4,FALSE)),"")</f>
        <v/>
      </c>
      <c r="I183" s="779" t="str">
        <f>IFERROR(J183/'Mão de Obra'!$D$12,"")</f>
        <v/>
      </c>
      <c r="J183" s="779" t="str">
        <f>IFERROR(IF(ISNUMBER(H183),H183*'Mão de Obra'!$D$12/12,1)*G183*F183,"")</f>
        <v/>
      </c>
    </row>
    <row r="184" spans="2:10">
      <c r="B184" s="250">
        <v>179</v>
      </c>
      <c r="C184" s="250"/>
      <c r="D184" s="387"/>
      <c r="E184" s="250" t="str">
        <f>IFERROR(VLOOKUP($D184,'Apoio - Mat Coletivo e Equip'!$A:$D,2,FALSE),"")</f>
        <v/>
      </c>
      <c r="F184" s="450"/>
      <c r="G184" s="748" t="str">
        <f>IFERROR(VLOOKUP($D184,'Apoio - Mat Coletivo e Equip'!$A:$D,3,FALSE),"")</f>
        <v/>
      </c>
      <c r="H184" s="747" t="str">
        <f>IFERROR(IF(VLOOKUP($D184,'Apoio - Mat Coletivo e Equip'!$A:$D,4,FALSE)=0,"",VLOOKUP($D184,'Apoio - Mat Coletivo e Equip'!$A:$D,4,FALSE)),"")</f>
        <v/>
      </c>
      <c r="I184" s="779" t="str">
        <f>IFERROR(J184/'Mão de Obra'!$D$12,"")</f>
        <v/>
      </c>
      <c r="J184" s="779" t="str">
        <f>IFERROR(IF(ISNUMBER(H184),H184*'Mão de Obra'!$D$12/12,1)*G184*F184,"")</f>
        <v/>
      </c>
    </row>
    <row r="185" spans="2:10">
      <c r="B185" s="250">
        <v>180</v>
      </c>
      <c r="C185" s="250"/>
      <c r="D185" s="387"/>
      <c r="E185" s="250" t="str">
        <f>IFERROR(VLOOKUP($D185,'Apoio - Mat Coletivo e Equip'!$A:$D,2,FALSE),"")</f>
        <v/>
      </c>
      <c r="F185" s="450"/>
      <c r="G185" s="748" t="str">
        <f>IFERROR(VLOOKUP($D185,'Apoio - Mat Coletivo e Equip'!$A:$D,3,FALSE),"")</f>
        <v/>
      </c>
      <c r="H185" s="747" t="str">
        <f>IFERROR(IF(VLOOKUP($D185,'Apoio - Mat Coletivo e Equip'!$A:$D,4,FALSE)=0,"",VLOOKUP($D185,'Apoio - Mat Coletivo e Equip'!$A:$D,4,FALSE)),"")</f>
        <v/>
      </c>
      <c r="I185" s="779" t="str">
        <f>IFERROR(J185/'Mão de Obra'!$D$12,"")</f>
        <v/>
      </c>
      <c r="J185" s="779" t="str">
        <f>IFERROR(IF(ISNUMBER(H185),H185*'Mão de Obra'!$D$12/12,1)*G185*F185,"")</f>
        <v/>
      </c>
    </row>
    <row r="186" spans="2:10">
      <c r="B186" s="250">
        <v>181</v>
      </c>
      <c r="C186" s="250"/>
      <c r="D186" s="387"/>
      <c r="E186" s="250" t="str">
        <f>IFERROR(VLOOKUP($D186,'Apoio - Mat Coletivo e Equip'!$A:$D,2,FALSE),"")</f>
        <v/>
      </c>
      <c r="F186" s="450"/>
      <c r="G186" s="748" t="str">
        <f>IFERROR(VLOOKUP($D186,'Apoio - Mat Coletivo e Equip'!$A:$D,3,FALSE),"")</f>
        <v/>
      </c>
      <c r="H186" s="747" t="str">
        <f>IFERROR(IF(VLOOKUP($D186,'Apoio - Mat Coletivo e Equip'!$A:$D,4,FALSE)=0,"",VLOOKUP($D186,'Apoio - Mat Coletivo e Equip'!$A:$D,4,FALSE)),"")</f>
        <v/>
      </c>
      <c r="I186" s="779" t="str">
        <f>IFERROR(J186/'Mão de Obra'!$D$12,"")</f>
        <v/>
      </c>
      <c r="J186" s="779" t="str">
        <f>IFERROR(IF(ISNUMBER(H186),H186*'Mão de Obra'!$D$12/12,1)*G186*F186,"")</f>
        <v/>
      </c>
    </row>
    <row r="187" spans="2:10">
      <c r="B187" s="250">
        <v>182</v>
      </c>
      <c r="C187" s="250"/>
      <c r="D187" s="387"/>
      <c r="E187" s="250" t="str">
        <f>IFERROR(VLOOKUP($D187,'Apoio - Mat Coletivo e Equip'!$A:$D,2,FALSE),"")</f>
        <v/>
      </c>
      <c r="F187" s="450"/>
      <c r="G187" s="748" t="str">
        <f>IFERROR(VLOOKUP($D187,'Apoio - Mat Coletivo e Equip'!$A:$D,3,FALSE),"")</f>
        <v/>
      </c>
      <c r="H187" s="747" t="str">
        <f>IFERROR(IF(VLOOKUP($D187,'Apoio - Mat Coletivo e Equip'!$A:$D,4,FALSE)=0,"",VLOOKUP($D187,'Apoio - Mat Coletivo e Equip'!$A:$D,4,FALSE)),"")</f>
        <v/>
      </c>
      <c r="I187" s="779" t="str">
        <f>IFERROR(J187/'Mão de Obra'!$D$12,"")</f>
        <v/>
      </c>
      <c r="J187" s="779" t="str">
        <f>IFERROR(IF(ISNUMBER(H187),H187*'Mão de Obra'!$D$12/12,1)*G187*F187,"")</f>
        <v/>
      </c>
    </row>
    <row r="188" spans="2:10">
      <c r="B188" s="250">
        <v>183</v>
      </c>
      <c r="C188" s="250"/>
      <c r="D188" s="387"/>
      <c r="E188" s="250" t="str">
        <f>IFERROR(VLOOKUP($D188,'Apoio - Mat Coletivo e Equip'!$A:$D,2,FALSE),"")</f>
        <v/>
      </c>
      <c r="F188" s="450"/>
      <c r="G188" s="748" t="str">
        <f>IFERROR(VLOOKUP($D188,'Apoio - Mat Coletivo e Equip'!$A:$D,3,FALSE),"")</f>
        <v/>
      </c>
      <c r="H188" s="747" t="str">
        <f>IFERROR(IF(VLOOKUP($D188,'Apoio - Mat Coletivo e Equip'!$A:$D,4,FALSE)=0,"",VLOOKUP($D188,'Apoio - Mat Coletivo e Equip'!$A:$D,4,FALSE)),"")</f>
        <v/>
      </c>
      <c r="I188" s="779" t="str">
        <f>IFERROR(J188/'Mão de Obra'!$D$12,"")</f>
        <v/>
      </c>
      <c r="J188" s="779" t="str">
        <f>IFERROR(IF(ISNUMBER(H188),H188*'Mão de Obra'!$D$12/12,1)*G188*F188,"")</f>
        <v/>
      </c>
    </row>
    <row r="189" spans="2:10">
      <c r="B189" s="250">
        <v>184</v>
      </c>
      <c r="C189" s="250"/>
      <c r="D189" s="387"/>
      <c r="E189" s="250" t="str">
        <f>IFERROR(VLOOKUP($D189,'Apoio - Mat Coletivo e Equip'!$A:$D,2,FALSE),"")</f>
        <v/>
      </c>
      <c r="F189" s="450"/>
      <c r="G189" s="748" t="str">
        <f>IFERROR(VLOOKUP($D189,'Apoio - Mat Coletivo e Equip'!$A:$D,3,FALSE),"")</f>
        <v/>
      </c>
      <c r="H189" s="747" t="str">
        <f>IFERROR(IF(VLOOKUP($D189,'Apoio - Mat Coletivo e Equip'!$A:$D,4,FALSE)=0,"",VLOOKUP($D189,'Apoio - Mat Coletivo e Equip'!$A:$D,4,FALSE)),"")</f>
        <v/>
      </c>
      <c r="I189" s="779" t="str">
        <f>IFERROR(J189/'Mão de Obra'!$D$12,"")</f>
        <v/>
      </c>
      <c r="J189" s="779" t="str">
        <f>IFERROR(IF(ISNUMBER(H189),H189*'Mão de Obra'!$D$12/12,1)*G189*F189,"")</f>
        <v/>
      </c>
    </row>
    <row r="190" spans="2:10">
      <c r="B190" s="250">
        <v>185</v>
      </c>
      <c r="C190" s="250"/>
      <c r="D190" s="387"/>
      <c r="E190" s="250" t="str">
        <f>IFERROR(VLOOKUP($D190,'Apoio - Mat Coletivo e Equip'!$A:$D,2,FALSE),"")</f>
        <v/>
      </c>
      <c r="F190" s="450"/>
      <c r="G190" s="748" t="str">
        <f>IFERROR(VLOOKUP($D190,'Apoio - Mat Coletivo e Equip'!$A:$D,3,FALSE),"")</f>
        <v/>
      </c>
      <c r="H190" s="747" t="str">
        <f>IFERROR(IF(VLOOKUP($D190,'Apoio - Mat Coletivo e Equip'!$A:$D,4,FALSE)=0,"",VLOOKUP($D190,'Apoio - Mat Coletivo e Equip'!$A:$D,4,FALSE)),"")</f>
        <v/>
      </c>
      <c r="I190" s="779" t="str">
        <f>IFERROR(J190/'Mão de Obra'!$D$12,"")</f>
        <v/>
      </c>
      <c r="J190" s="779" t="str">
        <f>IFERROR(IF(ISNUMBER(H190),H190*'Mão de Obra'!$D$12/12,1)*G190*F190,"")</f>
        <v/>
      </c>
    </row>
    <row r="191" spans="2:10">
      <c r="B191" s="250">
        <v>186</v>
      </c>
      <c r="C191" s="250"/>
      <c r="D191" s="387"/>
      <c r="E191" s="250" t="str">
        <f>IFERROR(VLOOKUP($D191,'Apoio - Mat Coletivo e Equip'!$A:$D,2,FALSE),"")</f>
        <v/>
      </c>
      <c r="F191" s="450"/>
      <c r="G191" s="748" t="str">
        <f>IFERROR(VLOOKUP($D191,'Apoio - Mat Coletivo e Equip'!$A:$D,3,FALSE),"")</f>
        <v/>
      </c>
      <c r="H191" s="747" t="str">
        <f>IFERROR(IF(VLOOKUP($D191,'Apoio - Mat Coletivo e Equip'!$A:$D,4,FALSE)=0,"",VLOOKUP($D191,'Apoio - Mat Coletivo e Equip'!$A:$D,4,FALSE)),"")</f>
        <v/>
      </c>
      <c r="I191" s="779" t="str">
        <f>IFERROR(J191/'Mão de Obra'!$D$12,"")</f>
        <v/>
      </c>
      <c r="J191" s="779" t="str">
        <f>IFERROR(IF(ISNUMBER(H191),H191*'Mão de Obra'!$D$12/12,1)*G191*F191,"")</f>
        <v/>
      </c>
    </row>
    <row r="192" spans="2:10">
      <c r="B192" s="250">
        <v>187</v>
      </c>
      <c r="C192" s="250"/>
      <c r="D192" s="387"/>
      <c r="E192" s="250" t="str">
        <f>IFERROR(VLOOKUP($D192,'Apoio - Mat Coletivo e Equip'!$A:$D,2,FALSE),"")</f>
        <v/>
      </c>
      <c r="F192" s="450"/>
      <c r="G192" s="748" t="str">
        <f>IFERROR(VLOOKUP($D192,'Apoio - Mat Coletivo e Equip'!$A:$D,3,FALSE),"")</f>
        <v/>
      </c>
      <c r="H192" s="747" t="str">
        <f>IFERROR(IF(VLOOKUP($D192,'Apoio - Mat Coletivo e Equip'!$A:$D,4,FALSE)=0,"",VLOOKUP($D192,'Apoio - Mat Coletivo e Equip'!$A:$D,4,FALSE)),"")</f>
        <v/>
      </c>
      <c r="I192" s="779" t="str">
        <f>IFERROR(J192/'Mão de Obra'!$D$12,"")</f>
        <v/>
      </c>
      <c r="J192" s="779" t="str">
        <f>IFERROR(IF(ISNUMBER(H192),H192*'Mão de Obra'!$D$12/12,1)*G192*F192,"")</f>
        <v/>
      </c>
    </row>
    <row r="193" spans="2:10">
      <c r="B193" s="250">
        <v>188</v>
      </c>
      <c r="C193" s="250"/>
      <c r="D193" s="387"/>
      <c r="E193" s="250" t="str">
        <f>IFERROR(VLOOKUP($D193,'Apoio - Mat Coletivo e Equip'!$A:$D,2,FALSE),"")</f>
        <v/>
      </c>
      <c r="F193" s="450"/>
      <c r="G193" s="748" t="str">
        <f>IFERROR(VLOOKUP($D193,'Apoio - Mat Coletivo e Equip'!$A:$D,3,FALSE),"")</f>
        <v/>
      </c>
      <c r="H193" s="747" t="str">
        <f>IFERROR(IF(VLOOKUP($D193,'Apoio - Mat Coletivo e Equip'!$A:$D,4,FALSE)=0,"",VLOOKUP($D193,'Apoio - Mat Coletivo e Equip'!$A:$D,4,FALSE)),"")</f>
        <v/>
      </c>
      <c r="I193" s="779" t="str">
        <f>IFERROR(J193/'Mão de Obra'!$D$12,"")</f>
        <v/>
      </c>
      <c r="J193" s="779" t="str">
        <f>IFERROR(IF(ISNUMBER(H193),H193*'Mão de Obra'!$D$12/12,1)*G193*F193,"")</f>
        <v/>
      </c>
    </row>
    <row r="194" spans="2:10">
      <c r="B194" s="250">
        <v>189</v>
      </c>
      <c r="C194" s="250"/>
      <c r="D194" s="387"/>
      <c r="E194" s="250" t="str">
        <f>IFERROR(VLOOKUP($D194,'Apoio - Mat Coletivo e Equip'!$A:$D,2,FALSE),"")</f>
        <v/>
      </c>
      <c r="F194" s="450"/>
      <c r="G194" s="748" t="str">
        <f>IFERROR(VLOOKUP($D194,'Apoio - Mat Coletivo e Equip'!$A:$D,3,FALSE),"")</f>
        <v/>
      </c>
      <c r="H194" s="747" t="str">
        <f>IFERROR(IF(VLOOKUP($D194,'Apoio - Mat Coletivo e Equip'!$A:$D,4,FALSE)=0,"",VLOOKUP($D194,'Apoio - Mat Coletivo e Equip'!$A:$D,4,FALSE)),"")</f>
        <v/>
      </c>
      <c r="I194" s="779" t="str">
        <f>IFERROR(J194/'Mão de Obra'!$D$12,"")</f>
        <v/>
      </c>
      <c r="J194" s="779" t="str">
        <f>IFERROR(IF(ISNUMBER(H194),H194*'Mão de Obra'!$D$12/12,1)*G194*F194,"")</f>
        <v/>
      </c>
    </row>
    <row r="195" spans="2:10">
      <c r="B195" s="250">
        <v>190</v>
      </c>
      <c r="C195" s="250"/>
      <c r="D195" s="387"/>
      <c r="E195" s="250" t="str">
        <f>IFERROR(VLOOKUP($D195,'Apoio - Mat Coletivo e Equip'!$A:$D,2,FALSE),"")</f>
        <v/>
      </c>
      <c r="F195" s="450"/>
      <c r="G195" s="748" t="str">
        <f>IFERROR(VLOOKUP($D195,'Apoio - Mat Coletivo e Equip'!$A:$D,3,FALSE),"")</f>
        <v/>
      </c>
      <c r="H195" s="747" t="str">
        <f>IFERROR(IF(VLOOKUP($D195,'Apoio - Mat Coletivo e Equip'!$A:$D,4,FALSE)=0,"",VLOOKUP($D195,'Apoio - Mat Coletivo e Equip'!$A:$D,4,FALSE)),"")</f>
        <v/>
      </c>
      <c r="I195" s="779" t="str">
        <f>IFERROR(J195/'Mão de Obra'!$D$12,"")</f>
        <v/>
      </c>
      <c r="J195" s="779" t="str">
        <f>IFERROR(IF(ISNUMBER(H195),H195*'Mão de Obra'!$D$12/12,1)*G195*F195,"")</f>
        <v/>
      </c>
    </row>
    <row r="196" spans="2:10">
      <c r="B196" s="250">
        <v>191</v>
      </c>
      <c r="C196" s="250"/>
      <c r="D196" s="387"/>
      <c r="E196" s="250" t="str">
        <f>IFERROR(VLOOKUP($D196,'Apoio - Mat Coletivo e Equip'!$A:$D,2,FALSE),"")</f>
        <v/>
      </c>
      <c r="F196" s="450"/>
      <c r="G196" s="748" t="str">
        <f>IFERROR(VLOOKUP($D196,'Apoio - Mat Coletivo e Equip'!$A:$D,3,FALSE),"")</f>
        <v/>
      </c>
      <c r="H196" s="747" t="str">
        <f>IFERROR(IF(VLOOKUP($D196,'Apoio - Mat Coletivo e Equip'!$A:$D,4,FALSE)=0,"",VLOOKUP($D196,'Apoio - Mat Coletivo e Equip'!$A:$D,4,FALSE)),"")</f>
        <v/>
      </c>
      <c r="I196" s="779" t="str">
        <f>IFERROR(J196/'Mão de Obra'!$D$12,"")</f>
        <v/>
      </c>
      <c r="J196" s="779" t="str">
        <f>IFERROR(IF(ISNUMBER(H196),H196*'Mão de Obra'!$D$12/12,1)*G196*F196,"")</f>
        <v/>
      </c>
    </row>
    <row r="197" spans="2:10">
      <c r="B197" s="250">
        <v>192</v>
      </c>
      <c r="C197" s="250"/>
      <c r="D197" s="387"/>
      <c r="E197" s="250" t="str">
        <f>IFERROR(VLOOKUP($D197,'Apoio - Mat Coletivo e Equip'!$A:$D,2,FALSE),"")</f>
        <v/>
      </c>
      <c r="F197" s="450"/>
      <c r="G197" s="748" t="str">
        <f>IFERROR(VLOOKUP($D197,'Apoio - Mat Coletivo e Equip'!$A:$D,3,FALSE),"")</f>
        <v/>
      </c>
      <c r="H197" s="747" t="str">
        <f>IFERROR(IF(VLOOKUP($D197,'Apoio - Mat Coletivo e Equip'!$A:$D,4,FALSE)=0,"",VLOOKUP($D197,'Apoio - Mat Coletivo e Equip'!$A:$D,4,FALSE)),"")</f>
        <v/>
      </c>
      <c r="I197" s="779" t="str">
        <f>IFERROR(J197/'Mão de Obra'!$D$12,"")</f>
        <v/>
      </c>
      <c r="J197" s="779" t="str">
        <f>IFERROR(IF(ISNUMBER(H197),H197*'Mão de Obra'!$D$12/12,1)*G197*F197,"")</f>
        <v/>
      </c>
    </row>
    <row r="198" spans="2:10">
      <c r="B198" s="250">
        <v>193</v>
      </c>
      <c r="C198" s="250"/>
      <c r="D198" s="387"/>
      <c r="E198" s="250" t="str">
        <f>IFERROR(VLOOKUP($D198,'Apoio - Mat Coletivo e Equip'!$A:$D,2,FALSE),"")</f>
        <v/>
      </c>
      <c r="F198" s="450"/>
      <c r="G198" s="748" t="str">
        <f>IFERROR(VLOOKUP($D198,'Apoio - Mat Coletivo e Equip'!$A:$D,3,FALSE),"")</f>
        <v/>
      </c>
      <c r="H198" s="747" t="str">
        <f>IFERROR(IF(VLOOKUP($D198,'Apoio - Mat Coletivo e Equip'!$A:$D,4,FALSE)=0,"",VLOOKUP($D198,'Apoio - Mat Coletivo e Equip'!$A:$D,4,FALSE)),"")</f>
        <v/>
      </c>
      <c r="I198" s="779" t="str">
        <f>IFERROR(J198/'Mão de Obra'!$D$12,"")</f>
        <v/>
      </c>
      <c r="J198" s="779" t="str">
        <f>IFERROR(IF(ISNUMBER(H198),H198*'Mão de Obra'!$D$12/12,1)*G198*F198,"")</f>
        <v/>
      </c>
    </row>
    <row r="199" spans="2:10">
      <c r="B199" s="250">
        <v>194</v>
      </c>
      <c r="C199" s="250"/>
      <c r="D199" s="387"/>
      <c r="E199" s="250" t="str">
        <f>IFERROR(VLOOKUP($D199,'Apoio - Mat Coletivo e Equip'!$A:$D,2,FALSE),"")</f>
        <v/>
      </c>
      <c r="F199" s="450"/>
      <c r="G199" s="748" t="str">
        <f>IFERROR(VLOOKUP($D199,'Apoio - Mat Coletivo e Equip'!$A:$D,3,FALSE),"")</f>
        <v/>
      </c>
      <c r="H199" s="747" t="str">
        <f>IFERROR(IF(VLOOKUP($D199,'Apoio - Mat Coletivo e Equip'!$A:$D,4,FALSE)=0,"",VLOOKUP($D199,'Apoio - Mat Coletivo e Equip'!$A:$D,4,FALSE)),"")</f>
        <v/>
      </c>
      <c r="I199" s="779" t="str">
        <f>IFERROR(J199/'Mão de Obra'!$D$12,"")</f>
        <v/>
      </c>
      <c r="J199" s="779" t="str">
        <f>IFERROR(IF(ISNUMBER(H199),H199*'Mão de Obra'!$D$12/12,1)*G199*F199,"")</f>
        <v/>
      </c>
    </row>
    <row r="200" spans="2:10">
      <c r="B200" s="250">
        <v>195</v>
      </c>
      <c r="C200" s="250"/>
      <c r="D200" s="387"/>
      <c r="E200" s="250" t="str">
        <f>IFERROR(VLOOKUP($D200,'Apoio - Mat Coletivo e Equip'!$A:$D,2,FALSE),"")</f>
        <v/>
      </c>
      <c r="F200" s="450"/>
      <c r="G200" s="748" t="str">
        <f>IFERROR(VLOOKUP($D200,'Apoio - Mat Coletivo e Equip'!$A:$D,3,FALSE),"")</f>
        <v/>
      </c>
      <c r="H200" s="747" t="str">
        <f>IFERROR(IF(VLOOKUP($D200,'Apoio - Mat Coletivo e Equip'!$A:$D,4,FALSE)=0,"",VLOOKUP($D200,'Apoio - Mat Coletivo e Equip'!$A:$D,4,FALSE)),"")</f>
        <v/>
      </c>
      <c r="I200" s="779" t="str">
        <f>IFERROR(J200/'Mão de Obra'!$D$12,"")</f>
        <v/>
      </c>
      <c r="J200" s="779" t="str">
        <f>IFERROR(IF(ISNUMBER(H200),H200*'Mão de Obra'!$D$12/12,1)*G200*F200,"")</f>
        <v/>
      </c>
    </row>
    <row r="201" spans="2:10">
      <c r="B201" s="250">
        <v>196</v>
      </c>
      <c r="C201" s="250"/>
      <c r="D201" s="387"/>
      <c r="E201" s="250" t="str">
        <f>IFERROR(VLOOKUP($D201,'Apoio - Mat Coletivo e Equip'!$A:$D,2,FALSE),"")</f>
        <v/>
      </c>
      <c r="F201" s="450"/>
      <c r="G201" s="748" t="str">
        <f>IFERROR(VLOOKUP($D201,'Apoio - Mat Coletivo e Equip'!$A:$D,3,FALSE),"")</f>
        <v/>
      </c>
      <c r="H201" s="747" t="str">
        <f>IFERROR(IF(VLOOKUP($D201,'Apoio - Mat Coletivo e Equip'!$A:$D,4,FALSE)=0,"",VLOOKUP($D201,'Apoio - Mat Coletivo e Equip'!$A:$D,4,FALSE)),"")</f>
        <v/>
      </c>
      <c r="I201" s="779" t="str">
        <f>IFERROR(J201/'Mão de Obra'!$D$12,"")</f>
        <v/>
      </c>
      <c r="J201" s="779" t="str">
        <f>IFERROR(IF(ISNUMBER(H201),H201*'Mão de Obra'!$D$12/12,1)*G201*F201,"")</f>
        <v/>
      </c>
    </row>
    <row r="202" spans="2:10">
      <c r="B202" s="250">
        <v>197</v>
      </c>
      <c r="C202" s="250"/>
      <c r="D202" s="387"/>
      <c r="E202" s="250" t="str">
        <f>IFERROR(VLOOKUP($D202,'Apoio - Mat Coletivo e Equip'!$A:$D,2,FALSE),"")</f>
        <v/>
      </c>
      <c r="F202" s="450"/>
      <c r="G202" s="748" t="str">
        <f>IFERROR(VLOOKUP($D202,'Apoio - Mat Coletivo e Equip'!$A:$D,3,FALSE),"")</f>
        <v/>
      </c>
      <c r="H202" s="747" t="str">
        <f>IFERROR(IF(VLOOKUP($D202,'Apoio - Mat Coletivo e Equip'!$A:$D,4,FALSE)=0,"",VLOOKUP($D202,'Apoio - Mat Coletivo e Equip'!$A:$D,4,FALSE)),"")</f>
        <v/>
      </c>
      <c r="I202" s="779" t="str">
        <f>IFERROR(J202/'Mão de Obra'!$D$12,"")</f>
        <v/>
      </c>
      <c r="J202" s="779" t="str">
        <f>IFERROR(IF(ISNUMBER(H202),H202*'Mão de Obra'!$D$12/12,1)*G202*F202,"")</f>
        <v/>
      </c>
    </row>
    <row r="203" spans="2:10">
      <c r="B203" s="250">
        <v>198</v>
      </c>
      <c r="C203" s="250"/>
      <c r="D203" s="387"/>
      <c r="E203" s="250" t="str">
        <f>IFERROR(VLOOKUP($D203,'Apoio - Mat Coletivo e Equip'!$A:$D,2,FALSE),"")</f>
        <v/>
      </c>
      <c r="F203" s="450"/>
      <c r="G203" s="748" t="str">
        <f>IFERROR(VLOOKUP($D203,'Apoio - Mat Coletivo e Equip'!$A:$D,3,FALSE),"")</f>
        <v/>
      </c>
      <c r="H203" s="747" t="str">
        <f>IFERROR(IF(VLOOKUP($D203,'Apoio - Mat Coletivo e Equip'!$A:$D,4,FALSE)=0,"",VLOOKUP($D203,'Apoio - Mat Coletivo e Equip'!$A:$D,4,FALSE)),"")</f>
        <v/>
      </c>
      <c r="I203" s="779" t="str">
        <f>IFERROR(J203/'Mão de Obra'!$D$12,"")</f>
        <v/>
      </c>
      <c r="J203" s="779" t="str">
        <f>IFERROR(IF(ISNUMBER(H203),H203*'Mão de Obra'!$D$12/12,1)*G203*F203,"")</f>
        <v/>
      </c>
    </row>
    <row r="204" spans="2:10">
      <c r="B204" s="250">
        <v>199</v>
      </c>
      <c r="C204" s="250"/>
      <c r="D204" s="387"/>
      <c r="E204" s="250" t="str">
        <f>IFERROR(VLOOKUP($D204,'Apoio - Mat Coletivo e Equip'!$A:$D,2,FALSE),"")</f>
        <v/>
      </c>
      <c r="F204" s="450"/>
      <c r="G204" s="748" t="str">
        <f>IFERROR(VLOOKUP($D204,'Apoio - Mat Coletivo e Equip'!$A:$D,3,FALSE),"")</f>
        <v/>
      </c>
      <c r="H204" s="747" t="str">
        <f>IFERROR(IF(VLOOKUP($D204,'Apoio - Mat Coletivo e Equip'!$A:$D,4,FALSE)=0,"",VLOOKUP($D204,'Apoio - Mat Coletivo e Equip'!$A:$D,4,FALSE)),"")</f>
        <v/>
      </c>
      <c r="I204" s="779" t="str">
        <f>IFERROR(J204/'Mão de Obra'!$D$12,"")</f>
        <v/>
      </c>
      <c r="J204" s="779" t="str">
        <f>IFERROR(IF(ISNUMBER(H204),H204*'Mão de Obra'!$D$12/12,1)*G204*F204,"")</f>
        <v/>
      </c>
    </row>
    <row r="205" spans="2:10">
      <c r="B205" s="250">
        <v>200</v>
      </c>
      <c r="C205" s="250"/>
      <c r="D205" s="387"/>
      <c r="E205" s="250" t="str">
        <f>IFERROR(VLOOKUP($D205,'Apoio - Mat Coletivo e Equip'!$A:$D,2,FALSE),"")</f>
        <v/>
      </c>
      <c r="F205" s="450"/>
      <c r="G205" s="748" t="str">
        <f>IFERROR(VLOOKUP($D205,'Apoio - Mat Coletivo e Equip'!$A:$D,3,FALSE),"")</f>
        <v/>
      </c>
      <c r="H205" s="747" t="str">
        <f>IFERROR(IF(VLOOKUP($D205,'Apoio - Mat Coletivo e Equip'!$A:$D,4,FALSE)=0,"",VLOOKUP($D205,'Apoio - Mat Coletivo e Equip'!$A:$D,4,FALSE)),"")</f>
        <v/>
      </c>
      <c r="I205" s="779" t="str">
        <f>IFERROR(J205/'Mão de Obra'!$D$12,"")</f>
        <v/>
      </c>
      <c r="J205" s="779" t="str">
        <f>IFERROR(IF(ISNUMBER(H205),H205*'Mão de Obra'!$D$12/12,1)*G205*F205,"")</f>
        <v/>
      </c>
    </row>
    <row r="206" spans="2:10">
      <c r="G206" s="749"/>
    </row>
    <row r="207" spans="2:10">
      <c r="G207" s="749"/>
    </row>
    <row r="208" spans="2:10">
      <c r="G208" s="749"/>
    </row>
    <row r="209" spans="7:7">
      <c r="G209" s="749"/>
    </row>
    <row r="210" spans="7:7">
      <c r="G210" s="749"/>
    </row>
    <row r="211" spans="7:7">
      <c r="G211" s="749"/>
    </row>
    <row r="212" spans="7:7">
      <c r="G212" s="749"/>
    </row>
    <row r="213" spans="7:7">
      <c r="G213" s="749"/>
    </row>
    <row r="214" spans="7:7">
      <c r="G214" s="749"/>
    </row>
    <row r="215" spans="7:7">
      <c r="G215" s="749"/>
    </row>
    <row r="216" spans="7:7">
      <c r="G216" s="749"/>
    </row>
    <row r="217" spans="7:7">
      <c r="G217" s="749"/>
    </row>
    <row r="218" spans="7:7">
      <c r="G218" s="749"/>
    </row>
    <row r="219" spans="7:7">
      <c r="G219" s="749"/>
    </row>
    <row r="220" spans="7:7">
      <c r="G220" s="749"/>
    </row>
    <row r="221" spans="7:7">
      <c r="G221" s="749"/>
    </row>
  </sheetData>
  <sheetProtection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G22"/>
  <sheetViews>
    <sheetView workbookViewId="0">
      <selection activeCell="G13" sqref="G13"/>
    </sheetView>
  </sheetViews>
  <sheetFormatPr defaultRowHeight="15"/>
  <cols>
    <col min="1" max="1" width="57.140625" customWidth="1"/>
    <col min="2" max="2" width="10.7109375" customWidth="1"/>
    <col min="3" max="3" width="16.7109375" customWidth="1"/>
    <col min="4" max="4" width="26.28515625" customWidth="1"/>
    <col min="7" max="7" width="61.5703125" customWidth="1"/>
  </cols>
  <sheetData>
    <row r="1" spans="1:7" ht="31.5" customHeight="1" thickBot="1">
      <c r="A1" s="735" t="s">
        <v>660</v>
      </c>
      <c r="B1" s="736" t="s">
        <v>492</v>
      </c>
      <c r="C1" s="737" t="s">
        <v>661</v>
      </c>
      <c r="D1" s="738" t="s">
        <v>485</v>
      </c>
    </row>
    <row r="2" spans="1:7" ht="31.5" customHeight="1" thickBot="1">
      <c r="A2" s="744"/>
      <c r="B2" s="744"/>
      <c r="C2" s="745"/>
      <c r="D2" s="746"/>
      <c r="G2" s="751" t="s">
        <v>723</v>
      </c>
    </row>
    <row r="3" spans="1:7">
      <c r="A3" s="728" t="s">
        <v>686</v>
      </c>
      <c r="B3" s="728" t="s">
        <v>685</v>
      </c>
      <c r="C3" s="730">
        <v>427.97</v>
      </c>
      <c r="D3" s="742"/>
      <c r="G3" s="750" t="s">
        <v>720</v>
      </c>
    </row>
    <row r="4" spans="1:7">
      <c r="A4" s="729" t="s">
        <v>687</v>
      </c>
      <c r="B4" s="729" t="s">
        <v>688</v>
      </c>
      <c r="C4" s="731">
        <v>101.78</v>
      </c>
      <c r="D4" s="743">
        <v>0.1</v>
      </c>
    </row>
    <row r="5" spans="1:7">
      <c r="A5" s="729" t="s">
        <v>718</v>
      </c>
      <c r="B5" s="729" t="s">
        <v>685</v>
      </c>
      <c r="C5" s="731">
        <v>213.08</v>
      </c>
      <c r="D5" s="743"/>
    </row>
    <row r="6" spans="1:7">
      <c r="A6" s="729" t="s">
        <v>673</v>
      </c>
      <c r="B6" s="729" t="s">
        <v>696</v>
      </c>
      <c r="C6" s="731">
        <v>1439.06</v>
      </c>
      <c r="D6" s="743">
        <v>0.2</v>
      </c>
    </row>
    <row r="7" spans="1:7">
      <c r="A7" s="729" t="s">
        <v>719</v>
      </c>
      <c r="B7" s="729" t="s">
        <v>685</v>
      </c>
      <c r="C7" s="731">
        <v>57.95</v>
      </c>
      <c r="D7" s="743"/>
    </row>
    <row r="8" spans="1:7">
      <c r="A8" s="729" t="s">
        <v>690</v>
      </c>
      <c r="B8" s="729" t="s">
        <v>685</v>
      </c>
      <c r="C8" s="731">
        <v>76.92</v>
      </c>
      <c r="D8" s="743"/>
    </row>
    <row r="9" spans="1:7">
      <c r="A9" s="729" t="s">
        <v>716</v>
      </c>
      <c r="B9" s="729" t="s">
        <v>685</v>
      </c>
      <c r="C9" s="731">
        <v>20.239999999999998</v>
      </c>
      <c r="D9" s="743"/>
    </row>
    <row r="10" spans="1:7">
      <c r="A10" s="729" t="s">
        <v>717</v>
      </c>
      <c r="B10" s="729" t="s">
        <v>685</v>
      </c>
      <c r="C10" s="731">
        <v>5.54</v>
      </c>
      <c r="D10" s="743"/>
    </row>
    <row r="11" spans="1:7">
      <c r="A11" s="729" t="s">
        <v>691</v>
      </c>
      <c r="B11" s="729" t="s">
        <v>685</v>
      </c>
      <c r="C11" s="731">
        <v>44.77</v>
      </c>
      <c r="D11" s="743"/>
    </row>
    <row r="12" spans="1:7">
      <c r="A12" s="729" t="s">
        <v>692</v>
      </c>
      <c r="B12" s="729" t="s">
        <v>715</v>
      </c>
      <c r="C12" s="731">
        <v>67.63</v>
      </c>
      <c r="D12" s="743"/>
    </row>
    <row r="13" spans="1:7">
      <c r="A13" s="729" t="s">
        <v>693</v>
      </c>
      <c r="B13" s="729" t="s">
        <v>685</v>
      </c>
      <c r="C13" s="731">
        <v>976.94</v>
      </c>
      <c r="D13" s="743">
        <v>0.2</v>
      </c>
    </row>
    <row r="14" spans="1:7">
      <c r="A14" s="729" t="s">
        <v>722</v>
      </c>
      <c r="B14" s="729" t="s">
        <v>685</v>
      </c>
      <c r="C14" s="731">
        <v>5574.12</v>
      </c>
      <c r="D14" s="743">
        <v>0.2</v>
      </c>
    </row>
    <row r="15" spans="1:7">
      <c r="A15" s="729"/>
      <c r="B15" s="729"/>
      <c r="C15" s="731"/>
      <c r="D15" s="743"/>
    </row>
    <row r="16" spans="1:7">
      <c r="A16" s="729"/>
      <c r="B16" s="729"/>
      <c r="C16" s="731"/>
      <c r="D16" s="743"/>
    </row>
    <row r="17" spans="1:4">
      <c r="A17" s="729"/>
      <c r="B17" s="729"/>
      <c r="C17" s="731"/>
      <c r="D17" s="743"/>
    </row>
    <row r="18" spans="1:4">
      <c r="A18" s="729"/>
      <c r="B18" s="729"/>
      <c r="C18" s="731"/>
      <c r="D18" s="743"/>
    </row>
    <row r="19" spans="1:4">
      <c r="A19" s="729"/>
      <c r="B19" s="729"/>
      <c r="C19" s="731"/>
      <c r="D19" s="743"/>
    </row>
    <row r="20" spans="1:4">
      <c r="A20" s="729"/>
      <c r="B20" s="729"/>
      <c r="C20" s="731"/>
      <c r="D20" s="743"/>
    </row>
    <row r="21" spans="1:4">
      <c r="A21" s="752"/>
      <c r="B21" s="447"/>
      <c r="C21" s="753"/>
      <c r="D21" s="754"/>
    </row>
    <row r="22" spans="1:4">
      <c r="A22" s="726"/>
      <c r="B22" s="726"/>
      <c r="C22" s="732"/>
      <c r="D22" s="727"/>
    </row>
  </sheetData>
  <sheetProtection algorithmName="SHA-512" hashValue="XcZ00Y3DUMixekqGk5cPX8QUO9DDTTZKW8iWb3KBsu8Cd0eYNNcIT98ylJ96MZNib4ubE4+022adVB7dedCGVw==" saltValue="1OzEnvdSdCRGbYsNmCUugg=="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3" sqref="E3"/>
    </sheetView>
  </sheetViews>
  <sheetFormatPr defaultRowHeight="15"/>
  <cols>
    <col min="1" max="1" width="1.85546875" customWidth="1"/>
    <col min="2" max="2" width="4.85546875" style="300" customWidth="1"/>
    <col min="3" max="3" width="49" style="35" customWidth="1"/>
    <col min="4" max="4" width="21.28515625" style="35" customWidth="1"/>
    <col min="5" max="6" width="19.7109375" style="36" customWidth="1"/>
    <col min="7" max="9" width="19.7109375" customWidth="1"/>
    <col min="11" max="11" width="12.140625" bestFit="1" customWidth="1"/>
  </cols>
  <sheetData>
    <row r="1" spans="1:27" ht="9.75" customHeight="1">
      <c r="B1" s="337"/>
      <c r="C1" s="45"/>
      <c r="D1" s="45"/>
      <c r="E1" s="46"/>
      <c r="F1" s="46"/>
    </row>
    <row r="2" spans="1:27" s="12" customFormat="1">
      <c r="A2" s="72"/>
      <c r="B2" s="89"/>
      <c r="C2" s="90" t="s">
        <v>180</v>
      </c>
      <c r="D2" s="91"/>
      <c r="E2" s="155" t="s">
        <v>347</v>
      </c>
      <c r="F2" s="155" t="s">
        <v>348</v>
      </c>
      <c r="G2" s="155" t="s">
        <v>349</v>
      </c>
      <c r="H2" s="155" t="s">
        <v>350</v>
      </c>
      <c r="I2" s="155" t="s">
        <v>351</v>
      </c>
      <c r="J2" s="291"/>
      <c r="K2" s="291"/>
      <c r="L2" s="291"/>
      <c r="M2" s="291"/>
      <c r="N2" s="291"/>
      <c r="O2" s="291"/>
      <c r="P2" s="291"/>
      <c r="Q2" s="291"/>
      <c r="R2" s="291"/>
      <c r="S2" s="291"/>
      <c r="T2" s="291"/>
      <c r="U2" s="291"/>
      <c r="V2" s="291"/>
      <c r="W2" s="291"/>
      <c r="X2" s="291"/>
      <c r="Y2" s="291"/>
      <c r="Z2" s="291"/>
      <c r="AA2" s="291"/>
    </row>
    <row r="3" spans="1:27" s="3" customFormat="1">
      <c r="B3" s="314"/>
      <c r="C3" s="315" t="s">
        <v>250</v>
      </c>
      <c r="D3" s="320"/>
      <c r="E3" s="379"/>
      <c r="F3" s="380"/>
      <c r="G3" s="380"/>
      <c r="H3" s="380"/>
      <c r="I3" s="380"/>
      <c r="J3" s="478"/>
      <c r="K3" s="478"/>
      <c r="L3" s="478"/>
      <c r="M3" s="478"/>
      <c r="N3" s="478"/>
      <c r="O3" s="478"/>
      <c r="P3" s="478"/>
      <c r="Q3" s="478"/>
      <c r="R3" s="478"/>
      <c r="S3" s="478"/>
      <c r="T3" s="478"/>
      <c r="U3" s="478"/>
      <c r="V3" s="478"/>
      <c r="W3" s="478"/>
      <c r="X3" s="478"/>
      <c r="Y3" s="478"/>
      <c r="Z3" s="478"/>
      <c r="AA3" s="478"/>
    </row>
    <row r="4" spans="1:27">
      <c r="B4" s="316"/>
      <c r="C4" s="317" t="s">
        <v>241</v>
      </c>
      <c r="D4" s="124"/>
      <c r="E4" s="381"/>
      <c r="F4" s="381"/>
      <c r="G4" s="381"/>
      <c r="H4" s="381"/>
      <c r="I4" s="381"/>
      <c r="J4" s="42"/>
      <c r="K4" s="42"/>
      <c r="L4" s="42"/>
      <c r="M4" s="42"/>
      <c r="N4" s="42"/>
      <c r="O4" s="42"/>
      <c r="P4" s="42"/>
      <c r="Q4" s="42"/>
      <c r="R4" s="42"/>
      <c r="S4" s="42"/>
      <c r="T4" s="42"/>
      <c r="U4" s="42"/>
      <c r="V4" s="42"/>
      <c r="W4" s="42"/>
      <c r="X4" s="42"/>
      <c r="Y4" s="42"/>
      <c r="Z4" s="42"/>
      <c r="AA4" s="42"/>
    </row>
    <row r="5" spans="1:27">
      <c r="B5" s="318"/>
      <c r="C5" s="319" t="s">
        <v>245</v>
      </c>
      <c r="D5" s="321"/>
      <c r="E5" s="382"/>
      <c r="F5" s="383"/>
      <c r="G5" s="383"/>
      <c r="H5" s="383"/>
      <c r="I5" s="383"/>
      <c r="J5" s="42"/>
      <c r="K5" s="42"/>
      <c r="L5" s="42"/>
      <c r="M5" s="42"/>
      <c r="N5" s="42"/>
      <c r="O5" s="42"/>
      <c r="P5" s="42"/>
      <c r="Q5" s="42"/>
      <c r="R5" s="42"/>
      <c r="S5" s="42"/>
      <c r="T5" s="42"/>
      <c r="U5" s="42"/>
      <c r="V5" s="42"/>
      <c r="W5" s="42"/>
      <c r="X5" s="42"/>
      <c r="Y5" s="42"/>
      <c r="Z5" s="42"/>
      <c r="AA5" s="42"/>
    </row>
    <row r="6" spans="1:27">
      <c r="A6" s="39"/>
      <c r="C6" s="45"/>
      <c r="G6" s="36"/>
      <c r="H6" s="36"/>
      <c r="I6" s="36"/>
      <c r="J6" s="42"/>
      <c r="K6" s="42"/>
      <c r="L6" s="42"/>
      <c r="M6" s="42"/>
      <c r="N6" s="42"/>
      <c r="O6" s="42"/>
      <c r="P6" s="42"/>
      <c r="Q6" s="42"/>
      <c r="R6" s="42"/>
      <c r="S6" s="42"/>
      <c r="T6" s="42"/>
      <c r="U6" s="42"/>
      <c r="V6" s="42"/>
      <c r="W6" s="42"/>
      <c r="X6" s="42"/>
      <c r="Y6" s="42"/>
      <c r="Z6" s="42"/>
      <c r="AA6" s="42"/>
    </row>
    <row r="7" spans="1:27" s="12" customFormat="1">
      <c r="A7" s="72"/>
      <c r="B7" s="89"/>
      <c r="C7" s="90" t="s">
        <v>555</v>
      </c>
      <c r="D7" s="91"/>
      <c r="E7" s="370"/>
      <c r="F7" s="370"/>
      <c r="G7" s="370"/>
      <c r="H7" s="370"/>
      <c r="I7" s="370"/>
      <c r="J7" s="291"/>
      <c r="K7" s="291"/>
      <c r="L7" s="291"/>
      <c r="M7" s="291"/>
      <c r="N7" s="291"/>
      <c r="O7" s="291"/>
      <c r="P7" s="291"/>
      <c r="Q7" s="291"/>
      <c r="R7" s="291"/>
      <c r="S7" s="291"/>
      <c r="T7" s="291"/>
      <c r="U7" s="291"/>
      <c r="V7" s="291"/>
      <c r="W7" s="291"/>
      <c r="X7" s="291"/>
      <c r="Y7" s="291"/>
      <c r="Z7" s="291"/>
      <c r="AA7" s="291"/>
    </row>
    <row r="8" spans="1:27">
      <c r="B8" s="860" t="s">
        <v>2</v>
      </c>
      <c r="C8" s="305" t="s">
        <v>238</v>
      </c>
      <c r="D8" s="306"/>
      <c r="E8" s="308"/>
      <c r="F8" s="308"/>
      <c r="G8" s="308"/>
      <c r="H8" s="308"/>
      <c r="I8" s="308"/>
      <c r="J8" s="42"/>
      <c r="K8" s="42"/>
      <c r="L8" s="42"/>
      <c r="M8" s="42"/>
      <c r="N8" s="42"/>
      <c r="O8" s="42"/>
      <c r="P8" s="42"/>
      <c r="Q8" s="42"/>
      <c r="R8" s="42"/>
      <c r="S8" s="42"/>
      <c r="T8" s="42"/>
      <c r="U8" s="42"/>
      <c r="V8" s="42"/>
      <c r="W8" s="42"/>
      <c r="X8" s="42"/>
      <c r="Y8" s="42"/>
      <c r="Z8" s="42"/>
      <c r="AA8" s="42"/>
    </row>
    <row r="9" spans="1:27">
      <c r="B9" s="861"/>
      <c r="C9" s="332" t="s">
        <v>234</v>
      </c>
      <c r="D9" s="326"/>
      <c r="E9" s="425"/>
      <c r="F9" s="425"/>
      <c r="G9" s="425"/>
      <c r="H9" s="425"/>
      <c r="I9" s="425"/>
      <c r="J9" s="42"/>
      <c r="K9" s="42"/>
      <c r="L9" s="42"/>
      <c r="M9" s="42"/>
      <c r="N9" s="42"/>
      <c r="O9" s="42"/>
      <c r="P9" s="42"/>
      <c r="Q9" s="42"/>
      <c r="R9" s="42"/>
      <c r="S9" s="42"/>
      <c r="T9" s="42"/>
      <c r="U9" s="42"/>
      <c r="V9" s="42"/>
      <c r="W9" s="42"/>
      <c r="X9" s="42"/>
      <c r="Y9" s="42"/>
      <c r="Z9" s="42"/>
      <c r="AA9" s="42"/>
    </row>
    <row r="10" spans="1:27">
      <c r="B10" s="861"/>
      <c r="C10" s="333" t="s">
        <v>235</v>
      </c>
      <c r="D10" s="327"/>
      <c r="E10" s="426"/>
      <c r="F10" s="426"/>
      <c r="G10" s="426"/>
      <c r="H10" s="426"/>
      <c r="I10" s="426"/>
      <c r="J10" s="42"/>
      <c r="K10" s="42"/>
      <c r="L10" s="42"/>
      <c r="M10" s="42"/>
      <c r="N10" s="42"/>
      <c r="O10" s="42"/>
      <c r="P10" s="42"/>
      <c r="Q10" s="42"/>
      <c r="R10" s="42"/>
      <c r="S10" s="42"/>
      <c r="T10" s="42"/>
      <c r="U10" s="42"/>
      <c r="V10" s="42"/>
      <c r="W10" s="42"/>
      <c r="X10" s="42"/>
      <c r="Y10" s="42"/>
      <c r="Z10" s="42"/>
      <c r="AA10" s="42"/>
    </row>
    <row r="11" spans="1:27">
      <c r="B11" s="861"/>
      <c r="C11" s="333" t="s">
        <v>236</v>
      </c>
      <c r="D11" s="327"/>
      <c r="E11" s="427"/>
      <c r="F11" s="427"/>
      <c r="G11" s="427"/>
      <c r="H11" s="427"/>
      <c r="I11" s="427"/>
      <c r="J11" s="42"/>
      <c r="K11" s="42"/>
      <c r="L11" s="42"/>
      <c r="M11" s="42"/>
      <c r="N11" s="42"/>
      <c r="O11" s="42"/>
      <c r="P11" s="42"/>
      <c r="Q11" s="42"/>
      <c r="R11" s="42"/>
      <c r="S11" s="42"/>
      <c r="T11" s="42"/>
      <c r="U11" s="42"/>
      <c r="V11" s="42"/>
      <c r="W11" s="42"/>
      <c r="X11" s="42"/>
      <c r="Y11" s="42"/>
      <c r="Z11" s="42"/>
      <c r="AA11" s="42"/>
    </row>
    <row r="12" spans="1:27">
      <c r="B12" s="862"/>
      <c r="C12" s="307"/>
      <c r="D12" s="307" t="s">
        <v>41</v>
      </c>
      <c r="E12" s="366" t="str">
        <f>IFERROR(E5*E11/E9,"")</f>
        <v/>
      </c>
      <c r="F12" s="366" t="str">
        <f t="shared" ref="F12:I12" si="0">IFERROR(F5*F11/F9,"")</f>
        <v/>
      </c>
      <c r="G12" s="366" t="str">
        <f t="shared" si="0"/>
        <v/>
      </c>
      <c r="H12" s="366" t="str">
        <f t="shared" si="0"/>
        <v/>
      </c>
      <c r="I12" s="366" t="str">
        <f t="shared" si="0"/>
        <v/>
      </c>
      <c r="J12" s="42"/>
      <c r="K12" s="42"/>
      <c r="L12" s="42"/>
      <c r="M12" s="42"/>
      <c r="N12" s="42"/>
      <c r="O12" s="42"/>
      <c r="P12" s="42"/>
      <c r="Q12" s="42"/>
      <c r="R12" s="42"/>
      <c r="S12" s="42"/>
      <c r="T12" s="42"/>
      <c r="U12" s="42"/>
      <c r="V12" s="42"/>
      <c r="W12" s="42"/>
      <c r="X12" s="42"/>
      <c r="Y12" s="42"/>
      <c r="Z12" s="42"/>
      <c r="AA12" s="42"/>
    </row>
    <row r="13" spans="1:27">
      <c r="B13" s="864" t="s">
        <v>1</v>
      </c>
      <c r="C13" s="334" t="s">
        <v>237</v>
      </c>
      <c r="D13" s="328"/>
      <c r="E13" s="309"/>
      <c r="F13" s="309"/>
      <c r="G13" s="309"/>
      <c r="H13" s="309"/>
      <c r="I13" s="309"/>
      <c r="J13" s="42"/>
      <c r="K13" s="42"/>
      <c r="L13" s="42"/>
      <c r="M13" s="42"/>
      <c r="N13" s="42"/>
      <c r="O13" s="42"/>
      <c r="P13" s="42"/>
      <c r="Q13" s="42"/>
      <c r="R13" s="42"/>
      <c r="S13" s="42"/>
      <c r="T13" s="42"/>
      <c r="U13" s="42"/>
      <c r="V13" s="42"/>
      <c r="W13" s="42"/>
      <c r="X13" s="42"/>
      <c r="Y13" s="42"/>
      <c r="Z13" s="42"/>
      <c r="AA13" s="42"/>
    </row>
    <row r="14" spans="1:27">
      <c r="B14" s="834"/>
      <c r="C14" s="335" t="s">
        <v>248</v>
      </c>
      <c r="D14" s="329"/>
      <c r="E14" s="428"/>
      <c r="F14" s="428"/>
      <c r="G14" s="428"/>
      <c r="H14" s="428"/>
      <c r="I14" s="428"/>
      <c r="J14" s="42"/>
      <c r="K14" s="42"/>
      <c r="L14" s="42"/>
      <c r="M14" s="42"/>
      <c r="N14" s="42"/>
      <c r="O14" s="42"/>
      <c r="P14" s="42"/>
      <c r="Q14" s="42"/>
      <c r="R14" s="42"/>
      <c r="S14" s="42"/>
      <c r="T14" s="42"/>
      <c r="U14" s="42"/>
      <c r="V14" s="42"/>
      <c r="W14" s="42"/>
      <c r="X14" s="42"/>
      <c r="Y14" s="42"/>
      <c r="Z14" s="42"/>
      <c r="AA14" s="42"/>
    </row>
    <row r="15" spans="1:27">
      <c r="B15" s="834"/>
      <c r="C15" s="220" t="s">
        <v>564</v>
      </c>
      <c r="D15" s="330"/>
      <c r="E15" s="429"/>
      <c r="F15" s="429"/>
      <c r="G15" s="429"/>
      <c r="H15" s="429"/>
      <c r="I15" s="429"/>
      <c r="J15" s="42"/>
      <c r="K15" s="42"/>
      <c r="L15" s="42"/>
      <c r="M15" s="42"/>
      <c r="N15" s="42"/>
      <c r="O15" s="42"/>
      <c r="P15" s="42"/>
      <c r="Q15" s="42"/>
      <c r="R15" s="42"/>
      <c r="S15" s="42"/>
      <c r="T15" s="42"/>
      <c r="U15" s="42"/>
      <c r="V15" s="42"/>
      <c r="W15" s="42"/>
      <c r="X15" s="42"/>
      <c r="Y15" s="42"/>
      <c r="Z15" s="42"/>
      <c r="AA15" s="42"/>
    </row>
    <row r="16" spans="1:27">
      <c r="B16" s="834"/>
      <c r="C16" s="220" t="s">
        <v>16</v>
      </c>
      <c r="D16" s="331"/>
      <c r="E16" s="430"/>
      <c r="F16" s="430"/>
      <c r="G16" s="430"/>
      <c r="H16" s="430"/>
      <c r="I16" s="430"/>
      <c r="J16" s="42"/>
      <c r="K16" s="42"/>
      <c r="L16" s="42"/>
      <c r="M16" s="42"/>
      <c r="N16" s="42"/>
      <c r="O16" s="42"/>
      <c r="P16" s="42"/>
      <c r="Q16" s="42"/>
      <c r="R16" s="42"/>
      <c r="S16" s="42"/>
      <c r="T16" s="42"/>
      <c r="U16" s="42"/>
      <c r="V16" s="42"/>
      <c r="W16" s="42"/>
      <c r="X16" s="42"/>
      <c r="Y16" s="42"/>
      <c r="Z16" s="42"/>
      <c r="AA16" s="42"/>
    </row>
    <row r="17" spans="2:27">
      <c r="B17" s="863"/>
      <c r="C17" s="307"/>
      <c r="D17" s="307" t="s">
        <v>41</v>
      </c>
      <c r="E17" s="365" t="str">
        <f>IFERROR(IF(E3="","",E16*E14*E5/E15),"")</f>
        <v/>
      </c>
      <c r="F17" s="365" t="str">
        <f t="shared" ref="F17:I17" si="1">IFERROR(IF(F3="","",F16*F14*F5/F15),"")</f>
        <v/>
      </c>
      <c r="G17" s="365" t="str">
        <f t="shared" si="1"/>
        <v/>
      </c>
      <c r="H17" s="365" t="str">
        <f t="shared" si="1"/>
        <v/>
      </c>
      <c r="I17" s="365" t="str">
        <f t="shared" si="1"/>
        <v/>
      </c>
      <c r="J17" s="42"/>
      <c r="K17" s="42"/>
      <c r="L17" s="42"/>
      <c r="M17" s="42"/>
      <c r="N17" s="42"/>
      <c r="O17" s="42"/>
      <c r="P17" s="42"/>
      <c r="Q17" s="42"/>
      <c r="R17" s="42"/>
      <c r="S17" s="42"/>
      <c r="T17" s="42"/>
      <c r="U17" s="42"/>
      <c r="V17" s="42"/>
      <c r="W17" s="42"/>
      <c r="X17" s="42"/>
      <c r="Y17" s="42"/>
      <c r="Z17" s="42"/>
      <c r="AA17" s="42"/>
    </row>
    <row r="18" spans="2:27">
      <c r="B18" s="834" t="s">
        <v>0</v>
      </c>
      <c r="C18" s="364" t="s">
        <v>331</v>
      </c>
      <c r="D18" s="367"/>
      <c r="E18" s="368"/>
      <c r="F18" s="368"/>
      <c r="G18" s="368"/>
      <c r="H18" s="368"/>
      <c r="I18" s="368"/>
      <c r="J18" s="42"/>
      <c r="K18" s="42"/>
      <c r="L18" s="42"/>
      <c r="M18" s="42"/>
      <c r="N18" s="42"/>
      <c r="O18" s="42"/>
      <c r="P18" s="42"/>
      <c r="Q18" s="42"/>
      <c r="R18" s="42"/>
      <c r="S18" s="42"/>
      <c r="T18" s="42"/>
      <c r="U18" s="42"/>
      <c r="V18" s="42"/>
      <c r="W18" s="42"/>
      <c r="X18" s="42"/>
      <c r="Y18" s="42"/>
      <c r="Z18" s="42"/>
      <c r="AA18" s="42"/>
    </row>
    <row r="19" spans="2:27">
      <c r="B19" s="834"/>
      <c r="C19" s="220" t="s">
        <v>564</v>
      </c>
      <c r="D19" s="641"/>
      <c r="E19" s="720"/>
      <c r="F19" s="720"/>
      <c r="G19" s="720"/>
      <c r="H19" s="720"/>
      <c r="I19" s="720"/>
      <c r="J19" s="42"/>
      <c r="K19" s="42"/>
      <c r="L19" s="42"/>
      <c r="M19" s="42"/>
      <c r="N19" s="42"/>
      <c r="O19" s="42"/>
      <c r="P19" s="42"/>
      <c r="Q19" s="42"/>
      <c r="R19" s="42"/>
      <c r="S19" s="42"/>
      <c r="T19" s="42"/>
      <c r="U19" s="42"/>
      <c r="V19" s="42"/>
      <c r="W19" s="42"/>
      <c r="X19" s="42"/>
      <c r="Y19" s="42"/>
      <c r="Z19" s="42"/>
      <c r="AA19" s="42"/>
    </row>
    <row r="20" spans="2:27">
      <c r="B20" s="834"/>
      <c r="C20" s="220" t="s">
        <v>337</v>
      </c>
      <c r="D20" s="331"/>
      <c r="E20" s="440"/>
      <c r="F20" s="440"/>
      <c r="G20" s="440"/>
      <c r="H20" s="440"/>
      <c r="I20" s="440"/>
      <c r="J20" s="42"/>
      <c r="K20" s="42"/>
      <c r="L20" s="42"/>
      <c r="M20" s="42"/>
      <c r="N20" s="42"/>
      <c r="O20" s="42"/>
      <c r="P20" s="42"/>
      <c r="Q20" s="42"/>
      <c r="R20" s="42"/>
      <c r="S20" s="42"/>
      <c r="T20" s="42"/>
      <c r="U20" s="42"/>
      <c r="V20" s="42"/>
      <c r="W20" s="42"/>
      <c r="X20" s="42"/>
      <c r="Y20" s="42"/>
      <c r="Z20" s="42"/>
      <c r="AA20" s="42"/>
    </row>
    <row r="21" spans="2:27">
      <c r="B21" s="863"/>
      <c r="C21" s="307"/>
      <c r="D21" s="307" t="s">
        <v>41</v>
      </c>
      <c r="E21" s="365" t="str">
        <f>IFERROR(IF(E3="","",E20*E5/E19),"")</f>
        <v/>
      </c>
      <c r="F21" s="365" t="str">
        <f t="shared" ref="F21:I21" si="2">IFERROR(IF(F3="","",F20*F5/F19),"")</f>
        <v/>
      </c>
      <c r="G21" s="365" t="str">
        <f t="shared" si="2"/>
        <v/>
      </c>
      <c r="H21" s="365" t="str">
        <f t="shared" si="2"/>
        <v/>
      </c>
      <c r="I21" s="365" t="str">
        <f t="shared" si="2"/>
        <v/>
      </c>
      <c r="J21" s="42"/>
      <c r="K21" s="42"/>
      <c r="L21" s="42"/>
      <c r="M21" s="42"/>
      <c r="N21" s="42"/>
      <c r="O21" s="42"/>
      <c r="P21" s="42"/>
      <c r="Q21" s="42"/>
      <c r="R21" s="42"/>
      <c r="S21" s="42"/>
      <c r="T21" s="42"/>
      <c r="U21" s="42"/>
      <c r="V21" s="42"/>
      <c r="W21" s="42"/>
      <c r="X21" s="42"/>
      <c r="Y21" s="42"/>
      <c r="Z21" s="42"/>
      <c r="AA21" s="42"/>
    </row>
    <row r="22" spans="2:27">
      <c r="B22" s="865" t="s">
        <v>3</v>
      </c>
      <c r="C22" s="364" t="s">
        <v>565</v>
      </c>
      <c r="D22" s="367"/>
      <c r="E22" s="368"/>
      <c r="F22" s="368"/>
      <c r="G22" s="368"/>
      <c r="H22" s="368"/>
      <c r="I22" s="368"/>
      <c r="J22" s="42"/>
      <c r="K22" s="42"/>
      <c r="L22" s="42"/>
      <c r="M22" s="42"/>
      <c r="N22" s="42"/>
      <c r="O22" s="42"/>
      <c r="P22" s="42"/>
      <c r="Q22" s="42"/>
      <c r="R22" s="42"/>
      <c r="S22" s="42"/>
      <c r="T22" s="42"/>
      <c r="U22" s="42"/>
      <c r="V22" s="42"/>
      <c r="W22" s="42"/>
      <c r="X22" s="42"/>
      <c r="Y22" s="42"/>
      <c r="Z22" s="42"/>
      <c r="AA22" s="42"/>
    </row>
    <row r="23" spans="2:27">
      <c r="B23" s="866"/>
      <c r="C23" s="322" t="s">
        <v>736</v>
      </c>
      <c r="D23" s="323"/>
      <c r="E23" s="431"/>
      <c r="F23" s="431"/>
      <c r="G23" s="431"/>
      <c r="H23" s="431"/>
      <c r="I23" s="431"/>
      <c r="J23" s="42"/>
      <c r="K23" s="42"/>
      <c r="L23" s="42"/>
      <c r="M23" s="42"/>
      <c r="N23" s="42"/>
      <c r="O23" s="42"/>
      <c r="P23" s="42"/>
      <c r="Q23" s="42"/>
      <c r="R23" s="42"/>
      <c r="S23" s="42"/>
      <c r="T23" s="42"/>
      <c r="U23" s="42"/>
      <c r="V23" s="42"/>
      <c r="W23" s="42"/>
      <c r="X23" s="42"/>
      <c r="Y23" s="42"/>
      <c r="Z23" s="42"/>
      <c r="AA23" s="42"/>
    </row>
    <row r="24" spans="2:27">
      <c r="B24" s="866"/>
      <c r="C24" s="324" t="s">
        <v>15</v>
      </c>
      <c r="D24" s="325"/>
      <c r="E24" s="432"/>
      <c r="F24" s="432"/>
      <c r="G24" s="432"/>
      <c r="H24" s="432"/>
      <c r="I24" s="432"/>
      <c r="J24" s="42"/>
      <c r="K24" s="42"/>
      <c r="L24" s="42"/>
      <c r="M24" s="42"/>
      <c r="N24" s="42"/>
      <c r="O24" s="42"/>
      <c r="P24" s="42"/>
      <c r="Q24" s="42"/>
      <c r="R24" s="42"/>
      <c r="S24" s="42"/>
      <c r="T24" s="42"/>
      <c r="U24" s="42"/>
      <c r="V24" s="42"/>
      <c r="W24" s="42"/>
      <c r="X24" s="42"/>
      <c r="Y24" s="42"/>
      <c r="Z24" s="42"/>
      <c r="AA24" s="42"/>
    </row>
    <row r="25" spans="2:27">
      <c r="B25" s="866"/>
      <c r="C25" s="220" t="s">
        <v>457</v>
      </c>
      <c r="D25" s="331"/>
      <c r="E25" s="429"/>
      <c r="F25" s="429"/>
      <c r="G25" s="429"/>
      <c r="H25" s="429"/>
      <c r="I25" s="429"/>
      <c r="J25" s="42"/>
      <c r="K25" s="42"/>
      <c r="L25" s="42"/>
      <c r="M25" s="42"/>
      <c r="N25" s="42"/>
      <c r="O25" s="42"/>
      <c r="P25" s="42"/>
      <c r="Q25" s="42"/>
      <c r="R25" s="42"/>
      <c r="S25" s="42"/>
      <c r="T25" s="42"/>
      <c r="U25" s="42"/>
      <c r="V25" s="42"/>
      <c r="W25" s="42"/>
      <c r="X25" s="42"/>
      <c r="Y25" s="42"/>
      <c r="Z25" s="42"/>
      <c r="AA25" s="42"/>
    </row>
    <row r="26" spans="2:27">
      <c r="B26" s="867"/>
      <c r="C26" s="307"/>
      <c r="D26" s="307" t="s">
        <v>41</v>
      </c>
      <c r="E26" s="365" t="str">
        <f>IFERROR((E23*E24*E5/E25),"")</f>
        <v/>
      </c>
      <c r="F26" s="365" t="str">
        <f>IFERROR((F23*F24*F5/F25),"")</f>
        <v/>
      </c>
      <c r="G26" s="365" t="str">
        <f>IFERROR((G23*G24*G5/G25),"")</f>
        <v/>
      </c>
      <c r="H26" s="365" t="str">
        <f>IFERROR((H23*H24*H5/H25),"")</f>
        <v/>
      </c>
      <c r="I26" s="365" t="str">
        <f>IFERROR((I23*I24*I5/I25),"")</f>
        <v/>
      </c>
      <c r="J26" s="42"/>
      <c r="K26" s="42"/>
      <c r="L26" s="42"/>
      <c r="M26" s="42"/>
      <c r="N26" s="42"/>
      <c r="O26" s="42"/>
      <c r="P26" s="42"/>
      <c r="Q26" s="42"/>
      <c r="R26" s="42"/>
      <c r="S26" s="42"/>
      <c r="T26" s="42"/>
      <c r="U26" s="42"/>
      <c r="V26" s="42"/>
      <c r="W26" s="42"/>
      <c r="X26" s="42"/>
      <c r="Y26" s="42"/>
      <c r="Z26" s="42"/>
      <c r="AA26" s="42"/>
    </row>
    <row r="27" spans="2:27">
      <c r="B27" s="865" t="s">
        <v>7</v>
      </c>
      <c r="C27" s="305" t="s">
        <v>14</v>
      </c>
      <c r="D27" s="340"/>
      <c r="E27" s="308"/>
      <c r="F27" s="308"/>
      <c r="G27" s="308"/>
      <c r="H27" s="308"/>
      <c r="I27" s="308"/>
      <c r="J27" s="42"/>
      <c r="K27" s="42"/>
      <c r="L27" s="42"/>
      <c r="M27" s="42"/>
      <c r="N27" s="42"/>
      <c r="O27" s="42"/>
      <c r="P27" s="42"/>
      <c r="Q27" s="42"/>
      <c r="R27" s="42"/>
      <c r="S27" s="42"/>
      <c r="T27" s="42"/>
      <c r="U27" s="42"/>
      <c r="V27" s="42"/>
      <c r="W27" s="42"/>
      <c r="X27" s="42"/>
      <c r="Y27" s="42"/>
      <c r="Z27" s="42"/>
      <c r="AA27" s="42"/>
    </row>
    <row r="28" spans="2:27">
      <c r="B28" s="866"/>
      <c r="C28" s="332" t="s">
        <v>320</v>
      </c>
      <c r="D28" s="341"/>
      <c r="E28" s="433"/>
      <c r="F28" s="433"/>
      <c r="G28" s="433"/>
      <c r="H28" s="433"/>
      <c r="I28" s="433"/>
      <c r="J28" s="42"/>
      <c r="K28" s="42"/>
      <c r="L28" s="42"/>
      <c r="M28" s="42"/>
      <c r="N28" s="42"/>
      <c r="O28" s="42"/>
      <c r="P28" s="42"/>
      <c r="Q28" s="42"/>
      <c r="R28" s="42"/>
      <c r="S28" s="42"/>
      <c r="T28" s="42"/>
      <c r="U28" s="42"/>
      <c r="V28" s="42"/>
      <c r="W28" s="42"/>
      <c r="X28" s="42"/>
      <c r="Y28" s="42"/>
      <c r="Z28" s="42"/>
      <c r="AA28" s="42"/>
    </row>
    <row r="29" spans="2:27">
      <c r="B29" s="866"/>
      <c r="C29" s="639" t="s">
        <v>246</v>
      </c>
      <c r="D29" s="342"/>
      <c r="E29" s="434"/>
      <c r="F29" s="434"/>
      <c r="G29" s="434"/>
      <c r="H29" s="434"/>
      <c r="I29" s="434"/>
      <c r="J29" s="42"/>
      <c r="K29" s="42"/>
      <c r="L29" s="42"/>
      <c r="M29" s="42"/>
      <c r="N29" s="42"/>
      <c r="O29" s="42"/>
      <c r="P29" s="42"/>
      <c r="Q29" s="42"/>
      <c r="R29" s="42"/>
      <c r="S29" s="42"/>
      <c r="T29" s="42"/>
      <c r="U29" s="42"/>
      <c r="V29" s="42"/>
      <c r="W29" s="42"/>
      <c r="X29" s="42"/>
      <c r="Y29" s="42"/>
      <c r="Z29" s="42"/>
      <c r="AA29" s="42"/>
    </row>
    <row r="30" spans="2:27">
      <c r="B30" s="866"/>
      <c r="C30" s="640" t="s">
        <v>467</v>
      </c>
      <c r="D30" s="343"/>
      <c r="E30" s="435"/>
      <c r="F30" s="435"/>
      <c r="G30" s="435"/>
      <c r="H30" s="435"/>
      <c r="I30" s="435"/>
      <c r="J30" s="42"/>
      <c r="K30" s="42"/>
      <c r="L30" s="42"/>
      <c r="M30" s="42"/>
      <c r="N30" s="42"/>
      <c r="O30" s="42"/>
      <c r="P30" s="42"/>
      <c r="Q30" s="42"/>
      <c r="R30" s="42"/>
      <c r="S30" s="42"/>
      <c r="T30" s="42"/>
      <c r="U30" s="42"/>
      <c r="V30" s="42"/>
      <c r="W30" s="42"/>
      <c r="X30" s="42"/>
      <c r="Y30" s="42"/>
      <c r="Z30" s="42"/>
      <c r="AA30" s="42"/>
    </row>
    <row r="31" spans="2:27">
      <c r="B31" s="866"/>
      <c r="C31" s="640" t="s">
        <v>467</v>
      </c>
      <c r="D31" s="336"/>
      <c r="E31" s="426"/>
      <c r="F31" s="426"/>
      <c r="G31" s="426"/>
      <c r="H31" s="426"/>
      <c r="I31" s="426"/>
      <c r="J31" s="42"/>
      <c r="K31" s="42"/>
      <c r="L31" s="42"/>
      <c r="M31" s="42"/>
      <c r="N31" s="42"/>
      <c r="O31" s="42"/>
      <c r="P31" s="42"/>
      <c r="Q31" s="42"/>
      <c r="R31" s="42"/>
      <c r="S31" s="42"/>
      <c r="T31" s="42"/>
      <c r="U31" s="42"/>
      <c r="V31" s="42"/>
      <c r="W31" s="42"/>
      <c r="X31" s="42"/>
      <c r="Y31" s="42"/>
      <c r="Z31" s="42"/>
      <c r="AA31" s="42"/>
    </row>
    <row r="32" spans="2:27">
      <c r="B32" s="866"/>
      <c r="C32" s="339" t="s">
        <v>242</v>
      </c>
      <c r="D32" s="338"/>
      <c r="E32" s="426" t="str">
        <f>IF(E3="","",SUM(E29:E31))</f>
        <v/>
      </c>
      <c r="F32" s="426" t="str">
        <f>IF(F3="","",SUM(F29:F31))</f>
        <v/>
      </c>
      <c r="G32" s="426" t="str">
        <f>IF(G3="","",SUM(G29:G31))</f>
        <v/>
      </c>
      <c r="H32" s="426" t="str">
        <f>IF(H3="","",SUM(H29:H31))</f>
        <v/>
      </c>
      <c r="I32" s="426" t="str">
        <f>IF(I3="","",SUM(I29:I31))</f>
        <v/>
      </c>
      <c r="J32" s="42"/>
      <c r="K32" s="42"/>
      <c r="L32" s="42"/>
      <c r="M32" s="42"/>
      <c r="N32" s="42"/>
      <c r="O32" s="42"/>
      <c r="P32" s="42"/>
      <c r="Q32" s="42"/>
      <c r="R32" s="42"/>
      <c r="S32" s="42"/>
      <c r="T32" s="42"/>
      <c r="U32" s="42"/>
      <c r="V32" s="42"/>
      <c r="W32" s="42"/>
      <c r="X32" s="42"/>
      <c r="Y32" s="42"/>
      <c r="Z32" s="42"/>
      <c r="AA32" s="42"/>
    </row>
    <row r="33" spans="1:27">
      <c r="B33" s="867"/>
      <c r="C33" s="307"/>
      <c r="D33" s="307" t="s">
        <v>41</v>
      </c>
      <c r="E33" s="369" t="str">
        <f>IF(E3="","",E28*E32/12)</f>
        <v/>
      </c>
      <c r="F33" s="369" t="str">
        <f>IF(F3="","",F28*F32/12)</f>
        <v/>
      </c>
      <c r="G33" s="369" t="str">
        <f>IF(G3="","",G28*G32/12)</f>
        <v/>
      </c>
      <c r="H33" s="369" t="str">
        <f>IF(H3="","",H28*H32/12)</f>
        <v/>
      </c>
      <c r="I33" s="369" t="str">
        <f>IF(I3="","",I28*I32/12)</f>
        <v/>
      </c>
      <c r="J33" s="42"/>
      <c r="K33" s="42"/>
      <c r="L33" s="42"/>
      <c r="M33" s="42"/>
      <c r="N33" s="42"/>
      <c r="O33" s="42"/>
      <c r="P33" s="42"/>
      <c r="Q33" s="42"/>
      <c r="R33" s="42"/>
      <c r="S33" s="42"/>
      <c r="T33" s="42"/>
      <c r="U33" s="42"/>
      <c r="V33" s="42"/>
      <c r="W33" s="42"/>
      <c r="X33" s="42"/>
      <c r="Y33" s="42"/>
      <c r="Z33" s="42"/>
      <c r="AA33" s="42"/>
    </row>
    <row r="34" spans="1:27" s="12" customFormat="1">
      <c r="A34" s="72"/>
      <c r="B34" s="89"/>
      <c r="C34" s="91" t="s">
        <v>556</v>
      </c>
      <c r="D34" s="91"/>
      <c r="E34" s="370" t="str">
        <f>IF(E3="","",SUM(E12,E17,E21,E26,E33))</f>
        <v/>
      </c>
      <c r="F34" s="370" t="str">
        <f>IF(F3="","",SUM(F12,F17,F21,F26,F33))</f>
        <v/>
      </c>
      <c r="G34" s="370" t="str">
        <f>IF(G3="","",SUM(G12,G17,G21,G26,G33))</f>
        <v/>
      </c>
      <c r="H34" s="370" t="str">
        <f>IF(H3="","",SUM(H12,H17,H21,H26,H33))</f>
        <v/>
      </c>
      <c r="I34" s="370" t="str">
        <f>IF(I3="","",SUM(I12,I17,I21,I26,I33))</f>
        <v/>
      </c>
      <c r="J34" s="291"/>
      <c r="K34" s="291"/>
      <c r="L34" s="291"/>
      <c r="M34" s="291"/>
      <c r="N34" s="291"/>
      <c r="O34" s="291"/>
      <c r="P34" s="291"/>
      <c r="Q34" s="291"/>
      <c r="R34" s="291"/>
      <c r="S34" s="291"/>
      <c r="T34" s="291"/>
      <c r="U34" s="291"/>
      <c r="V34" s="291"/>
      <c r="W34" s="291"/>
      <c r="X34" s="291"/>
      <c r="Y34" s="291"/>
      <c r="Z34" s="291"/>
      <c r="AA34" s="291"/>
    </row>
    <row r="35" spans="1:27">
      <c r="A35" s="39"/>
      <c r="C35" s="37"/>
      <c r="D35" s="38"/>
      <c r="G35" s="36"/>
      <c r="H35" s="36"/>
      <c r="I35" s="36"/>
      <c r="J35" s="42"/>
      <c r="K35" s="42"/>
      <c r="L35" s="42"/>
      <c r="M35" s="42"/>
      <c r="N35" s="42"/>
      <c r="O35" s="42"/>
      <c r="P35" s="42"/>
      <c r="Q35" s="42"/>
      <c r="R35" s="42"/>
      <c r="S35" s="42"/>
      <c r="T35" s="42"/>
      <c r="U35" s="42"/>
      <c r="V35" s="42"/>
      <c r="W35" s="42"/>
      <c r="X35" s="42"/>
      <c r="Y35" s="42"/>
      <c r="Z35" s="42"/>
      <c r="AA35" s="42"/>
    </row>
    <row r="36" spans="1:27" s="12" customFormat="1">
      <c r="A36" s="72"/>
      <c r="B36" s="89"/>
      <c r="C36" s="90" t="s">
        <v>557</v>
      </c>
      <c r="D36" s="91"/>
      <c r="E36" s="370"/>
      <c r="F36" s="370"/>
      <c r="G36" s="370"/>
      <c r="H36" s="370"/>
      <c r="I36" s="370"/>
      <c r="J36" s="291"/>
      <c r="K36" s="291"/>
      <c r="L36" s="291"/>
      <c r="M36" s="291"/>
      <c r="N36" s="291"/>
      <c r="O36" s="291"/>
      <c r="P36" s="291"/>
      <c r="Q36" s="291"/>
      <c r="R36" s="291"/>
      <c r="S36" s="291"/>
      <c r="T36" s="291"/>
      <c r="U36" s="291"/>
      <c r="V36" s="291"/>
      <c r="W36" s="291"/>
      <c r="X36" s="291"/>
      <c r="Y36" s="291"/>
      <c r="Z36" s="291"/>
      <c r="AA36" s="291"/>
    </row>
    <row r="37" spans="1:27">
      <c r="B37" s="310" t="s">
        <v>2</v>
      </c>
      <c r="C37" s="311" t="s">
        <v>654</v>
      </c>
      <c r="D37" s="443">
        <v>0.01</v>
      </c>
      <c r="E37" s="312" t="str">
        <f>IF(E3="","",E29*$D$37/12)</f>
        <v/>
      </c>
      <c r="F37" s="312" t="str">
        <f t="shared" ref="F37:I37" si="3">IF(F3="","",F29*$D$37/12)</f>
        <v/>
      </c>
      <c r="G37" s="312" t="str">
        <f t="shared" si="3"/>
        <v/>
      </c>
      <c r="H37" s="312" t="str">
        <f t="shared" si="3"/>
        <v/>
      </c>
      <c r="I37" s="312" t="str">
        <f t="shared" si="3"/>
        <v/>
      </c>
      <c r="J37" s="42"/>
      <c r="K37" s="42"/>
      <c r="L37" s="42"/>
      <c r="M37" s="42"/>
      <c r="N37" s="42"/>
      <c r="O37" s="42"/>
      <c r="P37" s="42"/>
      <c r="Q37" s="42"/>
      <c r="R37" s="42"/>
      <c r="S37" s="42"/>
      <c r="T37" s="42"/>
      <c r="U37" s="42"/>
      <c r="V37" s="42"/>
      <c r="W37" s="42"/>
      <c r="X37" s="42"/>
      <c r="Y37" s="42"/>
      <c r="Z37" s="42"/>
      <c r="AA37" s="42"/>
    </row>
    <row r="38" spans="1:27">
      <c r="B38" s="310" t="s">
        <v>1</v>
      </c>
      <c r="C38" s="311" t="s">
        <v>655</v>
      </c>
      <c r="D38" s="443">
        <v>0.02</v>
      </c>
      <c r="E38" s="312" t="str">
        <f>IF(E3="","",E32*$D$38/12)</f>
        <v/>
      </c>
      <c r="F38" s="312" t="str">
        <f t="shared" ref="F38:I38" si="4">IF(F3="","",F32*$D$38/12)</f>
        <v/>
      </c>
      <c r="G38" s="312" t="str">
        <f t="shared" si="4"/>
        <v/>
      </c>
      <c r="H38" s="312" t="str">
        <f t="shared" si="4"/>
        <v/>
      </c>
      <c r="I38" s="312" t="str">
        <f t="shared" si="4"/>
        <v/>
      </c>
      <c r="J38" s="42"/>
      <c r="K38" s="42"/>
      <c r="L38" s="42"/>
      <c r="M38" s="42"/>
      <c r="N38" s="42"/>
      <c r="O38" s="42"/>
      <c r="P38" s="42"/>
      <c r="Q38" s="42"/>
      <c r="R38" s="42"/>
      <c r="S38" s="42"/>
      <c r="T38" s="42"/>
      <c r="U38" s="42"/>
      <c r="V38" s="42"/>
      <c r="W38" s="42"/>
      <c r="X38" s="42"/>
      <c r="Y38" s="42"/>
      <c r="Z38" s="42"/>
      <c r="AA38" s="42"/>
    </row>
    <row r="39" spans="1:27">
      <c r="B39" s="868" t="s">
        <v>0</v>
      </c>
      <c r="C39" s="305" t="s">
        <v>12</v>
      </c>
      <c r="D39" s="444"/>
      <c r="E39" s="308"/>
      <c r="F39" s="308"/>
      <c r="G39" s="308"/>
      <c r="H39" s="308"/>
      <c r="I39" s="308"/>
      <c r="J39" s="42"/>
      <c r="K39" s="42"/>
      <c r="L39" s="42"/>
      <c r="M39" s="42"/>
      <c r="N39" s="42"/>
      <c r="O39" s="42"/>
      <c r="P39" s="42"/>
      <c r="Q39" s="42"/>
      <c r="R39" s="42"/>
      <c r="S39" s="42"/>
      <c r="T39" s="42"/>
      <c r="U39" s="42"/>
      <c r="V39" s="42"/>
      <c r="W39" s="42"/>
      <c r="X39" s="42"/>
      <c r="Y39" s="42"/>
      <c r="Z39" s="42"/>
      <c r="AA39" s="42"/>
    </row>
    <row r="40" spans="1:27">
      <c r="B40" s="869"/>
      <c r="C40" s="322" t="s">
        <v>656</v>
      </c>
      <c r="D40" s="445"/>
      <c r="E40" s="456"/>
      <c r="F40" s="456"/>
      <c r="G40" s="456"/>
      <c r="H40" s="456"/>
      <c r="I40" s="456"/>
      <c r="J40" s="42"/>
      <c r="K40" s="42"/>
      <c r="L40" s="42"/>
      <c r="M40" s="42"/>
      <c r="N40" s="42"/>
      <c r="O40" s="42"/>
      <c r="P40" s="42"/>
      <c r="Q40" s="42"/>
      <c r="R40" s="42"/>
      <c r="S40" s="42"/>
      <c r="T40" s="42"/>
      <c r="U40" s="42"/>
      <c r="V40" s="42"/>
      <c r="W40" s="42"/>
      <c r="X40" s="42"/>
      <c r="Y40" s="42"/>
      <c r="Z40" s="42"/>
      <c r="AA40" s="42"/>
    </row>
    <row r="41" spans="1:27">
      <c r="B41" s="869"/>
      <c r="C41" s="339" t="s">
        <v>657</v>
      </c>
      <c r="D41" s="457"/>
      <c r="E41" s="426" t="str">
        <f>IF(E3="","",328.51)</f>
        <v/>
      </c>
      <c r="F41" s="426" t="str">
        <f t="shared" ref="F41:I41" si="5">IF(F3="","",328.51)</f>
        <v/>
      </c>
      <c r="G41" s="426" t="str">
        <f t="shared" si="5"/>
        <v/>
      </c>
      <c r="H41" s="426" t="str">
        <f t="shared" si="5"/>
        <v/>
      </c>
      <c r="I41" s="426" t="str">
        <f t="shared" si="5"/>
        <v/>
      </c>
      <c r="J41" s="42"/>
      <c r="K41" s="42"/>
      <c r="L41" s="42"/>
      <c r="M41" s="42"/>
      <c r="N41" s="42"/>
      <c r="O41" s="42"/>
      <c r="P41" s="42"/>
      <c r="Q41" s="42"/>
      <c r="R41" s="42"/>
      <c r="S41" s="42"/>
      <c r="T41" s="42"/>
      <c r="U41" s="42"/>
      <c r="V41" s="42"/>
      <c r="W41" s="42"/>
      <c r="X41" s="42"/>
      <c r="Y41" s="42"/>
      <c r="Z41" s="42"/>
      <c r="AA41" s="42"/>
    </row>
    <row r="42" spans="1:27">
      <c r="B42" s="870"/>
      <c r="C42" s="307"/>
      <c r="D42" s="307" t="s">
        <v>41</v>
      </c>
      <c r="E42" s="458" t="str">
        <f>IF(E$3="","",E40*E41/Proposta!$J$6)</f>
        <v/>
      </c>
      <c r="F42" s="458" t="str">
        <f>IF(F$3="","",F40*F41/Proposta!$J$6)</f>
        <v/>
      </c>
      <c r="G42" s="458" t="str">
        <f>IF(G$3="","",G40*G41/Proposta!$J$6)</f>
        <v/>
      </c>
      <c r="H42" s="458" t="str">
        <f>IF(H$3="","",H40*H41/Proposta!$J$6)</f>
        <v/>
      </c>
      <c r="I42" s="458" t="str">
        <f>IF(I$3="","",I40*I41/Proposta!$J$6)</f>
        <v/>
      </c>
      <c r="J42" s="42"/>
      <c r="K42" s="42"/>
      <c r="L42" s="42"/>
      <c r="M42" s="42"/>
      <c r="N42" s="42"/>
      <c r="O42" s="42"/>
      <c r="P42" s="42"/>
      <c r="Q42" s="42"/>
      <c r="R42" s="42"/>
      <c r="S42" s="42"/>
      <c r="T42" s="42"/>
      <c r="U42" s="42"/>
      <c r="V42" s="42"/>
      <c r="W42" s="42"/>
      <c r="X42" s="42"/>
      <c r="Y42" s="42"/>
      <c r="Z42" s="42"/>
      <c r="AA42" s="42"/>
    </row>
    <row r="43" spans="1:27">
      <c r="B43" s="868" t="s">
        <v>3</v>
      </c>
      <c r="C43" s="305" t="s">
        <v>11</v>
      </c>
      <c r="D43" s="444"/>
      <c r="E43" s="308"/>
      <c r="F43" s="308"/>
      <c r="G43" s="308"/>
      <c r="H43" s="308"/>
      <c r="I43" s="308"/>
      <c r="J43" s="42"/>
      <c r="K43" s="42"/>
      <c r="L43" s="42"/>
      <c r="M43" s="42"/>
      <c r="N43" s="42"/>
      <c r="O43" s="42"/>
      <c r="P43" s="42"/>
      <c r="Q43" s="42"/>
      <c r="R43" s="42"/>
      <c r="S43" s="42"/>
      <c r="T43" s="42"/>
      <c r="U43" s="42"/>
      <c r="V43" s="42"/>
      <c r="W43" s="42"/>
      <c r="X43" s="42"/>
      <c r="Y43" s="42"/>
      <c r="Z43" s="42"/>
      <c r="AA43" s="42"/>
    </row>
    <row r="44" spans="1:27">
      <c r="B44" s="869"/>
      <c r="C44" s="322" t="s">
        <v>445</v>
      </c>
      <c r="D44" s="445"/>
      <c r="E44" s="456"/>
      <c r="F44" s="456"/>
      <c r="G44" s="456"/>
      <c r="H44" s="456"/>
      <c r="I44" s="456"/>
      <c r="J44" s="42"/>
      <c r="K44" s="42"/>
      <c r="L44" s="42"/>
      <c r="M44" s="42"/>
      <c r="N44" s="42"/>
      <c r="O44" s="42"/>
      <c r="P44" s="42"/>
      <c r="Q44" s="42"/>
      <c r="R44" s="42"/>
      <c r="S44" s="42"/>
      <c r="T44" s="42"/>
      <c r="U44" s="42"/>
      <c r="V44" s="42"/>
      <c r="W44" s="42"/>
      <c r="X44" s="42"/>
      <c r="Y44" s="42"/>
      <c r="Z44" s="42"/>
      <c r="AA44" s="42"/>
    </row>
    <row r="45" spans="1:27">
      <c r="B45" s="869"/>
      <c r="C45" s="339" t="s">
        <v>446</v>
      </c>
      <c r="D45" s="457"/>
      <c r="E45" s="426" t="str">
        <f>IF(E3="","",77.88)</f>
        <v/>
      </c>
      <c r="F45" s="426" t="str">
        <f t="shared" ref="F45:I45" si="6">IF(F3="","",77.88)</f>
        <v/>
      </c>
      <c r="G45" s="426" t="str">
        <f t="shared" si="6"/>
        <v/>
      </c>
      <c r="H45" s="426" t="str">
        <f t="shared" si="6"/>
        <v/>
      </c>
      <c r="I45" s="426" t="str">
        <f t="shared" si="6"/>
        <v/>
      </c>
      <c r="J45" s="42"/>
      <c r="K45" s="42"/>
      <c r="L45" s="42"/>
      <c r="M45" s="42"/>
      <c r="N45" s="42"/>
      <c r="O45" s="42"/>
      <c r="P45" s="42"/>
      <c r="Q45" s="42"/>
      <c r="R45" s="42"/>
      <c r="S45" s="42"/>
      <c r="T45" s="42"/>
      <c r="U45" s="42"/>
      <c r="V45" s="42"/>
      <c r="W45" s="42"/>
      <c r="X45" s="42"/>
      <c r="Y45" s="42"/>
      <c r="Z45" s="42"/>
      <c r="AA45" s="42"/>
    </row>
    <row r="46" spans="1:27">
      <c r="B46" s="870"/>
      <c r="C46" s="718"/>
      <c r="D46" s="307" t="s">
        <v>41</v>
      </c>
      <c r="E46" s="719" t="str">
        <f>IF(E$3="","",E44*E45/Proposta!$J$6)</f>
        <v/>
      </c>
      <c r="F46" s="719" t="str">
        <f>IF(F$3="","",F44*F45/Proposta!$J$6)</f>
        <v/>
      </c>
      <c r="G46" s="719" t="str">
        <f>IF(G$3="","",G44*G45/Proposta!$J$6)</f>
        <v/>
      </c>
      <c r="H46" s="719" t="str">
        <f>IF(H$3="","",H44*H45/Proposta!$J$6)</f>
        <v/>
      </c>
      <c r="I46" s="719" t="str">
        <f>IF(I$3="","",I44*I45/Proposta!$J$6)</f>
        <v/>
      </c>
      <c r="J46" s="42"/>
      <c r="K46" s="42"/>
      <c r="L46" s="42"/>
      <c r="M46" s="42"/>
      <c r="N46" s="42"/>
      <c r="O46" s="42"/>
      <c r="P46" s="42"/>
      <c r="Q46" s="42"/>
      <c r="R46" s="42"/>
      <c r="S46" s="42"/>
      <c r="T46" s="42"/>
      <c r="U46" s="42"/>
      <c r="V46" s="42"/>
      <c r="W46" s="42"/>
      <c r="X46" s="42"/>
      <c r="Y46" s="42"/>
      <c r="Z46" s="42"/>
      <c r="AA46" s="42"/>
    </row>
    <row r="47" spans="1:27">
      <c r="B47" s="868" t="s">
        <v>7</v>
      </c>
      <c r="C47" s="305" t="s">
        <v>9</v>
      </c>
      <c r="D47" s="444"/>
      <c r="E47" s="308"/>
      <c r="F47" s="308"/>
      <c r="G47" s="308"/>
      <c r="H47" s="308"/>
      <c r="I47" s="308"/>
      <c r="J47" s="42"/>
      <c r="K47" s="42"/>
      <c r="L47" s="42"/>
      <c r="M47" s="42"/>
      <c r="N47" s="42"/>
      <c r="O47" s="42"/>
      <c r="P47" s="42"/>
      <c r="Q47" s="42"/>
      <c r="R47" s="42"/>
      <c r="S47" s="42"/>
      <c r="T47" s="42"/>
      <c r="U47" s="42"/>
      <c r="V47" s="42"/>
      <c r="W47" s="42"/>
      <c r="X47" s="42"/>
      <c r="Y47" s="42"/>
      <c r="Z47" s="42"/>
      <c r="AA47" s="42"/>
    </row>
    <row r="48" spans="1:27">
      <c r="B48" s="869"/>
      <c r="C48" s="322" t="s">
        <v>658</v>
      </c>
      <c r="D48" s="445"/>
      <c r="E48" s="456"/>
      <c r="F48" s="456"/>
      <c r="G48" s="456"/>
      <c r="H48" s="456"/>
      <c r="I48" s="456"/>
      <c r="J48" s="42"/>
      <c r="K48" s="42"/>
      <c r="L48" s="42"/>
      <c r="M48" s="42"/>
      <c r="N48" s="42"/>
      <c r="O48" s="42"/>
      <c r="P48" s="42"/>
      <c r="Q48" s="42"/>
      <c r="R48" s="42"/>
      <c r="S48" s="42"/>
      <c r="T48" s="42"/>
      <c r="U48" s="42"/>
      <c r="V48" s="42"/>
      <c r="W48" s="42"/>
      <c r="X48" s="42"/>
      <c r="Y48" s="42"/>
      <c r="Z48" s="42"/>
      <c r="AA48" s="42"/>
    </row>
    <row r="49" spans="1:27">
      <c r="B49" s="869"/>
      <c r="C49" s="339" t="s">
        <v>244</v>
      </c>
      <c r="D49" s="457"/>
      <c r="E49" s="426"/>
      <c r="F49" s="426"/>
      <c r="G49" s="426"/>
      <c r="H49" s="426"/>
      <c r="I49" s="426"/>
      <c r="J49" s="42"/>
      <c r="K49" s="42"/>
      <c r="L49" s="42"/>
      <c r="M49" s="42"/>
      <c r="N49" s="42"/>
      <c r="O49" s="42"/>
      <c r="P49" s="42"/>
      <c r="Q49" s="42"/>
      <c r="R49" s="42"/>
      <c r="S49" s="42"/>
      <c r="T49" s="42"/>
      <c r="U49" s="42"/>
      <c r="V49" s="42"/>
      <c r="W49" s="42"/>
      <c r="X49" s="42"/>
      <c r="Y49" s="42"/>
      <c r="Z49" s="42"/>
      <c r="AA49" s="42"/>
    </row>
    <row r="50" spans="1:27">
      <c r="B50" s="869"/>
      <c r="C50" s="339" t="s">
        <v>243</v>
      </c>
      <c r="D50" s="446"/>
      <c r="E50" s="426"/>
      <c r="F50" s="426"/>
      <c r="G50" s="426"/>
      <c r="H50" s="426"/>
      <c r="I50" s="426"/>
      <c r="J50" s="42"/>
      <c r="K50" s="42"/>
      <c r="L50" s="42"/>
      <c r="M50" s="42"/>
      <c r="N50" s="42"/>
      <c r="O50" s="42"/>
      <c r="P50" s="42"/>
      <c r="Q50" s="42"/>
      <c r="R50" s="42"/>
      <c r="S50" s="42"/>
      <c r="T50" s="42"/>
      <c r="U50" s="42"/>
      <c r="V50" s="42"/>
      <c r="W50" s="42"/>
      <c r="X50" s="42"/>
      <c r="Y50" s="42"/>
      <c r="Z50" s="42"/>
      <c r="AA50" s="42"/>
    </row>
    <row r="51" spans="1:27">
      <c r="B51" s="870"/>
      <c r="C51" s="307"/>
      <c r="D51" s="307" t="s">
        <v>41</v>
      </c>
      <c r="E51" s="369" t="str">
        <f>IF(E3="","",IFERROR(((E48*E49)/Proposta!$J$6)+E50,0))</f>
        <v/>
      </c>
      <c r="F51" s="369" t="str">
        <f>IF(F3="","",IFERROR(((F48*F49)/Proposta!$J$6)+F50,0))</f>
        <v/>
      </c>
      <c r="G51" s="369" t="str">
        <f>IF(G3="","",IFERROR(((G48*G49)/Proposta!$J$6)+G50,0))</f>
        <v/>
      </c>
      <c r="H51" s="369" t="str">
        <f>IF(H3="","",IFERROR(((H48*H49)/Proposta!$J$6)+H50,0))</f>
        <v/>
      </c>
      <c r="I51" s="369" t="str">
        <f>IF(I3="","",IFERROR(((I48*I49)/Proposta!$J$6)+I50,0))</f>
        <v/>
      </c>
      <c r="J51" s="42"/>
      <c r="K51" s="42"/>
      <c r="L51" s="42"/>
      <c r="M51" s="42"/>
      <c r="N51" s="42"/>
      <c r="O51" s="42"/>
      <c r="P51" s="42"/>
      <c r="Q51" s="42"/>
      <c r="R51" s="42"/>
      <c r="S51" s="42"/>
      <c r="T51" s="42"/>
      <c r="U51" s="42"/>
      <c r="V51" s="42"/>
      <c r="W51" s="42"/>
      <c r="X51" s="42"/>
      <c r="Y51" s="42"/>
      <c r="Z51" s="42"/>
      <c r="AA51" s="42"/>
    </row>
    <row r="52" spans="1:27" s="12" customFormat="1">
      <c r="A52" s="72"/>
      <c r="B52" s="89"/>
      <c r="C52" s="91" t="s">
        <v>558</v>
      </c>
      <c r="D52" s="91"/>
      <c r="E52" s="370" t="str">
        <f>IF(E3="","",SUM(E37,E42,E46,E38,E51))</f>
        <v/>
      </c>
      <c r="F52" s="370" t="str">
        <f t="shared" ref="F52:I52" si="7">IF(F3="","",SUM(F37,F42,F46,F38,F51))</f>
        <v/>
      </c>
      <c r="G52" s="370" t="str">
        <f t="shared" si="7"/>
        <v/>
      </c>
      <c r="H52" s="370" t="str">
        <f t="shared" si="7"/>
        <v/>
      </c>
      <c r="I52" s="370" t="str">
        <f t="shared" si="7"/>
        <v/>
      </c>
      <c r="J52" s="291"/>
      <c r="K52" s="291"/>
      <c r="L52" s="291"/>
      <c r="M52" s="291"/>
      <c r="N52" s="291"/>
      <c r="O52" s="291"/>
      <c r="P52" s="291"/>
      <c r="Q52" s="291"/>
      <c r="R52" s="291"/>
      <c r="S52" s="291"/>
      <c r="T52" s="291"/>
      <c r="U52" s="291"/>
      <c r="V52" s="291"/>
      <c r="W52" s="291"/>
      <c r="X52" s="291"/>
      <c r="Y52" s="291"/>
      <c r="Z52" s="291"/>
      <c r="AA52" s="291"/>
    </row>
    <row r="53" spans="1:27">
      <c r="A53" s="39"/>
      <c r="C53" s="37"/>
      <c r="D53" s="38"/>
      <c r="G53" s="36"/>
      <c r="H53" s="36"/>
      <c r="I53" s="36"/>
      <c r="J53" s="42"/>
      <c r="K53" s="42"/>
      <c r="L53" s="42"/>
      <c r="M53" s="42"/>
      <c r="N53" s="42"/>
      <c r="O53" s="42"/>
      <c r="P53" s="42"/>
      <c r="Q53" s="42"/>
      <c r="R53" s="42"/>
      <c r="S53" s="42"/>
      <c r="T53" s="42"/>
      <c r="U53" s="42"/>
      <c r="V53" s="42"/>
      <c r="W53" s="42"/>
      <c r="X53" s="42"/>
      <c r="Y53" s="42"/>
      <c r="Z53" s="42"/>
      <c r="AA53" s="42"/>
    </row>
    <row r="54" spans="1:27" s="12" customFormat="1">
      <c r="A54" s="72"/>
      <c r="B54" s="89"/>
      <c r="C54" s="90" t="s">
        <v>559</v>
      </c>
      <c r="D54" s="91"/>
      <c r="E54" s="370"/>
      <c r="F54" s="370"/>
      <c r="G54" s="370"/>
      <c r="H54" s="370"/>
      <c r="I54" s="370"/>
      <c r="J54" s="291"/>
      <c r="K54" s="291"/>
      <c r="L54" s="291"/>
      <c r="M54" s="291"/>
      <c r="N54" s="291"/>
      <c r="O54" s="291"/>
      <c r="P54" s="291"/>
      <c r="Q54" s="291"/>
      <c r="R54" s="291"/>
      <c r="S54" s="291"/>
      <c r="T54" s="291"/>
      <c r="U54" s="291"/>
      <c r="V54" s="291"/>
      <c r="W54" s="291"/>
      <c r="X54" s="291"/>
      <c r="Y54" s="291"/>
      <c r="Z54" s="291"/>
      <c r="AA54" s="291"/>
    </row>
    <row r="55" spans="1:27">
      <c r="B55" s="871" t="s">
        <v>2</v>
      </c>
      <c r="C55" s="305" t="s">
        <v>240</v>
      </c>
      <c r="D55" s="437">
        <f>IFERROR(($D$57)/D56,"")</f>
        <v>3.3333333333333335E-3</v>
      </c>
      <c r="E55" s="308"/>
      <c r="F55" s="308"/>
      <c r="G55" s="308"/>
      <c r="H55" s="308"/>
      <c r="I55" s="308"/>
      <c r="J55" s="42"/>
      <c r="K55" s="42"/>
      <c r="L55" s="42"/>
      <c r="M55" s="42"/>
      <c r="N55" s="42"/>
      <c r="O55" s="42"/>
      <c r="P55" s="42"/>
      <c r="Q55" s="42"/>
      <c r="R55" s="42"/>
      <c r="S55" s="42"/>
      <c r="T55" s="42"/>
      <c r="U55" s="42"/>
      <c r="V55" s="42"/>
      <c r="W55" s="42"/>
      <c r="X55" s="42"/>
      <c r="Y55" s="42"/>
      <c r="Z55" s="42"/>
      <c r="AA55" s="42"/>
    </row>
    <row r="56" spans="1:27">
      <c r="B56" s="872"/>
      <c r="C56" s="322" t="s">
        <v>57</v>
      </c>
      <c r="D56" s="438">
        <v>120</v>
      </c>
      <c r="E56" s="436"/>
      <c r="F56" s="436"/>
      <c r="G56" s="436"/>
      <c r="H56" s="436"/>
      <c r="I56" s="436"/>
      <c r="J56" s="42"/>
      <c r="K56" s="42"/>
      <c r="L56" s="42"/>
      <c r="M56" s="42"/>
      <c r="N56" s="42"/>
      <c r="O56" s="42"/>
      <c r="P56" s="42"/>
      <c r="Q56" s="42"/>
      <c r="R56" s="42"/>
      <c r="S56" s="42"/>
      <c r="T56" s="42"/>
      <c r="U56" s="42"/>
      <c r="V56" s="42"/>
      <c r="W56" s="42"/>
      <c r="X56" s="42"/>
      <c r="Y56" s="42"/>
      <c r="Z56" s="42"/>
      <c r="AA56" s="42"/>
    </row>
    <row r="57" spans="1:27">
      <c r="B57" s="872"/>
      <c r="C57" s="339" t="s">
        <v>428</v>
      </c>
      <c r="D57" s="439">
        <v>0.4</v>
      </c>
      <c r="E57" s="426" t="str">
        <f>IF(E3="","",IFERROR(E32*$D$57,""))</f>
        <v/>
      </c>
      <c r="F57" s="426" t="str">
        <f>IF(F3="","",IFERROR(F32*$D$57,""))</f>
        <v/>
      </c>
      <c r="G57" s="426" t="str">
        <f>IF(G3="","",IFERROR(G32*$D$57,""))</f>
        <v/>
      </c>
      <c r="H57" s="426" t="str">
        <f>IF(H3="","",IFERROR(H32*$D$57,""))</f>
        <v/>
      </c>
      <c r="I57" s="426" t="str">
        <f>IF(I3="","",IFERROR(I32*$D$57,""))</f>
        <v/>
      </c>
      <c r="J57" s="42"/>
      <c r="K57" s="42"/>
      <c r="L57" s="42"/>
      <c r="M57" s="42"/>
      <c r="N57" s="42"/>
      <c r="O57" s="42"/>
      <c r="P57" s="42"/>
      <c r="Q57" s="42"/>
      <c r="R57" s="42"/>
      <c r="S57" s="42"/>
      <c r="T57" s="42"/>
      <c r="U57" s="42"/>
      <c r="V57" s="42"/>
      <c r="W57" s="42"/>
      <c r="X57" s="42"/>
      <c r="Y57" s="42"/>
      <c r="Z57" s="42"/>
      <c r="AA57" s="42"/>
    </row>
    <row r="58" spans="1:27">
      <c r="B58" s="873"/>
      <c r="C58" s="307"/>
      <c r="D58" s="459" t="s">
        <v>41</v>
      </c>
      <c r="E58" s="369" t="str">
        <f>IF(E3="","",IFERROR(E32*$D$55,""))</f>
        <v/>
      </c>
      <c r="F58" s="369" t="str">
        <f>IF(F3="","",IFERROR(F32*$D$55,""))</f>
        <v/>
      </c>
      <c r="G58" s="369" t="str">
        <f>IF(G3="","",IFERROR(G32*$D$55,""))</f>
        <v/>
      </c>
      <c r="H58" s="369" t="str">
        <f>IF(H3="","",IFERROR(H32*$D$55,""))</f>
        <v/>
      </c>
      <c r="I58" s="369" t="str">
        <f>IF(I3="","",IFERROR(I32*$D$55,""))</f>
        <v/>
      </c>
      <c r="J58" s="42"/>
      <c r="K58" s="42"/>
      <c r="L58" s="42"/>
      <c r="M58" s="42"/>
      <c r="N58" s="42"/>
      <c r="O58" s="42"/>
      <c r="P58" s="42"/>
      <c r="Q58" s="42"/>
      <c r="R58" s="42"/>
      <c r="S58" s="42"/>
      <c r="T58" s="42"/>
      <c r="U58" s="42"/>
      <c r="V58" s="42"/>
      <c r="W58" s="42"/>
      <c r="X58" s="42"/>
      <c r="Y58" s="42"/>
      <c r="Z58" s="42"/>
      <c r="AA58" s="42"/>
    </row>
    <row r="59" spans="1:27">
      <c r="B59" s="871" t="s">
        <v>1</v>
      </c>
      <c r="C59" s="305" t="s">
        <v>8</v>
      </c>
      <c r="D59" s="437"/>
      <c r="E59" s="308"/>
      <c r="F59" s="308"/>
      <c r="G59" s="308"/>
      <c r="H59" s="308"/>
      <c r="I59" s="308"/>
      <c r="J59" s="42"/>
      <c r="K59" s="42"/>
      <c r="L59" s="42"/>
      <c r="M59" s="42"/>
      <c r="N59" s="42"/>
      <c r="O59" s="42"/>
      <c r="P59" s="42"/>
      <c r="Q59" s="42"/>
      <c r="R59" s="42"/>
      <c r="S59" s="42"/>
      <c r="T59" s="42"/>
      <c r="U59" s="42"/>
      <c r="V59" s="42"/>
      <c r="W59" s="42"/>
      <c r="X59" s="42"/>
      <c r="Y59" s="42"/>
      <c r="Z59" s="42"/>
      <c r="AA59" s="42"/>
    </row>
    <row r="60" spans="1:27">
      <c r="B60" s="872"/>
      <c r="C60" s="322" t="s">
        <v>462</v>
      </c>
      <c r="D60" s="495">
        <v>0.14749999999999999</v>
      </c>
      <c r="E60" s="436"/>
      <c r="F60" s="436"/>
      <c r="G60" s="436"/>
      <c r="H60" s="436"/>
      <c r="I60" s="436"/>
      <c r="J60" s="42"/>
      <c r="K60" s="42"/>
      <c r="L60" s="42"/>
      <c r="M60" s="42"/>
      <c r="N60" s="42"/>
      <c r="O60" s="42"/>
      <c r="P60" s="42"/>
      <c r="Q60" s="42"/>
      <c r="R60" s="42"/>
      <c r="S60" s="42"/>
      <c r="T60" s="42"/>
      <c r="U60" s="42"/>
      <c r="V60" s="42"/>
      <c r="W60" s="42"/>
      <c r="X60" s="42"/>
      <c r="Y60" s="42"/>
      <c r="Z60" s="42"/>
      <c r="AA60" s="42"/>
    </row>
    <row r="61" spans="1:27">
      <c r="B61" s="872"/>
      <c r="C61" s="339" t="s">
        <v>466</v>
      </c>
      <c r="D61" s="439">
        <f>ROUND(POWER((100%+D60),1/12)-100%,4)</f>
        <v>1.15E-2</v>
      </c>
      <c r="E61" s="426"/>
      <c r="F61" s="426"/>
      <c r="G61" s="426"/>
      <c r="H61" s="426"/>
      <c r="I61" s="426"/>
      <c r="J61" s="42"/>
      <c r="K61" s="42"/>
      <c r="L61" s="42"/>
      <c r="M61" s="42"/>
      <c r="N61" s="42"/>
      <c r="O61" s="42"/>
      <c r="P61" s="42"/>
      <c r="Q61" s="42"/>
      <c r="R61" s="42"/>
      <c r="S61" s="42"/>
      <c r="T61" s="42"/>
      <c r="U61" s="42"/>
      <c r="V61" s="42"/>
      <c r="W61" s="42"/>
      <c r="X61" s="42"/>
      <c r="Y61" s="42"/>
      <c r="Z61" s="42"/>
      <c r="AA61" s="42"/>
    </row>
    <row r="62" spans="1:27">
      <c r="B62" s="873"/>
      <c r="C62" s="307"/>
      <c r="D62" s="459" t="s">
        <v>41</v>
      </c>
      <c r="E62" s="369" t="str">
        <f>IF(E3="","",IFERROR(E32*$D$61,""))</f>
        <v/>
      </c>
      <c r="F62" s="369" t="str">
        <f>IF(F3="","",IFERROR(F32*$D$61,""))</f>
        <v/>
      </c>
      <c r="G62" s="369" t="str">
        <f>IF(G3="","",IFERROR(G32*$D$61,""))</f>
        <v/>
      </c>
      <c r="H62" s="369" t="str">
        <f>IF(H3="","",IFERROR(H32*$D$61,""))</f>
        <v/>
      </c>
      <c r="I62" s="369" t="str">
        <f>IF(I3="","",IFERROR(I32*$D$61,""))</f>
        <v/>
      </c>
      <c r="J62" s="42"/>
      <c r="K62" s="42"/>
      <c r="L62" s="42"/>
      <c r="M62" s="42"/>
      <c r="N62" s="42"/>
      <c r="O62" s="42"/>
      <c r="P62" s="42"/>
      <c r="Q62" s="42"/>
      <c r="R62" s="42"/>
      <c r="S62" s="42"/>
      <c r="T62" s="42"/>
      <c r="U62" s="42"/>
      <c r="V62" s="42"/>
      <c r="W62" s="42"/>
      <c r="X62" s="42"/>
      <c r="Y62" s="42"/>
      <c r="Z62" s="42"/>
      <c r="AA62" s="42"/>
    </row>
    <row r="63" spans="1:27" s="12" customFormat="1">
      <c r="A63" s="72"/>
      <c r="B63" s="89"/>
      <c r="C63" s="91" t="s">
        <v>560</v>
      </c>
      <c r="D63" s="91"/>
      <c r="E63" s="370" t="str">
        <f>IF(E3="","",SUM(E62,E58))</f>
        <v/>
      </c>
      <c r="F63" s="370" t="str">
        <f>IF(F3="","",SUM(F62,F58))</f>
        <v/>
      </c>
      <c r="G63" s="370" t="str">
        <f>IF(G3="","",SUM(G62,G58))</f>
        <v/>
      </c>
      <c r="H63" s="370" t="str">
        <f>IF(H3="","",SUM(H62,H58))</f>
        <v/>
      </c>
      <c r="I63" s="370" t="str">
        <f>IF(I3="","",SUM(I62,I58))</f>
        <v/>
      </c>
      <c r="J63" s="291"/>
      <c r="K63" s="291"/>
      <c r="L63" s="291"/>
      <c r="M63" s="291"/>
      <c r="N63" s="291"/>
      <c r="O63" s="291"/>
      <c r="P63" s="291"/>
      <c r="Q63" s="291"/>
      <c r="R63" s="291"/>
      <c r="S63" s="291"/>
      <c r="T63" s="291"/>
      <c r="U63" s="291"/>
      <c r="V63" s="291"/>
      <c r="W63" s="291"/>
      <c r="X63" s="291"/>
      <c r="Y63" s="291"/>
      <c r="Z63" s="291"/>
      <c r="AA63" s="291"/>
    </row>
    <row r="64" spans="1:27">
      <c r="B64"/>
      <c r="C64"/>
      <c r="D64"/>
      <c r="E64"/>
      <c r="F64"/>
      <c r="J64" s="42"/>
      <c r="K64" s="42"/>
      <c r="L64" s="42"/>
      <c r="M64" s="42"/>
      <c r="N64" s="42"/>
      <c r="O64" s="42"/>
      <c r="P64" s="42"/>
      <c r="Q64" s="42"/>
      <c r="R64" s="42"/>
      <c r="S64" s="42"/>
      <c r="T64" s="42"/>
      <c r="U64" s="42"/>
      <c r="V64" s="42"/>
      <c r="W64" s="42"/>
      <c r="X64" s="42"/>
      <c r="Y64" s="42"/>
      <c r="Z64" s="42"/>
      <c r="AA64" s="42"/>
    </row>
    <row r="65" spans="2:27">
      <c r="B65" s="89"/>
      <c r="C65" s="90" t="s">
        <v>561</v>
      </c>
      <c r="D65" s="91"/>
      <c r="E65" s="370"/>
      <c r="F65" s="370"/>
      <c r="G65" s="370"/>
      <c r="H65" s="370"/>
      <c r="I65" s="370"/>
      <c r="J65" s="42"/>
      <c r="K65" s="42"/>
      <c r="L65" s="42"/>
      <c r="M65" s="42"/>
      <c r="N65" s="42"/>
      <c r="O65" s="42"/>
      <c r="P65" s="42"/>
      <c r="Q65" s="42"/>
      <c r="R65" s="42"/>
      <c r="S65" s="42"/>
      <c r="T65" s="42"/>
      <c r="U65" s="42"/>
      <c r="V65" s="42"/>
      <c r="W65" s="42"/>
      <c r="X65" s="42"/>
      <c r="Y65" s="42"/>
      <c r="Z65" s="42"/>
      <c r="AA65" s="42"/>
    </row>
    <row r="66" spans="2:27" ht="3.75" customHeight="1">
      <c r="B66"/>
      <c r="C66"/>
      <c r="D66"/>
      <c r="E66"/>
      <c r="F66"/>
      <c r="J66" s="42"/>
      <c r="K66" s="42"/>
      <c r="L66" s="42"/>
      <c r="M66" s="42"/>
      <c r="N66" s="42"/>
      <c r="O66" s="42"/>
      <c r="P66" s="42"/>
      <c r="Q66" s="42"/>
      <c r="R66" s="42"/>
      <c r="S66" s="42"/>
      <c r="T66" s="42"/>
      <c r="U66" s="42"/>
      <c r="V66" s="42"/>
      <c r="W66" s="42"/>
      <c r="X66" s="42"/>
      <c r="Y66" s="42"/>
      <c r="Z66" s="42"/>
      <c r="AA66" s="42"/>
    </row>
    <row r="67" spans="2:27">
      <c r="B67" s="171"/>
      <c r="C67" s="172" t="s">
        <v>562</v>
      </c>
      <c r="D67" s="173"/>
      <c r="E67" s="176"/>
      <c r="F67" s="176"/>
      <c r="G67" s="176"/>
      <c r="H67" s="176"/>
      <c r="I67" s="176"/>
      <c r="J67" s="42"/>
      <c r="K67" s="42"/>
      <c r="L67" s="42"/>
      <c r="M67" s="42"/>
      <c r="N67" s="42"/>
      <c r="O67" s="42"/>
      <c r="P67" s="42"/>
      <c r="Q67" s="42"/>
      <c r="R67" s="42"/>
      <c r="S67" s="42"/>
      <c r="T67" s="42"/>
      <c r="U67" s="42"/>
      <c r="V67" s="42"/>
      <c r="W67" s="42"/>
      <c r="X67" s="42"/>
      <c r="Y67" s="42"/>
      <c r="Z67" s="42"/>
      <c r="AA67" s="42"/>
    </row>
    <row r="68" spans="2:27">
      <c r="B68" s="87" t="s">
        <v>2</v>
      </c>
      <c r="C68" s="88" t="s">
        <v>227</v>
      </c>
      <c r="D68" s="407">
        <f>'Mão de Obra'!D156</f>
        <v>0.05</v>
      </c>
      <c r="E68" s="99" t="str">
        <f>IF(E3="","",IFERROR(ROUND($D68*E$92,2),""))</f>
        <v/>
      </c>
      <c r="F68" s="99" t="str">
        <f>IF(F3="","",IFERROR(ROUND($D68*F$92,2),""))</f>
        <v/>
      </c>
      <c r="G68" s="99" t="str">
        <f>IF(G3="","",IFERROR(ROUND($D68*G$92,2),""))</f>
        <v/>
      </c>
      <c r="H68" s="99" t="str">
        <f>IF(H3="","",IFERROR(ROUND($D68*H$92,2),""))</f>
        <v/>
      </c>
      <c r="I68" s="99" t="str">
        <f>IF(I3="","",IFERROR(ROUND($D68*I$92,2),""))</f>
        <v/>
      </c>
      <c r="J68" s="42"/>
      <c r="K68" s="489"/>
      <c r="L68" s="42"/>
      <c r="M68" s="42"/>
      <c r="N68" s="42"/>
      <c r="O68" s="42"/>
      <c r="P68" s="42"/>
      <c r="Q68" s="42"/>
      <c r="R68" s="42"/>
      <c r="S68" s="42"/>
      <c r="T68" s="42"/>
      <c r="U68" s="42"/>
      <c r="V68" s="42"/>
      <c r="W68" s="42"/>
      <c r="X68" s="42"/>
      <c r="Y68" s="42"/>
      <c r="Z68" s="42"/>
      <c r="AA68" s="42"/>
    </row>
    <row r="69" spans="2:27">
      <c r="B69" s="87" t="s">
        <v>1</v>
      </c>
      <c r="C69" s="88" t="s">
        <v>228</v>
      </c>
      <c r="D69" s="407">
        <f>'Mão de Obra'!D157</f>
        <v>0.1</v>
      </c>
      <c r="E69" s="99" t="str">
        <f>IF(E4="","",IFERROR(ROUND($D69*SUM(E$68,E$92),2),""))</f>
        <v/>
      </c>
      <c r="F69" s="99" t="str">
        <f>IF(F4="","",IFERROR(ROUND($D69*SUM(F$68,F$92),2),""))</f>
        <v/>
      </c>
      <c r="G69" s="99" t="str">
        <f>IF(G4="","",IFERROR(ROUND($D69*SUM(G$68,G$92),2),""))</f>
        <v/>
      </c>
      <c r="H69" s="99" t="str">
        <f>IF(H4="","",IFERROR(ROUND($D69*SUM(H$68,H$92),2),""))</f>
        <v/>
      </c>
      <c r="I69" s="99" t="str">
        <f>IF(I4="","",IFERROR(ROUND($D69*SUM(I$68,I$92),2),""))</f>
        <v/>
      </c>
      <c r="J69" s="42"/>
      <c r="K69" s="42"/>
      <c r="L69" s="42"/>
      <c r="M69" s="42"/>
      <c r="N69" s="42"/>
      <c r="O69" s="42"/>
      <c r="P69" s="42"/>
      <c r="Q69" s="42"/>
      <c r="R69" s="42"/>
      <c r="S69" s="42"/>
      <c r="T69" s="42"/>
      <c r="U69" s="42"/>
      <c r="V69" s="42"/>
      <c r="W69" s="42"/>
      <c r="X69" s="42"/>
      <c r="Y69" s="42"/>
      <c r="Z69" s="42"/>
      <c r="AA69" s="42"/>
    </row>
    <row r="70" spans="2:27">
      <c r="B70" s="171"/>
      <c r="C70" s="172" t="s">
        <v>120</v>
      </c>
      <c r="D70" s="175"/>
      <c r="E70" s="176" t="str">
        <f>IF(E3="","",SUM(E68:E69))</f>
        <v/>
      </c>
      <c r="F70" s="176" t="str">
        <f>IF(F3="","",SUM(F68:F69))</f>
        <v/>
      </c>
      <c r="G70" s="176" t="str">
        <f>IF(G3="","",SUM(G68:G69))</f>
        <v/>
      </c>
      <c r="H70" s="176" t="str">
        <f>IF(H3="","",SUM(H68:H69))</f>
        <v/>
      </c>
      <c r="I70" s="176" t="str">
        <f>IF(I3="","",SUM(I68:I69))</f>
        <v/>
      </c>
      <c r="J70" s="42"/>
      <c r="K70" s="42"/>
      <c r="L70" s="42"/>
      <c r="M70" s="42"/>
      <c r="N70" s="42"/>
      <c r="O70" s="42"/>
      <c r="P70" s="42"/>
      <c r="Q70" s="42"/>
      <c r="R70" s="42"/>
      <c r="S70" s="42"/>
      <c r="T70" s="42"/>
      <c r="U70" s="42"/>
      <c r="V70" s="42"/>
      <c r="W70" s="42"/>
      <c r="X70" s="42"/>
      <c r="Y70" s="42"/>
      <c r="Z70" s="42"/>
      <c r="AA70" s="42"/>
    </row>
    <row r="71" spans="2:27" ht="3.75" customHeight="1">
      <c r="B71"/>
      <c r="C71"/>
      <c r="D71"/>
      <c r="E71"/>
      <c r="F71"/>
      <c r="J71" s="42"/>
      <c r="K71" s="42"/>
      <c r="L71" s="42"/>
      <c r="M71" s="42"/>
      <c r="N71" s="42"/>
      <c r="O71" s="42"/>
      <c r="P71" s="42"/>
      <c r="Q71" s="42"/>
      <c r="R71" s="42"/>
      <c r="S71" s="42"/>
      <c r="T71" s="42"/>
      <c r="U71" s="42"/>
      <c r="V71" s="42"/>
      <c r="W71" s="42"/>
      <c r="X71" s="42"/>
      <c r="Y71" s="42"/>
      <c r="Z71" s="42"/>
      <c r="AA71" s="42"/>
    </row>
    <row r="72" spans="2:27">
      <c r="B72" s="171"/>
      <c r="C72" s="172" t="s">
        <v>563</v>
      </c>
      <c r="D72" s="173"/>
      <c r="E72" s="176"/>
      <c r="F72" s="176"/>
      <c r="G72" s="176"/>
      <c r="H72" s="176"/>
      <c r="I72" s="176"/>
      <c r="J72" s="42"/>
      <c r="K72" s="42"/>
      <c r="L72" s="42"/>
      <c r="M72" s="42"/>
      <c r="N72" s="42"/>
      <c r="O72" s="42"/>
      <c r="P72" s="42"/>
      <c r="Q72" s="42"/>
      <c r="R72" s="42"/>
      <c r="S72" s="42"/>
      <c r="T72" s="42"/>
      <c r="U72" s="42"/>
      <c r="V72" s="42"/>
      <c r="W72" s="42"/>
      <c r="X72" s="42"/>
      <c r="Y72" s="42"/>
      <c r="Z72" s="42"/>
      <c r="AA72" s="42"/>
    </row>
    <row r="73" spans="2:27">
      <c r="B73" s="87" t="s">
        <v>2</v>
      </c>
      <c r="C73" s="88" t="s">
        <v>43</v>
      </c>
      <c r="D73" s="407">
        <f>'Mão de Obra'!D161</f>
        <v>0.03</v>
      </c>
      <c r="E73" s="99" t="str">
        <f t="shared" ref="E73:I74" si="8">IF(E$3="","",IFERROR(ROUND(SUM(E$92,E$70)*$D73/(1-SUM($D$73:$D$78,E$76)),2),""))</f>
        <v/>
      </c>
      <c r="F73" s="99" t="str">
        <f t="shared" si="8"/>
        <v/>
      </c>
      <c r="G73" s="99" t="str">
        <f t="shared" si="8"/>
        <v/>
      </c>
      <c r="H73" s="99" t="str">
        <f t="shared" si="8"/>
        <v/>
      </c>
      <c r="I73" s="99" t="str">
        <f t="shared" si="8"/>
        <v/>
      </c>
      <c r="J73" s="42"/>
      <c r="K73" s="42"/>
      <c r="L73" s="42"/>
      <c r="M73" s="42"/>
      <c r="N73" s="42"/>
      <c r="O73" s="42"/>
      <c r="P73" s="42"/>
      <c r="Q73" s="42"/>
      <c r="R73" s="42"/>
      <c r="S73" s="42"/>
      <c r="T73" s="42"/>
      <c r="U73" s="42"/>
      <c r="V73" s="42"/>
      <c r="W73" s="42"/>
      <c r="X73" s="42"/>
      <c r="Y73" s="42"/>
      <c r="Z73" s="42"/>
      <c r="AA73" s="42"/>
    </row>
    <row r="74" spans="2:27">
      <c r="B74" s="87" t="s">
        <v>1</v>
      </c>
      <c r="C74" s="88" t="s">
        <v>107</v>
      </c>
      <c r="D74" s="407">
        <f>'Mão de Obra'!D162</f>
        <v>6.4999999999999997E-3</v>
      </c>
      <c r="E74" s="99" t="str">
        <f t="shared" si="8"/>
        <v/>
      </c>
      <c r="F74" s="99" t="str">
        <f t="shared" si="8"/>
        <v/>
      </c>
      <c r="G74" s="99" t="str">
        <f t="shared" si="8"/>
        <v/>
      </c>
      <c r="H74" s="99" t="str">
        <f t="shared" si="8"/>
        <v/>
      </c>
      <c r="I74" s="99" t="str">
        <f t="shared" si="8"/>
        <v/>
      </c>
      <c r="J74" s="42"/>
      <c r="K74" s="42"/>
      <c r="L74" s="42"/>
      <c r="M74" s="42"/>
      <c r="N74" s="42"/>
      <c r="O74" s="42"/>
      <c r="P74" s="42"/>
      <c r="Q74" s="42"/>
      <c r="R74" s="42"/>
      <c r="S74" s="42"/>
      <c r="T74" s="42"/>
      <c r="U74" s="42"/>
      <c r="V74" s="42"/>
      <c r="W74" s="42"/>
      <c r="X74" s="42"/>
      <c r="Y74" s="42"/>
      <c r="Z74" s="42"/>
      <c r="AA74" s="42"/>
    </row>
    <row r="75" spans="2:27">
      <c r="B75" s="828" t="s">
        <v>0</v>
      </c>
      <c r="C75" s="160" t="s">
        <v>44</v>
      </c>
      <c r="D75" s="415"/>
      <c r="E75" s="148"/>
      <c r="F75" s="148"/>
      <c r="G75" s="148"/>
      <c r="H75" s="148"/>
      <c r="I75" s="148"/>
      <c r="J75" s="42"/>
      <c r="K75" s="42"/>
      <c r="L75" s="42"/>
      <c r="M75" s="42"/>
      <c r="N75" s="42"/>
      <c r="O75" s="42"/>
      <c r="P75" s="42"/>
      <c r="Q75" s="42"/>
      <c r="R75" s="42"/>
      <c r="S75" s="42"/>
      <c r="T75" s="42"/>
      <c r="U75" s="42"/>
      <c r="V75" s="42"/>
      <c r="W75" s="42"/>
      <c r="X75" s="42"/>
      <c r="Y75" s="42"/>
      <c r="Z75" s="42"/>
      <c r="AA75" s="42"/>
    </row>
    <row r="76" spans="2:27">
      <c r="B76" s="829"/>
      <c r="C76" s="339" t="s">
        <v>353</v>
      </c>
      <c r="D76" s="439"/>
      <c r="E76" s="462">
        <f>IF('Mão de Obra'!E23="","",IF('Mão de Obra'!E23="SINDIELV",5%,2.5%))</f>
        <v>2.5000000000000001E-2</v>
      </c>
      <c r="F76" s="462">
        <f>IF('Mão de Obra'!F23="","",IF('Mão de Obra'!F23="SINDIELV",5%,2.5%))</f>
        <v>2.5000000000000001E-2</v>
      </c>
      <c r="G76" s="462">
        <f>IF('Mão de Obra'!G23="","",IF('Mão de Obra'!G23="SINDIELV",5%,2.5%))</f>
        <v>2.5000000000000001E-2</v>
      </c>
      <c r="H76" s="462">
        <f>IF('Mão de Obra'!H23="","",IF('Mão de Obra'!H23="SINDIELV",5%,2.5%))</f>
        <v>2.5000000000000001E-2</v>
      </c>
      <c r="I76" s="462" t="str">
        <f>IF('Mão de Obra'!I23="","",IF('Mão de Obra'!I23="SINDIELV",5%,2.5%))</f>
        <v/>
      </c>
      <c r="J76" s="42"/>
      <c r="K76" s="42"/>
      <c r="L76" s="42"/>
      <c r="M76" s="42"/>
      <c r="N76" s="42"/>
      <c r="O76" s="42"/>
      <c r="P76" s="42"/>
      <c r="Q76" s="42"/>
      <c r="R76" s="42"/>
      <c r="S76" s="42"/>
      <c r="T76" s="42"/>
      <c r="U76" s="42"/>
      <c r="V76" s="42"/>
      <c r="W76" s="42"/>
      <c r="X76" s="42"/>
      <c r="Y76" s="42"/>
      <c r="Z76" s="42"/>
      <c r="AA76" s="42"/>
    </row>
    <row r="77" spans="2:27">
      <c r="B77" s="830"/>
      <c r="C77" s="307"/>
      <c r="D77" s="459" t="s">
        <v>41</v>
      </c>
      <c r="E77" s="369" t="str">
        <f>IF(E$3="","",IFERROR(ROUND(SUM(E$92,E$70)*$E76/(1-SUM($D$73:$D$78,E$76)),2),""))</f>
        <v/>
      </c>
      <c r="F77" s="369" t="str">
        <f>IF(F$3="","",IFERROR(ROUND(SUM(F$92,F$70)*$E76/(1-SUM($D$73:$D$78,F$76)),2),""))</f>
        <v/>
      </c>
      <c r="G77" s="369" t="str">
        <f>IF(G$3="","",IFERROR(ROUND(SUM(G$92,G$70)*$E76/(1-SUM($D$73:$D$78,G$76)),2),""))</f>
        <v/>
      </c>
      <c r="H77" s="369" t="str">
        <f>IF(H$3="","",IFERROR(ROUND(SUM(H$92,H$70)*$E76/(1-SUM($D$73:$D$78,H$76)),2),""))</f>
        <v/>
      </c>
      <c r="I77" s="369" t="str">
        <f>IF(I$3="","",IFERROR(ROUND(SUM(I$92,I$70)*$E76/(1-SUM($D$73:$D$78,I$76)),2),""))</f>
        <v/>
      </c>
      <c r="J77" s="42"/>
      <c r="K77" s="42"/>
      <c r="L77" s="42"/>
      <c r="M77" s="42"/>
      <c r="N77" s="42"/>
      <c r="O77" s="42"/>
      <c r="P77" s="42"/>
      <c r="Q77" s="42"/>
      <c r="R77" s="42"/>
      <c r="S77" s="42"/>
      <c r="T77" s="42"/>
      <c r="U77" s="42"/>
      <c r="V77" s="42"/>
      <c r="W77" s="42"/>
      <c r="X77" s="42"/>
      <c r="Y77" s="42"/>
      <c r="Z77" s="42"/>
      <c r="AA77" s="42"/>
    </row>
    <row r="78" spans="2:27">
      <c r="B78" s="391" t="s">
        <v>3</v>
      </c>
      <c r="C78" s="392" t="s">
        <v>303</v>
      </c>
      <c r="D78" s="407">
        <f>'Mão de Obra'!D166</f>
        <v>0</v>
      </c>
      <c r="E78" s="99" t="str">
        <f>IF(E$3="","",IFERROR(ROUND(SUM(E$92,E$70)*$D78/(1-SUM($D$73:$D$78,E$76)),2),""))</f>
        <v/>
      </c>
      <c r="F78" s="99" t="str">
        <f>IF(F$3="","",IFERROR(ROUND(SUM(F$92,F$70)*$D78/(1-SUM($D$73:$D$78,F$76)),2),""))</f>
        <v/>
      </c>
      <c r="G78" s="99" t="str">
        <f>IF(G$3="","",IFERROR(ROUND(SUM(G$92,G$70)*$D78/(1-SUM($D$73:$D$78,G$76)),2),""))</f>
        <v/>
      </c>
      <c r="H78" s="99" t="str">
        <f>IF(H$3="","",IFERROR(ROUND(SUM(H$92,H$70)*$D78/(1-SUM($D$73:$D$78,H$76)),2),""))</f>
        <v/>
      </c>
      <c r="I78" s="99" t="str">
        <f>IF(I$3="","",IFERROR(ROUND(SUM(I$92,I$70)*$D78/(1-SUM($D$73:$D$78,I$76)),2),""))</f>
        <v/>
      </c>
      <c r="J78" s="42"/>
      <c r="K78" s="42"/>
      <c r="L78" s="42"/>
      <c r="M78" s="42"/>
      <c r="N78" s="42"/>
      <c r="O78" s="42"/>
      <c r="P78" s="42"/>
      <c r="Q78" s="42"/>
      <c r="R78" s="42"/>
      <c r="S78" s="42"/>
      <c r="T78" s="42"/>
      <c r="U78" s="42"/>
      <c r="V78" s="42"/>
      <c r="W78" s="42"/>
      <c r="X78" s="42"/>
      <c r="Y78" s="42"/>
      <c r="Z78" s="42"/>
      <c r="AA78" s="42"/>
    </row>
    <row r="79" spans="2:27">
      <c r="B79" s="171"/>
      <c r="C79" s="172" t="s">
        <v>121</v>
      </c>
      <c r="D79" s="175"/>
      <c r="E79" s="192" t="str">
        <f>IF(E4="","",SUM(E73:E74,E77:E78))</f>
        <v/>
      </c>
      <c r="F79" s="192" t="str">
        <f>IF(F4="","",SUM(F73:F74,F77:F78))</f>
        <v/>
      </c>
      <c r="G79" s="192" t="str">
        <f>IF(G4="","",SUM(G73:G74,G77:G78))</f>
        <v/>
      </c>
      <c r="H79" s="192" t="str">
        <f>IF(H4="","",SUM(H73:H74,H77:H78))</f>
        <v/>
      </c>
      <c r="I79" s="192" t="str">
        <f>IF(I4="","",SUM(I73:I74,I77:I78))</f>
        <v/>
      </c>
      <c r="J79" s="42"/>
      <c r="K79" s="42"/>
      <c r="L79" s="42"/>
      <c r="M79" s="42"/>
      <c r="N79" s="42"/>
      <c r="O79" s="42"/>
      <c r="P79" s="42"/>
      <c r="Q79" s="42"/>
      <c r="R79" s="42"/>
      <c r="S79" s="42"/>
      <c r="T79" s="42"/>
      <c r="U79" s="42"/>
      <c r="V79" s="42"/>
      <c r="W79" s="42"/>
      <c r="X79" s="42"/>
      <c r="Y79" s="42"/>
      <c r="Z79" s="42"/>
      <c r="AA79" s="42"/>
    </row>
    <row r="80" spans="2:27" ht="3.75" customHeight="1">
      <c r="B80"/>
      <c r="C80"/>
      <c r="D80"/>
      <c r="E80"/>
      <c r="F80"/>
      <c r="J80" s="42"/>
      <c r="K80" s="42"/>
      <c r="L80" s="42"/>
      <c r="M80" s="42"/>
      <c r="N80" s="42"/>
      <c r="O80" s="42"/>
      <c r="P80" s="42"/>
      <c r="Q80" s="42"/>
      <c r="R80" s="42"/>
      <c r="S80" s="42"/>
      <c r="T80" s="42"/>
      <c r="U80" s="42"/>
      <c r="V80" s="42"/>
      <c r="W80" s="42"/>
      <c r="X80" s="42"/>
      <c r="Y80" s="42"/>
      <c r="Z80" s="42"/>
      <c r="AA80" s="42"/>
    </row>
    <row r="81" spans="2:27">
      <c r="B81" s="157"/>
      <c r="C81" s="90" t="s">
        <v>122</v>
      </c>
      <c r="D81" s="153"/>
      <c r="E81" s="155" t="str">
        <f>IF(E$3="","",SUM(E79,E70))</f>
        <v/>
      </c>
      <c r="F81" s="155" t="str">
        <f>IF(F$3="","",SUM(F79,F70))</f>
        <v/>
      </c>
      <c r="G81" s="155" t="str">
        <f>IF(G$3="","",SUM(G79,G70))</f>
        <v/>
      </c>
      <c r="H81" s="155" t="str">
        <f>IF(H$3="","",SUM(H79,H70))</f>
        <v/>
      </c>
      <c r="I81" s="155" t="str">
        <f>IF(I$3="","",SUM(I79,I70))</f>
        <v/>
      </c>
      <c r="J81" s="42"/>
      <c r="K81" s="42"/>
      <c r="L81" s="42"/>
      <c r="M81" s="42"/>
      <c r="N81" s="42"/>
      <c r="O81" s="42"/>
      <c r="P81" s="42"/>
      <c r="Q81" s="42"/>
      <c r="R81" s="42"/>
      <c r="S81" s="42"/>
      <c r="T81" s="42"/>
      <c r="U81" s="42"/>
      <c r="V81" s="42"/>
      <c r="W81" s="42"/>
      <c r="X81" s="42"/>
      <c r="Y81" s="42"/>
      <c r="Z81" s="42"/>
      <c r="AA81" s="42"/>
    </row>
    <row r="82" spans="2:27">
      <c r="J82" s="42"/>
      <c r="K82" s="42"/>
      <c r="L82" s="42"/>
      <c r="M82" s="42"/>
      <c r="N82" s="42"/>
      <c r="O82" s="42"/>
      <c r="P82" s="42"/>
      <c r="Q82" s="42"/>
      <c r="R82" s="42"/>
      <c r="S82" s="42"/>
      <c r="T82" s="42"/>
      <c r="U82" s="42"/>
      <c r="V82" s="42"/>
      <c r="W82" s="42"/>
      <c r="X82" s="42"/>
      <c r="Y82" s="42"/>
      <c r="Z82" s="42"/>
      <c r="AA82" s="42"/>
    </row>
    <row r="83" spans="2:27">
      <c r="B83" s="89"/>
      <c r="C83" s="90" t="s">
        <v>423</v>
      </c>
      <c r="D83" s="91"/>
      <c r="E83" s="370"/>
      <c r="F83" s="370"/>
      <c r="G83" s="370"/>
      <c r="H83" s="370"/>
      <c r="I83" s="370"/>
      <c r="J83" s="42"/>
      <c r="K83" s="42"/>
      <c r="L83" s="42"/>
      <c r="M83" s="42"/>
      <c r="N83" s="42"/>
      <c r="O83" s="42"/>
      <c r="P83" s="42"/>
      <c r="Q83" s="42"/>
      <c r="R83" s="42"/>
      <c r="S83" s="42"/>
      <c r="T83" s="42"/>
      <c r="U83" s="42"/>
      <c r="V83" s="42"/>
      <c r="W83" s="42"/>
      <c r="X83" s="42"/>
      <c r="Y83" s="42"/>
      <c r="Z83" s="42"/>
      <c r="AA83" s="42"/>
    </row>
    <row r="84" spans="2:27" ht="3.75" customHeight="1">
      <c r="B84" s="3"/>
      <c r="C84" s="3"/>
      <c r="D84" s="3"/>
      <c r="E84" s="3"/>
      <c r="F84" s="3"/>
      <c r="G84" s="3"/>
      <c r="H84" s="3"/>
      <c r="I84" s="3"/>
      <c r="J84" s="42"/>
      <c r="K84" s="42"/>
      <c r="L84" s="42"/>
      <c r="M84" s="42"/>
      <c r="N84" s="42"/>
      <c r="O84" s="42"/>
      <c r="P84" s="42"/>
      <c r="Q84" s="42"/>
      <c r="R84" s="42"/>
      <c r="S84" s="42"/>
      <c r="T84" s="42"/>
      <c r="U84" s="42"/>
      <c r="V84" s="42"/>
      <c r="W84" s="42"/>
      <c r="X84" s="42"/>
      <c r="Y84" s="42"/>
      <c r="Z84" s="42"/>
      <c r="AA84" s="42"/>
    </row>
    <row r="85" spans="2:27">
      <c r="B85" s="171"/>
      <c r="C85" s="172" t="s">
        <v>448</v>
      </c>
      <c r="D85" s="290"/>
      <c r="E85" s="397"/>
      <c r="F85" s="397"/>
      <c r="G85" s="397"/>
      <c r="H85" s="397"/>
      <c r="I85" s="397"/>
      <c r="J85" s="42"/>
      <c r="K85" s="42"/>
      <c r="L85" s="42"/>
      <c r="M85" s="42"/>
      <c r="N85" s="42"/>
      <c r="O85" s="42"/>
      <c r="P85" s="42"/>
      <c r="Q85" s="42"/>
      <c r="R85" s="42"/>
      <c r="S85" s="42"/>
      <c r="T85" s="42"/>
      <c r="U85" s="42"/>
      <c r="V85" s="42"/>
      <c r="W85" s="42"/>
      <c r="X85" s="42"/>
      <c r="Y85" s="42"/>
      <c r="Z85" s="42"/>
      <c r="AA85" s="42"/>
    </row>
    <row r="86" spans="2:27">
      <c r="B86" s="87" t="s">
        <v>2</v>
      </c>
      <c r="C86" s="88" t="s">
        <v>449</v>
      </c>
      <c r="D86" s="177"/>
      <c r="E86" s="99" t="str">
        <f>IFERROR(ROUND(E34*(1+E93/E92),2)/E5,"")</f>
        <v/>
      </c>
      <c r="F86" s="99" t="str">
        <f>IFERROR(ROUND(F34*(1+F93/F92),2)/F5,"")</f>
        <v/>
      </c>
      <c r="G86" s="99" t="str">
        <f>IFERROR(ROUND(G34*(1+G93/G92),2)/G5,"")</f>
        <v/>
      </c>
      <c r="H86" s="99" t="str">
        <f>IFERROR(ROUND(H34*(1+H93/H92),2)/H5,"")</f>
        <v/>
      </c>
      <c r="I86" s="99" t="str">
        <f>IFERROR(ROUND(I34*(1+I93/I92),2)/I5,"")</f>
        <v/>
      </c>
      <c r="J86" s="42"/>
      <c r="K86" s="42"/>
      <c r="L86" s="42"/>
      <c r="M86" s="42"/>
      <c r="N86" s="42"/>
      <c r="O86" s="42"/>
      <c r="P86" s="42"/>
      <c r="Q86" s="42"/>
      <c r="R86" s="42"/>
      <c r="S86" s="42"/>
      <c r="T86" s="42"/>
      <c r="U86" s="42"/>
      <c r="V86" s="42"/>
      <c r="W86" s="42"/>
      <c r="X86" s="42"/>
      <c r="Y86" s="42"/>
      <c r="Z86" s="42"/>
      <c r="AA86" s="42"/>
    </row>
    <row r="87" spans="2:27">
      <c r="B87" s="828" t="s">
        <v>1</v>
      </c>
      <c r="C87" s="160" t="s">
        <v>375</v>
      </c>
      <c r="D87" s="415"/>
      <c r="E87" s="148"/>
      <c r="F87" s="148"/>
      <c r="G87" s="148"/>
      <c r="H87" s="148"/>
      <c r="I87" s="148"/>
      <c r="J87" s="42"/>
      <c r="K87" s="42"/>
      <c r="L87" s="42"/>
      <c r="M87" s="42"/>
      <c r="N87" s="42"/>
      <c r="O87" s="42"/>
      <c r="P87" s="42"/>
      <c r="Q87" s="42"/>
      <c r="R87" s="42"/>
      <c r="S87" s="42"/>
      <c r="T87" s="42"/>
      <c r="U87" s="42"/>
      <c r="V87" s="42"/>
      <c r="W87" s="42"/>
      <c r="X87" s="42"/>
      <c r="Y87" s="42"/>
      <c r="Z87" s="42"/>
      <c r="AA87" s="42"/>
    </row>
    <row r="88" spans="2:27">
      <c r="B88" s="829"/>
      <c r="C88" s="339" t="s">
        <v>450</v>
      </c>
      <c r="D88" s="439"/>
      <c r="E88" s="461" t="str">
        <f>IF(E3="","",IFERROR(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F88" s="461"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1"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1"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1"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2"/>
      <c r="K88" s="42"/>
      <c r="L88" s="42"/>
      <c r="M88" s="42"/>
      <c r="N88" s="42"/>
      <c r="O88" s="42"/>
      <c r="P88" s="42"/>
      <c r="Q88" s="42"/>
      <c r="R88" s="42"/>
      <c r="S88" s="42"/>
      <c r="T88" s="42"/>
      <c r="U88" s="42"/>
      <c r="V88" s="42"/>
      <c r="W88" s="42"/>
      <c r="X88" s="42"/>
      <c r="Y88" s="42"/>
      <c r="Z88" s="42"/>
      <c r="AA88" s="42"/>
    </row>
    <row r="89" spans="2:27">
      <c r="B89" s="830"/>
      <c r="C89" s="307"/>
      <c r="D89" s="459" t="s">
        <v>41</v>
      </c>
      <c r="E89" s="460" t="str">
        <f>IFERROR(ROUND(SUM(E52,E63)*(1+E93/E92),2)/E88,"")</f>
        <v/>
      </c>
      <c r="F89" s="460" t="str">
        <f t="shared" ref="F89:I89" si="9">IFERROR(ROUND(SUM(F52,F63)*(1+F93/F92),2)/F88,"")</f>
        <v/>
      </c>
      <c r="G89" s="460" t="str">
        <f t="shared" si="9"/>
        <v/>
      </c>
      <c r="H89" s="460" t="str">
        <f t="shared" si="9"/>
        <v/>
      </c>
      <c r="I89" s="460" t="str">
        <f t="shared" si="9"/>
        <v/>
      </c>
      <c r="J89" s="42"/>
      <c r="K89" s="42"/>
      <c r="L89" s="42"/>
      <c r="M89" s="42"/>
      <c r="N89" s="42"/>
      <c r="O89" s="42"/>
      <c r="P89" s="42"/>
      <c r="Q89" s="42"/>
      <c r="R89" s="42"/>
      <c r="S89" s="42"/>
      <c r="T89" s="42"/>
      <c r="U89" s="42"/>
      <c r="V89" s="42"/>
      <c r="W89" s="42"/>
      <c r="X89" s="42"/>
      <c r="Y89" s="42"/>
      <c r="Z89" s="42"/>
      <c r="AA89" s="42"/>
    </row>
    <row r="90" spans="2:27" ht="3.75" customHeight="1">
      <c r="B90" s="3"/>
      <c r="C90" s="3"/>
      <c r="D90" s="3"/>
      <c r="E90" s="3"/>
      <c r="F90" s="3"/>
      <c r="G90" s="3"/>
      <c r="H90" s="3"/>
      <c r="I90" s="3"/>
      <c r="J90" s="42"/>
      <c r="K90" s="42"/>
      <c r="L90" s="42"/>
      <c r="M90" s="42"/>
      <c r="N90" s="42"/>
      <c r="O90" s="42"/>
      <c r="P90" s="42"/>
      <c r="Q90" s="42"/>
      <c r="R90" s="42"/>
      <c r="S90" s="42"/>
      <c r="T90" s="42"/>
      <c r="U90" s="42"/>
      <c r="V90" s="42"/>
      <c r="W90" s="42"/>
      <c r="X90" s="42"/>
      <c r="Y90" s="42"/>
      <c r="Z90" s="42"/>
      <c r="AA90" s="42"/>
    </row>
    <row r="91" spans="2:27">
      <c r="B91" s="171"/>
      <c r="C91" s="172" t="s">
        <v>421</v>
      </c>
      <c r="D91" s="290"/>
      <c r="E91" s="397"/>
      <c r="F91" s="397"/>
      <c r="G91" s="397"/>
      <c r="H91" s="397"/>
      <c r="I91" s="397"/>
      <c r="J91" s="42"/>
      <c r="K91" s="42"/>
      <c r="L91" s="42"/>
      <c r="M91" s="42"/>
      <c r="N91" s="42"/>
      <c r="O91" s="42"/>
      <c r="P91" s="42"/>
      <c r="Q91" s="42"/>
      <c r="R91" s="42"/>
      <c r="S91" s="42"/>
      <c r="T91" s="42"/>
      <c r="U91" s="42"/>
      <c r="V91" s="42"/>
      <c r="W91" s="42"/>
      <c r="X91" s="42"/>
      <c r="Y91" s="42"/>
      <c r="Z91" s="42"/>
      <c r="AA91" s="42"/>
    </row>
    <row r="92" spans="2:27">
      <c r="B92" s="87" t="s">
        <v>2</v>
      </c>
      <c r="C92" s="88" t="s">
        <v>422</v>
      </c>
      <c r="D92" s="177"/>
      <c r="E92" s="99" t="str">
        <f>IF(E3="","",ROUND(SUM(E63,E52,E34),2))</f>
        <v/>
      </c>
      <c r="F92" s="99" t="str">
        <f>IF(F3="","",ROUND(SUM(F63,F52,F34),2))</f>
        <v/>
      </c>
      <c r="G92" s="99" t="str">
        <f>IF(G3="","",ROUND(SUM(G63,G52,G34),2))</f>
        <v/>
      </c>
      <c r="H92" s="99" t="str">
        <f>IF(H3="","",ROUND(SUM(H63,H52,H34),2))</f>
        <v/>
      </c>
      <c r="I92" s="99" t="str">
        <f>IF(I3="","",ROUND(SUM(I63,I52,I34),2))</f>
        <v/>
      </c>
      <c r="J92" s="42"/>
      <c r="K92" s="42"/>
      <c r="L92" s="42"/>
      <c r="M92" s="42"/>
      <c r="N92" s="42"/>
      <c r="O92" s="42"/>
      <c r="P92" s="42"/>
      <c r="Q92" s="42"/>
      <c r="R92" s="42"/>
      <c r="S92" s="42"/>
      <c r="T92" s="42"/>
      <c r="U92" s="42"/>
      <c r="V92" s="42"/>
      <c r="W92" s="42"/>
      <c r="X92" s="42"/>
      <c r="Y92" s="42"/>
      <c r="Z92" s="42"/>
      <c r="AA92" s="42"/>
    </row>
    <row r="93" spans="2:27">
      <c r="B93" s="87" t="s">
        <v>1</v>
      </c>
      <c r="C93" s="88" t="s">
        <v>377</v>
      </c>
      <c r="D93" s="177"/>
      <c r="E93" s="99" t="str">
        <f>IFERROR(ROUND(E81,2),"")</f>
        <v/>
      </c>
      <c r="F93" s="99" t="str">
        <f t="shared" ref="F93:I93" si="10">IFERROR(ROUND(F81,2),"")</f>
        <v/>
      </c>
      <c r="G93" s="99" t="str">
        <f t="shared" si="10"/>
        <v/>
      </c>
      <c r="H93" s="99" t="str">
        <f t="shared" si="10"/>
        <v/>
      </c>
      <c r="I93" s="99" t="str">
        <f t="shared" si="10"/>
        <v/>
      </c>
      <c r="J93" s="42"/>
      <c r="K93" s="42"/>
      <c r="L93" s="42"/>
      <c r="M93" s="42"/>
      <c r="N93" s="42"/>
      <c r="O93" s="42"/>
      <c r="P93" s="42"/>
      <c r="Q93" s="42"/>
      <c r="R93" s="42"/>
      <c r="S93" s="42"/>
      <c r="T93" s="42"/>
      <c r="U93" s="42"/>
      <c r="V93" s="42"/>
      <c r="W93" s="42"/>
      <c r="X93" s="42"/>
      <c r="Y93" s="42"/>
      <c r="Z93" s="42"/>
      <c r="AA93" s="42"/>
    </row>
    <row r="94" spans="2:27">
      <c r="B94" s="87" t="s">
        <v>0</v>
      </c>
      <c r="C94" s="88" t="s">
        <v>378</v>
      </c>
      <c r="D94" s="177"/>
      <c r="E94" s="99" t="str">
        <f>IF(E3="","",IFERROR(SUM(E92:E93),2))</f>
        <v/>
      </c>
      <c r="F94" s="99" t="str">
        <f>IF(F3="","",IFERROR(SUM(F92:F93),2))</f>
        <v/>
      </c>
      <c r="G94" s="99" t="str">
        <f>IF(G3="","",IFERROR(SUM(G92:G93),2))</f>
        <v/>
      </c>
      <c r="H94" s="99" t="str">
        <f>IF(H3="","",IFERROR(SUM(H92:H93),2))</f>
        <v/>
      </c>
      <c r="I94" s="99" t="str">
        <f>IF(I3="","",IFERROR(SUM(I92:I93),2))</f>
        <v/>
      </c>
      <c r="J94" s="42"/>
      <c r="K94" s="42"/>
      <c r="L94" s="42"/>
      <c r="M94" s="42"/>
      <c r="N94" s="42"/>
      <c r="O94" s="42"/>
      <c r="P94" s="42"/>
      <c r="Q94" s="42"/>
      <c r="R94" s="42"/>
      <c r="S94" s="42"/>
      <c r="T94" s="42"/>
      <c r="U94" s="42"/>
      <c r="V94" s="42"/>
      <c r="W94" s="42"/>
      <c r="X94" s="42"/>
      <c r="Y94" s="42"/>
      <c r="Z94" s="42"/>
      <c r="AA94" s="42"/>
    </row>
    <row r="95" spans="2:27" ht="3.75" customHeight="1">
      <c r="B95" s="3"/>
      <c r="C95" s="3"/>
      <c r="D95" s="3"/>
      <c r="E95" s="3"/>
      <c r="F95" s="3"/>
      <c r="G95" s="3"/>
      <c r="H95" s="3"/>
      <c r="I95" s="3"/>
      <c r="J95" s="42"/>
      <c r="K95" s="42"/>
      <c r="L95" s="42"/>
      <c r="M95" s="42"/>
      <c r="N95" s="42"/>
      <c r="O95" s="42"/>
      <c r="P95" s="42"/>
      <c r="Q95" s="42"/>
      <c r="R95" s="42"/>
      <c r="S95" s="42"/>
      <c r="T95" s="42"/>
      <c r="U95" s="42"/>
      <c r="V95" s="42"/>
      <c r="W95" s="42"/>
      <c r="X95" s="42"/>
      <c r="Y95" s="42"/>
      <c r="Z95" s="42"/>
      <c r="AA95" s="42"/>
    </row>
    <row r="96" spans="2:27">
      <c r="B96" s="171"/>
      <c r="C96" s="172" t="s">
        <v>420</v>
      </c>
      <c r="D96" s="290"/>
      <c r="E96" s="397"/>
      <c r="F96" s="397"/>
      <c r="G96" s="397"/>
      <c r="H96" s="397"/>
      <c r="I96" s="397"/>
      <c r="J96" s="42"/>
      <c r="K96" s="42"/>
      <c r="L96" s="42"/>
      <c r="M96" s="42"/>
      <c r="N96" s="42"/>
      <c r="O96" s="42"/>
      <c r="P96" s="42"/>
      <c r="Q96" s="42"/>
      <c r="R96" s="42"/>
      <c r="S96" s="42"/>
      <c r="T96" s="42"/>
      <c r="U96" s="42"/>
      <c r="V96" s="42"/>
      <c r="W96" s="42"/>
      <c r="X96" s="42"/>
      <c r="Y96" s="42"/>
      <c r="Z96" s="42"/>
      <c r="AA96" s="42"/>
    </row>
    <row r="97" spans="2:27">
      <c r="B97" s="87" t="s">
        <v>2</v>
      </c>
      <c r="C97" s="88" t="s">
        <v>422</v>
      </c>
      <c r="D97" s="177"/>
      <c r="E97" s="99" t="str">
        <f>IF(E$3="","",ROUND(E92*E$4,2))</f>
        <v/>
      </c>
      <c r="F97" s="99" t="str">
        <f t="shared" ref="F97:I97" si="11">IF(F$3="","",ROUND(F92*F$4,2))</f>
        <v/>
      </c>
      <c r="G97" s="99" t="str">
        <f t="shared" si="11"/>
        <v/>
      </c>
      <c r="H97" s="99" t="str">
        <f t="shared" si="11"/>
        <v/>
      </c>
      <c r="I97" s="99" t="str">
        <f t="shared" si="11"/>
        <v/>
      </c>
      <c r="J97" s="42"/>
      <c r="K97" s="42"/>
      <c r="L97" s="42"/>
      <c r="M97" s="42"/>
      <c r="N97" s="42"/>
      <c r="O97" s="42"/>
      <c r="P97" s="42"/>
      <c r="Q97" s="42"/>
      <c r="R97" s="42"/>
      <c r="S97" s="42"/>
      <c r="T97" s="42"/>
      <c r="U97" s="42"/>
      <c r="V97" s="42"/>
      <c r="W97" s="42"/>
      <c r="X97" s="42"/>
      <c r="Y97" s="42"/>
      <c r="Z97" s="42"/>
      <c r="AA97" s="42"/>
    </row>
    <row r="98" spans="2:27">
      <c r="B98" s="87" t="s">
        <v>1</v>
      </c>
      <c r="C98" s="88" t="s">
        <v>377</v>
      </c>
      <c r="D98" s="177"/>
      <c r="E98" s="99" t="str">
        <f>IF(E$3="","",ROUND(E93*E$4,2))</f>
        <v/>
      </c>
      <c r="F98" s="99" t="str">
        <f t="shared" ref="F98:I98" si="12">IF(F$3="","",ROUND(F93*F$4,2))</f>
        <v/>
      </c>
      <c r="G98" s="99" t="str">
        <f t="shared" si="12"/>
        <v/>
      </c>
      <c r="H98" s="99" t="str">
        <f t="shared" si="12"/>
        <v/>
      </c>
      <c r="I98" s="99" t="str">
        <f t="shared" si="12"/>
        <v/>
      </c>
      <c r="J98" s="42"/>
      <c r="K98" s="42"/>
      <c r="L98" s="42"/>
      <c r="M98" s="42"/>
      <c r="N98" s="42"/>
      <c r="O98" s="42"/>
      <c r="P98" s="42"/>
      <c r="Q98" s="42"/>
      <c r="R98" s="42"/>
      <c r="S98" s="42"/>
      <c r="T98" s="42"/>
      <c r="U98" s="42"/>
      <c r="V98" s="42"/>
      <c r="W98" s="42"/>
      <c r="X98" s="42"/>
      <c r="Y98" s="42"/>
      <c r="Z98" s="42"/>
      <c r="AA98" s="42"/>
    </row>
    <row r="99" spans="2:27">
      <c r="B99" s="87" t="s">
        <v>0</v>
      </c>
      <c r="C99" s="88" t="s">
        <v>378</v>
      </c>
      <c r="D99" s="177"/>
      <c r="E99" s="99" t="str">
        <f>IF(E$3="","",ROUND(E94*E$4,2))</f>
        <v/>
      </c>
      <c r="F99" s="99" t="str">
        <f t="shared" ref="F99:I99" si="13">IF(F$3="","",ROUND(F94*F$4,2))</f>
        <v/>
      </c>
      <c r="G99" s="99" t="str">
        <f t="shared" si="13"/>
        <v/>
      </c>
      <c r="H99" s="99" t="str">
        <f t="shared" si="13"/>
        <v/>
      </c>
      <c r="I99" s="99" t="str">
        <f t="shared" si="13"/>
        <v/>
      </c>
      <c r="J99" s="42"/>
      <c r="K99" s="42"/>
      <c r="L99" s="42"/>
      <c r="M99" s="42"/>
      <c r="N99" s="42"/>
      <c r="O99" s="42"/>
      <c r="P99" s="42"/>
      <c r="Q99" s="42"/>
      <c r="R99" s="42"/>
      <c r="S99" s="42"/>
      <c r="T99" s="42"/>
      <c r="U99" s="42"/>
      <c r="V99" s="42"/>
      <c r="W99" s="42"/>
      <c r="X99" s="42"/>
      <c r="Y99" s="42"/>
      <c r="Z99" s="42"/>
      <c r="AA99" s="42"/>
    </row>
    <row r="100" spans="2:27">
      <c r="B100" s="87" t="s">
        <v>3</v>
      </c>
      <c r="C100" s="88" t="s">
        <v>381</v>
      </c>
      <c r="D100" s="177"/>
      <c r="E100" s="99" t="str">
        <f>IF(E3="","",IFERROR(ROUND(E99*Proposta!$J$6,2),""))</f>
        <v/>
      </c>
      <c r="F100" s="99" t="str">
        <f>IF(F3="","",IFERROR(ROUND(F99*Proposta!$J$6,2),""))</f>
        <v/>
      </c>
      <c r="G100" s="99" t="str">
        <f>IF(G3="","",IFERROR(ROUND(G99*Proposta!$J$6,2),""))</f>
        <v/>
      </c>
      <c r="H100" s="99" t="str">
        <f>IF(H3="","",IFERROR(ROUND(H99*Proposta!$J$6,2),""))</f>
        <v/>
      </c>
      <c r="I100" s="99" t="str">
        <f>IF(I3="","",IFERROR(ROUND(I99*Proposta!$J$6,2),""))</f>
        <v/>
      </c>
      <c r="J100" s="42"/>
      <c r="K100" s="42"/>
      <c r="L100" s="42"/>
      <c r="M100" s="42"/>
      <c r="N100" s="42"/>
      <c r="O100" s="42"/>
      <c r="P100" s="42"/>
      <c r="Q100" s="42"/>
      <c r="R100" s="42"/>
      <c r="S100" s="42"/>
      <c r="T100" s="42"/>
      <c r="U100" s="42"/>
      <c r="V100" s="42"/>
      <c r="W100" s="42"/>
      <c r="X100" s="42"/>
      <c r="Y100" s="42"/>
      <c r="Z100" s="42"/>
      <c r="AA100" s="42"/>
    </row>
  </sheetData>
  <sheetProtection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2"/>
  <sheetViews>
    <sheetView showGridLines="0" topLeftCell="A138" zoomScaleNormal="100" workbookViewId="0">
      <selection activeCell="M32" sqref="M32"/>
    </sheetView>
  </sheetViews>
  <sheetFormatPr defaultColWidth="9.140625" defaultRowHeight="15"/>
  <cols>
    <col min="1" max="1" width="2.140625" style="1" customWidth="1"/>
    <col min="2" max="2" width="4.28515625" style="83"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3" customWidth="1"/>
    <col min="11" max="11" width="12" style="293" customWidth="1"/>
    <col min="12" max="12" width="15.140625" style="293" bestFit="1" customWidth="1"/>
    <col min="13" max="13" width="16" style="293" customWidth="1"/>
    <col min="14" max="14" width="15.140625" style="293" customWidth="1"/>
    <col min="15" max="15" width="15.7109375" style="293" bestFit="1" customWidth="1"/>
    <col min="16" max="16" width="9.140625" style="293"/>
    <col min="17" max="17" width="12.42578125" style="293" bestFit="1" customWidth="1"/>
    <col min="18" max="18" width="12.85546875" style="293" customWidth="1"/>
    <col min="19" max="53" width="9.140625" style="293"/>
    <col min="54" max="16384" width="9.140625" style="1"/>
  </cols>
  <sheetData>
    <row r="1" spans="1:53" customFormat="1" ht="11.25" customHeight="1">
      <c r="A1" s="47"/>
      <c r="B1" s="82"/>
      <c r="C1" s="48"/>
      <c r="D1" s="48"/>
      <c r="E1" s="48"/>
      <c r="F1" s="48"/>
      <c r="G1" s="48"/>
      <c r="H1" s="48"/>
      <c r="I1" s="49"/>
      <c r="J1" s="42"/>
      <c r="K1" s="42"/>
      <c r="L1" s="42"/>
      <c r="M1" s="42"/>
      <c r="N1" s="42"/>
      <c r="O1" s="42"/>
      <c r="P1" s="42"/>
      <c r="Q1" s="42"/>
      <c r="R1" s="42"/>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2"/>
      <c r="AW1" s="42"/>
      <c r="AX1" s="42"/>
      <c r="AY1" s="42"/>
      <c r="AZ1" s="42"/>
      <c r="BA1" s="42"/>
    </row>
    <row r="2" spans="1:53" customFormat="1" ht="57" customHeight="1">
      <c r="A2" s="842" t="str">
        <f>CONCATENATE("PREFEITURA MUNICIPAL DE PORTO ALEGRE
",D5,"
FORMAÇÃO DE PREÇOS DE REFERÊNCIA - CESSÃO DE MÃO DE OBRA")</f>
        <v>PREFEITURA MUNICIPAL DE PORTO ALEGRE
FORMAÇÃO DE PREÇOS DE REFERÊNCIA - CESSÃO DE MÃO DE OBRA</v>
      </c>
      <c r="B2" s="843"/>
      <c r="C2" s="843"/>
      <c r="D2" s="843"/>
      <c r="E2" s="843"/>
      <c r="F2" s="843"/>
      <c r="G2" s="843"/>
      <c r="H2" s="843"/>
      <c r="I2" s="844"/>
      <c r="J2" s="42"/>
      <c r="K2" s="42"/>
      <c r="L2" s="42"/>
      <c r="M2" s="42"/>
      <c r="N2" s="42"/>
      <c r="O2" s="42"/>
      <c r="P2" s="42"/>
      <c r="Q2" s="42"/>
      <c r="R2" s="42"/>
      <c r="S2" s="42"/>
      <c r="T2" s="42"/>
      <c r="U2" s="42"/>
      <c r="V2" s="42"/>
      <c r="W2" s="42"/>
      <c r="X2" s="42"/>
      <c r="Y2" s="42"/>
      <c r="Z2" s="42"/>
      <c r="AA2" s="42"/>
      <c r="AB2" s="42"/>
      <c r="AC2" s="42"/>
      <c r="AD2" s="42"/>
      <c r="AE2" s="42"/>
      <c r="AF2" s="42"/>
      <c r="AG2" s="42"/>
      <c r="AH2" s="42"/>
      <c r="AI2" s="42"/>
      <c r="AJ2" s="42"/>
      <c r="AK2" s="42"/>
      <c r="AL2" s="42"/>
      <c r="AM2" s="42"/>
      <c r="AN2" s="42"/>
      <c r="AO2" s="42"/>
      <c r="AP2" s="42"/>
      <c r="AQ2" s="42"/>
      <c r="AR2" s="42"/>
      <c r="AS2" s="42"/>
      <c r="AT2" s="42"/>
      <c r="AU2" s="42"/>
      <c r="AV2" s="42"/>
      <c r="AW2" s="42"/>
      <c r="AX2" s="42"/>
      <c r="AY2" s="42"/>
      <c r="AZ2" s="42"/>
      <c r="BA2" s="42"/>
    </row>
    <row r="3" spans="1:53" customFormat="1" ht="18.75" customHeight="1">
      <c r="A3" s="22"/>
      <c r="B3" s="12"/>
      <c r="C3" s="23"/>
      <c r="D3" s="23"/>
      <c r="E3" s="23"/>
      <c r="F3" s="23"/>
      <c r="G3" s="23"/>
      <c r="H3" s="23"/>
      <c r="I3" s="23"/>
      <c r="J3" s="42"/>
      <c r="K3" s="42"/>
      <c r="L3" s="42"/>
      <c r="M3" s="42"/>
      <c r="N3" s="42"/>
      <c r="O3" s="42"/>
      <c r="P3" s="42"/>
      <c r="Q3" s="42"/>
      <c r="R3" s="42"/>
      <c r="S3" s="42"/>
      <c r="T3" s="42"/>
      <c r="U3" s="42"/>
      <c r="V3" s="42"/>
      <c r="W3" s="42"/>
      <c r="X3" s="42"/>
      <c r="Y3" s="42"/>
      <c r="Z3" s="42"/>
      <c r="AA3" s="42"/>
      <c r="AB3" s="42"/>
      <c r="AC3" s="42"/>
      <c r="AD3" s="42"/>
      <c r="AE3" s="42"/>
      <c r="AF3" s="42"/>
      <c r="AG3" s="42"/>
      <c r="AH3" s="42"/>
      <c r="AI3" s="42"/>
      <c r="AJ3" s="42"/>
      <c r="AK3" s="42"/>
      <c r="AL3" s="42"/>
      <c r="AM3" s="42"/>
      <c r="AN3" s="42"/>
      <c r="AO3" s="42"/>
      <c r="AP3" s="42"/>
      <c r="AQ3" s="42"/>
      <c r="AR3" s="42"/>
      <c r="AS3" s="42"/>
      <c r="AT3" s="42"/>
      <c r="AU3" s="42"/>
      <c r="AV3" s="42"/>
      <c r="AW3" s="42"/>
      <c r="AX3" s="42"/>
      <c r="AY3" s="42"/>
      <c r="AZ3" s="42"/>
      <c r="BA3" s="42"/>
    </row>
    <row r="4" spans="1:53" customFormat="1" ht="15" customHeight="1">
      <c r="A4" s="1"/>
      <c r="B4" s="89"/>
      <c r="C4" s="90" t="s">
        <v>180</v>
      </c>
      <c r="D4" s="126"/>
      <c r="E4" s="118"/>
      <c r="G4" s="11"/>
      <c r="H4" s="11"/>
      <c r="I4" s="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row>
    <row r="5" spans="1:53" customFormat="1" ht="15.75" customHeight="1">
      <c r="A5" s="1"/>
      <c r="B5" s="116" t="s">
        <v>2</v>
      </c>
      <c r="C5" s="117" t="s">
        <v>247</v>
      </c>
      <c r="D5" s="846"/>
      <c r="E5" s="846"/>
      <c r="F5" s="1"/>
      <c r="G5" s="49"/>
      <c r="H5" s="50">
        <v>3</v>
      </c>
      <c r="I5" s="1"/>
      <c r="J5" s="42"/>
      <c r="K5" s="42"/>
      <c r="L5" s="293"/>
      <c r="M5" s="293"/>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row>
    <row r="6" spans="1:53" customFormat="1">
      <c r="A6" s="1"/>
      <c r="B6" s="115" t="s">
        <v>1</v>
      </c>
      <c r="C6" s="117" t="s">
        <v>183</v>
      </c>
      <c r="D6" s="847"/>
      <c r="E6" s="847"/>
      <c r="F6" s="1"/>
      <c r="G6" s="22"/>
      <c r="H6" s="69"/>
      <c r="I6" s="1"/>
      <c r="J6" s="42"/>
      <c r="K6" s="42"/>
      <c r="L6" s="293"/>
      <c r="M6" s="293"/>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row>
    <row r="7" spans="1:53" customFormat="1">
      <c r="A7" s="1"/>
      <c r="B7" s="116" t="s">
        <v>0</v>
      </c>
      <c r="C7" s="117" t="s">
        <v>182</v>
      </c>
      <c r="D7" s="847"/>
      <c r="E7" s="847"/>
      <c r="F7" s="1"/>
      <c r="G7" s="22"/>
      <c r="H7" s="69"/>
      <c r="I7" s="1"/>
      <c r="J7" s="42"/>
      <c r="K7" s="42"/>
      <c r="L7" s="293"/>
      <c r="M7" s="293"/>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row>
    <row r="8" spans="1:53" customFormat="1">
      <c r="A8" s="1"/>
      <c r="B8" s="115" t="s">
        <v>3</v>
      </c>
      <c r="C8" s="117" t="s">
        <v>181</v>
      </c>
      <c r="D8" s="846"/>
      <c r="E8" s="846"/>
      <c r="F8" s="1"/>
      <c r="G8" s="70"/>
      <c r="H8" s="69"/>
      <c r="I8" s="1"/>
      <c r="J8" s="42"/>
      <c r="K8" s="42"/>
      <c r="L8" s="293"/>
      <c r="M8" s="293"/>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row>
    <row r="9" spans="1:53" customFormat="1">
      <c r="B9" s="116" t="s">
        <v>7</v>
      </c>
      <c r="C9" s="117" t="s">
        <v>460</v>
      </c>
      <c r="D9" s="845"/>
      <c r="E9" s="845"/>
      <c r="F9" s="1"/>
      <c r="J9" s="42"/>
      <c r="K9" s="42"/>
      <c r="L9" s="293"/>
      <c r="M9" s="293"/>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row>
    <row r="10" spans="1:53" customFormat="1">
      <c r="A10" s="1"/>
      <c r="B10" s="115" t="s">
        <v>6</v>
      </c>
      <c r="C10" s="9" t="s">
        <v>461</v>
      </c>
      <c r="D10" s="823"/>
      <c r="E10" s="823"/>
      <c r="F10" s="1"/>
      <c r="G10" s="1"/>
      <c r="I10" s="1"/>
      <c r="J10" s="42"/>
      <c r="K10" s="42"/>
      <c r="L10" s="293"/>
      <c r="M10" s="293"/>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row>
    <row r="11" spans="1:53" customFormat="1">
      <c r="A11" s="1"/>
      <c r="B11" s="115" t="s">
        <v>5</v>
      </c>
      <c r="C11" s="117" t="s">
        <v>444</v>
      </c>
      <c r="D11" s="824"/>
      <c r="E11" s="824"/>
      <c r="F11" s="1"/>
      <c r="G11" s="1"/>
      <c r="I11" s="1"/>
      <c r="J11" s="42"/>
      <c r="K11" s="42"/>
      <c r="L11" s="293"/>
      <c r="M11" s="293"/>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row>
    <row r="12" spans="1:53" customFormat="1">
      <c r="B12" s="116" t="s">
        <v>4</v>
      </c>
      <c r="C12" s="117" t="s">
        <v>400</v>
      </c>
      <c r="D12" s="835">
        <f>'Mão de Obra'!D12</f>
        <v>24</v>
      </c>
      <c r="E12" s="835"/>
      <c r="F12" s="1"/>
      <c r="G12" s="1"/>
      <c r="J12" s="42"/>
      <c r="K12" s="42"/>
      <c r="L12" s="293"/>
      <c r="M12" s="293"/>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row>
    <row r="13" spans="1:53">
      <c r="B13" s="115" t="s">
        <v>113</v>
      </c>
      <c r="C13" s="117" t="s">
        <v>71</v>
      </c>
      <c r="D13" s="824" t="s">
        <v>59</v>
      </c>
      <c r="E13" s="824"/>
    </row>
    <row r="14" spans="1:53">
      <c r="B14" s="116" t="s">
        <v>140</v>
      </c>
      <c r="C14" s="117" t="s">
        <v>267</v>
      </c>
      <c r="D14" s="836"/>
      <c r="E14" s="836"/>
    </row>
    <row r="15" spans="1:53">
      <c r="B15" s="116" t="s">
        <v>229</v>
      </c>
      <c r="C15" s="117" t="s">
        <v>316</v>
      </c>
      <c r="D15" s="837">
        <f>'Mão de Obra'!D15:E15</f>
        <v>1621</v>
      </c>
      <c r="E15" s="838"/>
    </row>
    <row r="16" spans="1:53">
      <c r="A16" s="44"/>
      <c r="B16" s="302"/>
      <c r="C16" s="303"/>
      <c r="D16" s="304"/>
      <c r="E16" s="303"/>
      <c r="F16" s="125"/>
      <c r="G16" s="125"/>
      <c r="H16" s="125"/>
      <c r="I16" s="125"/>
    </row>
    <row r="17" spans="1:53" s="12" customFormat="1">
      <c r="A17" s="71"/>
      <c r="B17" s="89"/>
      <c r="C17" s="90" t="s">
        <v>576</v>
      </c>
      <c r="D17" s="126"/>
      <c r="E17" s="390" t="s">
        <v>367</v>
      </c>
      <c r="F17" s="390" t="s">
        <v>368</v>
      </c>
      <c r="G17" s="390" t="s">
        <v>369</v>
      </c>
      <c r="H17" s="390" t="s">
        <v>370</v>
      </c>
      <c r="I17" s="390" t="str">
        <f>CONCATENATE("Posto ",CHAR(COLUMN()+60))</f>
        <v>Posto E</v>
      </c>
      <c r="J17" s="291"/>
      <c r="K17" s="291"/>
      <c r="L17" s="291"/>
      <c r="M17" s="291"/>
      <c r="N17" s="291"/>
      <c r="O17" s="291"/>
      <c r="P17" s="291"/>
      <c r="Q17" s="291"/>
      <c r="R17" s="291"/>
      <c r="S17" s="291"/>
      <c r="T17" s="291"/>
      <c r="U17" s="291"/>
      <c r="V17" s="291"/>
      <c r="W17" s="291"/>
      <c r="X17" s="291"/>
      <c r="Y17" s="291"/>
      <c r="Z17" s="291"/>
      <c r="AA17" s="291"/>
      <c r="AB17" s="291"/>
      <c r="AC17" s="291"/>
      <c r="AD17" s="291"/>
      <c r="AE17" s="291"/>
      <c r="AF17" s="291"/>
      <c r="AG17" s="291"/>
      <c r="AH17" s="291"/>
      <c r="AI17" s="291"/>
      <c r="AJ17" s="291"/>
      <c r="AK17" s="291"/>
      <c r="AL17" s="291"/>
      <c r="AM17" s="291"/>
      <c r="AN17" s="291"/>
      <c r="AO17" s="291"/>
      <c r="AP17" s="291"/>
      <c r="AQ17" s="291"/>
      <c r="AR17" s="291"/>
      <c r="AS17" s="291"/>
      <c r="AT17" s="291"/>
      <c r="AU17" s="291"/>
      <c r="AV17" s="291"/>
      <c r="AW17" s="291"/>
      <c r="AX17" s="291"/>
      <c r="AY17" s="291"/>
      <c r="AZ17" s="291"/>
      <c r="BA17" s="291"/>
    </row>
    <row r="18" spans="1:53" s="64" customFormat="1" ht="30">
      <c r="A18" s="104"/>
      <c r="B18" s="114" t="s">
        <v>2</v>
      </c>
      <c r="C18" s="122" t="s">
        <v>270</v>
      </c>
      <c r="D18" s="119"/>
      <c r="E18" s="107" t="s">
        <v>298</v>
      </c>
      <c r="F18" s="107" t="s">
        <v>298</v>
      </c>
      <c r="G18" s="107" t="s">
        <v>305</v>
      </c>
      <c r="H18" s="107" t="s">
        <v>305</v>
      </c>
      <c r="I18" s="107"/>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row>
    <row r="19" spans="1:53" customFormat="1">
      <c r="A19" s="707"/>
      <c r="B19" s="708" t="s">
        <v>1</v>
      </c>
      <c r="C19" s="709" t="s">
        <v>581</v>
      </c>
      <c r="D19" s="710"/>
      <c r="E19" s="107"/>
      <c r="F19" s="107"/>
      <c r="G19" s="107"/>
      <c r="H19" s="107"/>
      <c r="I19" s="107"/>
    </row>
    <row r="20" spans="1:53">
      <c r="A20" s="105"/>
      <c r="B20" s="116" t="s">
        <v>0</v>
      </c>
      <c r="C20" s="123" t="s">
        <v>79</v>
      </c>
      <c r="D20" s="120"/>
      <c r="E20" s="108">
        <f>IFERROR(VLOOKUP(E$18,'Apoio - Posto'!$A:$J,2,FALSE),"")</f>
        <v>5143</v>
      </c>
      <c r="F20" s="108">
        <f>IFERROR(VLOOKUP(F$18,'Apoio - Posto'!$A:$J,2,FALSE),"")</f>
        <v>5143</v>
      </c>
      <c r="G20" s="108">
        <v>5143</v>
      </c>
      <c r="H20" s="108">
        <f>IFERROR(VLOOKUP(H$18,'Apoio - Posto'!$A:$J,2,FALSE),"")</f>
        <v>5143</v>
      </c>
      <c r="I20" s="108" t="str">
        <f>IFERROR(VLOOKUP(I$18,'Apoio - Posto'!$A:$J,2,FALSE),"")</f>
        <v/>
      </c>
    </row>
    <row r="21" spans="1:53">
      <c r="A21" s="106"/>
      <c r="B21" s="115" t="s">
        <v>3</v>
      </c>
      <c r="C21" s="124" t="s">
        <v>17</v>
      </c>
      <c r="D21" s="121"/>
      <c r="E21" s="109">
        <f>IFERROR(VLOOKUP(E$18,'Apoio - Posto'!$A:$AA,7,FALSE),"")</f>
        <v>1765.86</v>
      </c>
      <c r="F21" s="109">
        <f>IFERROR(VLOOKUP(F$18,'Apoio - Posto'!$A:$AA,7,FALSE),"")</f>
        <v>1765.86</v>
      </c>
      <c r="G21" s="109">
        <f>IFERROR(VLOOKUP(G$18,'Apoio - Posto'!$A:$AA,7,FALSE),"")</f>
        <v>2243.81</v>
      </c>
      <c r="H21" s="109">
        <f>IFERROR(VLOOKUP(H$18,'Apoio - Posto'!$A:$AA,7,FALSE),"")</f>
        <v>2243.81</v>
      </c>
      <c r="I21" s="109" t="str">
        <f>IFERROR(VLOOKUP(I$18,'Apoio - Posto'!$A:$AA,7,FALSE),"")</f>
        <v/>
      </c>
    </row>
    <row r="22" spans="1:53">
      <c r="A22" s="105"/>
      <c r="B22" s="116" t="s">
        <v>7</v>
      </c>
      <c r="C22" s="123" t="s">
        <v>464</v>
      </c>
      <c r="D22" s="120"/>
      <c r="E22" s="110">
        <f>IFERROR(VLOOKUP(E$18,'Apoio - Posto'!$A:$AA,8,FALSE),"")</f>
        <v>220</v>
      </c>
      <c r="F22" s="110">
        <f>IFERROR(VLOOKUP(F$18,'Apoio - Posto'!$A:$AA,8,FALSE),"")</f>
        <v>220</v>
      </c>
      <c r="G22" s="110">
        <f>IFERROR(VLOOKUP(G$18,'Apoio - Posto'!$A:$AA,8,FALSE),"")</f>
        <v>220</v>
      </c>
      <c r="H22" s="110">
        <f>IFERROR(VLOOKUP(H$18,'Apoio - Posto'!$A:$AA,8,FALSE),"")</f>
        <v>220</v>
      </c>
      <c r="I22" s="110" t="str">
        <f>IFERROR(VLOOKUP(I$18,'Apoio - Posto'!$A:$AA,8,FALSE),"")</f>
        <v/>
      </c>
    </row>
    <row r="23" spans="1:53">
      <c r="A23" s="106"/>
      <c r="B23" s="115" t="s">
        <v>6</v>
      </c>
      <c r="C23" s="124" t="s">
        <v>18</v>
      </c>
      <c r="D23" s="121"/>
      <c r="E23" s="497" t="str">
        <f>IFERROR(VLOOKUP(E$18,'Apoio - Posto'!$A:$J,3,FALSE),"")</f>
        <v>SINDASSEIO</v>
      </c>
      <c r="F23" s="497" t="str">
        <f>IFERROR(VLOOKUP(F$18,'Apoio - Posto'!$A:$J,3,FALSE),"")</f>
        <v>SINDASSEIO</v>
      </c>
      <c r="G23" s="497" t="str">
        <f>IFERROR(VLOOKUP(G$18,'Apoio - Posto'!$A:$J,3,FALSE),"")</f>
        <v>SINDASSEIO</v>
      </c>
      <c r="H23" s="497" t="str">
        <f>IFERROR(VLOOKUP(H$18,'Apoio - Posto'!$A:$J,3,FALSE),"")</f>
        <v>SINDASSEIO</v>
      </c>
      <c r="I23" s="108" t="str">
        <f>IFERROR(VLOOKUP(I$18,'Apoio - Posto'!$A:$J,3,FALSE),"")</f>
        <v/>
      </c>
    </row>
    <row r="24" spans="1:53">
      <c r="A24" s="105"/>
      <c r="B24" s="116" t="s">
        <v>5</v>
      </c>
      <c r="C24" s="123" t="s">
        <v>77</v>
      </c>
      <c r="D24" s="120"/>
      <c r="E24" s="111">
        <f>IFERROR(VLOOKUP(E$18,'Apoio - Posto'!$A:$J,5,FALSE),"")</f>
        <v>46023</v>
      </c>
      <c r="F24" s="111">
        <f>IFERROR(VLOOKUP(F$18,'Apoio - Posto'!$A:$J,5,FALSE),"")</f>
        <v>46023</v>
      </c>
      <c r="G24" s="111">
        <f>IFERROR(VLOOKUP(G$18,'Apoio - Posto'!$A:$J,5,FALSE),"")</f>
        <v>46023</v>
      </c>
      <c r="H24" s="111">
        <f>IFERROR(VLOOKUP(H$18,'Apoio - Posto'!$A:$J,5,FALSE),"")</f>
        <v>46023</v>
      </c>
      <c r="I24" s="111" t="str">
        <f>IFERROR(VLOOKUP(I$18,'Apoio - Posto'!$A:$J,5,FALSE),"")</f>
        <v/>
      </c>
    </row>
    <row r="25" spans="1:53">
      <c r="A25" s="106"/>
      <c r="B25" s="116" t="s">
        <v>4</v>
      </c>
      <c r="C25" s="124" t="s">
        <v>78</v>
      </c>
      <c r="D25" s="121"/>
      <c r="E25" s="491" t="str">
        <f>IFERROR(VLOOKUP(E$18,'Apoio - Posto'!$A:$J,4,FALSE),"")</f>
        <v>RS000041/2026</v>
      </c>
      <c r="F25" s="491" t="str">
        <f>IFERROR(VLOOKUP(F$18,'Apoio - Posto'!$A:$J,4,FALSE),"")</f>
        <v>RS000041/2026</v>
      </c>
      <c r="G25" s="491" t="str">
        <f>IFERROR(VLOOKUP(G$18,'Apoio - Posto'!$A:$J,4,FALSE),"")</f>
        <v>RS000041/2026</v>
      </c>
      <c r="H25" s="491" t="str">
        <f>IFERROR(VLOOKUP(H$18,'Apoio - Posto'!$A:$J,4,FALSE),"")</f>
        <v>RS000041/2026</v>
      </c>
      <c r="I25" s="112" t="str">
        <f>IFERROR(VLOOKUP(I$18,'Apoio - Posto'!$A:$J,4,FALSE),"")</f>
        <v/>
      </c>
    </row>
    <row r="26" spans="1:53">
      <c r="A26" s="105"/>
      <c r="B26" s="116" t="s">
        <v>113</v>
      </c>
      <c r="C26" s="124" t="s">
        <v>465</v>
      </c>
      <c r="D26" s="121"/>
      <c r="E26" s="112" t="s">
        <v>478</v>
      </c>
      <c r="F26" s="112" t="s">
        <v>478</v>
      </c>
      <c r="G26" s="112" t="s">
        <v>478</v>
      </c>
      <c r="H26" s="112" t="s">
        <v>478</v>
      </c>
      <c r="I26" s="112"/>
    </row>
    <row r="27" spans="1:53" hidden="1">
      <c r="A27" s="106"/>
      <c r="B27" s="115" t="s">
        <v>140</v>
      </c>
      <c r="C27" s="123" t="s">
        <v>488</v>
      </c>
      <c r="D27" s="120"/>
      <c r="E27" s="108">
        <f>8*SUM(K191:K210,K212:K214,K218:K219)/VLOOKUP(E26,'Apoio - Regime de Trabalho'!$A:$K,10,FALSE)</f>
        <v>0</v>
      </c>
      <c r="F27" s="108">
        <f>1/30*E27</f>
        <v>0</v>
      </c>
      <c r="G27" s="108">
        <f>8*SUM(K210:K211,K216:K217)/VLOOKUP(G26,'Apoio - Regime de Trabalho'!$A:$K,10,FALSE)</f>
        <v>0</v>
      </c>
      <c r="H27" s="108">
        <f>1/4*G27</f>
        <v>0</v>
      </c>
      <c r="I27" s="113"/>
    </row>
    <row r="28" spans="1:53" hidden="1">
      <c r="A28" s="105"/>
      <c r="B28" s="115" t="s">
        <v>229</v>
      </c>
      <c r="C28" s="123" t="s">
        <v>459</v>
      </c>
      <c r="D28" s="120"/>
      <c r="E28" s="108">
        <f>IFERROR(VLOOKUP(E26,'Apoio - Regime de Trabalho'!$A:$I,2,FALSE),"")</f>
        <v>1</v>
      </c>
      <c r="F28" s="108">
        <f>IFERROR(VLOOKUP(F26,'Apoio - Regime de Trabalho'!$A:$I,2,FALSE),"")</f>
        <v>1</v>
      </c>
      <c r="G28" s="108">
        <f>IFERROR(VLOOKUP(G26,'Apoio - Regime de Trabalho'!$A:$I,2,FALSE),"")</f>
        <v>1</v>
      </c>
      <c r="H28" s="108">
        <f>IFERROR(VLOOKUP(H26,'Apoio - Regime de Trabalho'!$A:$I,2,FALSE),"")</f>
        <v>1</v>
      </c>
      <c r="I28" s="108" t="str">
        <f>IFERROR(VLOOKUP(I26,'Apoio - Regime de Trabalho'!$A:$I,10,FALSE),"")</f>
        <v/>
      </c>
    </row>
    <row r="29" spans="1:53" hidden="1">
      <c r="A29" s="105"/>
      <c r="B29" s="115" t="s">
        <v>271</v>
      </c>
      <c r="C29" s="123" t="s">
        <v>489</v>
      </c>
      <c r="D29" s="120"/>
      <c r="E29" s="113">
        <f>IFERROR(IF(E18="","",E28*E27),"")</f>
        <v>0</v>
      </c>
      <c r="F29" s="113">
        <f>IFERROR(IF(F18="","",F28*F27),"")</f>
        <v>0</v>
      </c>
      <c r="G29" s="113">
        <f>IFERROR(IF(G18="","",G28*G27),"")</f>
        <v>0</v>
      </c>
      <c r="H29" s="113">
        <f>IFERROR(IF(H18="","",H28*H27),"")</f>
        <v>0</v>
      </c>
      <c r="I29" s="113" t="str">
        <f>IFERROR(IF(I18="","",I28*I27),"")</f>
        <v/>
      </c>
    </row>
    <row r="30" spans="1:53">
      <c r="B30" s="84"/>
      <c r="C30" s="127"/>
      <c r="D30" s="128"/>
      <c r="E30" s="129"/>
      <c r="F30" s="129"/>
      <c r="G30" s="129"/>
      <c r="H30" s="129"/>
      <c r="I30" s="129"/>
    </row>
    <row r="31" spans="1:53" s="12" customFormat="1">
      <c r="A31" s="72"/>
      <c r="B31" s="89"/>
      <c r="C31" s="90" t="s">
        <v>178</v>
      </c>
      <c r="D31" s="91"/>
      <c r="E31" s="370"/>
      <c r="F31" s="370"/>
      <c r="G31" s="370"/>
      <c r="H31" s="370"/>
      <c r="I31" s="370"/>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1"/>
      <c r="AI31" s="291"/>
      <c r="AJ31" s="291"/>
      <c r="AK31" s="291"/>
      <c r="AL31" s="291"/>
      <c r="AM31" s="291"/>
      <c r="AN31" s="291"/>
      <c r="AO31" s="291"/>
      <c r="AP31" s="291"/>
      <c r="AQ31" s="291"/>
      <c r="AR31" s="291"/>
      <c r="AS31" s="291"/>
      <c r="AT31" s="291"/>
      <c r="AU31" s="291"/>
      <c r="AV31" s="291"/>
      <c r="AW31" s="291"/>
      <c r="AX31" s="291"/>
      <c r="AY31" s="291"/>
      <c r="AZ31" s="291"/>
      <c r="BA31" s="291"/>
    </row>
    <row r="32" spans="1:53">
      <c r="A32" s="86"/>
      <c r="B32" s="185" t="s">
        <v>2</v>
      </c>
      <c r="C32" s="178" t="s">
        <v>189</v>
      </c>
      <c r="D32" s="227"/>
      <c r="E32" s="99">
        <f>IFERROR(E21*VLOOKUP(E26,'Apoio - Regime de Trabalho'!$A:$I,8,FALSE)/(E22),"")</f>
        <v>1765.86</v>
      </c>
      <c r="F32" s="99">
        <f>IFERROR(F21*VLOOKUP(F26,'Apoio - Regime de Trabalho'!$A:$I,8,FALSE)/(F22),"")</f>
        <v>1765.86</v>
      </c>
      <c r="G32" s="99">
        <f>IFERROR(G21*VLOOKUP(G26,'Apoio - Regime de Trabalho'!$A:$I,8,FALSE)/(G22),"")</f>
        <v>2243.81</v>
      </c>
      <c r="H32" s="99">
        <f>IFERROR(H21*VLOOKUP(H26,'Apoio - Regime de Trabalho'!$A:$I,8,FALSE)/(H22),"")</f>
        <v>2243.81</v>
      </c>
      <c r="I32" s="99" t="str">
        <f>IFERROR(ROUND(I21*VLOOKUP(I26,'Apoio - Regime de Trabalho'!$A:$I,8,FALSE)/(I22),2),"")</f>
        <v/>
      </c>
    </row>
    <row r="33" spans="1:9">
      <c r="A33" s="86"/>
      <c r="B33" s="839" t="s">
        <v>1</v>
      </c>
      <c r="C33" s="226" t="s">
        <v>185</v>
      </c>
      <c r="D33" s="170"/>
      <c r="E33" s="244"/>
      <c r="F33" s="244"/>
      <c r="G33" s="244"/>
      <c r="H33" s="244"/>
      <c r="I33" s="244"/>
    </row>
    <row r="34" spans="1:9">
      <c r="A34" s="86"/>
      <c r="B34" s="840"/>
      <c r="C34" s="234" t="s">
        <v>105</v>
      </c>
      <c r="D34" s="142"/>
      <c r="E34" s="245">
        <f>IFERROR(VLOOKUP(E$18,'Apoio - Posto'!$A:$AA,15,FALSE),"")</f>
        <v>0</v>
      </c>
      <c r="F34" s="245">
        <f>IFERROR(VLOOKUP(F$18,'Apoio - Posto'!$A:$AA,15,FALSE),"")</f>
        <v>0</v>
      </c>
      <c r="G34" s="245">
        <f>IFERROR(VLOOKUP(G$18,'Apoio - Posto'!$A:$AA,15,FALSE),"")</f>
        <v>0.3</v>
      </c>
      <c r="H34" s="245">
        <f>IFERROR(VLOOKUP(H$18,'Apoio - Posto'!$A:$AA,15,FALSE),"")</f>
        <v>0.3</v>
      </c>
      <c r="I34" s="245" t="str">
        <f>IFERROR(VLOOKUP(I$18,'Apoio - Posto'!$A:$AA,15,FALSE),"")</f>
        <v/>
      </c>
    </row>
    <row r="35" spans="1:9">
      <c r="A35" s="86"/>
      <c r="B35" s="841"/>
      <c r="C35" s="228"/>
      <c r="D35" s="94" t="s">
        <v>41</v>
      </c>
      <c r="E35" s="101">
        <f>IFERROR((E32)*E34,"")</f>
        <v>0</v>
      </c>
      <c r="F35" s="101">
        <f t="shared" ref="F35:H35" si="0">IFERROR((F32)*F34,"")</f>
        <v>0</v>
      </c>
      <c r="G35" s="101">
        <f t="shared" si="0"/>
        <v>673.14299999999992</v>
      </c>
      <c r="H35" s="101">
        <f t="shared" si="0"/>
        <v>673.14299999999992</v>
      </c>
      <c r="I35" s="101" t="str">
        <f>IFERROR(ROUND((I32)*I34,2),"")</f>
        <v/>
      </c>
    </row>
    <row r="36" spans="1:9">
      <c r="A36" s="86"/>
      <c r="B36" s="829" t="s">
        <v>0</v>
      </c>
      <c r="C36" s="224" t="s">
        <v>186</v>
      </c>
      <c r="D36" s="225"/>
      <c r="E36" s="235"/>
      <c r="F36" s="235"/>
      <c r="G36" s="235"/>
      <c r="H36" s="235"/>
      <c r="I36" s="235"/>
    </row>
    <row r="37" spans="1:9">
      <c r="A37" s="86"/>
      <c r="B37" s="829"/>
      <c r="C37" s="102" t="s">
        <v>90</v>
      </c>
      <c r="D37" s="92"/>
      <c r="E37" s="246" t="str">
        <f>IFERROR(VLOOKUP(E$18,'Apoio - Posto'!$A:$AA,14,FALSE),"")</f>
        <v>Salário Base</v>
      </c>
      <c r="F37" s="246" t="str">
        <f>IFERROR(VLOOKUP(F$18,'Apoio - Posto'!$A:$AA,14,FALSE),"")</f>
        <v>Salário Base</v>
      </c>
      <c r="G37" s="246" t="str">
        <f>IFERROR(VLOOKUP(G$18,'Apoio - Posto'!$A:$AA,14,FALSE),"")</f>
        <v>Salário Base</v>
      </c>
      <c r="H37" s="246" t="str">
        <f>IFERROR(VLOOKUP(H$18,'Apoio - Posto'!$A:$AA,14,FALSE),"")</f>
        <v>Salário Base</v>
      </c>
      <c r="I37" s="246" t="str">
        <f>IFERROR(VLOOKUP(I$18,'Apoio - Posto'!$A:$AA,14,FALSE),"")</f>
        <v/>
      </c>
    </row>
    <row r="38" spans="1:9">
      <c r="A38" s="86"/>
      <c r="B38" s="829"/>
      <c r="C38" s="103" t="s">
        <v>91</v>
      </c>
      <c r="D38" s="93"/>
      <c r="E38" s="247">
        <v>0.4</v>
      </c>
      <c r="F38" s="247">
        <v>0.2</v>
      </c>
      <c r="G38" s="247"/>
      <c r="H38" s="247"/>
      <c r="I38" s="247" t="str">
        <f>IFERROR(VLOOKUP(I$18,'Apoio - Posto'!$A:$AA,13,FALSE),"")</f>
        <v/>
      </c>
    </row>
    <row r="39" spans="1:9">
      <c r="A39" s="86"/>
      <c r="B39" s="830"/>
      <c r="C39" s="97"/>
      <c r="D39" s="94" t="s">
        <v>41</v>
      </c>
      <c r="E39" s="101">
        <f>IF(E21="","",IFERROR(IF(E37="Salário Base",E$32,IF(E37="Salário Mínimo",$D$15,0))*E38,""))</f>
        <v>706.34400000000005</v>
      </c>
      <c r="F39" s="101">
        <f>IF(F21="","",IFERROR(IF(F37="Salário Base",F$32,IF(F37="Salário Mínimo",$D$15,0))*F38,""))</f>
        <v>353.17200000000003</v>
      </c>
      <c r="G39" s="101">
        <f>IF(G21="","",IFERROR(IF(G37="Salário Base",G$32,IF(G37="Salário Mínimo",$D$15,0))*G38,""))</f>
        <v>0</v>
      </c>
      <c r="H39" s="101">
        <f>IF(H21="","",IFERROR(IF(H37="Salário Base",H$32,IF(H37="Salário Mínimo",$D$15,0))*H38,""))</f>
        <v>0</v>
      </c>
      <c r="I39" s="101" t="str">
        <f>IF(I21="","",IFERROR(ROUND(IF(I37="Salário Base",I$32,IF(I37="Salário Mínimo",$D$15,0))*I38,2),""))</f>
        <v/>
      </c>
    </row>
    <row r="40" spans="1:9">
      <c r="A40" s="231"/>
      <c r="B40" s="839" t="s">
        <v>3</v>
      </c>
      <c r="C40" s="226" t="s">
        <v>81</v>
      </c>
      <c r="D40" s="141"/>
      <c r="E40" s="236"/>
      <c r="F40" s="236"/>
      <c r="G40" s="236"/>
      <c r="H40" s="236"/>
      <c r="I40" s="236"/>
    </row>
    <row r="41" spans="1:9">
      <c r="A41" s="231"/>
      <c r="B41" s="840"/>
      <c r="C41" s="232" t="s">
        <v>91</v>
      </c>
      <c r="D41" s="142"/>
      <c r="E41" s="233"/>
      <c r="F41" s="233">
        <v>0.2</v>
      </c>
      <c r="G41" s="233"/>
      <c r="H41" s="233">
        <v>0.2</v>
      </c>
      <c r="I41" s="233"/>
    </row>
    <row r="42" spans="1:9">
      <c r="A42" s="231"/>
      <c r="B42" s="841"/>
      <c r="C42" s="97"/>
      <c r="D42" s="94" t="s">
        <v>41</v>
      </c>
      <c r="E42" s="101">
        <f>IFERROR(E41*E$32,"")</f>
        <v>0</v>
      </c>
      <c r="F42" s="101">
        <f t="shared" ref="F42:H42" si="1">IFERROR(F41*F$32,"")</f>
        <v>353.17200000000003</v>
      </c>
      <c r="G42" s="101">
        <f t="shared" si="1"/>
        <v>0</v>
      </c>
      <c r="H42" s="101">
        <f t="shared" si="1"/>
        <v>448.762</v>
      </c>
      <c r="I42" s="101" t="str">
        <f>IFERROR(ROUND(I41*I$32,2),"")</f>
        <v/>
      </c>
    </row>
    <row r="43" spans="1:9">
      <c r="A43" s="86"/>
      <c r="B43" s="829" t="s">
        <v>7</v>
      </c>
      <c r="C43" s="230" t="s">
        <v>60</v>
      </c>
      <c r="D43" s="229"/>
      <c r="E43" s="237"/>
      <c r="F43" s="237"/>
      <c r="G43" s="237"/>
      <c r="H43" s="237"/>
      <c r="I43" s="237"/>
    </row>
    <row r="44" spans="1:9">
      <c r="A44" s="86"/>
      <c r="B44" s="829"/>
      <c r="C44" s="102" t="s">
        <v>85</v>
      </c>
      <c r="D44" s="139"/>
      <c r="E44" s="145" t="str">
        <f>IF(AND(E20=5173,E26="12x36 Noturno"),8,"")</f>
        <v/>
      </c>
      <c r="F44" s="145" t="str">
        <f>IF(AND(F20=5173,F26="12x36 Noturno"),8,"")</f>
        <v/>
      </c>
      <c r="G44" s="145" t="str">
        <f>IF(AND(G20=5173,G26="12x36 Noturno"),8,"")</f>
        <v/>
      </c>
      <c r="H44" s="145" t="str">
        <f>IF(AND(H20=5173,H26="12x36 Noturno"),8,"")</f>
        <v/>
      </c>
      <c r="I44" s="145" t="str">
        <f>IF(AND(I20=5173,I26="12x36 Noturno"),8,"")</f>
        <v/>
      </c>
    </row>
    <row r="45" spans="1:9">
      <c r="A45" s="86"/>
      <c r="B45" s="829"/>
      <c r="C45" s="103" t="s">
        <v>141</v>
      </c>
      <c r="D45" s="140"/>
      <c r="E45" s="146" t="str">
        <f>IF(E44="","",VLOOKUP(E26,'Apoio - Regime de Trabalho'!$A:$I,7,FALSE))</f>
        <v/>
      </c>
      <c r="F45" s="146" t="str">
        <f>IF(F44="","",VLOOKUP(F26,'Apoio - Regime de Trabalho'!$A:$I,7,FALSE))</f>
        <v/>
      </c>
      <c r="G45" s="146" t="str">
        <f>IF(G44="","",VLOOKUP(G26,'Apoio - Regime de Trabalho'!$A:$I,7,FALSE))</f>
        <v/>
      </c>
      <c r="H45" s="146" t="str">
        <f>IF(H44="","",VLOOKUP(H26,'Apoio - Regime de Trabalho'!$A:$I,7,FALSE))</f>
        <v/>
      </c>
      <c r="I45" s="146" t="str">
        <f>IF(I44="","",VLOOKUP(I26,'Apoio - Regime de Trabalho'!$A:$I,7,FALSE))</f>
        <v/>
      </c>
    </row>
    <row r="46" spans="1:9">
      <c r="A46" s="86"/>
      <c r="B46" s="830"/>
      <c r="C46" s="88"/>
      <c r="D46" s="94" t="s">
        <v>41</v>
      </c>
      <c r="E46" s="147" t="str">
        <f>IFERROR(SUM(E$32,E$35,E$39)/(VLOOKUP(E$26,'Apoio - Regime de Trabalho'!$A:$I,8,FALSE))*20%*E$44*E$45,"")</f>
        <v/>
      </c>
      <c r="F46" s="147" t="str">
        <f>IFERROR(SUM(F$32,F$35,F$39)/(VLOOKUP(F$26,'Apoio - Regime de Trabalho'!$A:$I,8,FALSE))*20%*F$44*F$45,"")</f>
        <v/>
      </c>
      <c r="G46" s="147" t="str">
        <f>IFERROR(SUM(G$32,G$35,G$39)/(VLOOKUP(G$26,'Apoio - Regime de Trabalho'!$A:$I,8,FALSE))*20%*G$44*G$45,"")</f>
        <v/>
      </c>
      <c r="H46" s="147" t="str">
        <f>IFERROR(SUM(H$32,H$35,H$39)/(VLOOKUP(H$26,'Apoio - Regime de Trabalho'!$A:$I,8,FALSE))*20%*H$44*H$45,"")</f>
        <v/>
      </c>
      <c r="I46" s="147" t="str">
        <f>IFERROR(ROUND(SUM(I$32,I$35,I$39)/(VLOOKUP(I$26,'Apoio - Regime de Trabalho'!$A:$I,8,FALSE))*20%*I$44*I$45,2),"")</f>
        <v/>
      </c>
    </row>
    <row r="47" spans="1:9">
      <c r="A47" s="86"/>
      <c r="B47" s="831" t="s">
        <v>6</v>
      </c>
      <c r="C47" s="135" t="s">
        <v>139</v>
      </c>
      <c r="D47" s="141"/>
      <c r="E47" s="238"/>
      <c r="F47" s="238"/>
      <c r="G47" s="238"/>
      <c r="H47" s="238"/>
      <c r="I47" s="238"/>
    </row>
    <row r="48" spans="1:9">
      <c r="A48" s="130"/>
      <c r="B48" s="832"/>
      <c r="C48" s="136" t="s">
        <v>19</v>
      </c>
      <c r="D48" s="142"/>
      <c r="E48" s="149" t="str">
        <f>IF(E44="","",E45*E44*('Apoio - Notas Explicativas'!$D$11/'Apoio - Notas Explicativas'!$D$12-1)
*IF(AND(E20=5173,E26="12x36 Noturno"),0,1))</f>
        <v/>
      </c>
      <c r="F48" s="149" t="str">
        <f>IF(F44="","",F45*F44*('Apoio - Notas Explicativas'!$D$11/'Apoio - Notas Explicativas'!$D$12-1)
*IF(AND(F20=5173,F26="12x36 Noturno"),0,1))</f>
        <v/>
      </c>
      <c r="G48" s="149" t="str">
        <f>IF(G44="","",G45*G44*('Apoio - Notas Explicativas'!$D$11/'Apoio - Notas Explicativas'!$D$12-1)
*IF(AND(G20=5173,G26="12x36 Noturno"),0,1))</f>
        <v/>
      </c>
      <c r="H48" s="149" t="str">
        <f>IF(H44="","",H45*H44*('Apoio - Notas Explicativas'!$D$11/'Apoio - Notas Explicativas'!$D$12-1)
*IF(AND(H20=5173,H26="12x36 Noturno"),0,1))</f>
        <v/>
      </c>
      <c r="I48" s="149" t="str">
        <f>IF(I44="","",I45*I44*('Apoio - Notas Explicativas'!$D$11/'Apoio - Notas Explicativas'!$D$12-1)
*IF(AND(I20=5173,I26="12x36 Noturno"),0,1))</f>
        <v/>
      </c>
    </row>
    <row r="49" spans="1:53">
      <c r="A49" s="130"/>
      <c r="B49" s="833"/>
      <c r="C49" s="100"/>
      <c r="D49" s="94" t="s">
        <v>41</v>
      </c>
      <c r="E49" s="101" t="str">
        <f>IFERROR(E48*(SUM(E$32,E$35,E$39)/(VLOOKUP(E$26,'Apoio - Regime de Trabalho'!$A:$I,8,FALSE))*120%),"")</f>
        <v/>
      </c>
      <c r="F49" s="101" t="str">
        <f>IFERROR(F48*(SUM(F$32,F$35,F$39)/(VLOOKUP(F$26,'Apoio - Regime de Trabalho'!$A:$I,8,FALSE))*120%),"")</f>
        <v/>
      </c>
      <c r="G49" s="101" t="str">
        <f>IFERROR(G48*(SUM(G$32,G$35,G$39)/(VLOOKUP(G$26,'Apoio - Regime de Trabalho'!$A:$I,8,FALSE))*120%),"")</f>
        <v/>
      </c>
      <c r="H49" s="101" t="str">
        <f>IFERROR(H48*(SUM(H$32,H$35,H$39)/(VLOOKUP(H$26,'Apoio - Regime de Trabalho'!$A:$I,8,FALSE))*120%),"")</f>
        <v/>
      </c>
      <c r="I49" s="101" t="str">
        <f>IFERROR(ROUND(I48*(SUM(I$32+I$35+I$39)/(VLOOKUP(I$26,'Apoio - Regime de Trabalho'!$A:$I,8,FALSE))*120%),2),"")</f>
        <v/>
      </c>
    </row>
    <row r="50" spans="1:53">
      <c r="A50" s="130"/>
      <c r="B50" s="828" t="s">
        <v>5</v>
      </c>
      <c r="C50" s="160" t="s">
        <v>149</v>
      </c>
      <c r="D50" s="141"/>
      <c r="E50" s="236"/>
      <c r="F50" s="236"/>
      <c r="G50" s="236"/>
      <c r="H50" s="236"/>
      <c r="I50" s="236"/>
    </row>
    <row r="51" spans="1:53">
      <c r="A51" s="86"/>
      <c r="B51" s="829"/>
      <c r="C51" s="102" t="s">
        <v>91</v>
      </c>
      <c r="D51" s="158"/>
      <c r="E51" s="159"/>
      <c r="F51" s="159"/>
      <c r="G51" s="159"/>
      <c r="H51" s="159"/>
      <c r="I51" s="159"/>
    </row>
    <row r="52" spans="1:53">
      <c r="A52" s="86"/>
      <c r="B52" s="829"/>
      <c r="C52" s="103" t="s">
        <v>20</v>
      </c>
      <c r="D52" s="143"/>
      <c r="E52" s="150"/>
      <c r="F52" s="150"/>
      <c r="G52" s="150"/>
      <c r="H52" s="150"/>
      <c r="I52" s="150"/>
    </row>
    <row r="53" spans="1:53">
      <c r="A53" s="86"/>
      <c r="B53" s="830"/>
      <c r="C53" s="88"/>
      <c r="D53" s="94" t="s">
        <v>41</v>
      </c>
      <c r="E53" s="96">
        <f>IFERROR(SUM(E$32,E$35,E$39,E$46)/(VLOOKUP(E$26,'Apoio - Regime de Trabalho'!$A:$I,8,FALSE))*(1+E$51)*E$52,"")</f>
        <v>0</v>
      </c>
      <c r="F53" s="96">
        <f>IFERROR(SUM(F$32,F$35,F$39,F$46)/(VLOOKUP(F$26,'Apoio - Regime de Trabalho'!$A:$I,8,FALSE))*(1+F$51)*F$52,"")</f>
        <v>0</v>
      </c>
      <c r="G53" s="96">
        <f>IFERROR(SUM(G$32,G$35,G$39,G$46)/(VLOOKUP(G$26,'Apoio - Regime de Trabalho'!$A:$I,8,FALSE))*(1+G$51)*G$52,"")</f>
        <v>0</v>
      </c>
      <c r="H53" s="96">
        <f>IFERROR(SUM(H$32,H$35,H$39,H$46)/(VLOOKUP(H$26,'Apoio - Regime de Trabalho'!$A:$I,8,FALSE))*(1+H$51)*H$52,"")</f>
        <v>0</v>
      </c>
      <c r="I53" s="96" t="str">
        <f>IFERROR(ROUND(SUM(I$32,I$35,I$39,I$46)/(VLOOKUP(I$26,'Apoio - Regime de Trabalho'!$A:$I,8,FALSE))*(1+I$51)*I$52,2),"")</f>
        <v/>
      </c>
    </row>
    <row r="54" spans="1:53">
      <c r="A54" s="86"/>
      <c r="B54" s="831" t="s">
        <v>4</v>
      </c>
      <c r="C54" s="135" t="s">
        <v>82</v>
      </c>
      <c r="D54" s="141"/>
      <c r="E54" s="239"/>
      <c r="F54" s="239"/>
      <c r="G54" s="239"/>
      <c r="H54" s="239"/>
      <c r="I54" s="239"/>
    </row>
    <row r="55" spans="1:53">
      <c r="A55" s="86"/>
      <c r="B55" s="832"/>
      <c r="C55" s="136" t="s">
        <v>84</v>
      </c>
      <c r="D55" s="142"/>
      <c r="E55" s="420">
        <f>IF(E18="","",IFERROR(SUM(E$46,E49)*20%,""))</f>
        <v>0</v>
      </c>
      <c r="F55" s="420">
        <f>IF(F18="","",IFERROR(SUM(F$46,F49)*20%,""))</f>
        <v>0</v>
      </c>
      <c r="G55" s="420">
        <f>IF(G18="","",IFERROR(SUM(G$46,G49)*20%,""))</f>
        <v>0</v>
      </c>
      <c r="H55" s="420">
        <f>IF(H18="","",IFERROR(SUM(H$46,H49)*20%,""))</f>
        <v>0</v>
      </c>
      <c r="I55" s="161" t="str">
        <f>IF(I18="","",IFERROR(ROUND(SUM(I$46,I49)*20%,2),""))</f>
        <v/>
      </c>
    </row>
    <row r="56" spans="1:53">
      <c r="A56" s="86"/>
      <c r="B56" s="832"/>
      <c r="C56" s="162" t="s">
        <v>83</v>
      </c>
      <c r="D56" s="144" t="s">
        <v>323</v>
      </c>
      <c r="E56" s="421">
        <f>IFERROR(IF(E18="","",IF(D56="Não",0,E53*20%)),"")</f>
        <v>0</v>
      </c>
      <c r="F56" s="421">
        <f>IFERROR(IF(F18="","",IF(E56="Não",0,F53*20%)),"")</f>
        <v>0</v>
      </c>
      <c r="G56" s="421">
        <f>IFERROR(IF(G18="","",IF(F56="Não",0,G53*20%)),"")</f>
        <v>0</v>
      </c>
      <c r="H56" s="421">
        <f>IFERROR(IF(H18="","",IF(G56="Não",0,H53*20%)),"")</f>
        <v>0</v>
      </c>
      <c r="I56" s="151" t="str">
        <f>IFERROR(IF(I18="","",IF(H56="Não",0,ROUND(I53*20%,2))),"")</f>
        <v/>
      </c>
    </row>
    <row r="57" spans="1:53">
      <c r="A57" s="86"/>
      <c r="B57" s="832"/>
      <c r="C57" s="162" t="s">
        <v>138</v>
      </c>
      <c r="D57" s="144"/>
      <c r="E57" s="421">
        <f>IF(E21="","",IFERROR(E$59*20%,""))</f>
        <v>0</v>
      </c>
      <c r="F57" s="421">
        <f>IF(F21="","",IFERROR(F$59*20%,""))</f>
        <v>0</v>
      </c>
      <c r="G57" s="421">
        <f>IF(G21="","",IFERROR(G$59*20%,""))</f>
        <v>0</v>
      </c>
      <c r="H57" s="421">
        <f>IF(H21="","",IFERROR(H$59*20%,""))</f>
        <v>0</v>
      </c>
      <c r="I57" s="384" t="str">
        <f>IF(I21="","",IFERROR(ROUND(I$59*20%,2),""))</f>
        <v/>
      </c>
    </row>
    <row r="58" spans="1:53">
      <c r="A58" s="86"/>
      <c r="B58" s="833"/>
      <c r="C58" s="100"/>
      <c r="D58" s="94" t="s">
        <v>41</v>
      </c>
      <c r="E58" s="207" t="str">
        <f>IF(SUM(E55:E57)=0,"",SUM(E55:E57))</f>
        <v/>
      </c>
      <c r="F58" s="207" t="str">
        <f t="shared" ref="F58:H58" si="2">IF(SUM(F55:F57)=0,"",SUM(F55:F57))</f>
        <v/>
      </c>
      <c r="G58" s="207" t="str">
        <f t="shared" si="2"/>
        <v/>
      </c>
      <c r="H58" s="207" t="str">
        <f t="shared" si="2"/>
        <v/>
      </c>
      <c r="I58" s="101" t="str">
        <f>IF(SUM(I55:I57)=0,"",SUM(I55:I57))</f>
        <v/>
      </c>
    </row>
    <row r="59" spans="1:53">
      <c r="A59" s="86"/>
      <c r="B59" s="131" t="s">
        <v>113</v>
      </c>
      <c r="C59" s="132" t="s">
        <v>137</v>
      </c>
      <c r="D59" s="98"/>
      <c r="E59" s="256">
        <f>IFERROR(IFERROR(VLOOKUP(E$18,'Apoio - Posto'!$A:$AA,12,FALSE),"")*VLOOKUP(E26,'Apoio - Regime de Trabalho'!$A:$I,7,FALSE),"")</f>
        <v>0</v>
      </c>
      <c r="F59" s="256">
        <f>IFERROR(IFERROR(VLOOKUP(F$18,'Apoio - Posto'!$A:$AA,12,FALSE),"")*VLOOKUP(F26,'Apoio - Regime de Trabalho'!$A:$I,7,FALSE),"")</f>
        <v>0</v>
      </c>
      <c r="G59" s="256">
        <f>IFERROR(IFERROR(VLOOKUP(G$18,'Apoio - Posto'!$A:$AA,12,FALSE),"")*VLOOKUP(G26,'Apoio - Regime de Trabalho'!$A:$I,7,FALSE),"")</f>
        <v>0</v>
      </c>
      <c r="H59" s="256">
        <f>IFERROR(IFERROR(VLOOKUP(H$18,'Apoio - Posto'!$A:$AA,12,FALSE),"")*VLOOKUP(H26,'Apoio - Regime de Trabalho'!$A:$I,7,FALSE),"")</f>
        <v>0</v>
      </c>
      <c r="I59" s="256" t="str">
        <f>IFERROR(IFERROR(VLOOKUP(I$18,'Apoio - Posto'!$A:$AA,12,FALSE),"")*VLOOKUP(I26,'Apoio - Regime de Trabalho'!$A:$I,7,FALSE),"")</f>
        <v/>
      </c>
    </row>
    <row r="60" spans="1:53">
      <c r="A60" s="133"/>
      <c r="B60" s="134" t="s">
        <v>140</v>
      </c>
      <c r="C60" s="441" t="s">
        <v>173</v>
      </c>
      <c r="D60" s="442"/>
      <c r="E60" s="152"/>
      <c r="F60" s="152"/>
      <c r="G60" s="152"/>
      <c r="H60" s="152"/>
      <c r="I60" s="152"/>
    </row>
    <row r="61" spans="1:53" s="5" customFormat="1">
      <c r="A61" s="73"/>
      <c r="B61" s="157"/>
      <c r="C61" s="90" t="s">
        <v>304</v>
      </c>
      <c r="D61" s="153"/>
      <c r="E61" s="155">
        <f>IF(E21="","",SUM(E32,E35,E39,E42,E46,E49,E53,E58,E59,E60))</f>
        <v>2472.2039999999997</v>
      </c>
      <c r="F61" s="156">
        <f>IF(F21="","",SUM(F32,F35,F39,F42,F46,F49,F53,F58,F59,F60))</f>
        <v>2472.2040000000002</v>
      </c>
      <c r="G61" s="156">
        <f>IF(G21="","",SUM(G32,G35,G39,G42,G46,G49,G53,G58,G59,G60))</f>
        <v>2916.953</v>
      </c>
      <c r="H61" s="154">
        <f>IF(H21="","",SUM(H32,H35,H39,H42,H46,H49,H53,H58,H59,H60))</f>
        <v>3365.7150000000001</v>
      </c>
      <c r="I61" s="156" t="str">
        <f>IF(I21="","",SUM(I32,I35,I39,I42,I46,I49,I53,I58,I59,I60))</f>
        <v/>
      </c>
      <c r="J61" s="454"/>
      <c r="K61" s="294"/>
      <c r="L61" s="294"/>
      <c r="M61" s="294"/>
      <c r="N61" s="294"/>
      <c r="O61" s="294"/>
      <c r="P61" s="294"/>
      <c r="Q61" s="294"/>
      <c r="R61" s="294"/>
      <c r="S61" s="294"/>
      <c r="T61" s="294"/>
      <c r="U61" s="294"/>
      <c r="V61" s="294"/>
      <c r="W61" s="294"/>
      <c r="X61" s="294"/>
      <c r="Y61" s="294"/>
      <c r="Z61" s="294"/>
      <c r="AA61" s="294"/>
      <c r="AB61" s="294"/>
      <c r="AC61" s="294"/>
      <c r="AD61" s="294"/>
      <c r="AE61" s="294"/>
      <c r="AF61" s="294"/>
      <c r="AG61" s="294"/>
      <c r="AH61" s="294"/>
      <c r="AI61" s="294"/>
      <c r="AJ61" s="294"/>
      <c r="AK61" s="294"/>
      <c r="AL61" s="294"/>
      <c r="AM61" s="294"/>
      <c r="AN61" s="294"/>
      <c r="AO61" s="294"/>
      <c r="AP61" s="294"/>
      <c r="AQ61" s="294"/>
      <c r="AR61" s="294"/>
      <c r="AS61" s="294"/>
      <c r="AT61" s="294"/>
      <c r="AU61" s="294"/>
      <c r="AV61" s="294"/>
      <c r="AW61" s="294"/>
      <c r="AX61" s="294"/>
      <c r="AY61" s="294"/>
      <c r="AZ61" s="294"/>
      <c r="BA61" s="294"/>
    </row>
    <row r="62" spans="1:53" s="17" customFormat="1">
      <c r="A62" s="20"/>
      <c r="D62" s="14"/>
      <c r="E62" s="21"/>
      <c r="F62" s="21"/>
      <c r="G62" s="21"/>
      <c r="H62" s="21"/>
      <c r="I62" s="21"/>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295"/>
      <c r="AL62" s="295"/>
      <c r="AM62" s="295"/>
      <c r="AN62" s="295"/>
      <c r="AO62" s="295"/>
      <c r="AP62" s="295"/>
      <c r="AQ62" s="295"/>
      <c r="AR62" s="295"/>
      <c r="AS62" s="295"/>
      <c r="AT62" s="295"/>
      <c r="AU62" s="295"/>
      <c r="AV62" s="295"/>
      <c r="AW62" s="295"/>
      <c r="AX62" s="295"/>
      <c r="AY62" s="295"/>
      <c r="AZ62" s="295"/>
      <c r="BA62" s="295"/>
    </row>
    <row r="63" spans="1:53" s="6" customFormat="1">
      <c r="A63" s="74"/>
      <c r="B63" s="89"/>
      <c r="C63" s="90" t="s">
        <v>124</v>
      </c>
      <c r="D63" s="91"/>
      <c r="E63" s="370"/>
      <c r="F63" s="370"/>
      <c r="G63" s="370"/>
      <c r="H63" s="370"/>
      <c r="I63" s="370"/>
      <c r="J63" s="296"/>
      <c r="K63" s="296"/>
      <c r="L63" s="296"/>
      <c r="M63" s="296"/>
      <c r="N63" s="296"/>
      <c r="O63" s="296"/>
      <c r="P63" s="296"/>
      <c r="Q63" s="296"/>
      <c r="R63" s="296"/>
      <c r="S63" s="296"/>
      <c r="T63" s="296"/>
      <c r="U63" s="296"/>
      <c r="V63" s="296"/>
      <c r="W63" s="296"/>
      <c r="X63" s="296"/>
      <c r="Y63" s="296"/>
      <c r="Z63" s="296"/>
      <c r="AA63" s="296"/>
      <c r="AB63" s="296"/>
      <c r="AC63" s="296"/>
      <c r="AD63" s="296"/>
      <c r="AE63" s="296"/>
      <c r="AF63" s="296"/>
      <c r="AG63" s="296"/>
      <c r="AH63" s="296"/>
      <c r="AI63" s="296"/>
      <c r="AJ63" s="296"/>
      <c r="AK63" s="296"/>
      <c r="AL63" s="296"/>
      <c r="AM63" s="296"/>
      <c r="AN63" s="296"/>
      <c r="AO63" s="296"/>
      <c r="AP63" s="296"/>
      <c r="AQ63" s="296"/>
      <c r="AR63" s="296"/>
      <c r="AS63" s="296"/>
      <c r="AT63" s="296"/>
      <c r="AU63" s="296"/>
      <c r="AV63" s="296"/>
      <c r="AW63" s="296"/>
      <c r="AX63" s="296"/>
      <c r="AY63" s="296"/>
      <c r="AZ63" s="296"/>
      <c r="BA63" s="296"/>
    </row>
    <row r="64" spans="1:53" customFormat="1" ht="3.75" customHeight="1">
      <c r="J64" s="42"/>
      <c r="K64" s="42"/>
      <c r="L64" s="42"/>
      <c r="M64" s="42"/>
      <c r="N64" s="42"/>
      <c r="O64" s="42"/>
      <c r="P64" s="42"/>
      <c r="Q64" s="42"/>
      <c r="R64" s="42"/>
      <c r="S64" s="42"/>
      <c r="T64" s="42"/>
      <c r="U64" s="42"/>
      <c r="V64" s="42"/>
      <c r="W64" s="42"/>
      <c r="X64" s="42"/>
      <c r="Y64" s="42"/>
      <c r="Z64" s="42"/>
      <c r="AA64" s="42"/>
      <c r="AB64" s="42"/>
      <c r="AC64" s="42"/>
      <c r="AD64" s="42"/>
      <c r="AE64" s="42"/>
      <c r="AF64" s="42"/>
      <c r="AG64" s="42"/>
      <c r="AH64" s="42"/>
      <c r="AI64" s="42"/>
      <c r="AJ64" s="42"/>
      <c r="AK64" s="42"/>
      <c r="AL64" s="42"/>
      <c r="AM64" s="42"/>
      <c r="AN64" s="42"/>
      <c r="AO64" s="42"/>
      <c r="AP64" s="42"/>
      <c r="AQ64" s="42"/>
      <c r="AR64" s="42"/>
      <c r="AS64" s="42"/>
      <c r="AT64" s="42"/>
      <c r="AU64" s="42"/>
      <c r="AV64" s="42"/>
      <c r="AW64" s="42"/>
      <c r="AX64" s="42"/>
      <c r="AY64" s="42"/>
      <c r="AZ64" s="42"/>
      <c r="BA64" s="42"/>
    </row>
    <row r="65" spans="1:53" s="6" customFormat="1">
      <c r="A65" s="75"/>
      <c r="B65" s="171"/>
      <c r="C65" s="172" t="s">
        <v>125</v>
      </c>
      <c r="D65" s="173"/>
      <c r="E65" s="176"/>
      <c r="F65" s="176"/>
      <c r="G65" s="176"/>
      <c r="H65" s="174"/>
      <c r="I65" s="176"/>
      <c r="J65" s="296"/>
      <c r="K65" s="296"/>
      <c r="L65" s="296"/>
      <c r="M65" s="296"/>
      <c r="N65" s="296"/>
      <c r="O65" s="296"/>
      <c r="P65" s="296"/>
      <c r="Q65" s="296"/>
      <c r="R65" s="296"/>
      <c r="S65" s="296"/>
      <c r="T65" s="296"/>
      <c r="U65" s="296"/>
      <c r="V65" s="296"/>
      <c r="W65" s="296"/>
      <c r="X65" s="296"/>
      <c r="Y65" s="296"/>
      <c r="Z65" s="296"/>
      <c r="AA65" s="296"/>
      <c r="AB65" s="296"/>
      <c r="AC65" s="296"/>
      <c r="AD65" s="296"/>
      <c r="AE65" s="296"/>
      <c r="AF65" s="296"/>
      <c r="AG65" s="296"/>
      <c r="AH65" s="296"/>
      <c r="AI65" s="296"/>
      <c r="AJ65" s="296"/>
      <c r="AK65" s="296"/>
      <c r="AL65" s="296"/>
      <c r="AM65" s="296"/>
      <c r="AN65" s="296"/>
      <c r="AO65" s="296"/>
      <c r="AP65" s="296"/>
      <c r="AQ65" s="296"/>
      <c r="AR65" s="296"/>
      <c r="AS65" s="296"/>
      <c r="AT65" s="296"/>
      <c r="AU65" s="296"/>
      <c r="AV65" s="296"/>
      <c r="AW65" s="296"/>
      <c r="AX65" s="296"/>
      <c r="AY65" s="296"/>
      <c r="AZ65" s="296"/>
      <c r="BA65" s="296"/>
    </row>
    <row r="66" spans="1:53">
      <c r="A66" s="74"/>
      <c r="B66" s="87" t="s">
        <v>2</v>
      </c>
      <c r="C66" s="392" t="s">
        <v>56</v>
      </c>
      <c r="D66" s="407">
        <f>IFERROR(INDEX('Apoio - Notas Explicativas'!Q:Q,MATCH(C66,'Apoio - Notas Explicativas'!C:C,0)),"")</f>
        <v>8.3299999999999999E-2</v>
      </c>
      <c r="E66" s="99">
        <f>IFERROR($D66*E$61,"")</f>
        <v>205.93459319999997</v>
      </c>
      <c r="F66" s="99">
        <f t="shared" ref="F66:H68" si="3">IFERROR($D66*F$61,"")</f>
        <v>205.93459320000002</v>
      </c>
      <c r="G66" s="99">
        <f t="shared" si="3"/>
        <v>242.98218489999999</v>
      </c>
      <c r="H66" s="99">
        <f t="shared" si="3"/>
        <v>280.3640595</v>
      </c>
      <c r="I66" s="137" t="str">
        <f t="shared" ref="I66:I68" si="4">IFERROR(ROUND($D66*I$61,2),"")</f>
        <v/>
      </c>
    </row>
    <row r="67" spans="1:53">
      <c r="A67" s="74"/>
      <c r="B67" s="87" t="s">
        <v>1</v>
      </c>
      <c r="C67" s="392" t="s">
        <v>21</v>
      </c>
      <c r="D67" s="407">
        <f>IFERROR(INDEX('Apoio - Notas Explicativas'!Q:Q,MATCH(C67,'Apoio - Notas Explicativas'!C:C,0)),"")</f>
        <v>0.1111</v>
      </c>
      <c r="E67" s="99">
        <f>IFERROR($D67*E$61,"")</f>
        <v>274.66186439999996</v>
      </c>
      <c r="F67" s="99">
        <f t="shared" si="3"/>
        <v>274.66186440000001</v>
      </c>
      <c r="G67" s="99">
        <f t="shared" si="3"/>
        <v>324.07347830000003</v>
      </c>
      <c r="H67" s="99">
        <f t="shared" si="3"/>
        <v>373.93093650000003</v>
      </c>
      <c r="I67" s="137" t="str">
        <f t="shared" si="4"/>
        <v/>
      </c>
    </row>
    <row r="68" spans="1:53">
      <c r="A68" s="74"/>
      <c r="B68" s="87" t="s">
        <v>0</v>
      </c>
      <c r="C68" s="654" t="s">
        <v>80</v>
      </c>
      <c r="D68" s="407">
        <f>IFERROR(INDEX('Apoio - Notas Explicativas'!Q:Q,MATCH(C68,'Apoio - Notas Explicativas'!C:C,0)),"")</f>
        <v>7.1599999999999997E-2</v>
      </c>
      <c r="E68" s="99">
        <f>IFERROR($D68*E$61,"")</f>
        <v>177.00980639999997</v>
      </c>
      <c r="F68" s="99">
        <f t="shared" si="3"/>
        <v>177.0098064</v>
      </c>
      <c r="G68" s="99">
        <f t="shared" si="3"/>
        <v>208.85383479999999</v>
      </c>
      <c r="H68" s="99">
        <f t="shared" si="3"/>
        <v>240.98519400000001</v>
      </c>
      <c r="I68" s="137" t="str">
        <f t="shared" si="4"/>
        <v/>
      </c>
    </row>
    <row r="69" spans="1:53" s="5" customFormat="1">
      <c r="A69" s="76"/>
      <c r="B69" s="171"/>
      <c r="C69" s="172" t="s">
        <v>119</v>
      </c>
      <c r="D69" s="175"/>
      <c r="E69" s="176">
        <f>IF(SUM(E66:E68)=0,"",SUM(E66:E68))</f>
        <v>657.6062639999999</v>
      </c>
      <c r="F69" s="176">
        <f t="shared" ref="F69:H69" si="5">IF(SUM(F66:F68)=0,"",SUM(F66:F68))</f>
        <v>657.60626400000001</v>
      </c>
      <c r="G69" s="174">
        <f t="shared" si="5"/>
        <v>775.90949799999999</v>
      </c>
      <c r="H69" s="176">
        <f t="shared" si="5"/>
        <v>895.28019000000006</v>
      </c>
      <c r="I69" s="174" t="str">
        <f>IF(SUM(I66:I68)=0,"",SUM(I66:I68))</f>
        <v/>
      </c>
      <c r="J69" s="294"/>
      <c r="K69" s="294"/>
      <c r="L69" s="294"/>
      <c r="M69" s="294"/>
      <c r="N69" s="294"/>
      <c r="O69" s="294"/>
      <c r="P69" s="294"/>
      <c r="Q69" s="294"/>
      <c r="R69" s="294"/>
      <c r="S69" s="294"/>
      <c r="T69" s="294"/>
      <c r="U69" s="294"/>
      <c r="V69" s="294"/>
      <c r="W69" s="294"/>
      <c r="X69" s="294"/>
      <c r="Y69" s="294"/>
      <c r="Z69" s="294"/>
      <c r="AA69" s="294"/>
      <c r="AB69" s="294"/>
      <c r="AC69" s="294"/>
      <c r="AD69" s="294"/>
      <c r="AE69" s="294"/>
      <c r="AF69" s="294"/>
      <c r="AG69" s="294"/>
      <c r="AH69" s="294"/>
      <c r="AI69" s="294"/>
      <c r="AJ69" s="294"/>
      <c r="AK69" s="294"/>
      <c r="AL69" s="294"/>
      <c r="AM69" s="294"/>
      <c r="AN69" s="294"/>
      <c r="AO69" s="294"/>
      <c r="AP69" s="294"/>
      <c r="AQ69" s="294"/>
      <c r="AR69" s="294"/>
      <c r="AS69" s="294"/>
      <c r="AT69" s="294"/>
      <c r="AU69" s="294"/>
      <c r="AV69" s="294"/>
      <c r="AW69" s="294"/>
      <c r="AX69" s="294"/>
      <c r="AY69" s="294"/>
      <c r="AZ69" s="294"/>
      <c r="BA69" s="294"/>
    </row>
    <row r="70" spans="1:53" customFormat="1" ht="3.75" customHeight="1">
      <c r="J70" s="42"/>
      <c r="K70" s="42"/>
      <c r="L70" s="42"/>
      <c r="M70" s="42"/>
      <c r="N70" s="42"/>
      <c r="O70" s="42"/>
      <c r="P70" s="42"/>
      <c r="Q70" s="42"/>
      <c r="R70" s="42"/>
      <c r="S70" s="42"/>
      <c r="T70" s="42"/>
      <c r="U70" s="42"/>
      <c r="V70" s="42"/>
      <c r="W70" s="42"/>
      <c r="X70" s="42"/>
      <c r="Y70" s="42"/>
      <c r="Z70" s="42"/>
      <c r="AA70" s="42"/>
      <c r="AB70" s="42"/>
      <c r="AC70" s="42"/>
      <c r="AD70" s="42"/>
      <c r="AE70" s="42"/>
      <c r="AF70" s="42"/>
      <c r="AG70" s="42"/>
      <c r="AH70" s="42"/>
      <c r="AI70" s="42"/>
      <c r="AJ70" s="42"/>
      <c r="AK70" s="42"/>
      <c r="AL70" s="42"/>
      <c r="AM70" s="42"/>
      <c r="AN70" s="42"/>
      <c r="AO70" s="42"/>
      <c r="AP70" s="42"/>
      <c r="AQ70" s="42"/>
      <c r="AR70" s="42"/>
      <c r="AS70" s="42"/>
      <c r="AT70" s="42"/>
      <c r="AU70" s="42"/>
      <c r="AV70" s="42"/>
      <c r="AW70" s="42"/>
      <c r="AX70" s="42"/>
      <c r="AY70" s="42"/>
      <c r="AZ70" s="42"/>
      <c r="BA70" s="42"/>
    </row>
    <row r="71" spans="1:53" s="6" customFormat="1">
      <c r="A71" s="76"/>
      <c r="B71" s="171"/>
      <c r="C71" s="172" t="s">
        <v>155</v>
      </c>
      <c r="D71" s="173"/>
      <c r="E71" s="176"/>
      <c r="F71" s="174"/>
      <c r="G71" s="174"/>
      <c r="H71" s="176"/>
      <c r="I71" s="174"/>
      <c r="J71" s="296"/>
      <c r="K71" s="296"/>
      <c r="L71" s="296"/>
      <c r="M71" s="296"/>
      <c r="N71" s="296"/>
      <c r="O71" s="296"/>
      <c r="P71" s="296"/>
      <c r="Q71" s="296"/>
      <c r="R71" s="296"/>
      <c r="S71" s="296"/>
      <c r="T71" s="296"/>
      <c r="U71" s="296"/>
      <c r="V71" s="296"/>
      <c r="W71" s="296"/>
      <c r="X71" s="296"/>
      <c r="Y71" s="296"/>
      <c r="Z71" s="296"/>
      <c r="AA71" s="296"/>
      <c r="AB71" s="296"/>
      <c r="AC71" s="296"/>
      <c r="AD71" s="296"/>
      <c r="AE71" s="296"/>
      <c r="AF71" s="296"/>
      <c r="AG71" s="296"/>
      <c r="AH71" s="296"/>
      <c r="AI71" s="296"/>
      <c r="AJ71" s="296"/>
      <c r="AK71" s="296"/>
      <c r="AL71" s="296"/>
      <c r="AM71" s="296"/>
      <c r="AN71" s="296"/>
      <c r="AO71" s="296"/>
      <c r="AP71" s="296"/>
      <c r="AQ71" s="296"/>
      <c r="AR71" s="296"/>
      <c r="AS71" s="296"/>
      <c r="AT71" s="296"/>
      <c r="AU71" s="296"/>
      <c r="AV71" s="296"/>
      <c r="AW71" s="296"/>
      <c r="AX71" s="296"/>
      <c r="AY71" s="296"/>
      <c r="AZ71" s="296"/>
      <c r="BA71" s="296"/>
    </row>
    <row r="72" spans="1:53">
      <c r="A72" s="76"/>
      <c r="B72" s="87" t="s">
        <v>2</v>
      </c>
      <c r="C72" s="392" t="s">
        <v>49</v>
      </c>
      <c r="D72" s="407">
        <f>IFERROR(INDEX('Apoio - Notas Explicativas'!Q:Q,MATCH(C72,'Apoio - Notas Explicativas'!C:C,0)),"")</f>
        <v>0.2</v>
      </c>
      <c r="E72" s="99">
        <f t="shared" ref="E72:E77" si="6">IFERROR($D72*E$61,"")</f>
        <v>494.44079999999997</v>
      </c>
      <c r="F72" s="137">
        <f t="shared" ref="F72:H77" si="7">IFERROR($D72*F$61,"")</f>
        <v>494.44080000000008</v>
      </c>
      <c r="G72" s="137">
        <f t="shared" si="7"/>
        <v>583.39060000000006</v>
      </c>
      <c r="H72" s="99">
        <f t="shared" si="7"/>
        <v>673.14300000000003</v>
      </c>
      <c r="I72" s="137" t="str">
        <f t="shared" ref="I72:I77" si="8">IFERROR(ROUND($D72*I$61,2),"")</f>
        <v/>
      </c>
    </row>
    <row r="73" spans="1:53">
      <c r="A73" s="74"/>
      <c r="B73" s="87" t="s">
        <v>1</v>
      </c>
      <c r="C73" s="655" t="s">
        <v>50</v>
      </c>
      <c r="D73" s="407">
        <f>IFERROR(INDEX('Apoio - Notas Explicativas'!Q:Q,MATCH(C73,'Apoio - Notas Explicativas'!C:C,0)),"")</f>
        <v>1.4999999999999999E-2</v>
      </c>
      <c r="E73" s="99">
        <f t="shared" si="6"/>
        <v>37.083059999999996</v>
      </c>
      <c r="F73" s="137">
        <f t="shared" si="7"/>
        <v>37.083060000000003</v>
      </c>
      <c r="G73" s="137">
        <f t="shared" si="7"/>
        <v>43.754294999999999</v>
      </c>
      <c r="H73" s="99">
        <f t="shared" si="7"/>
        <v>50.485725000000002</v>
      </c>
      <c r="I73" s="137" t="str">
        <f t="shared" si="8"/>
        <v/>
      </c>
    </row>
    <row r="74" spans="1:53">
      <c r="A74" s="74"/>
      <c r="B74" s="87" t="s">
        <v>0</v>
      </c>
      <c r="C74" s="392" t="s">
        <v>51</v>
      </c>
      <c r="D74" s="407">
        <f>IFERROR(INDEX('Apoio - Notas Explicativas'!Q:Q,MATCH(C74,'Apoio - Notas Explicativas'!C:C,0)),"")</f>
        <v>0.01</v>
      </c>
      <c r="E74" s="99">
        <f t="shared" si="6"/>
        <v>24.722039999999996</v>
      </c>
      <c r="F74" s="137">
        <f t="shared" si="7"/>
        <v>24.722040000000003</v>
      </c>
      <c r="G74" s="137">
        <f t="shared" si="7"/>
        <v>29.169530000000002</v>
      </c>
      <c r="H74" s="99">
        <f t="shared" si="7"/>
        <v>33.657150000000001</v>
      </c>
      <c r="I74" s="137" t="str">
        <f t="shared" si="8"/>
        <v/>
      </c>
    </row>
    <row r="75" spans="1:53">
      <c r="A75" s="74"/>
      <c r="B75" s="87" t="s">
        <v>3</v>
      </c>
      <c r="C75" s="392" t="s">
        <v>52</v>
      </c>
      <c r="D75" s="407">
        <f>IFERROR(INDEX('Apoio - Notas Explicativas'!Q:Q,MATCH(C75,'Apoio - Notas Explicativas'!C:C,0)),"")</f>
        <v>2E-3</v>
      </c>
      <c r="E75" s="99">
        <f t="shared" si="6"/>
        <v>4.9444079999999992</v>
      </c>
      <c r="F75" s="137">
        <f t="shared" si="7"/>
        <v>4.9444080000000001</v>
      </c>
      <c r="G75" s="137">
        <f t="shared" si="7"/>
        <v>5.8339059999999998</v>
      </c>
      <c r="H75" s="99">
        <f t="shared" si="7"/>
        <v>6.7314300000000005</v>
      </c>
      <c r="I75" s="137" t="str">
        <f t="shared" si="8"/>
        <v/>
      </c>
    </row>
    <row r="76" spans="1:53">
      <c r="A76" s="74"/>
      <c r="B76" s="87" t="s">
        <v>7</v>
      </c>
      <c r="C76" s="392" t="s">
        <v>53</v>
      </c>
      <c r="D76" s="407">
        <f>IFERROR(INDEX('Apoio - Notas Explicativas'!Q:Q,MATCH(C76,'Apoio - Notas Explicativas'!C:C,0)),"")</f>
        <v>2.5000000000000001E-2</v>
      </c>
      <c r="E76" s="99">
        <f t="shared" si="6"/>
        <v>61.805099999999996</v>
      </c>
      <c r="F76" s="137">
        <f t="shared" si="7"/>
        <v>61.80510000000001</v>
      </c>
      <c r="G76" s="137">
        <f t="shared" si="7"/>
        <v>72.923825000000008</v>
      </c>
      <c r="H76" s="99">
        <f t="shared" si="7"/>
        <v>84.142875000000004</v>
      </c>
      <c r="I76" s="137" t="str">
        <f t="shared" si="8"/>
        <v/>
      </c>
    </row>
    <row r="77" spans="1:53">
      <c r="A77" s="74"/>
      <c r="B77" s="87" t="s">
        <v>6</v>
      </c>
      <c r="C77" s="392" t="s">
        <v>54</v>
      </c>
      <c r="D77" s="407">
        <f>IFERROR(INDEX('Apoio - Notas Explicativas'!Q:Q,MATCH(C77,'Apoio - Notas Explicativas'!C:C,0)),"")</f>
        <v>0.08</v>
      </c>
      <c r="E77" s="99">
        <f t="shared" si="6"/>
        <v>197.77631999999997</v>
      </c>
      <c r="F77" s="137">
        <f t="shared" si="7"/>
        <v>197.77632000000003</v>
      </c>
      <c r="G77" s="137">
        <f t="shared" si="7"/>
        <v>233.35624000000001</v>
      </c>
      <c r="H77" s="99">
        <f t="shared" si="7"/>
        <v>269.25720000000001</v>
      </c>
      <c r="I77" s="137" t="str">
        <f t="shared" si="8"/>
        <v/>
      </c>
    </row>
    <row r="78" spans="1:53">
      <c r="A78" s="74"/>
      <c r="B78" s="825" t="s">
        <v>5</v>
      </c>
      <c r="C78" s="656" t="str">
        <f>CONCATENATE("GILL/RAT (RAT ",D79," x FAP ",D80,")")</f>
        <v>GILL/RAT (RAT 0,03 x FAP 1)</v>
      </c>
      <c r="D78" s="657"/>
      <c r="E78" s="238"/>
      <c r="F78" s="422"/>
      <c r="G78" s="422"/>
      <c r="H78" s="238"/>
      <c r="I78" s="138"/>
    </row>
    <row r="79" spans="1:53">
      <c r="A79" s="74"/>
      <c r="B79" s="826"/>
      <c r="C79" s="658" t="s">
        <v>47</v>
      </c>
      <c r="D79" s="167">
        <f>VLOOKUP(C79,'Apoio - Notas Explicativas'!$C:$Q,14,FALSE)</f>
        <v>0.03</v>
      </c>
      <c r="E79" s="423"/>
      <c r="F79" s="423"/>
      <c r="G79" s="423"/>
      <c r="H79" s="455"/>
      <c r="I79" s="167"/>
    </row>
    <row r="80" spans="1:53">
      <c r="A80" s="74"/>
      <c r="B80" s="834"/>
      <c r="C80" s="659" t="s">
        <v>42</v>
      </c>
      <c r="D80" s="301">
        <f>VLOOKUP(C80,'Apoio - Notas Explicativas'!$C:$Q,14,FALSE)</f>
        <v>1</v>
      </c>
      <c r="E80" s="424"/>
      <c r="F80" s="424"/>
      <c r="G80" s="424"/>
      <c r="H80" s="424"/>
      <c r="I80" s="168"/>
    </row>
    <row r="81" spans="1:53">
      <c r="A81" s="74"/>
      <c r="B81" s="827"/>
      <c r="C81" s="392"/>
      <c r="D81" s="660">
        <f>D80*D79</f>
        <v>0.03</v>
      </c>
      <c r="E81" s="169">
        <f>IFERROR($D81*E$61,"")</f>
        <v>74.166119999999992</v>
      </c>
      <c r="F81" s="169">
        <f t="shared" ref="F81:H82" si="9">IFERROR($D81*F$61,"")</f>
        <v>74.166120000000006</v>
      </c>
      <c r="G81" s="169">
        <f t="shared" si="9"/>
        <v>87.508589999999998</v>
      </c>
      <c r="H81" s="169">
        <f t="shared" si="9"/>
        <v>100.97145</v>
      </c>
      <c r="I81" s="169" t="str">
        <f t="shared" ref="I81:I82" si="10">IFERROR(ROUND($D81*I$61,2),"")</f>
        <v/>
      </c>
    </row>
    <row r="82" spans="1:53">
      <c r="A82" s="76"/>
      <c r="B82" s="87" t="s">
        <v>4</v>
      </c>
      <c r="C82" s="392" t="s">
        <v>55</v>
      </c>
      <c r="D82" s="407">
        <f>IFERROR(INDEX('Apoio - Notas Explicativas'!Q:Q,MATCH(C82,'Apoio - Notas Explicativas'!C:C,0)),"")</f>
        <v>6.0000000000000001E-3</v>
      </c>
      <c r="E82" s="137">
        <f>IFERROR($D82*E$61,"")</f>
        <v>14.833224</v>
      </c>
      <c r="F82" s="137">
        <f t="shared" si="9"/>
        <v>14.833224000000001</v>
      </c>
      <c r="G82" s="137">
        <f t="shared" si="9"/>
        <v>17.501718</v>
      </c>
      <c r="H82" s="137">
        <f t="shared" si="9"/>
        <v>20.194290000000002</v>
      </c>
      <c r="I82" s="137" t="str">
        <f t="shared" si="10"/>
        <v/>
      </c>
    </row>
    <row r="83" spans="1:53" s="5" customFormat="1">
      <c r="A83" s="76"/>
      <c r="B83" s="171"/>
      <c r="C83" s="172" t="s">
        <v>118</v>
      </c>
      <c r="D83" s="175"/>
      <c r="E83" s="176">
        <f>IF((SUM(E72:E77,E81,E82))=0,"",(SUM(E72:E77,E81,E82)))</f>
        <v>909.77107199999989</v>
      </c>
      <c r="F83" s="176">
        <f t="shared" ref="F83:H83" si="11">IF((SUM(F72:F77,F81,F82))=0,"",(SUM(F72:F77,F81,F82)))</f>
        <v>909.77107200000012</v>
      </c>
      <c r="G83" s="176">
        <f t="shared" si="11"/>
        <v>1073.4387039999999</v>
      </c>
      <c r="H83" s="176">
        <f t="shared" si="11"/>
        <v>1238.58312</v>
      </c>
      <c r="I83" s="176" t="str">
        <f>IF((SUM(I72:I77,I81,I82))=0,"",(SUM(I72:I77,I81,I82)))</f>
        <v/>
      </c>
      <c r="J83" s="294"/>
      <c r="K83" s="294"/>
      <c r="L83" s="294"/>
      <c r="M83" s="294"/>
      <c r="N83" s="294"/>
      <c r="O83" s="294"/>
      <c r="P83" s="294"/>
      <c r="Q83" s="294"/>
      <c r="R83" s="294"/>
      <c r="S83" s="294"/>
      <c r="T83" s="294"/>
      <c r="U83" s="294"/>
      <c r="V83" s="294"/>
      <c r="W83" s="294"/>
      <c r="X83" s="294"/>
      <c r="Y83" s="294"/>
      <c r="Z83" s="294"/>
      <c r="AA83" s="294"/>
      <c r="AB83" s="294"/>
      <c r="AC83" s="294"/>
      <c r="AD83" s="294"/>
      <c r="AE83" s="294"/>
      <c r="AF83" s="294"/>
      <c r="AG83" s="294"/>
      <c r="AH83" s="294"/>
      <c r="AI83" s="294"/>
      <c r="AJ83" s="294"/>
      <c r="AK83" s="294"/>
      <c r="AL83" s="294"/>
      <c r="AM83" s="294"/>
      <c r="AN83" s="294"/>
      <c r="AO83" s="294"/>
      <c r="AP83" s="294"/>
      <c r="AQ83" s="294"/>
      <c r="AR83" s="294"/>
      <c r="AS83" s="294"/>
      <c r="AT83" s="294"/>
      <c r="AU83" s="294"/>
      <c r="AV83" s="294"/>
      <c r="AW83" s="294"/>
      <c r="AX83" s="294"/>
      <c r="AY83" s="294"/>
      <c r="AZ83" s="294"/>
      <c r="BA83" s="294"/>
    </row>
    <row r="84" spans="1:53" customFormat="1" ht="3.75" customHeight="1">
      <c r="J84" s="42"/>
      <c r="K84" s="42"/>
      <c r="L84" s="42"/>
      <c r="M84" s="42"/>
      <c r="N84" s="42"/>
      <c r="O84" s="42"/>
      <c r="P84" s="42"/>
      <c r="Q84" s="42"/>
      <c r="R84" s="42"/>
      <c r="S84" s="42"/>
      <c r="T84" s="42"/>
      <c r="U84" s="42"/>
      <c r="V84" s="42"/>
      <c r="W84" s="42"/>
      <c r="X84" s="42"/>
      <c r="Y84" s="42"/>
      <c r="Z84" s="42"/>
      <c r="AA84" s="42"/>
      <c r="AB84" s="42"/>
      <c r="AC84" s="42"/>
      <c r="AD84" s="42"/>
      <c r="AE84" s="42"/>
      <c r="AF84" s="42"/>
      <c r="AG84" s="42"/>
      <c r="AH84" s="42"/>
      <c r="AI84" s="42"/>
      <c r="AJ84" s="42"/>
      <c r="AK84" s="42"/>
      <c r="AL84" s="42"/>
      <c r="AM84" s="42"/>
      <c r="AN84" s="42"/>
      <c r="AO84" s="42"/>
      <c r="AP84" s="42"/>
      <c r="AQ84" s="42"/>
      <c r="AR84" s="42"/>
      <c r="AS84" s="42"/>
      <c r="AT84" s="42"/>
      <c r="AU84" s="42"/>
      <c r="AV84" s="42"/>
      <c r="AW84" s="42"/>
      <c r="AX84" s="42"/>
      <c r="AY84" s="42"/>
      <c r="AZ84" s="42"/>
      <c r="BA84" s="42"/>
    </row>
    <row r="85" spans="1:53" s="6" customFormat="1">
      <c r="A85" s="76"/>
      <c r="B85" s="182"/>
      <c r="C85" s="183" t="s">
        <v>126</v>
      </c>
      <c r="D85" s="184"/>
      <c r="E85" s="176"/>
      <c r="F85" s="176"/>
      <c r="G85" s="176"/>
      <c r="H85" s="176"/>
      <c r="I85" s="176"/>
      <c r="J85" s="296"/>
      <c r="K85" s="296"/>
      <c r="L85" s="296"/>
      <c r="M85" s="296"/>
      <c r="N85" s="296"/>
      <c r="O85" s="296"/>
      <c r="P85" s="296"/>
      <c r="Q85" s="296"/>
      <c r="R85" s="296"/>
      <c r="S85" s="296"/>
      <c r="T85" s="296"/>
      <c r="U85" s="296"/>
      <c r="V85" s="296"/>
      <c r="W85" s="296"/>
      <c r="X85" s="296"/>
      <c r="Y85" s="296"/>
      <c r="Z85" s="296"/>
      <c r="AA85" s="296"/>
      <c r="AB85" s="296"/>
      <c r="AC85" s="296"/>
      <c r="AD85" s="296"/>
      <c r="AE85" s="296"/>
      <c r="AF85" s="296"/>
      <c r="AG85" s="296"/>
      <c r="AH85" s="296"/>
      <c r="AI85" s="296"/>
      <c r="AJ85" s="296"/>
      <c r="AK85" s="296"/>
      <c r="AL85" s="296"/>
      <c r="AM85" s="296"/>
      <c r="AN85" s="296"/>
      <c r="AO85" s="296"/>
      <c r="AP85" s="296"/>
      <c r="AQ85" s="296"/>
      <c r="AR85" s="296"/>
      <c r="AS85" s="296"/>
      <c r="AT85" s="296"/>
      <c r="AU85" s="296"/>
      <c r="AV85" s="296"/>
      <c r="AW85" s="296"/>
      <c r="AX85" s="296"/>
      <c r="AY85" s="296"/>
      <c r="AZ85" s="296"/>
      <c r="BA85" s="296"/>
    </row>
    <row r="86" spans="1:53" s="12" customFormat="1">
      <c r="A86" s="74"/>
      <c r="B86" s="825" t="s">
        <v>2</v>
      </c>
      <c r="C86" s="163" t="s">
        <v>86</v>
      </c>
      <c r="D86" s="194"/>
      <c r="E86" s="240"/>
      <c r="F86" s="240"/>
      <c r="G86" s="240"/>
      <c r="H86" s="240"/>
      <c r="I86" s="240"/>
      <c r="J86" s="291"/>
      <c r="K86" s="291"/>
      <c r="L86" s="291"/>
      <c r="M86" s="291"/>
      <c r="N86" s="291"/>
      <c r="O86" s="291"/>
      <c r="P86" s="291"/>
      <c r="Q86" s="291"/>
      <c r="R86" s="291"/>
      <c r="S86" s="291"/>
      <c r="T86" s="291"/>
      <c r="U86" s="291"/>
      <c r="V86" s="291"/>
      <c r="W86" s="291"/>
      <c r="X86" s="291"/>
      <c r="Y86" s="291"/>
      <c r="Z86" s="291"/>
      <c r="AA86" s="291"/>
      <c r="AB86" s="291"/>
      <c r="AC86" s="291"/>
      <c r="AD86" s="291"/>
      <c r="AE86" s="291"/>
      <c r="AF86" s="291"/>
      <c r="AG86" s="291"/>
      <c r="AH86" s="291"/>
      <c r="AI86" s="291"/>
      <c r="AJ86" s="291"/>
      <c r="AK86" s="291"/>
      <c r="AL86" s="291"/>
      <c r="AM86" s="291"/>
      <c r="AN86" s="291"/>
      <c r="AO86" s="291"/>
      <c r="AP86" s="291"/>
      <c r="AQ86" s="291"/>
      <c r="AR86" s="291"/>
      <c r="AS86" s="291"/>
      <c r="AT86" s="291"/>
      <c r="AU86" s="291"/>
      <c r="AV86" s="291"/>
      <c r="AW86" s="291"/>
      <c r="AX86" s="291"/>
      <c r="AY86" s="291"/>
      <c r="AZ86" s="291"/>
      <c r="BA86" s="291"/>
    </row>
    <row r="87" spans="1:53">
      <c r="A87" s="74"/>
      <c r="B87" s="826"/>
      <c r="C87" s="164" t="s">
        <v>87</v>
      </c>
      <c r="D87" s="212"/>
      <c r="E87" s="417">
        <v>5</v>
      </c>
      <c r="F87" s="417">
        <v>5</v>
      </c>
      <c r="G87" s="417">
        <v>5</v>
      </c>
      <c r="H87" s="417">
        <v>5</v>
      </c>
      <c r="I87" s="196" t="str">
        <f>IF(I18="","",4.8)</f>
        <v/>
      </c>
    </row>
    <row r="88" spans="1:53">
      <c r="A88" s="74"/>
      <c r="B88" s="826"/>
      <c r="C88" s="103" t="s">
        <v>108</v>
      </c>
      <c r="D88" s="213"/>
      <c r="E88" s="198">
        <f>IF(E18="","",2)</f>
        <v>2</v>
      </c>
      <c r="F88" s="198">
        <f>IF(F18="","",2)</f>
        <v>2</v>
      </c>
      <c r="G88" s="198">
        <f>IF(G18="","",2)</f>
        <v>2</v>
      </c>
      <c r="H88" s="198">
        <f>IF(H18="","",2)</f>
        <v>2</v>
      </c>
      <c r="I88" s="198" t="str">
        <f>IF(I18="","",2)</f>
        <v/>
      </c>
    </row>
    <row r="89" spans="1:53">
      <c r="A89" s="74"/>
      <c r="B89" s="826"/>
      <c r="C89" s="103" t="s">
        <v>88</v>
      </c>
      <c r="D89" s="214"/>
      <c r="E89" s="199">
        <f>IFERROR(IF(E18="","",VLOOKUP(E26,'Apoio - Regime de Trabalho'!$A:$G,7,FALSE)),"")</f>
        <v>22</v>
      </c>
      <c r="F89" s="199">
        <f>IFERROR(IF(F18="","",VLOOKUP(F26,'Apoio - Regime de Trabalho'!$A:$G,7,FALSE)),"")</f>
        <v>22</v>
      </c>
      <c r="G89" s="199">
        <f>IFERROR(IF(G18="","",VLOOKUP(G26,'Apoio - Regime de Trabalho'!$A:$G,7,FALSE)),"")</f>
        <v>22</v>
      </c>
      <c r="H89" s="199">
        <f>IFERROR(IF(H18="","",VLOOKUP(H26,'Apoio - Regime de Trabalho'!$A:$G,7,FALSE)),"")</f>
        <v>22</v>
      </c>
      <c r="I89" s="199" t="str">
        <f>IFERROR(IF(I18="","",VLOOKUP(I26,'Apoio - Regime de Trabalho'!$A:$G,7,FALSE)),"")</f>
        <v/>
      </c>
    </row>
    <row r="90" spans="1:53">
      <c r="A90" s="74"/>
      <c r="B90" s="826"/>
      <c r="C90" s="103" t="s">
        <v>22</v>
      </c>
      <c r="D90" s="213"/>
      <c r="E90" s="200">
        <f>IF(E18="","",IFERROR(VLOOKUP(E$18,'Apoio - Posto'!$A:$AA,16,FALSE),6%))</f>
        <v>0.06</v>
      </c>
      <c r="F90" s="200">
        <f>IF(F18="","",IFERROR(VLOOKUP(F$18,'Apoio - Posto'!$A:$AA,16,FALSE),6%))</f>
        <v>0.06</v>
      </c>
      <c r="G90" s="200">
        <f>IF(G18="","",IFERROR(VLOOKUP(G$18,'Apoio - Posto'!$A:$AA,16,FALSE),6%))</f>
        <v>0.06</v>
      </c>
      <c r="H90" s="200">
        <f>IF(H18="","",IFERROR(VLOOKUP(H$18,'Apoio - Posto'!$A:$AA,16,FALSE),6%))</f>
        <v>0.06</v>
      </c>
      <c r="I90" s="200" t="str">
        <f>IFERROR(VLOOKUP(I$18,'Apoio - Posto'!$A:$AA,16,FALSE),"")</f>
        <v/>
      </c>
    </row>
    <row r="91" spans="1:53">
      <c r="A91" s="74"/>
      <c r="B91" s="827"/>
      <c r="C91" s="219"/>
      <c r="D91" s="215" t="s">
        <v>41</v>
      </c>
      <c r="E91" s="147">
        <f>IFERROR(MAX((E87*E88*E89)-(E$90*E$32),0),"")</f>
        <v>114.04840000000002</v>
      </c>
      <c r="F91" s="147">
        <f t="shared" ref="F91:H91" si="12">IFERROR(MAX((F87*F88*F89)-(F$90*F$32),0),"")</f>
        <v>114.04840000000002</v>
      </c>
      <c r="G91" s="147">
        <f t="shared" si="12"/>
        <v>85.371399999999994</v>
      </c>
      <c r="H91" s="147">
        <f t="shared" si="12"/>
        <v>85.371399999999994</v>
      </c>
      <c r="I91" s="147" t="str">
        <f>IFERROR(ROUND((I87*I88*I89)-(I$90*I$32),2),"")</f>
        <v/>
      </c>
    </row>
    <row r="92" spans="1:53">
      <c r="A92" s="74"/>
      <c r="B92" s="825" t="s">
        <v>1</v>
      </c>
      <c r="C92" s="193" t="s">
        <v>23</v>
      </c>
      <c r="D92" s="216"/>
      <c r="E92" s="241"/>
      <c r="F92" s="241"/>
      <c r="G92" s="241"/>
      <c r="H92" s="241"/>
      <c r="I92" s="241"/>
    </row>
    <row r="93" spans="1:53">
      <c r="A93" s="74"/>
      <c r="B93" s="826"/>
      <c r="C93" s="211" t="s">
        <v>24</v>
      </c>
      <c r="D93" s="208"/>
      <c r="E93" s="202">
        <f>IFERROR(VLOOKUP(E$18,'Apoio - Posto'!$A:$AA,IF(VLOOKUP(E26,'Apoio - Regime de Trabalho'!$A:$I,8,FALSE)&gt;=200,9,10),FALSE),"")</f>
        <v>27.15</v>
      </c>
      <c r="F93" s="202">
        <f>IFERROR(VLOOKUP(F$18,'Apoio - Posto'!$A:$AA,IF(VLOOKUP(F26,'Apoio - Regime de Trabalho'!$A:$I,8,FALSE)&gt;=200,9,10),FALSE),"")</f>
        <v>27.15</v>
      </c>
      <c r="G93" s="202">
        <f>IFERROR(VLOOKUP(G$18,'Apoio - Posto'!$A:$AA,IF(VLOOKUP(G26,'Apoio - Regime de Trabalho'!$A:$I,8,FALSE)&gt;=200,9,10),FALSE),"")</f>
        <v>27.15</v>
      </c>
      <c r="H93" s="202">
        <f>IFERROR(VLOOKUP(H$18,'Apoio - Posto'!$A:$AA,IF(VLOOKUP(H26,'Apoio - Regime de Trabalho'!$A:$I,8,FALSE)&gt;=200,9,10),FALSE),"")</f>
        <v>27.15</v>
      </c>
      <c r="I93" s="202" t="str">
        <f>IFERROR(VLOOKUP(I$18,'Apoio - Posto'!$A:$AA,IF(VLOOKUP(I26,'Apoio - Regime de Trabalho'!$A:$I,8,FALSE)&gt;180,9,10),FALSE),"")</f>
        <v/>
      </c>
    </row>
    <row r="94" spans="1:53">
      <c r="A94" s="74"/>
      <c r="B94" s="826"/>
      <c r="C94" s="162" t="s">
        <v>276</v>
      </c>
      <c r="D94" s="210"/>
      <c r="E94" s="204">
        <f>IFERROR(IF(E18="","",VLOOKUP(E26,'Apoio - Regime de Trabalho'!$A:$G,7,FALSE)),"")</f>
        <v>22</v>
      </c>
      <c r="F94" s="204">
        <f>IFERROR(IF(F18="","",VLOOKUP(F26,'Apoio - Regime de Trabalho'!$A:$G,7,FALSE)),"")</f>
        <v>22</v>
      </c>
      <c r="G94" s="204">
        <f>IFERROR(IF(G18="","",VLOOKUP(G26,'Apoio - Regime de Trabalho'!$A:$G,7,FALSE)),"")</f>
        <v>22</v>
      </c>
      <c r="H94" s="204">
        <f>IFERROR(IF(H18="","",VLOOKUP(H26,'Apoio - Regime de Trabalho'!$A:$G,7,FALSE)),"")</f>
        <v>22</v>
      </c>
      <c r="I94" s="204" t="str">
        <f>IFERROR(IF(I18="","",VLOOKUP(I26,'Apoio - Regime de Trabalho'!$A:$G,7,FALSE)),"")</f>
        <v/>
      </c>
    </row>
    <row r="95" spans="1:53">
      <c r="A95" s="74"/>
      <c r="B95" s="826"/>
      <c r="C95" s="162" t="s">
        <v>273</v>
      </c>
      <c r="D95" s="210"/>
      <c r="E95" s="205">
        <f>IFERROR(VLOOKUP(E$18,'Apoio - Posto'!$A:$AA,17,FALSE),"")</f>
        <v>0.19</v>
      </c>
      <c r="F95" s="205">
        <f>IFERROR(VLOOKUP(F$18,'Apoio - Posto'!$A:$AA,17,FALSE),"")</f>
        <v>0.19</v>
      </c>
      <c r="G95" s="205">
        <f>IFERROR(VLOOKUP(G$18,'Apoio - Posto'!$A:$AA,17,FALSE),"")</f>
        <v>0.19</v>
      </c>
      <c r="H95" s="205">
        <f>IFERROR(VLOOKUP(H$18,'Apoio - Posto'!$A:$AA,17,FALSE),"")</f>
        <v>0.19</v>
      </c>
      <c r="I95" s="205" t="str">
        <f>IFERROR(VLOOKUP(I$18,'Apoio - Posto'!$A:$AA,17,FALSE),"")</f>
        <v/>
      </c>
    </row>
    <row r="96" spans="1:53">
      <c r="A96" s="74"/>
      <c r="B96" s="827"/>
      <c r="C96" s="219"/>
      <c r="D96" s="215" t="s">
        <v>41</v>
      </c>
      <c r="E96" s="101">
        <f>IFERROR((E93*E94)-(E$93*E$94*E$95),"")</f>
        <v>483.81299999999999</v>
      </c>
      <c r="F96" s="101">
        <f t="shared" ref="F96:H96" si="13">IFERROR((F93*F94)-(F$93*F$94*F$95),"")</f>
        <v>483.81299999999999</v>
      </c>
      <c r="G96" s="101">
        <f t="shared" si="13"/>
        <v>483.81299999999999</v>
      </c>
      <c r="H96" s="101">
        <f t="shared" si="13"/>
        <v>483.81299999999999</v>
      </c>
      <c r="I96" s="101" t="str">
        <f>IFERROR(ROUND((I93*I94)-(I$93*I$94*I$95),2),"")</f>
        <v/>
      </c>
    </row>
    <row r="97" spans="1:54">
      <c r="A97" s="74"/>
      <c r="B97" s="825" t="s">
        <v>0</v>
      </c>
      <c r="C97" s="160" t="s">
        <v>25</v>
      </c>
      <c r="D97" s="216"/>
      <c r="E97" s="242"/>
      <c r="F97" s="242"/>
      <c r="G97" s="242"/>
      <c r="H97" s="242"/>
      <c r="I97" s="242"/>
    </row>
    <row r="98" spans="1:54">
      <c r="A98" s="74"/>
      <c r="B98" s="826"/>
      <c r="C98" s="195" t="s">
        <v>26</v>
      </c>
      <c r="D98" s="217"/>
      <c r="E98" s="206"/>
      <c r="F98" s="206"/>
      <c r="G98" s="206"/>
      <c r="H98" s="206"/>
      <c r="I98" s="206"/>
    </row>
    <row r="99" spans="1:54">
      <c r="A99" s="74"/>
      <c r="B99" s="826"/>
      <c r="C99" s="197" t="s">
        <v>273</v>
      </c>
      <c r="D99" s="214"/>
      <c r="E99" s="95"/>
      <c r="F99" s="95"/>
      <c r="G99" s="95"/>
      <c r="H99" s="95"/>
      <c r="I99" s="95"/>
    </row>
    <row r="100" spans="1:54">
      <c r="A100" s="74"/>
      <c r="B100" s="827"/>
      <c r="C100" s="219"/>
      <c r="D100" s="215" t="s">
        <v>41</v>
      </c>
      <c r="E100" s="248">
        <f>IF(E21="","",IFERROR((E$98)-(E$99*E$98),""))</f>
        <v>0</v>
      </c>
      <c r="F100" s="248">
        <f>IF(F21="","",IFERROR((F$98)-(F$99*F$98),""))</f>
        <v>0</v>
      </c>
      <c r="G100" s="248">
        <f>IF(G21="","",IFERROR((G$98)-(G$99*G$98),""))</f>
        <v>0</v>
      </c>
      <c r="H100" s="248">
        <f>IF(H21="","",IFERROR((H$98)-(H$99*H$98),""))</f>
        <v>0</v>
      </c>
      <c r="I100" s="248" t="str">
        <f>IF(I21="","",IFERROR(ROUND((I$98)-(I$99*I$98),2),""))</f>
        <v/>
      </c>
    </row>
    <row r="101" spans="1:54">
      <c r="A101" s="74"/>
      <c r="B101" s="87" t="s">
        <v>3</v>
      </c>
      <c r="C101" s="88" t="s">
        <v>27</v>
      </c>
      <c r="D101" s="187"/>
      <c r="E101" s="385">
        <f>IFERROR(VLOOKUP(E$18,'Apoio - Posto'!$A:$AA,19,FALSE),"")</f>
        <v>0</v>
      </c>
      <c r="F101" s="385">
        <f>IFERROR(VLOOKUP(F$18,'Apoio - Posto'!$A:$AA,19,FALSE),"")</f>
        <v>0</v>
      </c>
      <c r="G101" s="385">
        <f>IFERROR(VLOOKUP(G$18,'Apoio - Posto'!$A:$AA,19,FALSE),"")</f>
        <v>0</v>
      </c>
      <c r="H101" s="385">
        <f>IFERROR(VLOOKUP(H$18,'Apoio - Posto'!$A:$AA,19,FALSE),"")</f>
        <v>0</v>
      </c>
      <c r="I101" s="385" t="str">
        <f>IFERROR(VLOOKUP(I$18,'Apoio - Posto'!$A:$AA,19,FALSE),"")</f>
        <v/>
      </c>
    </row>
    <row r="102" spans="1:54">
      <c r="A102" s="74"/>
      <c r="B102" s="185" t="s">
        <v>7</v>
      </c>
      <c r="C102" s="178" t="s">
        <v>28</v>
      </c>
      <c r="D102" s="186"/>
      <c r="E102" s="386"/>
      <c r="F102" s="386"/>
      <c r="G102" s="386"/>
      <c r="H102" s="386"/>
      <c r="I102" s="386"/>
    </row>
    <row r="103" spans="1:54">
      <c r="A103" s="74"/>
      <c r="B103" s="825" t="s">
        <v>6</v>
      </c>
      <c r="C103" s="193" t="s">
        <v>29</v>
      </c>
      <c r="D103" s="186"/>
      <c r="E103" s="241"/>
      <c r="F103" s="241"/>
      <c r="G103" s="241"/>
      <c r="H103" s="241"/>
      <c r="I103" s="241"/>
    </row>
    <row r="104" spans="1:54">
      <c r="A104" s="74"/>
      <c r="B104" s="826"/>
      <c r="C104" s="201" t="s">
        <v>26</v>
      </c>
      <c r="D104" s="218"/>
      <c r="E104" s="202"/>
      <c r="F104" s="202"/>
      <c r="G104" s="202"/>
      <c r="H104" s="202"/>
      <c r="I104" s="202"/>
    </row>
    <row r="105" spans="1:54">
      <c r="A105" s="74"/>
      <c r="B105" s="826"/>
      <c r="C105" s="203" t="s">
        <v>109</v>
      </c>
      <c r="D105" s="210"/>
      <c r="E105" s="205"/>
      <c r="F105" s="205"/>
      <c r="G105" s="205"/>
      <c r="H105" s="205"/>
      <c r="I105" s="205"/>
    </row>
    <row r="106" spans="1:54">
      <c r="A106" s="74"/>
      <c r="B106" s="827"/>
      <c r="C106" s="219"/>
      <c r="D106" s="215" t="s">
        <v>41</v>
      </c>
      <c r="E106" s="207">
        <f>IF(E21="","",IFERROR((E104)-(E$105*E$104),""))</f>
        <v>0</v>
      </c>
      <c r="F106" s="207">
        <f>IF(F21="","",IFERROR((F104)-(F$105*F$104),""))</f>
        <v>0</v>
      </c>
      <c r="G106" s="207">
        <f>IF(G21="","",IFERROR((G104)-(G$105*G$104),""))</f>
        <v>0</v>
      </c>
      <c r="H106" s="207">
        <f>IF(H21="","",IFERROR((H104)-(H$105*H$104),""))</f>
        <v>0</v>
      </c>
      <c r="I106" s="207" t="str">
        <f>IF(I21="","",IFERROR(ROUND((I104)-(I$105*I$104),2),""))</f>
        <v/>
      </c>
    </row>
    <row r="107" spans="1:54">
      <c r="A107" s="74"/>
      <c r="B107" s="185" t="s">
        <v>5</v>
      </c>
      <c r="C107" s="178" t="s">
        <v>30</v>
      </c>
      <c r="D107" s="188" t="str">
        <f>IFERROR(VLOOKUP(E18,'Apoio - Posto'!A:J,14,FALSE),"")</f>
        <v/>
      </c>
      <c r="E107" s="418">
        <f>IFERROR(VLOOKUP(E$18,'Apoio - Posto'!$A:$AA,18,FALSE),"")</f>
        <v>25.52</v>
      </c>
      <c r="F107" s="418">
        <f>IFERROR(VLOOKUP(F$18,'Apoio - Posto'!$A:$AA,18,FALSE),"")</f>
        <v>25.52</v>
      </c>
      <c r="G107" s="418">
        <f>IFERROR(VLOOKUP(G$18,'Apoio - Posto'!$A:$AA,18,FALSE),"")</f>
        <v>25.52</v>
      </c>
      <c r="H107" s="418">
        <f>IFERROR(VLOOKUP(H$18,'Apoio - Posto'!$A:$AA,18,FALSE),"")</f>
        <v>25.52</v>
      </c>
      <c r="I107" s="418" t="str">
        <f>IFERROR(VLOOKUP(I$18,'Apoio - Posto'!$A:$AA,18,FALSE),"")</f>
        <v/>
      </c>
      <c r="BB107" s="293"/>
    </row>
    <row r="108" spans="1:54">
      <c r="A108" s="74"/>
      <c r="B108" s="825" t="s">
        <v>4</v>
      </c>
      <c r="C108" s="700" t="s">
        <v>114</v>
      </c>
      <c r="D108" s="186"/>
      <c r="E108" s="238"/>
      <c r="F108" s="238"/>
      <c r="G108" s="238"/>
      <c r="H108" s="238"/>
      <c r="I108" s="238"/>
    </row>
    <row r="109" spans="1:54">
      <c r="A109" s="74"/>
      <c r="B109" s="826"/>
      <c r="C109" s="650" t="s">
        <v>272</v>
      </c>
      <c r="D109" s="651"/>
      <c r="E109" s="419"/>
      <c r="F109" s="419"/>
      <c r="G109" s="419"/>
      <c r="H109" s="419"/>
      <c r="I109" s="419"/>
    </row>
    <row r="110" spans="1:54">
      <c r="A110" s="74"/>
      <c r="B110" s="826"/>
      <c r="C110" s="652" t="s">
        <v>273</v>
      </c>
      <c r="D110" s="653"/>
      <c r="E110" s="643"/>
      <c r="F110" s="643"/>
      <c r="G110" s="643"/>
      <c r="H110" s="643"/>
      <c r="I110" s="643"/>
    </row>
    <row r="111" spans="1:54">
      <c r="A111" s="74"/>
      <c r="B111" s="827"/>
      <c r="C111" s="97"/>
      <c r="D111" s="223" t="s">
        <v>41</v>
      </c>
      <c r="E111" s="209">
        <f>IF(E18="","",E109*(1-E110))</f>
        <v>0</v>
      </c>
      <c r="F111" s="209">
        <f>IF(F18="","",F109*(1-F110))</f>
        <v>0</v>
      </c>
      <c r="G111" s="209">
        <f>IF(G18="","",G109*(1-G110))</f>
        <v>0</v>
      </c>
      <c r="H111" s="209">
        <f>IF(H18="","",H109*(1-H110))</f>
        <v>0</v>
      </c>
      <c r="I111" s="209" t="str">
        <f>IF(I18="","",I109*(1-I110))</f>
        <v/>
      </c>
    </row>
    <row r="112" spans="1:54" s="5" customFormat="1">
      <c r="A112" s="76"/>
      <c r="B112" s="189"/>
      <c r="C112" s="190" t="s">
        <v>117</v>
      </c>
      <c r="D112" s="191"/>
      <c r="E112" s="192">
        <f>IF(E21="","",SUM(E91,E96,E100,E101,E102,E106,E107,E111))</f>
        <v>623.38139999999999</v>
      </c>
      <c r="F112" s="192">
        <f>IF(F21="","",SUM(F91,F96,F100,F101,F102,F106,F107,F111))</f>
        <v>623.38139999999999</v>
      </c>
      <c r="G112" s="192">
        <f>IF(G21="","",SUM(G91,G96,G100,G101,G102,G106,G107,G111))</f>
        <v>594.70439999999996</v>
      </c>
      <c r="H112" s="192">
        <f>IF(H21="","",SUM(H91,H96,H100,H101,H102,H106,H107,H111))</f>
        <v>594.70439999999996</v>
      </c>
      <c r="I112" s="192" t="str">
        <f>IF(I21="","",SUM(I91,I96,I100,I101,I102,I106,I107,I111))</f>
        <v/>
      </c>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4"/>
      <c r="AK112" s="294"/>
      <c r="AL112" s="294"/>
      <c r="AM112" s="294"/>
      <c r="AN112" s="294"/>
      <c r="AO112" s="294"/>
      <c r="AP112" s="294"/>
      <c r="AQ112" s="294"/>
      <c r="AR112" s="294"/>
      <c r="AS112" s="294"/>
      <c r="AT112" s="294"/>
      <c r="AU112" s="294"/>
      <c r="AV112" s="294"/>
      <c r="AW112" s="294"/>
      <c r="AX112" s="294"/>
      <c r="AY112" s="294"/>
      <c r="AZ112" s="294"/>
      <c r="BA112" s="294"/>
    </row>
    <row r="113" spans="1:53" customFormat="1" ht="3.75" customHeight="1">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row>
    <row r="114" spans="1:53" s="5" customFormat="1">
      <c r="A114" s="73"/>
      <c r="B114" s="157"/>
      <c r="C114" s="90" t="s">
        <v>115</v>
      </c>
      <c r="D114" s="153"/>
      <c r="E114" s="154">
        <f>IF(E21="","",IFERROR(SUM(E112,E83,E69),""))</f>
        <v>2190.7587359999998</v>
      </c>
      <c r="F114" s="155">
        <f>IF(F21="","",IFERROR(SUM(F112,F83,F69),""))</f>
        <v>2190.7587360000002</v>
      </c>
      <c r="G114" s="453">
        <f>IF(G21="","",IFERROR(SUM(G112,G83,G69),""))</f>
        <v>2444.0526019999998</v>
      </c>
      <c r="H114" s="155">
        <f>IF(H21="","",IFERROR(SUM(H112,H83,H69),""))</f>
        <v>2728.5677099999998</v>
      </c>
      <c r="I114" s="156" t="str">
        <f>IF(I21="","",IFERROR(SUM(I112,I83,I69),""))</f>
        <v/>
      </c>
      <c r="J114" s="294"/>
      <c r="K114" s="294"/>
      <c r="L114" s="294"/>
      <c r="M114" s="294"/>
      <c r="N114" s="294"/>
      <c r="O114" s="294"/>
      <c r="P114" s="294"/>
      <c r="Q114" s="294"/>
      <c r="R114" s="294"/>
      <c r="S114" s="294"/>
      <c r="T114" s="294"/>
      <c r="U114" s="294"/>
      <c r="V114" s="294"/>
      <c r="W114" s="294"/>
      <c r="X114" s="294"/>
      <c r="Y114" s="294"/>
      <c r="Z114" s="294"/>
      <c r="AA114" s="294"/>
      <c r="AB114" s="294"/>
      <c r="AC114" s="294"/>
      <c r="AD114" s="294"/>
      <c r="AE114" s="294"/>
      <c r="AF114" s="294"/>
      <c r="AG114" s="294"/>
      <c r="AH114" s="294"/>
      <c r="AI114" s="294"/>
      <c r="AJ114" s="294"/>
      <c r="AK114" s="294"/>
      <c r="AL114" s="294"/>
      <c r="AM114" s="294"/>
      <c r="AN114" s="294"/>
      <c r="AO114" s="294"/>
      <c r="AP114" s="294"/>
      <c r="AQ114" s="294"/>
      <c r="AR114" s="294"/>
      <c r="AS114" s="294"/>
      <c r="AT114" s="294"/>
      <c r="AU114" s="294"/>
      <c r="AV114" s="294"/>
      <c r="AW114" s="294"/>
      <c r="AX114" s="294"/>
      <c r="AY114" s="294"/>
      <c r="AZ114" s="294"/>
      <c r="BA114" s="294"/>
    </row>
    <row r="115" spans="1:53" s="6" customFormat="1">
      <c r="B115" s="7"/>
      <c r="C115" s="7"/>
      <c r="D115" s="7"/>
      <c r="E115" s="8"/>
      <c r="F115" s="8"/>
      <c r="G115" s="8"/>
      <c r="H115" s="8"/>
      <c r="I115" s="8"/>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296"/>
      <c r="AM115" s="296"/>
      <c r="AN115" s="296"/>
      <c r="AO115" s="296"/>
      <c r="AP115" s="296"/>
      <c r="AQ115" s="296"/>
      <c r="AR115" s="296"/>
      <c r="AS115" s="296"/>
      <c r="AT115" s="296"/>
      <c r="AU115" s="296"/>
      <c r="AV115" s="296"/>
      <c r="AW115" s="296"/>
      <c r="AX115" s="296"/>
      <c r="AY115" s="296"/>
      <c r="AZ115" s="296"/>
      <c r="BA115" s="296"/>
    </row>
    <row r="116" spans="1:53" s="6" customFormat="1">
      <c r="A116" s="74"/>
      <c r="B116" s="89"/>
      <c r="C116" s="90" t="s">
        <v>127</v>
      </c>
      <c r="D116" s="91"/>
      <c r="E116" s="370"/>
      <c r="F116" s="452"/>
      <c r="G116" s="370"/>
      <c r="H116" s="370"/>
      <c r="I116" s="370"/>
      <c r="J116" s="296"/>
      <c r="K116" s="296"/>
      <c r="L116" s="296"/>
      <c r="M116" s="296"/>
      <c r="N116" s="296"/>
      <c r="O116" s="296"/>
      <c r="P116" s="296"/>
      <c r="Q116" s="296"/>
      <c r="R116" s="296"/>
      <c r="S116" s="296"/>
      <c r="T116" s="296"/>
      <c r="U116" s="296"/>
      <c r="V116" s="296"/>
      <c r="W116" s="296"/>
      <c r="X116" s="296"/>
      <c r="Y116" s="296"/>
      <c r="Z116" s="296"/>
      <c r="AA116" s="296"/>
      <c r="AB116" s="296"/>
      <c r="AC116" s="296"/>
      <c r="AD116" s="296"/>
      <c r="AE116" s="296"/>
      <c r="AF116" s="296"/>
      <c r="AG116" s="296"/>
      <c r="AH116" s="296"/>
      <c r="AI116" s="296"/>
      <c r="AJ116" s="296"/>
      <c r="AK116" s="296"/>
      <c r="AL116" s="296"/>
      <c r="AM116" s="296"/>
      <c r="AN116" s="296"/>
      <c r="AO116" s="296"/>
      <c r="AP116" s="296"/>
      <c r="AQ116" s="296"/>
      <c r="AR116" s="296"/>
      <c r="AS116" s="296"/>
      <c r="AT116" s="296"/>
      <c r="AU116" s="296"/>
      <c r="AV116" s="296"/>
      <c r="AW116" s="296"/>
      <c r="AX116" s="296"/>
      <c r="AY116" s="296"/>
      <c r="AZ116" s="296"/>
      <c r="BA116" s="296"/>
    </row>
    <row r="117" spans="1:53" s="13" customFormat="1">
      <c r="A117" s="77"/>
      <c r="B117" s="87" t="s">
        <v>2</v>
      </c>
      <c r="C117" s="88" t="s">
        <v>221</v>
      </c>
      <c r="D117" s="407">
        <f>INDEX('Apoio - Notas Explicativas'!Q:Q,MATCH(C117,'Apoio - Notas Explicativas'!C:C,0))</f>
        <v>4.1999999999999997E-3</v>
      </c>
      <c r="E117" s="99">
        <f t="shared" ref="E117:E122" si="14">IFERROR($D117*E$61,"")</f>
        <v>10.383256799999998</v>
      </c>
      <c r="F117" s="99">
        <f t="shared" ref="F117:H122" si="15">IFERROR($D117*F$61,"")</f>
        <v>10.3832568</v>
      </c>
      <c r="G117" s="99">
        <f t="shared" si="15"/>
        <v>12.251202599999999</v>
      </c>
      <c r="H117" s="99">
        <f t="shared" si="15"/>
        <v>14.136003000000001</v>
      </c>
      <c r="I117" s="137"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77"/>
      <c r="B118" s="87" t="s">
        <v>1</v>
      </c>
      <c r="C118" s="88" t="s">
        <v>31</v>
      </c>
      <c r="D118" s="407">
        <f>INDEX('Apoio - Notas Explicativas'!Q:Q,MATCH(C118,'Apoio - Notas Explicativas'!C:C,0))</f>
        <v>2.9999999999999997E-4</v>
      </c>
      <c r="E118" s="99">
        <f t="shared" si="14"/>
        <v>0.7416611999999998</v>
      </c>
      <c r="F118" s="99">
        <f t="shared" si="15"/>
        <v>0.74166120000000002</v>
      </c>
      <c r="G118" s="99">
        <f t="shared" si="15"/>
        <v>0.87508589999999986</v>
      </c>
      <c r="H118" s="99">
        <f t="shared" si="15"/>
        <v>1.0097144999999998</v>
      </c>
      <c r="I118" s="137"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77"/>
      <c r="B119" s="87" t="s">
        <v>0</v>
      </c>
      <c r="C119" s="88" t="s">
        <v>553</v>
      </c>
      <c r="D119" s="407">
        <f>INDEX('Apoio - Notas Explicativas'!Q:Q,MATCH(C119,'Apoio - Notas Explicativas'!C:C,0))</f>
        <v>1E-4</v>
      </c>
      <c r="E119" s="99">
        <f t="shared" si="14"/>
        <v>0.24722039999999998</v>
      </c>
      <c r="F119" s="99">
        <f t="shared" si="15"/>
        <v>0.24722040000000003</v>
      </c>
      <c r="G119" s="99">
        <f t="shared" si="15"/>
        <v>0.29169529999999999</v>
      </c>
      <c r="H119" s="99">
        <f t="shared" si="15"/>
        <v>0.33657150000000002</v>
      </c>
      <c r="I119" s="137"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77"/>
      <c r="B120" s="87" t="s">
        <v>3</v>
      </c>
      <c r="C120" s="88" t="s">
        <v>32</v>
      </c>
      <c r="D120" s="407">
        <f>INDEX('Apoio - Notas Explicativas'!Q:Q,MATCH(C120,'Apoio - Notas Explicativas'!C:C,0))</f>
        <v>1.0500000000000001E-2</v>
      </c>
      <c r="E120" s="99">
        <f t="shared" si="14"/>
        <v>25.958141999999999</v>
      </c>
      <c r="F120" s="99">
        <f t="shared" si="15"/>
        <v>25.958142000000002</v>
      </c>
      <c r="G120" s="99">
        <f t="shared" si="15"/>
        <v>30.628006500000001</v>
      </c>
      <c r="H120" s="99">
        <f t="shared" si="15"/>
        <v>35.340007500000006</v>
      </c>
      <c r="I120" s="137"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77"/>
      <c r="B121" s="87" t="s">
        <v>7</v>
      </c>
      <c r="C121" s="88" t="s">
        <v>33</v>
      </c>
      <c r="D121" s="407">
        <f>INDEX('Apoio - Notas Explicativas'!Q:Q,MATCH(C121,'Apoio - Notas Explicativas'!C:C,0))</f>
        <v>3.8999999999999998E-3</v>
      </c>
      <c r="E121" s="99">
        <f t="shared" si="14"/>
        <v>9.6415955999999987</v>
      </c>
      <c r="F121" s="99">
        <f t="shared" si="15"/>
        <v>9.6415956000000005</v>
      </c>
      <c r="G121" s="99">
        <f t="shared" si="15"/>
        <v>11.376116699999999</v>
      </c>
      <c r="H121" s="99">
        <f t="shared" si="15"/>
        <v>13.126288499999999</v>
      </c>
      <c r="I121" s="137"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77"/>
      <c r="B122" s="87" t="s">
        <v>6</v>
      </c>
      <c r="C122" s="88" t="s">
        <v>34</v>
      </c>
      <c r="D122" s="407">
        <f>INDEX('Apoio - Notas Explicativas'!Q:Q,MATCH(C122,'Apoio - Notas Explicativas'!C:C,0))</f>
        <v>0.04</v>
      </c>
      <c r="E122" s="99">
        <f t="shared" si="14"/>
        <v>98.888159999999985</v>
      </c>
      <c r="F122" s="99">
        <f t="shared" si="15"/>
        <v>98.888160000000013</v>
      </c>
      <c r="G122" s="99">
        <f t="shared" si="15"/>
        <v>116.67812000000001</v>
      </c>
      <c r="H122" s="99">
        <f t="shared" si="15"/>
        <v>134.62860000000001</v>
      </c>
      <c r="I122" s="137"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3"/>
      <c r="B123" s="157"/>
      <c r="C123" s="90" t="s">
        <v>116</v>
      </c>
      <c r="D123" s="153"/>
      <c r="E123" s="155">
        <f>IF(SUM(E117:E122)=0,"",SUM(E117:E122))</f>
        <v>145.86003599999998</v>
      </c>
      <c r="F123" s="155">
        <f t="shared" ref="F123:H123" si="17">IF(SUM(F117:F122)=0,"",SUM(F117:F122))</f>
        <v>145.86003600000001</v>
      </c>
      <c r="G123" s="155">
        <f t="shared" si="17"/>
        <v>172.10022700000002</v>
      </c>
      <c r="H123" s="155">
        <f t="shared" si="17"/>
        <v>198.57718500000001</v>
      </c>
      <c r="I123" s="156" t="str">
        <f>IF(SUM(I117:I122)=0,"",SUM(I117:I122))</f>
        <v/>
      </c>
      <c r="J123" s="294"/>
      <c r="K123" s="294"/>
      <c r="L123" s="294"/>
      <c r="M123" s="294"/>
      <c r="N123" s="294"/>
      <c r="O123" s="294"/>
      <c r="P123" s="294"/>
      <c r="Q123" s="294"/>
      <c r="R123" s="294"/>
      <c r="S123" s="294"/>
      <c r="T123" s="294"/>
      <c r="U123" s="294"/>
      <c r="V123" s="294"/>
      <c r="W123" s="294"/>
      <c r="X123" s="294"/>
      <c r="Y123" s="294"/>
      <c r="Z123" s="294"/>
      <c r="AA123" s="294"/>
      <c r="AB123" s="294"/>
      <c r="AC123" s="294"/>
      <c r="AD123" s="294"/>
      <c r="AE123" s="294"/>
      <c r="AF123" s="294"/>
      <c r="AG123" s="294"/>
      <c r="AH123" s="294"/>
      <c r="AI123" s="294"/>
      <c r="AJ123" s="294"/>
      <c r="AK123" s="294"/>
      <c r="AL123" s="294"/>
      <c r="AM123" s="294"/>
      <c r="AN123" s="294"/>
      <c r="AO123" s="294"/>
      <c r="AP123" s="294"/>
      <c r="AQ123" s="294"/>
      <c r="AR123" s="294"/>
      <c r="AS123" s="294"/>
      <c r="AT123" s="294"/>
      <c r="AU123" s="294"/>
      <c r="AV123" s="294"/>
      <c r="AW123" s="294"/>
      <c r="AX123" s="294"/>
      <c r="AY123" s="294"/>
      <c r="AZ123" s="294"/>
      <c r="BA123" s="294"/>
    </row>
    <row r="124" spans="1:53" s="18" customFormat="1">
      <c r="A124" s="17"/>
      <c r="D124" s="14"/>
      <c r="E124" s="19"/>
      <c r="F124" s="19"/>
      <c r="G124" s="19"/>
      <c r="H124" s="19"/>
      <c r="I124" s="19"/>
      <c r="J124" s="297"/>
      <c r="K124" s="297"/>
      <c r="L124" s="297"/>
      <c r="M124" s="297"/>
      <c r="N124" s="297"/>
      <c r="O124" s="297"/>
      <c r="P124" s="297"/>
      <c r="Q124" s="297"/>
      <c r="R124" s="297"/>
      <c r="S124" s="297"/>
      <c r="T124" s="297"/>
      <c r="U124" s="297"/>
      <c r="V124" s="297"/>
      <c r="W124" s="297"/>
      <c r="X124" s="297"/>
      <c r="Y124" s="297"/>
      <c r="Z124" s="297"/>
      <c r="AA124" s="297"/>
      <c r="AB124" s="297"/>
      <c r="AC124" s="297"/>
      <c r="AD124" s="297"/>
      <c r="AE124" s="297"/>
      <c r="AF124" s="297"/>
      <c r="AG124" s="297"/>
      <c r="AH124" s="297"/>
      <c r="AI124" s="297"/>
      <c r="AJ124" s="297"/>
      <c r="AK124" s="297"/>
      <c r="AL124" s="297"/>
      <c r="AM124" s="297"/>
      <c r="AN124" s="297"/>
      <c r="AO124" s="297"/>
      <c r="AP124" s="297"/>
      <c r="AQ124" s="297"/>
      <c r="AR124" s="297"/>
      <c r="AS124" s="297"/>
      <c r="AT124" s="297"/>
      <c r="AU124" s="297"/>
      <c r="AV124" s="297"/>
      <c r="AW124" s="297"/>
      <c r="AX124" s="297"/>
      <c r="AY124" s="297"/>
      <c r="AZ124" s="297"/>
      <c r="BA124" s="297"/>
    </row>
    <row r="125" spans="1:53" s="6" customFormat="1">
      <c r="A125" s="74"/>
      <c r="B125" s="89"/>
      <c r="C125" s="90" t="s">
        <v>128</v>
      </c>
      <c r="D125" s="91"/>
      <c r="E125" s="370"/>
      <c r="F125" s="370"/>
      <c r="G125" s="370"/>
      <c r="H125" s="370"/>
      <c r="I125" s="370"/>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6"/>
      <c r="AK125" s="296"/>
      <c r="AL125" s="296"/>
      <c r="AM125" s="296"/>
      <c r="AN125" s="296"/>
      <c r="AO125" s="296"/>
      <c r="AP125" s="296"/>
      <c r="AQ125" s="296"/>
      <c r="AR125" s="296"/>
      <c r="AS125" s="296"/>
      <c r="AT125" s="296"/>
      <c r="AU125" s="296"/>
      <c r="AV125" s="296"/>
      <c r="AW125" s="296"/>
      <c r="AX125" s="296"/>
      <c r="AY125" s="296"/>
      <c r="AZ125" s="296"/>
      <c r="BA125" s="296"/>
    </row>
    <row r="126" spans="1:53" customFormat="1" ht="3.75" customHeight="1">
      <c r="J126" s="42"/>
      <c r="K126" s="42"/>
      <c r="L126" s="42"/>
      <c r="M126" s="42"/>
      <c r="N126" s="42"/>
      <c r="O126" s="42"/>
      <c r="P126" s="42"/>
      <c r="Q126" s="42"/>
      <c r="R126" s="42"/>
      <c r="S126" s="42"/>
      <c r="T126" s="42"/>
      <c r="U126" s="42"/>
      <c r="V126" s="42"/>
      <c r="W126" s="42"/>
      <c r="X126" s="42"/>
      <c r="Y126" s="42"/>
      <c r="Z126" s="42"/>
      <c r="AA126" s="42"/>
      <c r="AB126" s="42"/>
      <c r="AC126" s="42"/>
      <c r="AD126" s="42"/>
      <c r="AE126" s="42"/>
      <c r="AF126" s="42"/>
      <c r="AG126" s="42"/>
      <c r="AH126" s="42"/>
      <c r="AI126" s="42"/>
      <c r="AJ126" s="42"/>
      <c r="AK126" s="42"/>
      <c r="AL126" s="42"/>
      <c r="AM126" s="42"/>
      <c r="AN126" s="42"/>
      <c r="AO126" s="42"/>
      <c r="AP126" s="42"/>
      <c r="AQ126" s="42"/>
      <c r="AR126" s="42"/>
      <c r="AS126" s="42"/>
      <c r="AT126" s="42"/>
      <c r="AU126" s="42"/>
      <c r="AV126" s="42"/>
      <c r="AW126" s="42"/>
      <c r="AX126" s="42"/>
      <c r="AY126" s="42"/>
      <c r="AZ126" s="42"/>
      <c r="BA126" s="42"/>
    </row>
    <row r="127" spans="1:53" s="6" customFormat="1">
      <c r="A127" s="75"/>
      <c r="B127" s="171"/>
      <c r="C127" s="172" t="s">
        <v>179</v>
      </c>
      <c r="D127" s="173"/>
      <c r="E127" s="176"/>
      <c r="F127" s="174"/>
      <c r="G127" s="174"/>
      <c r="H127" s="174"/>
      <c r="I127" s="174"/>
      <c r="J127" s="296"/>
      <c r="K127" s="296"/>
      <c r="L127" s="296"/>
      <c r="M127" s="296"/>
      <c r="N127" s="296"/>
      <c r="O127" s="296"/>
      <c r="P127" s="296"/>
      <c r="Q127" s="296"/>
      <c r="R127" s="296"/>
      <c r="S127" s="296"/>
      <c r="T127" s="296"/>
      <c r="U127" s="296"/>
      <c r="V127" s="296"/>
      <c r="W127" s="296"/>
      <c r="X127" s="296"/>
      <c r="Y127" s="296"/>
      <c r="Z127" s="296"/>
      <c r="AA127" s="296"/>
      <c r="AB127" s="296"/>
      <c r="AC127" s="296"/>
      <c r="AD127" s="296"/>
      <c r="AE127" s="296"/>
      <c r="AF127" s="296"/>
      <c r="AG127" s="296"/>
      <c r="AH127" s="296"/>
      <c r="AI127" s="296"/>
      <c r="AJ127" s="296"/>
      <c r="AK127" s="296"/>
      <c r="AL127" s="296"/>
      <c r="AM127" s="296"/>
      <c r="AN127" s="296"/>
      <c r="AO127" s="296"/>
      <c r="AP127" s="296"/>
      <c r="AQ127" s="296"/>
      <c r="AR127" s="296"/>
      <c r="AS127" s="296"/>
      <c r="AT127" s="296"/>
      <c r="AU127" s="296"/>
      <c r="AV127" s="296"/>
      <c r="AW127" s="296"/>
      <c r="AX127" s="296"/>
      <c r="AY127" s="296"/>
      <c r="AZ127" s="296"/>
      <c r="BA127" s="296"/>
    </row>
    <row r="128" spans="1:53" s="13" customFormat="1">
      <c r="A128" s="78"/>
      <c r="B128" s="87" t="s">
        <v>2</v>
      </c>
      <c r="C128" s="88" t="s">
        <v>35</v>
      </c>
      <c r="D128" s="407">
        <f>INDEX('Apoio - Notas Explicativas'!$Q:$Q,MATCH(C128,'Apoio - Notas Explicativas'!$C:$C,0))</f>
        <v>1.6199999999999999E-2</v>
      </c>
      <c r="E128" s="99">
        <f>IF(E21="","",IFERROR($D128*SUM(E$61),""))</f>
        <v>40.049704799999994</v>
      </c>
      <c r="F128" s="137">
        <f>IF(F21="","",IFERROR($D128*SUM(F$61),""))</f>
        <v>40.049704800000001</v>
      </c>
      <c r="G128" s="137">
        <f>IF(G21="","",IFERROR($D128*SUM(G$61),""))</f>
        <v>47.2546386</v>
      </c>
      <c r="H128" s="137">
        <f>IF(H21="","",IFERROR($D128*SUM(H$61),""))</f>
        <v>54.524583</v>
      </c>
      <c r="I128" s="137"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78"/>
      <c r="B129" s="87" t="s">
        <v>1</v>
      </c>
      <c r="C129" s="88" t="s">
        <v>187</v>
      </c>
      <c r="D129" s="407">
        <f>INDEX('Apoio - Notas Explicativas'!$Q:$Q,MATCH(C129,'Apoio - Notas Explicativas'!$C:$C,0))</f>
        <v>1.37E-2</v>
      </c>
      <c r="E129" s="99">
        <f>IFERROR($D129*(E61+E66+E67),"")</f>
        <v>40.453366269119996</v>
      </c>
      <c r="F129" s="137">
        <f t="shared" ref="F129:H129" si="18">IFERROR($D129*(F61+F66+F67),"")</f>
        <v>40.453366269120004</v>
      </c>
      <c r="G129" s="137">
        <f t="shared" si="18"/>
        <v>47.730918685840003</v>
      </c>
      <c r="H129" s="137">
        <f t="shared" si="18"/>
        <v>55.074136945200003</v>
      </c>
      <c r="I129" s="137"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78"/>
      <c r="B130" s="87" t="s">
        <v>0</v>
      </c>
      <c r="C130" s="88" t="s">
        <v>36</v>
      </c>
      <c r="D130" s="407">
        <f>INDEX('Apoio - Notas Explicativas'!$Q:$Q,MATCH(C130,'Apoio - Notas Explicativas'!$C:$C,0))</f>
        <v>2.0000000000000001E-4</v>
      </c>
      <c r="E130" s="99">
        <f>IFERROR($D130*(E61+E66+E67),"")</f>
        <v>0.59056009152</v>
      </c>
      <c r="F130" s="137">
        <f t="shared" ref="F130:H130" si="19">IFERROR($D130*(F61+F66+F67),"")</f>
        <v>0.59056009152000011</v>
      </c>
      <c r="G130" s="137">
        <f t="shared" si="19"/>
        <v>0.69680173264000012</v>
      </c>
      <c r="H130" s="137">
        <f t="shared" si="19"/>
        <v>0.80400199920000004</v>
      </c>
      <c r="I130" s="137"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78"/>
      <c r="B131" s="87" t="s">
        <v>3</v>
      </c>
      <c r="C131" s="88" t="s">
        <v>37</v>
      </c>
      <c r="D131" s="407">
        <f>INDEX('Apoio - Notas Explicativas'!$Q:$Q,MATCH(C131,'Apoio - Notas Explicativas'!$C:$C,0))</f>
        <v>8.0999999999999996E-3</v>
      </c>
      <c r="E131" s="99">
        <f>IFERROR($D131*(E61+E66+E67),"")</f>
        <v>23.917683706559998</v>
      </c>
      <c r="F131" s="137">
        <f t="shared" ref="F131:H131" si="20">IFERROR($D131*(F61+F66+F67),"")</f>
        <v>23.917683706560002</v>
      </c>
      <c r="G131" s="137">
        <f t="shared" si="20"/>
        <v>28.220470171919999</v>
      </c>
      <c r="H131" s="137">
        <f t="shared" si="20"/>
        <v>32.562080967600004</v>
      </c>
      <c r="I131" s="137"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78"/>
      <c r="B132" s="87" t="s">
        <v>7</v>
      </c>
      <c r="C132" s="88" t="s">
        <v>188</v>
      </c>
      <c r="D132" s="407">
        <f>INDEX('Apoio - Notas Explicativas'!$Q:$Q,MATCH(C132,'Apoio - Notas Explicativas'!$C:$C,0))</f>
        <v>2.9999999999999997E-4</v>
      </c>
      <c r="E132" s="99">
        <f>IFERROR($D132*(E61+E66+E67),"")</f>
        <v>0.88584013727999988</v>
      </c>
      <c r="F132" s="137">
        <f t="shared" ref="F132:H132" si="21">IFERROR($D132*(F61+F66+F67),"")</f>
        <v>0.88584013728</v>
      </c>
      <c r="G132" s="137">
        <f t="shared" si="21"/>
        <v>1.04520259896</v>
      </c>
      <c r="H132" s="137">
        <f t="shared" si="21"/>
        <v>1.2060029988000001</v>
      </c>
      <c r="I132" s="137"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78"/>
      <c r="B133" s="87" t="s">
        <v>6</v>
      </c>
      <c r="C133" s="88" t="s">
        <v>38</v>
      </c>
      <c r="D133" s="407">
        <f>INDEX('Apoio - Notas Explicativas'!$Q:$Q,MATCH(C133,'Apoio - Notas Explicativas'!$C:$C,0))</f>
        <v>6.9999999999999999E-4</v>
      </c>
      <c r="E133" s="99">
        <f>IFERROR((E$61+E67)*$D$133,"")</f>
        <v>1.9228061050799998</v>
      </c>
      <c r="F133" s="137">
        <f t="shared" ref="F133:H133" si="22">IFERROR((F$61+F67)*$D$133,"")</f>
        <v>1.92280610508</v>
      </c>
      <c r="G133" s="137">
        <f t="shared" si="22"/>
        <v>2.2687185348100001</v>
      </c>
      <c r="H133" s="137">
        <f t="shared" si="22"/>
        <v>2.6177521555499998</v>
      </c>
      <c r="I133" s="137"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78"/>
      <c r="B134" s="87" t="s">
        <v>5</v>
      </c>
      <c r="C134" s="88" t="s">
        <v>92</v>
      </c>
      <c r="D134" s="407">
        <f>SUM(D128:D133)*SUM(D81:D82,D72:D77)</f>
        <v>1.4425600000000002E-2</v>
      </c>
      <c r="E134" s="99">
        <f>IF(E18="","",SUM(E128:E133)*SUM($D$72:$D$77,$D$81:$D$82))</f>
        <v>39.677745688318083</v>
      </c>
      <c r="F134" s="137">
        <f>IF(F18="","",SUM(F128:F133)*SUM($D$72:$D$77,$D$81:$D$82))</f>
        <v>39.677745688318097</v>
      </c>
      <c r="G134" s="137">
        <f>IF(G18="","",SUM(G128:G133)*SUM($D$72:$D$77,$D$81:$D$82))</f>
        <v>46.815764119294577</v>
      </c>
      <c r="H134" s="137">
        <f>IF(H18="","",SUM(H128:H133)*SUM($D$72:$D$77,$D$81:$D$82))</f>
        <v>54.018189368416813</v>
      </c>
      <c r="I134" s="137"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78"/>
      <c r="B135" s="87" t="s">
        <v>4</v>
      </c>
      <c r="C135" s="88" t="s">
        <v>89</v>
      </c>
      <c r="D135" s="414">
        <f>INDEX('Apoio - Notas Explicativas'!$Q:$Q,MATCH(C135,'Apoio - Notas Explicativas'!$C:$C,0))</f>
        <v>37.96</v>
      </c>
      <c r="E135" s="99">
        <f>IFERROR(((E112-SUM(E91,E96))/(30*12))*$D$135,"")</f>
        <v>2.6909422222222203</v>
      </c>
      <c r="F135" s="137">
        <f t="shared" ref="F135:H135" si="23">IFERROR(((F112-SUM(F91,F96))/(30*12))*$D$135,"")</f>
        <v>2.6909422222222203</v>
      </c>
      <c r="G135" s="137">
        <f t="shared" si="23"/>
        <v>2.6909422222222203</v>
      </c>
      <c r="H135" s="137">
        <f t="shared" si="23"/>
        <v>2.6909422222222203</v>
      </c>
      <c r="I135" s="137"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78"/>
      <c r="B136" s="87" t="s">
        <v>113</v>
      </c>
      <c r="C136" s="88" t="s">
        <v>39</v>
      </c>
      <c r="D136" s="414">
        <f>INDEX('Apoio - Notas Explicativas'!$Q:$Q,MATCH(C136,'Apoio - Notas Explicativas'!$C:$C,0))</f>
        <v>37.96</v>
      </c>
      <c r="E136" s="99">
        <f>IFERROR(((((E$123/12)*$D$136))/30),"")</f>
        <v>15.380130462666665</v>
      </c>
      <c r="F136" s="137">
        <f t="shared" ref="F136:H136" si="24">IFERROR(((((F$123/12)*$D$136))/30),"")</f>
        <v>15.380130462666669</v>
      </c>
      <c r="G136" s="137">
        <f t="shared" si="24"/>
        <v>18.147012824777782</v>
      </c>
      <c r="H136" s="137">
        <f t="shared" si="24"/>
        <v>20.938860951666665</v>
      </c>
      <c r="I136" s="137"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76"/>
      <c r="B137" s="171"/>
      <c r="C137" s="172" t="s">
        <v>120</v>
      </c>
      <c r="D137" s="175"/>
      <c r="E137" s="176">
        <f>IF(SUM(E128:E136)=0,"",SUM(E128:E136))</f>
        <v>165.56877948276696</v>
      </c>
      <c r="F137" s="174">
        <f t="shared" ref="F137:H137" si="25">IF(SUM(F128:F136)=0,"",SUM(F128:F136))</f>
        <v>165.56877948276698</v>
      </c>
      <c r="G137" s="176">
        <f t="shared" si="25"/>
        <v>194.87046949046459</v>
      </c>
      <c r="H137" s="174">
        <f t="shared" si="25"/>
        <v>224.43655060865569</v>
      </c>
      <c r="I137" s="174" t="str">
        <f>IF(SUM(I128:I136)=0,"",SUM(I128:I136))</f>
        <v/>
      </c>
      <c r="J137" s="294"/>
      <c r="K137" s="294"/>
      <c r="L137" s="294"/>
      <c r="M137" s="294"/>
      <c r="N137" s="294"/>
      <c r="O137" s="294"/>
      <c r="P137" s="294"/>
      <c r="Q137" s="294"/>
      <c r="R137" s="294"/>
      <c r="S137" s="294"/>
      <c r="T137" s="294"/>
      <c r="U137" s="294"/>
      <c r="V137" s="294"/>
      <c r="W137" s="294"/>
      <c r="X137" s="294"/>
      <c r="Y137" s="294"/>
      <c r="Z137" s="294"/>
      <c r="AA137" s="294"/>
      <c r="AB137" s="294"/>
      <c r="AC137" s="294"/>
      <c r="AD137" s="294"/>
      <c r="AE137" s="294"/>
      <c r="AF137" s="294"/>
      <c r="AG137" s="294"/>
      <c r="AH137" s="294"/>
      <c r="AI137" s="294"/>
      <c r="AJ137" s="294"/>
      <c r="AK137" s="294"/>
      <c r="AL137" s="294"/>
      <c r="AM137" s="294"/>
      <c r="AN137" s="294"/>
      <c r="AO137" s="294"/>
      <c r="AP137" s="294"/>
      <c r="AQ137" s="294"/>
      <c r="AR137" s="294"/>
      <c r="AS137" s="294"/>
      <c r="AT137" s="294"/>
      <c r="AU137" s="294"/>
      <c r="AV137" s="294"/>
      <c r="AW137" s="294"/>
      <c r="AX137" s="294"/>
      <c r="AY137" s="294"/>
      <c r="AZ137" s="294"/>
      <c r="BA137" s="294"/>
    </row>
    <row r="138" spans="1:53" customFormat="1">
      <c r="J138" s="42"/>
      <c r="K138" s="42"/>
      <c r="L138" s="42"/>
      <c r="M138" s="42"/>
      <c r="N138" s="42"/>
      <c r="O138" s="42"/>
      <c r="P138" s="42"/>
      <c r="Q138" s="42"/>
      <c r="R138" s="42"/>
      <c r="S138" s="42"/>
      <c r="T138" s="42"/>
      <c r="U138" s="42"/>
      <c r="V138" s="42"/>
      <c r="W138" s="42"/>
      <c r="X138" s="42"/>
      <c r="Y138" s="42"/>
      <c r="Z138" s="42"/>
      <c r="AA138" s="42"/>
      <c r="AB138" s="42"/>
      <c r="AC138" s="42"/>
      <c r="AD138" s="42"/>
      <c r="AE138" s="42"/>
      <c r="AF138" s="42"/>
      <c r="AG138" s="42"/>
      <c r="AH138" s="42"/>
      <c r="AI138" s="42"/>
      <c r="AJ138" s="42"/>
      <c r="AK138" s="42"/>
      <c r="AL138" s="42"/>
      <c r="AM138" s="42"/>
      <c r="AN138" s="42"/>
      <c r="AO138" s="42"/>
      <c r="AP138" s="42"/>
      <c r="AQ138" s="42"/>
      <c r="AR138" s="42"/>
      <c r="AS138" s="42"/>
      <c r="AT138" s="42"/>
      <c r="AU138" s="42"/>
      <c r="AV138" s="42"/>
      <c r="AW138" s="42"/>
      <c r="AX138" s="42"/>
      <c r="AY138" s="42"/>
      <c r="AZ138" s="42"/>
      <c r="BA138" s="42"/>
    </row>
    <row r="139" spans="1:53" s="6" customFormat="1">
      <c r="A139" s="75"/>
      <c r="B139" s="171"/>
      <c r="C139" s="172" t="s">
        <v>346</v>
      </c>
      <c r="D139" s="173"/>
      <c r="E139" s="176"/>
      <c r="F139" s="176"/>
      <c r="G139" s="176"/>
      <c r="H139" s="176"/>
      <c r="I139" s="176"/>
      <c r="J139" s="296"/>
      <c r="K139" s="296"/>
      <c r="L139" s="296"/>
      <c r="M139" s="296"/>
      <c r="N139" s="296"/>
      <c r="O139" s="296"/>
      <c r="P139" s="296"/>
      <c r="Q139" s="296"/>
      <c r="R139" s="296"/>
      <c r="S139" s="296"/>
      <c r="T139" s="296"/>
      <c r="U139" s="296"/>
      <c r="V139" s="296"/>
      <c r="W139" s="296"/>
      <c r="X139" s="296"/>
      <c r="Y139" s="296"/>
      <c r="Z139" s="296"/>
      <c r="AA139" s="296"/>
      <c r="AB139" s="296"/>
      <c r="AC139" s="296"/>
      <c r="AD139" s="296"/>
      <c r="AE139" s="296"/>
      <c r="AF139" s="296"/>
      <c r="AG139" s="296"/>
      <c r="AH139" s="296"/>
      <c r="AI139" s="296"/>
      <c r="AJ139" s="296"/>
      <c r="AK139" s="296"/>
      <c r="AL139" s="296"/>
      <c r="AM139" s="296"/>
      <c r="AN139" s="296"/>
      <c r="AO139" s="296"/>
      <c r="AP139" s="296"/>
      <c r="AQ139" s="296"/>
      <c r="AR139" s="296"/>
      <c r="AS139" s="296"/>
      <c r="AT139" s="296"/>
      <c r="AU139" s="296"/>
      <c r="AV139" s="296"/>
      <c r="AW139" s="296"/>
      <c r="AX139" s="296"/>
      <c r="AY139" s="296"/>
      <c r="AZ139" s="296"/>
      <c r="BA139" s="296"/>
    </row>
    <row r="140" spans="1:53" s="13" customFormat="1">
      <c r="A140" s="79"/>
      <c r="B140" s="825" t="s">
        <v>2</v>
      </c>
      <c r="C140" s="135" t="s">
        <v>311</v>
      </c>
      <c r="D140" s="186"/>
      <c r="E140" s="148"/>
      <c r="F140" s="148"/>
      <c r="G140" s="148"/>
      <c r="H140" s="148"/>
      <c r="I140" s="138"/>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c r="A141" s="79"/>
      <c r="B141" s="826"/>
      <c r="C141" s="136" t="s">
        <v>277</v>
      </c>
      <c r="D141" s="179"/>
      <c r="E141" s="180"/>
      <c r="F141" s="180"/>
      <c r="G141" s="180"/>
      <c r="H141" s="180"/>
      <c r="I141" s="181"/>
    </row>
    <row r="142" spans="1:53" s="24" customFormat="1">
      <c r="A142" s="79"/>
      <c r="B142" s="826"/>
      <c r="C142" s="136" t="s">
        <v>695</v>
      </c>
      <c r="D142" s="179"/>
      <c r="E142" s="180" t="str">
        <f>IF(E141="Indenização",60,
IF(E141="Rendição",60,""))</f>
        <v/>
      </c>
      <c r="F142" s="180" t="str">
        <f t="shared" ref="F142:I142" si="26">IF(F141="Indenização",60,
IF(F141="Rendição",60,""))</f>
        <v/>
      </c>
      <c r="G142" s="180" t="str">
        <f t="shared" si="26"/>
        <v/>
      </c>
      <c r="H142" s="180" t="str">
        <f t="shared" si="26"/>
        <v/>
      </c>
      <c r="I142" s="180" t="str">
        <f t="shared" si="26"/>
        <v/>
      </c>
    </row>
    <row r="143" spans="1:53" s="24" customFormat="1">
      <c r="A143" s="79"/>
      <c r="B143" s="827"/>
      <c r="C143" s="221"/>
      <c r="D143" s="222" t="s">
        <v>41</v>
      </c>
      <c r="E143" s="101" t="str">
        <f>IF(E141="Rendição",(((SUM(E61,E$83,E$112,E149)/VLOOKUP(E$26,'Apoio - Regime de Trabalho'!$A:$I,8,FALSE))*(E142/60))*VLOOKUP(E$26,'Apoio - Regime de Trabalho'!$A:$I,7,FALSE)),
IF(E141="Não",0,
IF(E141="Indenização",(((SUM(E32,E42)/VLOOKUP(E$26,'Apoio - Regime de Trabalho'!$A:$I,8,FALSE))*1.5*(E142/60))*VLOOKUP(E$26,'Apoio - Regime de Trabalho'!$A:$I,7,FALSE)),"")))</f>
        <v/>
      </c>
      <c r="F143" s="101" t="str">
        <f>IF(F141="Rendição",(((SUM(F61,F$83,F$112,F149)/VLOOKUP(F$26,'Apoio - Regime de Trabalho'!$A:$I,8,FALSE))*(F142/60))*VLOOKUP(F$26,'Apoio - Regime de Trabalho'!$A:$I,7,FALSE)),
IF(F141="Não",0,
IF(F141="Indenização",(((SUM(F32,F42)/VLOOKUP(F$26,'Apoio - Regime de Trabalho'!$A:$I,8,FALSE))*1.5*(F142/60))*VLOOKUP(F$26,'Apoio - Regime de Trabalho'!$A:$I,7,FALSE)),"")))</f>
        <v/>
      </c>
      <c r="G143" s="101" t="str">
        <f>IF(G141="Rendição",(((SUM(G61,G$83,G$112,G149)/VLOOKUP(G$26,'Apoio - Regime de Trabalho'!$A:$I,8,FALSE))*(G142/60))*VLOOKUP(G$26,'Apoio - Regime de Trabalho'!$A:$I,7,FALSE)),
IF(G141="Não",0,
IF(G141="Indenização",(((SUM(G32,G42)/VLOOKUP(G$26,'Apoio - Regime de Trabalho'!$A:$I,8,FALSE))*1.5*(G142/60))*VLOOKUP(G$26,'Apoio - Regime de Trabalho'!$A:$I,7,FALSE)),"")))</f>
        <v/>
      </c>
      <c r="H143" s="101" t="str">
        <f>IF(H141="Rendição",(((SUM(H61,H$83,H$112,H149)/VLOOKUP(H$26,'Apoio - Regime de Trabalho'!$A:$I,8,FALSE))*(H142/60))*VLOOKUP(H$26,'Apoio - Regime de Trabalho'!$A:$I,7,FALSE)),
IF(H141="Não",0,
IF(H141="Indenização",(((SUM(H32,H42)/VLOOKUP(H$26,'Apoio - Regime de Trabalho'!$A:$I,8,FALSE))*1.5*(H142/60))*VLOOKUP(H$26,'Apoio - Regime de Trabalho'!$A:$I,7,FALSE)),"")))</f>
        <v/>
      </c>
      <c r="I143" s="101" t="str">
        <f>IF(I141="Rendição",(((SUM(I61,I$83,I$112,I149)/VLOOKUP(I$26,'Apoio - Regime de Trabalho'!$A:$I,8,FALSE))*(I142/60))*VLOOKUP(I$26,'Apoio - Regime de Trabalho'!$A:$I,7,FALSE)),
IF(I141="Não",0,
IF(I141="Indenização",(((SUM(I32,I42)/VLOOKUP(I$26,'Apoio - Regime de Trabalho'!$A:$I,8,FALSE))*1.5*(I142/60))*VLOOKUP(I$26,'Apoio - Regime de Trabalho'!$A:$I,7,FALSE)),"")))</f>
        <v/>
      </c>
    </row>
    <row r="144" spans="1:53" s="5" customFormat="1">
      <c r="A144" s="76"/>
      <c r="B144" s="171"/>
      <c r="C144" s="172" t="s">
        <v>121</v>
      </c>
      <c r="D144" s="175"/>
      <c r="E144" s="174" t="str">
        <f>E143</f>
        <v/>
      </c>
      <c r="F144" s="174" t="str">
        <f t="shared" ref="F144:H144" si="27">F143</f>
        <v/>
      </c>
      <c r="G144" s="174" t="str">
        <f t="shared" si="27"/>
        <v/>
      </c>
      <c r="H144" s="174" t="str">
        <f t="shared" si="27"/>
        <v/>
      </c>
      <c r="I144" s="174" t="str">
        <f>I143</f>
        <v/>
      </c>
      <c r="J144" s="294"/>
      <c r="K144" s="294"/>
      <c r="L144" s="294"/>
      <c r="M144" s="294"/>
      <c r="N144" s="294"/>
      <c r="O144" s="294"/>
      <c r="P144" s="294"/>
      <c r="Q144" s="294"/>
      <c r="R144" s="294"/>
      <c r="S144" s="294"/>
      <c r="T144" s="294"/>
      <c r="U144" s="294"/>
      <c r="V144" s="294"/>
      <c r="W144" s="294"/>
      <c r="X144" s="294"/>
      <c r="Y144" s="294"/>
      <c r="Z144" s="294"/>
      <c r="AA144" s="294"/>
      <c r="AB144" s="294"/>
      <c r="AC144" s="294"/>
      <c r="AD144" s="294"/>
      <c r="AE144" s="294"/>
      <c r="AF144" s="294"/>
      <c r="AG144" s="294"/>
      <c r="AH144" s="294"/>
      <c r="AI144" s="294"/>
      <c r="AJ144" s="294"/>
      <c r="AK144" s="294"/>
      <c r="AL144" s="294"/>
      <c r="AM144" s="294"/>
      <c r="AN144" s="294"/>
      <c r="AO144" s="294"/>
      <c r="AP144" s="294"/>
      <c r="AQ144" s="294"/>
      <c r="AR144" s="294"/>
      <c r="AS144" s="294"/>
      <c r="AT144" s="294"/>
      <c r="AU144" s="294"/>
      <c r="AV144" s="294"/>
      <c r="AW144" s="294"/>
      <c r="AX144" s="294"/>
      <c r="AY144" s="294"/>
      <c r="AZ144" s="294"/>
      <c r="BA144" s="294"/>
    </row>
    <row r="145" spans="1:53" customFormat="1" ht="3.75" customHeight="1">
      <c r="J145" s="42"/>
      <c r="K145" s="42"/>
      <c r="L145" s="42"/>
      <c r="M145" s="42"/>
      <c r="N145" s="42"/>
      <c r="O145" s="42"/>
      <c r="P145" s="42"/>
      <c r="Q145" s="42"/>
      <c r="R145" s="42"/>
      <c r="S145" s="42"/>
      <c r="T145" s="42"/>
      <c r="U145" s="42"/>
      <c r="V145" s="42"/>
      <c r="W145" s="42"/>
      <c r="X145" s="42"/>
      <c r="Y145" s="42"/>
      <c r="Z145" s="42"/>
      <c r="AA145" s="42"/>
      <c r="AB145" s="42"/>
      <c r="AC145" s="42"/>
      <c r="AD145" s="42"/>
      <c r="AE145" s="42"/>
      <c r="AF145" s="42"/>
      <c r="AG145" s="42"/>
      <c r="AH145" s="42"/>
      <c r="AI145" s="42"/>
      <c r="AJ145" s="42"/>
      <c r="AK145" s="42"/>
      <c r="AL145" s="42"/>
      <c r="AM145" s="42"/>
      <c r="AN145" s="42"/>
      <c r="AO145" s="42"/>
      <c r="AP145" s="42"/>
      <c r="AQ145" s="42"/>
      <c r="AR145" s="42"/>
      <c r="AS145" s="42"/>
      <c r="AT145" s="42"/>
      <c r="AU145" s="42"/>
      <c r="AV145" s="42"/>
      <c r="AW145" s="42"/>
      <c r="AX145" s="42"/>
      <c r="AY145" s="42"/>
      <c r="AZ145" s="42"/>
      <c r="BA145" s="42"/>
    </row>
    <row r="146" spans="1:53" s="5" customFormat="1">
      <c r="A146" s="73"/>
      <c r="B146" s="157"/>
      <c r="C146" s="90" t="s">
        <v>122</v>
      </c>
      <c r="D146" s="153"/>
      <c r="E146" s="155">
        <f>IF(E144="",E137,SUM(E144,E137))</f>
        <v>165.56877948276696</v>
      </c>
      <c r="F146" s="155">
        <f t="shared" ref="F146:H146" si="28">IF(F144="",F137,SUM(F144,F137))</f>
        <v>165.56877948276698</v>
      </c>
      <c r="G146" s="154">
        <f t="shared" si="28"/>
        <v>194.87046949046459</v>
      </c>
      <c r="H146" s="453">
        <f t="shared" si="28"/>
        <v>224.43655060865569</v>
      </c>
      <c r="I146" s="156" t="str">
        <f>IF(I144="",I137,SUM(I144,I137))</f>
        <v/>
      </c>
      <c r="J146" s="454"/>
      <c r="K146" s="294"/>
      <c r="L146" s="294"/>
      <c r="M146" s="294"/>
      <c r="N146" s="294"/>
      <c r="O146" s="294"/>
      <c r="P146" s="294"/>
      <c r="Q146" s="294"/>
      <c r="R146" s="294"/>
      <c r="S146" s="294"/>
      <c r="T146" s="294"/>
      <c r="U146" s="294"/>
      <c r="V146" s="294"/>
      <c r="W146" s="294"/>
      <c r="X146" s="294"/>
      <c r="Y146" s="294"/>
      <c r="Z146" s="294"/>
      <c r="AA146" s="294"/>
      <c r="AB146" s="294"/>
      <c r="AC146" s="294"/>
      <c r="AD146" s="294"/>
      <c r="AE146" s="294"/>
      <c r="AF146" s="294"/>
      <c r="AG146" s="294"/>
      <c r="AH146" s="294"/>
      <c r="AI146" s="294"/>
      <c r="AJ146" s="294"/>
      <c r="AK146" s="294"/>
      <c r="AL146" s="294"/>
      <c r="AM146" s="294"/>
      <c r="AN146" s="294"/>
      <c r="AO146" s="294"/>
      <c r="AP146" s="294"/>
      <c r="AQ146" s="294"/>
      <c r="AR146" s="294"/>
      <c r="AS146" s="294"/>
      <c r="AT146" s="294"/>
      <c r="AU146" s="294"/>
      <c r="AV146" s="294"/>
      <c r="AW146" s="294"/>
      <c r="AX146" s="294"/>
      <c r="AY146" s="294"/>
      <c r="AZ146" s="294"/>
      <c r="BA146" s="294"/>
    </row>
    <row r="147" spans="1:53" s="5" customFormat="1">
      <c r="B147" s="85"/>
      <c r="C147" s="15"/>
      <c r="D147" s="16"/>
      <c r="E147" s="15"/>
      <c r="F147" s="15"/>
      <c r="G147" s="15"/>
      <c r="H147" s="15"/>
      <c r="I147" s="15"/>
      <c r="J147" s="294"/>
      <c r="K147" s="294"/>
      <c r="L147" s="294"/>
      <c r="M147" s="294"/>
      <c r="N147" s="294"/>
      <c r="O147" s="294"/>
      <c r="P147" s="294"/>
      <c r="Q147" s="294"/>
      <c r="R147" s="294"/>
      <c r="S147" s="294"/>
      <c r="T147" s="294"/>
      <c r="U147" s="294"/>
      <c r="V147" s="294"/>
      <c r="W147" s="294"/>
      <c r="X147" s="294"/>
      <c r="Y147" s="294"/>
      <c r="Z147" s="294"/>
      <c r="AA147" s="294"/>
      <c r="AB147" s="294"/>
      <c r="AC147" s="294"/>
      <c r="AD147" s="294"/>
      <c r="AE147" s="294"/>
      <c r="AF147" s="294"/>
      <c r="AG147" s="294"/>
      <c r="AH147" s="294"/>
      <c r="AI147" s="294"/>
      <c r="AJ147" s="294"/>
      <c r="AK147" s="294"/>
      <c r="AL147" s="294"/>
      <c r="AM147" s="294"/>
      <c r="AN147" s="294"/>
      <c r="AO147" s="294"/>
      <c r="AP147" s="294"/>
      <c r="AQ147" s="294"/>
      <c r="AR147" s="294"/>
      <c r="AS147" s="294"/>
      <c r="AT147" s="294"/>
      <c r="AU147" s="294"/>
      <c r="AV147" s="294"/>
      <c r="AW147" s="294"/>
      <c r="AX147" s="294"/>
      <c r="AY147" s="294"/>
      <c r="AZ147" s="294"/>
      <c r="BA147" s="294"/>
    </row>
    <row r="148" spans="1:53" s="6" customFormat="1">
      <c r="A148" s="74"/>
      <c r="B148" s="89"/>
      <c r="C148" s="90" t="s">
        <v>490</v>
      </c>
      <c r="D148" s="91"/>
      <c r="E148" s="370"/>
      <c r="F148" s="370"/>
      <c r="G148" s="370"/>
      <c r="H148" s="370"/>
      <c r="I148" s="370"/>
      <c r="J148" s="296"/>
      <c r="K148" s="296"/>
      <c r="L148" s="296"/>
      <c r="M148" s="296"/>
      <c r="N148" s="296"/>
      <c r="O148" s="296"/>
      <c r="P148" s="296"/>
      <c r="Q148" s="296"/>
      <c r="R148" s="296"/>
      <c r="S148" s="296"/>
      <c r="T148" s="296"/>
      <c r="U148" s="296"/>
      <c r="V148" s="296"/>
      <c r="W148" s="296"/>
      <c r="X148" s="296"/>
      <c r="Y148" s="296"/>
      <c r="Z148" s="296"/>
      <c r="AA148" s="296"/>
      <c r="AB148" s="296"/>
      <c r="AC148" s="296"/>
      <c r="AD148" s="296"/>
      <c r="AE148" s="296"/>
      <c r="AF148" s="296"/>
      <c r="AG148" s="296"/>
      <c r="AH148" s="296"/>
      <c r="AI148" s="296"/>
      <c r="AJ148" s="296"/>
      <c r="AK148" s="296"/>
      <c r="AL148" s="296"/>
      <c r="AM148" s="296"/>
      <c r="AN148" s="296"/>
      <c r="AO148" s="296"/>
      <c r="AP148" s="296"/>
      <c r="AQ148" s="296"/>
      <c r="AR148" s="296"/>
      <c r="AS148" s="296"/>
      <c r="AT148" s="296"/>
      <c r="AU148" s="296"/>
      <c r="AV148" s="296"/>
      <c r="AW148" s="296"/>
      <c r="AX148" s="296"/>
      <c r="AY148" s="296"/>
      <c r="AZ148" s="296"/>
      <c r="BA148" s="296"/>
    </row>
    <row r="149" spans="1:53" s="6" customFormat="1">
      <c r="A149" s="78"/>
      <c r="B149" s="87" t="s">
        <v>2</v>
      </c>
      <c r="C149" s="313" t="s">
        <v>224</v>
      </c>
      <c r="D149" s="407"/>
      <c r="E149" s="99">
        <f>IF(E18="","",ROUND(IF($D$149&lt;&gt;"",$D$149*SUM(E61,E114,E123,E146),IFERROR('Mat Individual e Uniformes'!J4/Proposta!$J$6,"")),2))</f>
        <v>45.43</v>
      </c>
      <c r="F149" s="99">
        <f>IF(F18="","",ROUND(IF($D$149&lt;&gt;"",$D$149*SUM(F61,F114,F123,F146),IFERROR('Mat Individual e Uniformes'!K4/Proposta!$J$6,"")),2))</f>
        <v>45.43</v>
      </c>
      <c r="G149" s="99">
        <f>IF(G18="","",ROUND(IF($D$149&lt;&gt;"",$D$149*SUM(G61,G114,G123,G146),IFERROR('Mat Individual e Uniformes'!L4/Proposta!$J$6,"")),2))</f>
        <v>44.51</v>
      </c>
      <c r="H149" s="99">
        <f>IF(H18="","",ROUND(IF($D$149&lt;&gt;"",$D$149*SUM(H61,H114,H123,H146),IFERROR('Mat Individual e Uniformes'!M4/Proposta!$J$6,"")),2))</f>
        <v>72.28</v>
      </c>
      <c r="I149" s="99" t="str">
        <f>IF(I18="","",IF($D$149&lt;&gt;"",$D$149*I180,IFERROR('Mat Individual e Uniformes'!N4,"")))</f>
        <v/>
      </c>
      <c r="J149" s="296"/>
      <c r="K149" s="296"/>
      <c r="L149" s="296"/>
      <c r="M149" s="296"/>
      <c r="N149" s="296"/>
      <c r="O149" s="296"/>
      <c r="P149" s="296"/>
      <c r="Q149" s="296"/>
      <c r="R149" s="296"/>
      <c r="S149" s="296"/>
      <c r="T149" s="296"/>
      <c r="U149" s="296"/>
      <c r="V149" s="296"/>
      <c r="W149" s="296"/>
      <c r="X149" s="296"/>
      <c r="Y149" s="296"/>
      <c r="Z149" s="296"/>
      <c r="AA149" s="296"/>
      <c r="AB149" s="296"/>
      <c r="AC149" s="296"/>
      <c r="AD149" s="296"/>
      <c r="AE149" s="296"/>
      <c r="AF149" s="296"/>
      <c r="AG149" s="296"/>
      <c r="AH149" s="296"/>
      <c r="AI149" s="296"/>
      <c r="AJ149" s="296"/>
      <c r="AK149" s="296"/>
      <c r="AL149" s="296"/>
      <c r="AM149" s="296"/>
      <c r="AN149" s="296"/>
      <c r="AO149" s="296"/>
      <c r="AP149" s="296"/>
      <c r="AQ149" s="296"/>
      <c r="AR149" s="296"/>
      <c r="AS149" s="296"/>
      <c r="AT149" s="296"/>
      <c r="AU149" s="296"/>
      <c r="AV149" s="296"/>
      <c r="AW149" s="296"/>
      <c r="AX149" s="296"/>
      <c r="AY149" s="296"/>
      <c r="AZ149" s="296"/>
      <c r="BA149" s="296"/>
    </row>
    <row r="150" spans="1:53" s="6" customFormat="1">
      <c r="A150" s="78"/>
      <c r="B150" s="87" t="s">
        <v>1</v>
      </c>
      <c r="C150" s="313" t="s">
        <v>225</v>
      </c>
      <c r="D150" s="407">
        <f>12%/88%</f>
        <v>0.13636363636363635</v>
      </c>
      <c r="E150" s="99">
        <f>IFERROR(
        IF(OR(E18="",$D$150="Não"),       "",
        IF($D$150="Sim",                  'Mat Coletivo e Equipamentos'!$I$4/SUM($E$29:$XX$29),
        ROUND(IF($D$150&lt;&gt;"",$D$150*SUM(E61,E114,E123,E146,E149),
0),2))),0)</f>
        <v>684.52</v>
      </c>
      <c r="F150" s="99">
        <f>IFERROR(
        IF(OR(F18="",$D$150="Não"),       "",
        IF($D$150="Sim",                  'Mat Coletivo e Equipamentos'!$I$4/SUM($E$29:$XX$29),
        ROUND(IF($D$150&lt;&gt;"",$D$150*SUM(F61,F114,F123,F146,F149),
0),2))),0)</f>
        <v>684.52</v>
      </c>
      <c r="G150" s="99">
        <f>IFERROR(
        IF(OR(G18="",$D$150="Não"),       "",
        IF($D$150="Sim",                  'Mat Coletivo e Equipamentos'!$I$4/SUM($E$29:$XX$29),
        ROUND(IF($D$150&lt;&gt;"",$D$150*SUM(G61,G114,G123,G146,G149),
0),2))),0)</f>
        <v>787.16</v>
      </c>
      <c r="H150" s="99">
        <f>IFERROR(
        IF(OR(H18="",$D$150="Não"),       "",
        IF($D$150="Sim",                  'Mat Coletivo e Equipamentos'!$I$4/SUM($E$29:$XX$29),
        ROUND(IF($D$150&lt;&gt;"",$D$150*SUM(H61,H114,H123,H146,H149),
0),2))),0)</f>
        <v>898.58</v>
      </c>
      <c r="I150" s="99" t="str">
        <f>IFERROR(
IF(I18="","",
IF($D$150&lt;&gt;"",$D$150*SUM(I149,I180),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50" s="296"/>
      <c r="K150" s="296"/>
      <c r="L150" s="296"/>
      <c r="M150" s="296"/>
      <c r="N150" s="296"/>
      <c r="O150" s="296"/>
      <c r="P150" s="296"/>
      <c r="Q150" s="296"/>
      <c r="R150" s="296"/>
      <c r="S150" s="296"/>
      <c r="T150" s="296"/>
      <c r="U150" s="296"/>
      <c r="V150" s="296"/>
      <c r="W150" s="296"/>
      <c r="X150" s="296"/>
      <c r="Y150" s="296"/>
      <c r="Z150" s="296"/>
      <c r="AA150" s="296"/>
      <c r="AB150" s="296"/>
      <c r="AC150" s="296"/>
      <c r="AD150" s="296"/>
      <c r="AE150" s="296"/>
      <c r="AF150" s="296"/>
      <c r="AG150" s="296"/>
      <c r="AH150" s="296"/>
      <c r="AI150" s="296"/>
      <c r="AJ150" s="296"/>
      <c r="AK150" s="296"/>
      <c r="AL150" s="296"/>
      <c r="AM150" s="296"/>
      <c r="AN150" s="296"/>
      <c r="AO150" s="296"/>
      <c r="AP150" s="296"/>
      <c r="AQ150" s="296"/>
      <c r="AR150" s="296"/>
      <c r="AS150" s="296"/>
      <c r="AT150" s="296"/>
      <c r="AU150" s="296"/>
      <c r="AV150" s="296"/>
      <c r="AW150" s="296"/>
      <c r="AX150" s="296"/>
      <c r="AY150" s="296"/>
      <c r="AZ150" s="296"/>
      <c r="BA150" s="296"/>
    </row>
    <row r="151" spans="1:53" s="5" customFormat="1">
      <c r="A151" s="73"/>
      <c r="B151" s="157"/>
      <c r="C151" s="90" t="s">
        <v>219</v>
      </c>
      <c r="D151" s="153"/>
      <c r="E151" s="155">
        <f>IF(E18="","",SUM(E149:E150))</f>
        <v>729.94999999999993</v>
      </c>
      <c r="F151" s="155">
        <f>IF(F18="","",SUM(F149:F150))</f>
        <v>729.94999999999993</v>
      </c>
      <c r="G151" s="155">
        <f>IF(G18="","",SUM(G149:G150))</f>
        <v>831.67</v>
      </c>
      <c r="H151" s="155">
        <f>IF(H18="","",SUM(H149:H150))</f>
        <v>970.86</v>
      </c>
      <c r="I151" s="155" t="str">
        <f>IF(I18="","",SUM(#REF!,#REF!))</f>
        <v/>
      </c>
      <c r="J151" s="294"/>
      <c r="K151" s="294"/>
      <c r="L151" s="294"/>
      <c r="M151" s="294"/>
      <c r="N151" s="294"/>
      <c r="O151" s="294"/>
      <c r="P151" s="294"/>
      <c r="Q151" s="294"/>
      <c r="R151" s="294"/>
      <c r="S151" s="294"/>
      <c r="T151" s="294"/>
      <c r="U151" s="294"/>
      <c r="V151" s="294"/>
      <c r="W151" s="294"/>
      <c r="X151" s="294"/>
      <c r="Y151" s="294"/>
      <c r="Z151" s="294"/>
      <c r="AA151" s="294"/>
      <c r="AB151" s="294"/>
      <c r="AC151" s="294"/>
      <c r="AD151" s="294"/>
      <c r="AE151" s="294"/>
      <c r="AF151" s="294"/>
      <c r="AG151" s="294"/>
      <c r="AH151" s="294"/>
      <c r="AI151" s="294"/>
      <c r="AJ151" s="294"/>
      <c r="AK151" s="294"/>
      <c r="AL151" s="294"/>
      <c r="AM151" s="294"/>
      <c r="AN151" s="294"/>
      <c r="AO151" s="294"/>
      <c r="AP151" s="294"/>
      <c r="AQ151" s="294"/>
      <c r="AR151" s="294"/>
      <c r="AS151" s="294"/>
      <c r="AT151" s="294"/>
      <c r="AU151" s="294"/>
      <c r="AV151" s="294"/>
      <c r="AW151" s="294"/>
      <c r="AX151" s="294"/>
      <c r="AY151" s="294"/>
      <c r="AZ151" s="294"/>
      <c r="BA151" s="294"/>
    </row>
    <row r="152" spans="1:53">
      <c r="F152" s="9"/>
      <c r="G152" s="9"/>
      <c r="H152" s="9"/>
      <c r="I152" s="9"/>
    </row>
    <row r="153" spans="1:53" s="6" customFormat="1">
      <c r="A153" s="74"/>
      <c r="B153" s="89"/>
      <c r="C153" s="90" t="s">
        <v>226</v>
      </c>
      <c r="D153" s="91"/>
      <c r="E153" s="370"/>
      <c r="F153" s="370"/>
      <c r="G153" s="370"/>
      <c r="H153" s="370"/>
      <c r="I153" s="370"/>
      <c r="J153" s="296"/>
      <c r="K153" s="296"/>
      <c r="L153" s="296"/>
      <c r="M153" s="296"/>
      <c r="N153" s="296"/>
      <c r="O153" s="296"/>
      <c r="P153" s="296"/>
      <c r="Q153" s="296"/>
      <c r="R153" s="296"/>
      <c r="S153" s="296"/>
      <c r="T153" s="296"/>
      <c r="U153" s="296"/>
      <c r="V153" s="296"/>
      <c r="W153" s="296"/>
      <c r="X153" s="296"/>
      <c r="Y153" s="296"/>
      <c r="Z153" s="296"/>
      <c r="AA153" s="296"/>
      <c r="AB153" s="296"/>
      <c r="AC153" s="296"/>
      <c r="AD153" s="296"/>
      <c r="AE153" s="296"/>
      <c r="AF153" s="296"/>
      <c r="AG153" s="296"/>
      <c r="AH153" s="296"/>
      <c r="AI153" s="296"/>
      <c r="AJ153" s="296"/>
      <c r="AK153" s="296"/>
      <c r="AL153" s="296"/>
      <c r="AM153" s="296"/>
      <c r="AN153" s="296"/>
      <c r="AO153" s="296"/>
      <c r="AP153" s="296"/>
      <c r="AQ153" s="296"/>
      <c r="AR153" s="296"/>
      <c r="AS153" s="296"/>
      <c r="AT153" s="296"/>
      <c r="AU153" s="296"/>
      <c r="AV153" s="296"/>
      <c r="AW153" s="296"/>
      <c r="AX153" s="296"/>
      <c r="AY153" s="296"/>
      <c r="AZ153" s="296"/>
      <c r="BA153" s="296"/>
    </row>
    <row r="154" spans="1:53" customFormat="1" ht="3.75" customHeight="1">
      <c r="J154" s="42"/>
      <c r="K154" s="42"/>
      <c r="L154" s="42"/>
      <c r="M154" s="42"/>
      <c r="N154" s="42"/>
      <c r="O154" s="42"/>
      <c r="P154" s="42"/>
      <c r="Q154" s="42"/>
      <c r="R154" s="42"/>
      <c r="S154" s="42"/>
      <c r="T154" s="42"/>
      <c r="U154" s="42"/>
      <c r="V154" s="42"/>
      <c r="W154" s="42"/>
      <c r="X154" s="42"/>
      <c r="Y154" s="42"/>
      <c r="Z154" s="42"/>
      <c r="AA154" s="42"/>
      <c r="AB154" s="42"/>
      <c r="AC154" s="42"/>
      <c r="AD154" s="42"/>
      <c r="AE154" s="42"/>
      <c r="AF154" s="42"/>
      <c r="AG154" s="42"/>
      <c r="AH154" s="42"/>
      <c r="AI154" s="42"/>
      <c r="AJ154" s="42"/>
      <c r="AK154" s="42"/>
      <c r="AL154" s="42"/>
      <c r="AM154" s="42"/>
      <c r="AN154" s="42"/>
      <c r="AO154" s="42"/>
      <c r="AP154" s="42"/>
      <c r="AQ154" s="42"/>
      <c r="AR154" s="42"/>
      <c r="AS154" s="42"/>
      <c r="AT154" s="42"/>
      <c r="AU154" s="42"/>
      <c r="AV154" s="42"/>
      <c r="AW154" s="42"/>
      <c r="AX154" s="42"/>
      <c r="AY154" s="42"/>
      <c r="AZ154" s="42"/>
      <c r="BA154" s="42"/>
    </row>
    <row r="155" spans="1:53" s="6" customFormat="1">
      <c r="A155" s="75"/>
      <c r="B155" s="171"/>
      <c r="C155" s="172" t="s">
        <v>230</v>
      </c>
      <c r="D155" s="173"/>
      <c r="E155" s="176"/>
      <c r="F155" s="176"/>
      <c r="G155" s="176"/>
      <c r="H155" s="176"/>
      <c r="I155" s="176"/>
      <c r="J155" s="296"/>
      <c r="K155" s="296"/>
      <c r="L155" s="296"/>
      <c r="M155" s="296"/>
      <c r="N155" s="296"/>
      <c r="O155" s="296"/>
      <c r="P155" s="296"/>
      <c r="Q155" s="296"/>
      <c r="R155" s="296"/>
      <c r="S155" s="296"/>
      <c r="T155" s="296"/>
      <c r="U155" s="296"/>
      <c r="V155" s="296"/>
      <c r="W155" s="296"/>
      <c r="X155" s="296"/>
      <c r="Y155" s="296"/>
      <c r="Z155" s="296"/>
      <c r="AA155" s="296"/>
      <c r="AB155" s="296"/>
      <c r="AC155" s="296"/>
      <c r="AD155" s="296"/>
      <c r="AE155" s="296"/>
      <c r="AF155" s="296"/>
      <c r="AG155" s="296"/>
      <c r="AH155" s="296"/>
      <c r="AI155" s="296"/>
      <c r="AJ155" s="296"/>
      <c r="AK155" s="296"/>
      <c r="AL155" s="296"/>
      <c r="AM155" s="296"/>
      <c r="AN155" s="296"/>
      <c r="AO155" s="296"/>
      <c r="AP155" s="296"/>
      <c r="AQ155" s="296"/>
      <c r="AR155" s="296"/>
      <c r="AS155" s="296"/>
      <c r="AT155" s="296"/>
      <c r="AU155" s="296"/>
      <c r="AV155" s="296"/>
      <c r="AW155" s="296"/>
      <c r="AX155" s="296"/>
      <c r="AY155" s="296"/>
      <c r="AZ155" s="296"/>
      <c r="BA155" s="296"/>
    </row>
    <row r="156" spans="1:53">
      <c r="A156" s="79"/>
      <c r="B156" s="87" t="s">
        <v>2</v>
      </c>
      <c r="C156" s="88" t="s">
        <v>227</v>
      </c>
      <c r="D156" s="407">
        <f>IFERROR(INDEX('Apoio - Notas Explicativas'!Q:Q,MATCH(C156,'Apoio - Notas Explicativas'!C:C,0)),"")</f>
        <v>0.05</v>
      </c>
      <c r="E156" s="99">
        <f>IF(E18="","",IFERROR(ROUND($D$156*SUM(E61,E114,E123,E146,E151),2),""))</f>
        <v>285.22000000000003</v>
      </c>
      <c r="F156" s="99">
        <f>IF(F18="","",IFERROR(ROUND($D$156*SUM(F61,F114,F123,F146,F151),2),""))</f>
        <v>285.22000000000003</v>
      </c>
      <c r="G156" s="99">
        <f>IF(G18="","",IFERROR(ROUND($D$156*SUM(G61,G114,G123,G146,G151),2),""))</f>
        <v>327.98</v>
      </c>
      <c r="H156" s="99">
        <f>IF(H18="","",IFERROR(ROUND($D$156*SUM(H61,H114,H123,H146,H151),2),""))</f>
        <v>374.41</v>
      </c>
      <c r="I156" s="99" t="str">
        <f>IF(I18="","",IFERROR($D$156*SUM(I61,I114,I123,I146,I151),""))</f>
        <v/>
      </c>
    </row>
    <row r="157" spans="1:53">
      <c r="A157" s="78"/>
      <c r="B157" s="87" t="s">
        <v>1</v>
      </c>
      <c r="C157" s="88" t="s">
        <v>228</v>
      </c>
      <c r="D157" s="407">
        <f>IFERROR(INDEX('Apoio - Notas Explicativas'!Q:Q,MATCH(C157,'Apoio - Notas Explicativas'!C:C,0)),"")</f>
        <v>0.1</v>
      </c>
      <c r="E157" s="99">
        <f>IF(E18="","",IFERROR(ROUND($D$157*SUM(E156,E61,E114,E123,E146,E151),2),""))</f>
        <v>598.96</v>
      </c>
      <c r="F157" s="99">
        <f>IF(F18="","",IFERROR(ROUND($D$157*SUM(F156,F61,F114,F123,F146,F151),2),""))</f>
        <v>598.96</v>
      </c>
      <c r="G157" s="99">
        <f>IF(G18="","",IFERROR(ROUND($D$157*SUM(G156,G61,G114,G123,G146,G151),2),""))</f>
        <v>688.76</v>
      </c>
      <c r="H157" s="99">
        <f>IF(H18="","",IFERROR(ROUND($D$157*SUM(H156,H61,H114,H123,H146,H151),2),""))</f>
        <v>786.26</v>
      </c>
      <c r="I157" s="99" t="str">
        <f>IF(I18="","",IFERROR($D$157*SUM(I156,I61,I114,I123,I146,I151),""))</f>
        <v/>
      </c>
    </row>
    <row r="158" spans="1:53" s="5" customFormat="1">
      <c r="A158" s="76"/>
      <c r="B158" s="171"/>
      <c r="C158" s="172" t="s">
        <v>231</v>
      </c>
      <c r="D158" s="175"/>
      <c r="E158" s="176">
        <f>IF(E18="","",SUM(E156:E157))</f>
        <v>884.18000000000006</v>
      </c>
      <c r="F158" s="176">
        <f>IF(F18="","",SUM(F156:F157))</f>
        <v>884.18000000000006</v>
      </c>
      <c r="G158" s="176">
        <f>IF(G18="","",SUM(G156:G157))</f>
        <v>1016.74</v>
      </c>
      <c r="H158" s="176">
        <f>IF(H18="","",SUM(H156:H157))</f>
        <v>1160.67</v>
      </c>
      <c r="I158" s="174" t="str">
        <f>IF(I18="","",SUM(I156:I157))</f>
        <v/>
      </c>
      <c r="J158" s="294"/>
      <c r="K158" s="294"/>
      <c r="L158" s="294"/>
      <c r="M158" s="294"/>
      <c r="N158" s="294"/>
      <c r="O158" s="294"/>
      <c r="P158" s="294"/>
      <c r="Q158" s="294"/>
      <c r="R158" s="294"/>
      <c r="S158" s="294"/>
      <c r="T158" s="294"/>
      <c r="U158" s="294"/>
      <c r="V158" s="294"/>
      <c r="W158" s="294"/>
      <c r="X158" s="294"/>
      <c r="Y158" s="294"/>
      <c r="Z158" s="294"/>
      <c r="AA158" s="294"/>
      <c r="AB158" s="294"/>
      <c r="AC158" s="294"/>
      <c r="AD158" s="294"/>
      <c r="AE158" s="294"/>
      <c r="AF158" s="294"/>
      <c r="AG158" s="294"/>
      <c r="AH158" s="294"/>
      <c r="AI158" s="294"/>
      <c r="AJ158" s="294"/>
      <c r="AK158" s="294"/>
      <c r="AL158" s="294"/>
      <c r="AM158" s="294"/>
      <c r="AN158" s="294"/>
      <c r="AO158" s="294"/>
      <c r="AP158" s="294"/>
      <c r="AQ158" s="294"/>
      <c r="AR158" s="294"/>
      <c r="AS158" s="294"/>
      <c r="AT158" s="294"/>
      <c r="AU158" s="294"/>
      <c r="AV158" s="294"/>
      <c r="AW158" s="294"/>
      <c r="AX158" s="294"/>
      <c r="AY158" s="294"/>
      <c r="AZ158" s="294"/>
      <c r="BA158" s="294"/>
    </row>
    <row r="159" spans="1:53" customFormat="1" ht="3.75" customHeight="1">
      <c r="J159" s="42"/>
      <c r="K159" s="42"/>
      <c r="L159" s="42"/>
      <c r="M159" s="42"/>
      <c r="N159" s="42"/>
      <c r="O159" s="42"/>
      <c r="P159" s="42"/>
      <c r="Q159" s="42"/>
      <c r="R159" s="42"/>
      <c r="S159" s="42"/>
      <c r="T159" s="42"/>
      <c r="U159" s="42"/>
      <c r="V159" s="42"/>
      <c r="W159" s="42"/>
      <c r="X159" s="42"/>
      <c r="Y159" s="42"/>
      <c r="Z159" s="42"/>
      <c r="AA159" s="42"/>
      <c r="AB159" s="42"/>
      <c r="AC159" s="42"/>
      <c r="AD159" s="42"/>
      <c r="AE159" s="42"/>
      <c r="AF159" s="42"/>
      <c r="AG159" s="42"/>
      <c r="AH159" s="42"/>
      <c r="AI159" s="42"/>
      <c r="AJ159" s="42"/>
      <c r="AK159" s="42"/>
      <c r="AL159" s="42"/>
      <c r="AM159" s="42"/>
      <c r="AN159" s="42"/>
      <c r="AO159" s="42"/>
      <c r="AP159" s="42"/>
      <c r="AQ159" s="42"/>
      <c r="AR159" s="42"/>
      <c r="AS159" s="42"/>
      <c r="AT159" s="42"/>
      <c r="AU159" s="42"/>
      <c r="AV159" s="42"/>
      <c r="AW159" s="42"/>
      <c r="AX159" s="42"/>
      <c r="AY159" s="42"/>
      <c r="AZ159" s="42"/>
      <c r="BA159" s="42"/>
    </row>
    <row r="160" spans="1:53" s="6" customFormat="1">
      <c r="A160" s="75"/>
      <c r="B160" s="171"/>
      <c r="C160" s="172" t="s">
        <v>309</v>
      </c>
      <c r="D160" s="173"/>
      <c r="E160" s="176"/>
      <c r="F160" s="176"/>
      <c r="G160" s="176"/>
      <c r="H160" s="176"/>
      <c r="I160" s="176"/>
      <c r="J160" s="296"/>
      <c r="K160" s="296"/>
      <c r="L160" s="296"/>
      <c r="M160" s="296"/>
      <c r="N160" s="296"/>
      <c r="O160" s="296"/>
      <c r="P160" s="296"/>
      <c r="Q160" s="296"/>
      <c r="R160" s="296"/>
      <c r="S160" s="296"/>
      <c r="T160" s="296"/>
      <c r="U160" s="296"/>
      <c r="V160" s="296"/>
      <c r="W160" s="296"/>
      <c r="X160" s="296"/>
      <c r="Y160" s="296"/>
      <c r="Z160" s="296"/>
      <c r="AA160" s="296"/>
      <c r="AB160" s="296"/>
      <c r="AC160" s="296"/>
      <c r="AD160" s="296"/>
      <c r="AE160" s="296"/>
      <c r="AF160" s="296"/>
      <c r="AG160" s="296"/>
      <c r="AH160" s="296"/>
      <c r="AI160" s="296"/>
      <c r="AJ160" s="296"/>
      <c r="AK160" s="296"/>
      <c r="AL160" s="296"/>
      <c r="AM160" s="296"/>
      <c r="AN160" s="296"/>
      <c r="AO160" s="296"/>
      <c r="AP160" s="296"/>
      <c r="AQ160" s="296"/>
      <c r="AR160" s="296"/>
      <c r="AS160" s="296"/>
      <c r="AT160" s="296"/>
      <c r="AU160" s="296"/>
      <c r="AV160" s="296"/>
      <c r="AW160" s="296"/>
      <c r="AX160" s="296"/>
      <c r="AY160" s="296"/>
      <c r="AZ160" s="296"/>
      <c r="BA160" s="296"/>
    </row>
    <row r="161" spans="1:53">
      <c r="A161" s="78"/>
      <c r="B161" s="87" t="s">
        <v>2</v>
      </c>
      <c r="C161" s="88" t="s">
        <v>43</v>
      </c>
      <c r="D161" s="393">
        <f>IFERROR(INDEX('Apoio - Notas Explicativas'!Q:Q,MATCH(C161,'Apoio - Notas Explicativas'!C:C,0)),"")</f>
        <v>0.03</v>
      </c>
      <c r="E161" s="99">
        <f>IF(E18="","",IFERROR(ROUND(SUM(E$158,E$61,E$114,E$123,E$146,E$151)*$D161/(1-SUM($D$161:$D$166,E$164)),2),""))</f>
        <v>210.61</v>
      </c>
      <c r="F161" s="99">
        <f>IF(F18="","",IFERROR(ROUND(SUM(F$158,F$61,F$114,F$123,F$146,F$151)*$D161/(1-SUM($D$161:$D$166,F$164)),2),""))</f>
        <v>210.61</v>
      </c>
      <c r="G161" s="99">
        <f>IF(G18="","",IFERROR(ROUND(SUM(G$158,G$61,G$114,G$123,G$146,G$151)*$D161/(1-SUM($D$161:$D$166,G$164)),2),""))</f>
        <v>242.19</v>
      </c>
      <c r="H161" s="99">
        <f>IF(H18="","",IFERROR(ROUND(SUM(H$158,H$61,H$114,H$123,H$146,H$151)*$D161/(1-SUM($D$161:$D$166,H$164)),2),""))</f>
        <v>276.47000000000003</v>
      </c>
      <c r="I161" s="99" t="str">
        <f>IF(I18="","",IFERROR(SUM(I$158,I$61,I$114,I$123,I$146,I$151)*$D161/(1-SUM($D$161:$D$166,I$164)),""))</f>
        <v/>
      </c>
    </row>
    <row r="162" spans="1:53">
      <c r="A162" s="79"/>
      <c r="B162" s="87" t="s">
        <v>1</v>
      </c>
      <c r="C162" s="88" t="s">
        <v>107</v>
      </c>
      <c r="D162" s="393">
        <f>IFERROR(INDEX('Apoio - Notas Explicativas'!Q:Q,MATCH(C162,'Apoio - Notas Explicativas'!C:C,0)),"")</f>
        <v>6.4999999999999997E-3</v>
      </c>
      <c r="E162" s="99">
        <f>IF(E20="","",IFERROR(ROUND(SUM(E$158,E$61,E$114,E$123,E$146,E$151)*$D162/(1-SUM($D$161:$D$166,E$164)),2),""))</f>
        <v>45.63</v>
      </c>
      <c r="F162" s="99">
        <f>IF(F20="","",IFERROR(ROUND(SUM(F$158,F$61,F$114,F$123,F$146,F$151)*$D162/(1-SUM($D$161:$D$166,F$164)),2),""))</f>
        <v>45.63</v>
      </c>
      <c r="G162" s="99">
        <f>IF(G20="","",IFERROR(ROUND(SUM(G$158,G$61,G$114,G$123,G$146,G$151)*$D162/(1-SUM($D$161:$D$166,G$164)),2),""))</f>
        <v>52.47</v>
      </c>
      <c r="H162" s="99">
        <f>IF(H20="","",IFERROR(ROUND(SUM(H$158,H$61,H$114,H$123,H$146,H$151)*$D162/(1-SUM($D$161:$D$166,H$164)),2),""))</f>
        <v>59.9</v>
      </c>
      <c r="I162" s="99" t="str">
        <f>IF(I20="","",IFERROR(SUM(I$158,I$61,I$114,I$123,I$146,I$151)*$D162/(1-SUM($D$161:$D$166,I$164)),""))</f>
        <v/>
      </c>
    </row>
    <row r="163" spans="1:53">
      <c r="A163" s="79"/>
      <c r="B163" s="828" t="s">
        <v>0</v>
      </c>
      <c r="C163" s="160" t="s">
        <v>44</v>
      </c>
      <c r="D163" s="415"/>
      <c r="E163" s="148"/>
      <c r="F163" s="148"/>
      <c r="G163" s="148"/>
      <c r="H163" s="148"/>
      <c r="I163" s="148"/>
    </row>
    <row r="164" spans="1:53">
      <c r="A164" s="79"/>
      <c r="B164" s="829"/>
      <c r="C164" s="136" t="s">
        <v>353</v>
      </c>
      <c r="D164" s="181"/>
      <c r="E164" s="389">
        <f>IF(E18="","",
IF($D$13="Simples",INDEX('Apoio - Notas Explicativas'!$Q:$Q,MATCH($C$163,'Apoio - Notas Explicativas'!$C:$C,0)),
IFERROR(VLOOKUP(E$18,'Apoio - Posto'!$A:$AA,20,FALSE),
INDEX('Apoio - Notas Explicativas'!$Q:$Q,MATCH($C$163,'Apoio - Notas Explicativas'!$C:$C,0))
)))</f>
        <v>2.5000000000000001E-2</v>
      </c>
      <c r="F164" s="389">
        <f>IF(F18="","",
IF($D$13="Simples",INDEX('Apoio - Notas Explicativas'!$Q:$Q,MATCH($C$163,'Apoio - Notas Explicativas'!$C:$C,0)),
IFERROR(VLOOKUP(F$18,'Apoio - Posto'!$A:$AA,20,FALSE),
INDEX('Apoio - Notas Explicativas'!$Q:$Q,MATCH($C$163,'Apoio - Notas Explicativas'!$C:$C,0))
)))</f>
        <v>2.5000000000000001E-2</v>
      </c>
      <c r="G164" s="389">
        <f>IF(G18="","",
IF($D$13="Simples",INDEX('Apoio - Notas Explicativas'!$Q:$Q,MATCH($C$163,'Apoio - Notas Explicativas'!$C:$C,0)),
IFERROR(VLOOKUP(G$18,'Apoio - Posto'!$A:$AA,20,FALSE),
INDEX('Apoio - Notas Explicativas'!$Q:$Q,MATCH($C$163,'Apoio - Notas Explicativas'!$C:$C,0))
)))</f>
        <v>2.5000000000000001E-2</v>
      </c>
      <c r="H164" s="389">
        <f>IF(H18="","",
IF($D$13="Simples",INDEX('Apoio - Notas Explicativas'!$Q:$Q,MATCH($C$163,'Apoio - Notas Explicativas'!$C:$C,0)),
IFERROR(VLOOKUP(H$18,'Apoio - Posto'!$A:$AA,20,FALSE),
INDEX('Apoio - Notas Explicativas'!$Q:$Q,MATCH($C$163,'Apoio - Notas Explicativas'!$C:$C,0))
)))</f>
        <v>2.5000000000000001E-2</v>
      </c>
      <c r="I164" s="389" t="str">
        <f>IF(I18="","",IFERROR(VLOOKUP(I$18,'Apoio - Posto'!$A:$AA,20,FALSE),INDEX('Apoio - Notas Explicativas'!$Q:$Q,MATCH($C$163,'Apoio - Notas Explicativas'!$C:$C,0))))</f>
        <v/>
      </c>
    </row>
    <row r="165" spans="1:53">
      <c r="A165" s="78"/>
      <c r="B165" s="830"/>
      <c r="C165" s="88"/>
      <c r="D165" s="416" t="s">
        <v>41</v>
      </c>
      <c r="E165" s="147">
        <f>IF(E21="","",IFERROR(ROUND(SUM(E$158,E$61,E$114,E$123,E$146,E$151)*E164/(1-SUM($D$161:$D$166,E164)),2),""))</f>
        <v>175.51</v>
      </c>
      <c r="F165" s="147">
        <f>IF(F21="","",IFERROR(ROUND(SUM(F$158,F$61,F$114,F$123,F$146,F$151)*F164/(1-SUM($D$161:$D$166,F164)),2),""))</f>
        <v>175.51</v>
      </c>
      <c r="G165" s="147">
        <f>IF(G21="","",IFERROR(ROUND(SUM(G$158,G$61,G$114,G$123,G$146,G$151)*G164/(1-SUM($D$161:$D$166,G164)),2),""))</f>
        <v>201.82</v>
      </c>
      <c r="H165" s="147">
        <f>IF(H21="","",IFERROR(ROUND(SUM(H$158,H$61,H$114,H$123,H$146,H$151)*H164/(1-SUM($D$161:$D$166,H164)),2),""))</f>
        <v>230.39</v>
      </c>
      <c r="I165" s="147" t="str">
        <f>IF(I21="","",IFERROR(SUM(I$158,I$61,I$114,I$123,I$146,I$151)*I164/(1-SUM($D$161:$D$166,I164)),""))</f>
        <v/>
      </c>
    </row>
    <row r="166" spans="1:53">
      <c r="A166" s="78"/>
      <c r="B166" s="391" t="s">
        <v>3</v>
      </c>
      <c r="C166" s="392" t="s">
        <v>303</v>
      </c>
      <c r="D166" s="393">
        <v>0</v>
      </c>
      <c r="E166" s="99">
        <f>IF(E22="","",IFERROR(ROUND(SUM(E$158,E$61,E$114,E$123,E$146,E$151)*$D166/(1-SUM($D$161:$D$166,E$164)),2),""))</f>
        <v>0</v>
      </c>
      <c r="F166" s="99">
        <f>IF(F22="","",IFERROR(ROUND(SUM(F$158,F$61,F$114,F$123,F$146,F$151)*$D166/(1-SUM($D$161:$D$166,F$164)),2),""))</f>
        <v>0</v>
      </c>
      <c r="G166" s="99">
        <f>IF(G22="","",IFERROR(ROUND(SUM(G$158,G$61,G$114,G$123,G$146,G$151)*$D166/(1-SUM($D$161:$D$166,G$164)),2),""))</f>
        <v>0</v>
      </c>
      <c r="H166" s="99">
        <f>IF(H22="","",IFERROR(ROUND(SUM(H$158,H$61,H$114,H$123,H$146,H$151)*$D166/(1-SUM($D$161:$D$166,H$164)),2),""))</f>
        <v>0</v>
      </c>
      <c r="I166" s="99" t="str">
        <f>IF(I22="","",IFERROR(SUM(I$158,I$61,I$114,I$123,I$146,I$151)*$D166/(1-SUM($D$161:$D$166,I$164)),""))</f>
        <v/>
      </c>
    </row>
    <row r="167" spans="1:53" s="5" customFormat="1">
      <c r="A167" s="76"/>
      <c r="B167" s="171"/>
      <c r="C167" s="172" t="s">
        <v>232</v>
      </c>
      <c r="D167" s="175"/>
      <c r="E167" s="192">
        <f>IF(E18="","",SUM(E161:E162,E165:E166))</f>
        <v>431.75</v>
      </c>
      <c r="F167" s="192">
        <f>IF(F18="","",SUM(F161:F162,F165:F166))</f>
        <v>431.75</v>
      </c>
      <c r="G167" s="192">
        <f>IF(G18="","",SUM(G161:G162,G165:G166))</f>
        <v>496.47999999999996</v>
      </c>
      <c r="H167" s="192">
        <f>IF(H18="","",SUM(H161:H162,H165:H166))</f>
        <v>566.76</v>
      </c>
      <c r="I167" s="192" t="str">
        <f>IF(I18="","",SUM(I161:I162,I165:I166))</f>
        <v/>
      </c>
      <c r="J167" s="294"/>
      <c r="K167" s="294"/>
      <c r="L167" s="294"/>
      <c r="M167" s="294"/>
      <c r="N167" s="294"/>
      <c r="O167" s="294"/>
      <c r="P167" s="294"/>
      <c r="Q167" s="294"/>
      <c r="R167" s="294"/>
      <c r="S167" s="294"/>
      <c r="T167" s="294"/>
      <c r="U167" s="294"/>
      <c r="V167" s="294"/>
      <c r="W167" s="294"/>
      <c r="X167" s="294"/>
      <c r="Y167" s="294"/>
      <c r="Z167" s="294"/>
      <c r="AA167" s="294"/>
      <c r="AB167" s="294"/>
      <c r="AC167" s="294"/>
      <c r="AD167" s="294"/>
      <c r="AE167" s="294"/>
      <c r="AF167" s="294"/>
      <c r="AG167" s="294"/>
      <c r="AH167" s="294"/>
      <c r="AI167" s="294"/>
      <c r="AJ167" s="294"/>
      <c r="AK167" s="294"/>
      <c r="AL167" s="294"/>
      <c r="AM167" s="294"/>
      <c r="AN167" s="294"/>
      <c r="AO167" s="294"/>
      <c r="AP167" s="294"/>
      <c r="AQ167" s="294"/>
      <c r="AR167" s="294"/>
      <c r="AS167" s="294"/>
      <c r="AT167" s="294"/>
      <c r="AU167" s="294"/>
      <c r="AV167" s="294"/>
      <c r="AW167" s="294"/>
      <c r="AX167" s="294"/>
      <c r="AY167" s="294"/>
      <c r="AZ167" s="294"/>
      <c r="BA167" s="294"/>
    </row>
    <row r="168" spans="1:53" customFormat="1" ht="3.75" customHeight="1">
      <c r="J168" s="42"/>
      <c r="K168" s="42"/>
      <c r="L168" s="42"/>
      <c r="M168" s="42"/>
      <c r="N168" s="42"/>
      <c r="O168" s="42"/>
      <c r="P168" s="42"/>
      <c r="Q168" s="42"/>
      <c r="R168" s="42"/>
      <c r="S168" s="42"/>
      <c r="T168" s="42"/>
      <c r="U168" s="42"/>
      <c r="V168" s="42"/>
      <c r="W168" s="42"/>
      <c r="X168" s="42"/>
      <c r="Y168" s="42"/>
      <c r="Z168" s="42"/>
      <c r="AA168" s="42"/>
      <c r="AB168" s="42"/>
      <c r="AC168" s="42"/>
      <c r="AD168" s="42"/>
      <c r="AE168" s="42"/>
      <c r="AF168" s="42"/>
      <c r="AG168" s="42"/>
      <c r="AH168" s="42"/>
      <c r="AI168" s="42"/>
      <c r="AJ168" s="42"/>
      <c r="AK168" s="42"/>
      <c r="AL168" s="42"/>
      <c r="AM168" s="42"/>
      <c r="AN168" s="42"/>
      <c r="AO168" s="42"/>
      <c r="AP168" s="42"/>
      <c r="AQ168" s="42"/>
      <c r="AR168" s="42"/>
      <c r="AS168" s="42"/>
      <c r="AT168" s="42"/>
      <c r="AU168" s="42"/>
      <c r="AV168" s="42"/>
      <c r="AW168" s="42"/>
      <c r="AX168" s="42"/>
      <c r="AY168" s="42"/>
      <c r="AZ168" s="42"/>
      <c r="BA168" s="42"/>
    </row>
    <row r="169" spans="1:53" s="5" customFormat="1">
      <c r="A169" s="73"/>
      <c r="B169" s="157"/>
      <c r="C169" s="90" t="s">
        <v>220</v>
      </c>
      <c r="D169" s="153"/>
      <c r="E169" s="155">
        <f>IF(E18="","",SUM(E167,E158))</f>
        <v>1315.93</v>
      </c>
      <c r="F169" s="155">
        <f>IF(F18="","",SUM(F167,F158))</f>
        <v>1315.93</v>
      </c>
      <c r="G169" s="155">
        <f>IF(G18="","",SUM(G167,G158))</f>
        <v>1513.22</v>
      </c>
      <c r="H169" s="155">
        <f>IF(H18="","",SUM(H167,H158))</f>
        <v>1727.43</v>
      </c>
      <c r="I169" s="156" t="str">
        <f>IF(I18="","",SUM(I167,I158))</f>
        <v/>
      </c>
      <c r="J169" s="294"/>
      <c r="K169" s="294"/>
      <c r="L169" s="294"/>
      <c r="M169" s="294"/>
      <c r="N169" s="294"/>
      <c r="O169" s="294"/>
      <c r="P169" s="294"/>
      <c r="Q169" s="294"/>
      <c r="R169" s="294"/>
      <c r="S169" s="294"/>
      <c r="T169" s="294"/>
      <c r="U169" s="294"/>
      <c r="V169" s="294"/>
      <c r="W169" s="294"/>
      <c r="X169" s="294"/>
      <c r="Y169" s="294"/>
      <c r="Z169" s="294"/>
      <c r="AA169" s="294"/>
      <c r="AB169" s="294"/>
      <c r="AC169" s="294"/>
      <c r="AD169" s="294"/>
      <c r="AE169" s="294"/>
      <c r="AF169" s="294"/>
      <c r="AG169" s="294"/>
      <c r="AH169" s="294"/>
      <c r="AI169" s="294"/>
      <c r="AJ169" s="294"/>
      <c r="AK169" s="294"/>
      <c r="AL169" s="294"/>
      <c r="AM169" s="294"/>
      <c r="AN169" s="294"/>
      <c r="AO169" s="294"/>
      <c r="AP169" s="294"/>
      <c r="AQ169" s="294"/>
      <c r="AR169" s="294"/>
      <c r="AS169" s="294"/>
      <c r="AT169" s="294"/>
      <c r="AU169" s="294"/>
      <c r="AV169" s="294"/>
      <c r="AW169" s="294"/>
      <c r="AX169" s="294"/>
      <c r="AY169" s="294"/>
      <c r="AZ169" s="294"/>
      <c r="BA169" s="294"/>
    </row>
    <row r="170" spans="1:53">
      <c r="F170" s="9"/>
      <c r="G170" s="9"/>
      <c r="H170" s="9"/>
      <c r="I170" s="9"/>
      <c r="L170"/>
      <c r="M170"/>
      <c r="N170"/>
      <c r="O170"/>
      <c r="P170"/>
      <c r="Q170"/>
      <c r="R170"/>
    </row>
    <row r="171" spans="1:53" s="6" customFormat="1">
      <c r="A171" s="74"/>
      <c r="B171" s="89"/>
      <c r="C171" s="90" t="s">
        <v>374</v>
      </c>
      <c r="D171" s="91"/>
      <c r="E171" s="370"/>
      <c r="F171" s="370"/>
      <c r="G171" s="370"/>
      <c r="H171" s="370"/>
      <c r="I171" s="370"/>
      <c r="J171" s="296"/>
      <c r="K171" s="296"/>
      <c r="L171"/>
      <c r="M171"/>
      <c r="N171"/>
      <c r="O171"/>
      <c r="P171"/>
      <c r="Q171"/>
      <c r="R171"/>
      <c r="S171" s="296"/>
      <c r="T171" s="296"/>
      <c r="U171" s="296"/>
      <c r="V171" s="296"/>
      <c r="W171" s="296"/>
      <c r="X171" s="296"/>
      <c r="Y171" s="296"/>
      <c r="Z171" s="296"/>
      <c r="AA171" s="296"/>
      <c r="AB171" s="296"/>
      <c r="AC171" s="296"/>
      <c r="AD171" s="296"/>
      <c r="AE171" s="296"/>
      <c r="AF171" s="296"/>
      <c r="AG171" s="296"/>
      <c r="AH171" s="296"/>
      <c r="AI171" s="296"/>
      <c r="AJ171" s="296"/>
      <c r="AK171" s="296"/>
      <c r="AL171" s="296"/>
      <c r="AM171" s="296"/>
      <c r="AN171" s="296"/>
      <c r="AO171" s="296"/>
      <c r="AP171" s="296"/>
      <c r="AQ171" s="296"/>
      <c r="AR171" s="296"/>
      <c r="AS171" s="296"/>
      <c r="AT171" s="296"/>
      <c r="AU171" s="296"/>
      <c r="AV171" s="296"/>
      <c r="AW171" s="296"/>
      <c r="AX171" s="296"/>
      <c r="AY171" s="296"/>
      <c r="AZ171" s="296"/>
      <c r="BA171" s="296"/>
    </row>
    <row r="172" spans="1:53" ht="3.75" customHeight="1">
      <c r="A172" s="288"/>
      <c r="B172" s="3"/>
      <c r="C172" s="3"/>
      <c r="D172" s="3"/>
      <c r="E172" s="3"/>
      <c r="F172" s="3"/>
      <c r="G172" s="3"/>
      <c r="H172" s="3"/>
      <c r="I172" s="3"/>
      <c r="L172"/>
      <c r="M172"/>
      <c r="N172"/>
      <c r="O172"/>
      <c r="P172"/>
      <c r="Q172"/>
      <c r="R172"/>
    </row>
    <row r="173" spans="1:53">
      <c r="A173" s="288"/>
      <c r="B173" s="171"/>
      <c r="C173" s="172" t="s">
        <v>438</v>
      </c>
      <c r="D173" s="290"/>
      <c r="E173" s="397"/>
      <c r="F173" s="397"/>
      <c r="G173" s="397"/>
      <c r="H173" s="397"/>
      <c r="I173" s="397"/>
      <c r="L173"/>
      <c r="M173"/>
      <c r="N173"/>
      <c r="O173"/>
      <c r="P173"/>
      <c r="Q173"/>
      <c r="R173"/>
    </row>
    <row r="174" spans="1:53">
      <c r="A174" s="80"/>
      <c r="B174" s="87" t="s">
        <v>2</v>
      </c>
      <c r="C174" s="88" t="s">
        <v>375</v>
      </c>
      <c r="D174" s="177"/>
      <c r="E174" s="99">
        <f>IFERROR(IF(E18="","",E176/SUM(E52,INDEX('Apoio - Regime de Trabalho'!$I:$I,MATCH(E26,'Apoio - Regime de Trabalho'!$A:$A,0)))),"")</f>
        <v>36.563906250000002</v>
      </c>
      <c r="F174" s="99">
        <f>IFERROR(IF(F18="","",F176/SUM(F52,INDEX('Apoio - Regime de Trabalho'!$I:$I,MATCH(F26,'Apoio - Regime de Trabalho'!$A:$A,0)))),"")</f>
        <v>36.563906250000002</v>
      </c>
      <c r="G174" s="99">
        <f>IFERROR(IF(G18="","",G176/SUM(G52,INDEX('Apoio - Regime de Trabalho'!$I:$I,MATCH(G26,'Apoio - Regime de Trabalho'!$A:$A,0)))),"")</f>
        <v>42.046197916666664</v>
      </c>
      <c r="H174" s="99">
        <f>IFERROR(IF(H18="","",H176/SUM(H52,INDEX('Apoio - Regime de Trabalho'!$I:$I,MATCH(H26,'Apoio - Regime de Trabalho'!$A:$A,0)))),"")</f>
        <v>47.997864583333332</v>
      </c>
      <c r="I174" s="99" t="str">
        <f>IFERROR(IF(I18="","",I176/INDEX('Apoio - Regime de Trabalho'!$I:$I,MATCH(I26,'Apoio - Regime de Trabalho'!$A:$A,0))),"")</f>
        <v/>
      </c>
      <c r="L174"/>
      <c r="M174"/>
      <c r="N174"/>
      <c r="O174"/>
      <c r="P174"/>
      <c r="Q174"/>
      <c r="R174"/>
    </row>
    <row r="175" spans="1:53">
      <c r="A175" s="80"/>
      <c r="B175" s="87" t="s">
        <v>1</v>
      </c>
      <c r="C175" s="88" t="s">
        <v>379</v>
      </c>
      <c r="D175" s="177"/>
      <c r="E175" s="99">
        <f>IF(E18="","",ROUND(SUM(E61,E114,E123,E146,E151,E169)/INDEX('Apoio - Regime de Trabalho'!$G:$G,MATCH(E26,'Apoio - Regime de Trabalho'!$A:$A,0)),2))</f>
        <v>319.10000000000002</v>
      </c>
      <c r="F175" s="99">
        <f>IF(F18="","",ROUND(SUM(F61,F114,F123,F146,F151,F169)/INDEX('Apoio - Regime de Trabalho'!$G:$G,MATCH(F26,'Apoio - Regime de Trabalho'!$A:$A,0)),2))</f>
        <v>319.10000000000002</v>
      </c>
      <c r="G175" s="99">
        <f>IF(G18="","",ROUND(SUM(G61,G114,G123,G146,G151,G169)/INDEX('Apoio - Regime de Trabalho'!$G:$G,MATCH(G26,'Apoio - Regime de Trabalho'!$A:$A,0)),2))</f>
        <v>366.95</v>
      </c>
      <c r="H175" s="99">
        <f>IF(H18="","",ROUND(SUM(H61,H114,H123,H146,H151,H169)/INDEX('Apoio - Regime de Trabalho'!$G:$G,MATCH(H26,'Apoio - Regime de Trabalho'!$A:$A,0)),2))</f>
        <v>418.89</v>
      </c>
      <c r="I175" s="99" t="str">
        <f>IF(I18="","",I176/INDEX('Apoio - Regime de Trabalho'!$G:$G,MATCH(I26,'Apoio - Regime de Trabalho'!$A:$A,0)))</f>
        <v/>
      </c>
      <c r="L175"/>
      <c r="M175"/>
      <c r="N175"/>
      <c r="O175"/>
      <c r="P175"/>
      <c r="Q175"/>
      <c r="R175"/>
    </row>
    <row r="176" spans="1:53">
      <c r="A176" s="80"/>
      <c r="B176" s="87" t="s">
        <v>0</v>
      </c>
      <c r="C176" s="88" t="s">
        <v>441</v>
      </c>
      <c r="D176" s="177"/>
      <c r="E176" s="99">
        <f>IF(E18="","",ROUND(SUM(E61,E114,E123,E146,E151,E169),2))</f>
        <v>7020.27</v>
      </c>
      <c r="F176" s="99">
        <f>IF(F18="","",ROUND(SUM(F61,F114,F123,F146,F151,F169),2))</f>
        <v>7020.27</v>
      </c>
      <c r="G176" s="99">
        <f>IF(G18="","",ROUND(SUM(G61,G114,G123,G146,G151,G169),2))</f>
        <v>8072.87</v>
      </c>
      <c r="H176" s="99">
        <f>IF(H18="","",ROUND(SUM(H61,H114,H123,H146,H151,H169),2))</f>
        <v>9215.59</v>
      </c>
      <c r="I176" s="99" t="str">
        <f>IF(I18="","",SUM(I61,I114,I123,I146,I151,I169))</f>
        <v/>
      </c>
      <c r="L176"/>
      <c r="M176"/>
      <c r="N176"/>
      <c r="O176"/>
      <c r="P176"/>
      <c r="Q176"/>
      <c r="R176"/>
    </row>
    <row r="177" spans="1:53">
      <c r="A177" s="80"/>
      <c r="B177" s="87" t="s">
        <v>3</v>
      </c>
      <c r="C177" s="88" t="s">
        <v>440</v>
      </c>
      <c r="D177" s="177"/>
      <c r="E177" s="99">
        <f>IFERROR(ROUND(E176*E28,2),"")</f>
        <v>7020.27</v>
      </c>
      <c r="F177" s="99">
        <f t="shared" ref="F177:H177" si="29">IFERROR(ROUND(F176*F28,2),"")</f>
        <v>7020.27</v>
      </c>
      <c r="G177" s="99">
        <f t="shared" si="29"/>
        <v>8072.87</v>
      </c>
      <c r="H177" s="99">
        <f t="shared" si="29"/>
        <v>9215.59</v>
      </c>
      <c r="I177" s="99" t="str">
        <f>IFERROR(I176*I28,"")</f>
        <v/>
      </c>
      <c r="L177"/>
      <c r="M177"/>
      <c r="N177"/>
      <c r="O177"/>
      <c r="P177"/>
      <c r="Q177"/>
      <c r="R177"/>
    </row>
    <row r="178" spans="1:53" ht="3.75" customHeight="1">
      <c r="A178" s="288"/>
      <c r="B178" s="3"/>
      <c r="C178" s="3"/>
      <c r="D178" s="3"/>
      <c r="E178" s="3"/>
      <c r="F178" s="3"/>
      <c r="G178" s="3"/>
      <c r="H178" s="3"/>
      <c r="I178" s="3"/>
      <c r="L178"/>
      <c r="M178"/>
      <c r="N178"/>
      <c r="O178"/>
      <c r="P178"/>
      <c r="Q178"/>
      <c r="R178"/>
    </row>
    <row r="179" spans="1:53">
      <c r="A179" s="288"/>
      <c r="B179" s="171"/>
      <c r="C179" s="172" t="s">
        <v>469</v>
      </c>
      <c r="D179" s="290"/>
      <c r="E179" s="397"/>
      <c r="F179" s="397"/>
      <c r="G179" s="397"/>
      <c r="H179" s="397"/>
      <c r="I179" s="397"/>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0"/>
      <c r="B180" s="87" t="s">
        <v>2</v>
      </c>
      <c r="C180" s="88" t="s">
        <v>376</v>
      </c>
      <c r="D180" s="177"/>
      <c r="E180" s="99">
        <f>IFERROR(ROUND(SUM(E61,E114,E123,E146),2)*E29,"")</f>
        <v>0</v>
      </c>
      <c r="F180" s="99">
        <f t="shared" ref="F180:H180" si="30">IFERROR(ROUND(SUM(F61,F114,F123,F146),2)*F29,"")</f>
        <v>0</v>
      </c>
      <c r="G180" s="99">
        <f t="shared" si="30"/>
        <v>0</v>
      </c>
      <c r="H180" s="99">
        <f t="shared" si="30"/>
        <v>0</v>
      </c>
      <c r="I180" s="99" t="str">
        <f>IFERROR(SUM(I61,I114,I123,I146)*I29,"")</f>
        <v/>
      </c>
      <c r="L180"/>
      <c r="M180"/>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0"/>
      <c r="B181" s="87" t="s">
        <v>1</v>
      </c>
      <c r="C181" s="88" t="s">
        <v>435</v>
      </c>
      <c r="D181" s="177"/>
      <c r="E181" s="99">
        <f>IFERROR(ROUND(E151*E29,2),"")</f>
        <v>0</v>
      </c>
      <c r="F181" s="99">
        <f>IFERROR(ROUND(F151*F29,2),"")</f>
        <v>0</v>
      </c>
      <c r="G181" s="99">
        <f>IFERROR(ROUND(G151*G29,2),"")</f>
        <v>0</v>
      </c>
      <c r="H181" s="99">
        <f>IFERROR(ROUND(H151*H29,2),"")</f>
        <v>0</v>
      </c>
      <c r="I181" s="99" t="str">
        <f>IFERROR(I151*I29,"")</f>
        <v/>
      </c>
      <c r="L181"/>
      <c r="M181" s="717"/>
      <c r="N181"/>
      <c r="O181"/>
      <c r="P181"/>
      <c r="Q181"/>
      <c r="R18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1"/>
      <c r="B182" s="87" t="s">
        <v>0</v>
      </c>
      <c r="C182" s="88" t="s">
        <v>174</v>
      </c>
      <c r="D182" s="177"/>
      <c r="E182" s="99">
        <f>IFERROR(ROUND(E169*E29,2),"")</f>
        <v>0</v>
      </c>
      <c r="F182" s="99">
        <f t="shared" ref="F182:H182" si="31">IFERROR(ROUND(F169*F29,2),"")</f>
        <v>0</v>
      </c>
      <c r="G182" s="99">
        <f t="shared" si="31"/>
        <v>0</v>
      </c>
      <c r="H182" s="99">
        <f t="shared" si="31"/>
        <v>0</v>
      </c>
      <c r="I182" s="99" t="str">
        <f>IFERROR(I169*I29,"")</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c r="A183" s="81"/>
      <c r="B183" s="87" t="s">
        <v>3</v>
      </c>
      <c r="C183" s="88" t="s">
        <v>468</v>
      </c>
      <c r="D183" s="177"/>
      <c r="E183" s="99">
        <f>IFERROR(ROUND((E180+E181+E182),2),"")</f>
        <v>0</v>
      </c>
      <c r="F183" s="99">
        <f t="shared" ref="F183:H183" si="32">IFERROR(ROUND((F180+F181+F182),2),"")</f>
        <v>0</v>
      </c>
      <c r="G183" s="99">
        <f t="shared" si="32"/>
        <v>0</v>
      </c>
      <c r="H183" s="99">
        <f t="shared" si="32"/>
        <v>0</v>
      </c>
      <c r="I183" s="99" t="str">
        <f>IFERROR(I180+I181+I182,"")</f>
        <v/>
      </c>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ht="3.75" customHeight="1">
      <c r="A184" s="288"/>
      <c r="B184" s="3"/>
      <c r="C184" s="3"/>
      <c r="D184" s="3"/>
      <c r="E184" s="3"/>
      <c r="F184" s="3"/>
      <c r="G184" s="3"/>
      <c r="H184" s="3"/>
      <c r="I184" s="3"/>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288"/>
      <c r="B185" s="171"/>
      <c r="C185" s="172" t="s">
        <v>439</v>
      </c>
      <c r="D185" s="290"/>
      <c r="E185" s="397"/>
      <c r="F185" s="397"/>
      <c r="G185" s="397"/>
      <c r="H185" s="397"/>
      <c r="I185" s="397"/>
      <c r="L185"/>
      <c r="M185"/>
      <c r="N185"/>
      <c r="O185"/>
      <c r="P185"/>
      <c r="Q185"/>
      <c r="R185"/>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1"/>
      <c r="B186" s="87" t="s">
        <v>2</v>
      </c>
      <c r="C186" s="88" t="s">
        <v>376</v>
      </c>
      <c r="D186" s="177"/>
      <c r="E186" s="99">
        <f>IFERROR(ROUND(E180*$D$12,2),"")</f>
        <v>0</v>
      </c>
      <c r="F186" s="99">
        <f t="shared" ref="F186:H186" si="33">IFERROR(ROUND(F180*$D$12,2),"")</f>
        <v>0</v>
      </c>
      <c r="G186" s="99">
        <f t="shared" si="33"/>
        <v>0</v>
      </c>
      <c r="H186" s="99">
        <f t="shared" si="33"/>
        <v>0</v>
      </c>
      <c r="I186" s="99" t="str">
        <f>IFERROR(I180*IF(VLOOKUP(I$26,'Apoio - Regime de Trabalho'!$A:$I,3,FALSE)="Diária",1,$D$12),"")</f>
        <v/>
      </c>
      <c r="M186" s="410"/>
      <c r="N186" s="404"/>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1"/>
      <c r="B187" s="87" t="s">
        <v>1</v>
      </c>
      <c r="C187" s="88" t="s">
        <v>435</v>
      </c>
      <c r="D187" s="177"/>
      <c r="E187" s="99">
        <f>IFERROR(ROUND(E181*$D$12,2),"")</f>
        <v>0</v>
      </c>
      <c r="F187" s="99">
        <f t="shared" ref="F187:H187" si="34">IFERROR(ROUND(F181*$D$12,2),"")</f>
        <v>0</v>
      </c>
      <c r="G187" s="99">
        <f t="shared" si="34"/>
        <v>0</v>
      </c>
      <c r="H187" s="99">
        <f t="shared" si="34"/>
        <v>0</v>
      </c>
      <c r="I187" s="99" t="str">
        <f>IFERROR(I181*IF(VLOOKUP(I$26,'Apoio - Regime de Trabalho'!$A:$I,3,FALSE)="Diária",1,$D$12),"")</f>
        <v/>
      </c>
      <c r="M187" s="410"/>
      <c r="N187" s="404"/>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1"/>
      <c r="B188" s="87" t="s">
        <v>0</v>
      </c>
      <c r="C188" s="88" t="s">
        <v>174</v>
      </c>
      <c r="D188" s="177"/>
      <c r="E188" s="99">
        <f>IFERROR(ROUND(E182*$D$12,2),"")</f>
        <v>0</v>
      </c>
      <c r="F188" s="99">
        <f t="shared" ref="F188:H188" si="35">IFERROR(ROUND(F182*$D$12,2),"")</f>
        <v>0</v>
      </c>
      <c r="G188" s="99">
        <f t="shared" si="35"/>
        <v>0</v>
      </c>
      <c r="H188" s="99">
        <f t="shared" si="35"/>
        <v>0</v>
      </c>
      <c r="I188" s="99" t="str">
        <f>IFERROR(I182*IF(VLOOKUP(I$26,'Apoio - Regime de Trabalho'!$A:$I,3,FALSE)="Diária",1,$D$12),"")</f>
        <v/>
      </c>
      <c r="N188" s="404"/>
      <c r="O188" s="410"/>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A189" s="81"/>
      <c r="B189" s="87" t="s">
        <v>3</v>
      </c>
      <c r="C189" s="88" t="s">
        <v>436</v>
      </c>
      <c r="D189" s="177"/>
      <c r="E189" s="99">
        <f>IFERROR(ROUND(E183*$D$12,2),"")</f>
        <v>0</v>
      </c>
      <c r="F189" s="99">
        <f t="shared" ref="F189:H189" si="36">IFERROR(ROUND(F183*$D$12,2),"")</f>
        <v>0</v>
      </c>
      <c r="G189" s="99">
        <f t="shared" si="36"/>
        <v>0</v>
      </c>
      <c r="H189" s="99">
        <f t="shared" si="36"/>
        <v>0</v>
      </c>
      <c r="I189" s="99"/>
      <c r="M189" s="410"/>
      <c r="N189" s="716"/>
      <c r="O189" s="405"/>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F190" s="9"/>
      <c r="G190" s="9"/>
      <c r="H190" s="9"/>
      <c r="I190" s="9"/>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c r="A191" s="288"/>
      <c r="B191" s="89"/>
      <c r="C191" s="90" t="s">
        <v>380</v>
      </c>
      <c r="D191" s="90"/>
      <c r="E191" s="90"/>
      <c r="F191" s="90"/>
      <c r="G191" s="90"/>
      <c r="H191" s="90"/>
      <c r="I191" s="90"/>
      <c r="L191" s="90"/>
      <c r="M191" s="90"/>
      <c r="N191" s="90"/>
      <c r="O191" s="257"/>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ht="3.75" customHeight="1">
      <c r="A192" s="288"/>
      <c r="B192" s="3"/>
      <c r="C192" s="3"/>
      <c r="D192" s="3"/>
      <c r="E192" s="3"/>
      <c r="F192" s="3"/>
      <c r="G192" s="3"/>
      <c r="H192" s="3"/>
      <c r="I192" s="3"/>
      <c r="K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88"/>
      <c r="B193" s="171"/>
      <c r="C193" s="172" t="s">
        <v>623</v>
      </c>
      <c r="D193" s="397" t="s">
        <v>373</v>
      </c>
      <c r="E193" s="397" t="s">
        <v>649</v>
      </c>
      <c r="F193" s="397" t="s">
        <v>649</v>
      </c>
      <c r="G193" s="397" t="s">
        <v>649</v>
      </c>
      <c r="H193" s="397" t="s">
        <v>649</v>
      </c>
      <c r="I193" s="397"/>
      <c r="K193" s="1"/>
      <c r="L193" s="397" t="s">
        <v>647</v>
      </c>
      <c r="M193" s="397" t="s">
        <v>649</v>
      </c>
      <c r="N193" s="397" t="s">
        <v>322</v>
      </c>
      <c r="O193" s="397" t="s">
        <v>396</v>
      </c>
      <c r="Q193" s="40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88"/>
      <c r="B194" s="411" t="s">
        <v>624</v>
      </c>
      <c r="C194" s="401" t="s">
        <v>358</v>
      </c>
      <c r="D194" s="701"/>
      <c r="E194" s="396" t="str">
        <f>IFERROR(8*E$174*'Apoio - Notas Explicativas'!$D$6/$D194,"")</f>
        <v/>
      </c>
      <c r="F194" s="396" t="str">
        <f>IFERROR((8*F$174*'Apoio - Notas Explicativas'!$D$6/$D194)*($F$27/$E$27),"")</f>
        <v/>
      </c>
      <c r="G194" s="396"/>
      <c r="H194" s="396"/>
      <c r="I194" s="396"/>
      <c r="K194" s="1" t="str">
        <f>IFERROR(L194/D194,"")</f>
        <v/>
      </c>
      <c r="L194" s="701"/>
      <c r="M194" s="398">
        <f>SUM(E194:I194)</f>
        <v>0</v>
      </c>
      <c r="N194" s="398">
        <f>L194*M194</f>
        <v>0</v>
      </c>
      <c r="O194" s="398">
        <f>N194*$D$12</f>
        <v>0</v>
      </c>
      <c r="R194" s="408"/>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88"/>
      <c r="B195" s="411" t="s">
        <v>625</v>
      </c>
      <c r="C195" s="401" t="s">
        <v>359</v>
      </c>
      <c r="D195" s="701"/>
      <c r="E195" s="396" t="str">
        <f>IFERROR(8*E$174*'Apoio - Notas Explicativas'!$D$6/$D195,"")</f>
        <v/>
      </c>
      <c r="F195" s="396" t="str">
        <f>IFERROR((8*F$174*'Apoio - Notas Explicativas'!$D$6/$D195)*($F$27/$E$27),"")</f>
        <v/>
      </c>
      <c r="G195" s="396"/>
      <c r="H195" s="396"/>
      <c r="I195" s="394"/>
      <c r="K195" s="1" t="str">
        <f>IFERROR(L195/D195,"")</f>
        <v/>
      </c>
      <c r="L195" s="701"/>
      <c r="M195" s="398">
        <f t="shared" ref="M195:M200" si="37">SUM(E195:I195)</f>
        <v>0</v>
      </c>
      <c r="N195" s="398">
        <f t="shared" ref="N195:N200" si="38">L195*M195</f>
        <v>0</v>
      </c>
      <c r="O195" s="398">
        <f t="shared" ref="O195:O200" si="39">N195*$D$12</f>
        <v>0</v>
      </c>
      <c r="Q195" s="408"/>
      <c r="R195" s="408"/>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88"/>
      <c r="B196" s="411" t="s">
        <v>626</v>
      </c>
      <c r="C196" s="401" t="s">
        <v>360</v>
      </c>
      <c r="D196" s="701"/>
      <c r="E196" s="396" t="str">
        <f>IFERROR(8*E$174*'Apoio - Notas Explicativas'!$D$6/$D196,"")</f>
        <v/>
      </c>
      <c r="F196" s="396" t="str">
        <f>IFERROR((8*F$174*'Apoio - Notas Explicativas'!$D$6/$D196)*($F$27/$E$27),"")</f>
        <v/>
      </c>
      <c r="G196" s="396"/>
      <c r="H196" s="396"/>
      <c r="I196" s="394"/>
      <c r="K196" s="1" t="str">
        <f t="shared" ref="K196:K204" si="40">IFERROR(L196/D196,"")</f>
        <v/>
      </c>
      <c r="L196" s="701"/>
      <c r="M196" s="398">
        <f t="shared" si="37"/>
        <v>0</v>
      </c>
      <c r="N196" s="398">
        <f t="shared" si="38"/>
        <v>0</v>
      </c>
      <c r="O196" s="398">
        <f t="shared" si="39"/>
        <v>0</v>
      </c>
      <c r="R196" s="408"/>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88"/>
      <c r="B197" s="411" t="s">
        <v>627</v>
      </c>
      <c r="C197" s="401" t="s">
        <v>361</v>
      </c>
      <c r="D197" s="701"/>
      <c r="E197" s="396" t="str">
        <f>IFERROR(8*E$174*'Apoio - Notas Explicativas'!$D$6/$D197,"")</f>
        <v/>
      </c>
      <c r="F197" s="396" t="str">
        <f>IFERROR((8*F$174*'Apoio - Notas Explicativas'!$D$6/$D197)*($F$27/$E$27),"")</f>
        <v/>
      </c>
      <c r="G197" s="396"/>
      <c r="H197" s="396"/>
      <c r="I197" s="394"/>
      <c r="K197" s="1" t="str">
        <f t="shared" si="40"/>
        <v/>
      </c>
      <c r="L197" s="701"/>
      <c r="M197" s="398">
        <f t="shared" si="37"/>
        <v>0</v>
      </c>
      <c r="N197" s="398">
        <f t="shared" si="38"/>
        <v>0</v>
      </c>
      <c r="O197" s="398">
        <f t="shared" si="39"/>
        <v>0</v>
      </c>
      <c r="R197" s="408"/>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88"/>
      <c r="B198" s="411" t="s">
        <v>628</v>
      </c>
      <c r="C198" s="401" t="s">
        <v>356</v>
      </c>
      <c r="D198" s="701"/>
      <c r="E198" s="396" t="str">
        <f>IFERROR(8*E$174*'Apoio - Notas Explicativas'!$D$6/$D198,"")</f>
        <v/>
      </c>
      <c r="F198" s="396" t="str">
        <f>IFERROR((8*F$174*'Apoio - Notas Explicativas'!$D$6/$D198)*($F$27/$E$27),"")</f>
        <v/>
      </c>
      <c r="G198" s="396"/>
      <c r="H198" s="396"/>
      <c r="I198" s="394"/>
      <c r="K198" s="1" t="str">
        <f t="shared" si="40"/>
        <v/>
      </c>
      <c r="L198" s="701"/>
      <c r="M198" s="398">
        <f t="shared" si="37"/>
        <v>0</v>
      </c>
      <c r="N198" s="398">
        <f t="shared" si="38"/>
        <v>0</v>
      </c>
      <c r="O198" s="398">
        <f t="shared" si="39"/>
        <v>0</v>
      </c>
      <c r="R198" s="408"/>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88"/>
      <c r="B199" s="411" t="s">
        <v>629</v>
      </c>
      <c r="C199" s="403" t="s">
        <v>389</v>
      </c>
      <c r="D199" s="701"/>
      <c r="E199" s="396" t="str">
        <f>IFERROR(8*E$174*'Apoio - Notas Explicativas'!$D$6/$D199,"")</f>
        <v/>
      </c>
      <c r="F199" s="396" t="str">
        <f>IFERROR((8*F$174*'Apoio - Notas Explicativas'!$D$6/$D199)*($F$27/$E$27),"")</f>
        <v/>
      </c>
      <c r="G199" s="396"/>
      <c r="H199" s="396"/>
      <c r="I199" s="394"/>
      <c r="K199" s="1" t="str">
        <f t="shared" si="40"/>
        <v/>
      </c>
      <c r="L199" s="701"/>
      <c r="M199" s="398">
        <f t="shared" si="37"/>
        <v>0</v>
      </c>
      <c r="N199" s="398">
        <f t="shared" si="38"/>
        <v>0</v>
      </c>
      <c r="O199" s="398">
        <f t="shared" si="39"/>
        <v>0</v>
      </c>
      <c r="R199" s="408"/>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c r="A200" s="288"/>
      <c r="B200" s="411" t="s">
        <v>630</v>
      </c>
      <c r="C200" s="403" t="s">
        <v>390</v>
      </c>
      <c r="D200" s="701"/>
      <c r="E200" s="396" t="str">
        <f>IFERROR(8*E$174*'Apoio - Notas Explicativas'!$D$6/$D200,"")</f>
        <v/>
      </c>
      <c r="F200" s="396" t="str">
        <f>IFERROR((8*F$174*'Apoio - Notas Explicativas'!$D$6/$D200)*($F$27/$E$27),"")</f>
        <v/>
      </c>
      <c r="G200" s="396"/>
      <c r="H200" s="396"/>
      <c r="I200" s="394"/>
      <c r="K200" s="1" t="str">
        <f t="shared" si="40"/>
        <v/>
      </c>
      <c r="L200" s="701"/>
      <c r="M200" s="398">
        <f t="shared" si="37"/>
        <v>0</v>
      </c>
      <c r="N200" s="398">
        <f t="shared" si="38"/>
        <v>0</v>
      </c>
      <c r="O200" s="398">
        <f t="shared" si="39"/>
        <v>0</v>
      </c>
      <c r="R200" s="408"/>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ht="3.75" customHeight="1">
      <c r="A201" s="288"/>
      <c r="B201" s="412"/>
      <c r="C201" s="402"/>
      <c r="D201" s="400"/>
      <c r="E201" s="396" t="str">
        <f t="shared" ref="E201" si="41">IFERROR(ROUND(E$177/$D201,2),"")</f>
        <v/>
      </c>
      <c r="F201" s="289"/>
      <c r="G201" s="289"/>
      <c r="H201" s="289"/>
      <c r="I201" s="289"/>
      <c r="K201" s="1" t="str">
        <f t="shared" si="40"/>
        <v/>
      </c>
      <c r="L201" s="409"/>
      <c r="M201" s="399"/>
      <c r="N201" s="399"/>
      <c r="O201" s="399"/>
      <c r="R201" s="408"/>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88"/>
      <c r="B202" s="413"/>
      <c r="C202" s="172" t="s">
        <v>631</v>
      </c>
      <c r="D202" s="397"/>
      <c r="E202" s="397"/>
      <c r="F202" s="397"/>
      <c r="G202" s="397"/>
      <c r="H202" s="397"/>
      <c r="I202" s="397"/>
      <c r="K202" s="1"/>
      <c r="L202" s="397"/>
      <c r="M202" s="397"/>
      <c r="N202" s="397"/>
      <c r="O202" s="397"/>
      <c r="R202" s="408"/>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88"/>
      <c r="B203" s="411" t="s">
        <v>632</v>
      </c>
      <c r="C203" s="401" t="s">
        <v>362</v>
      </c>
      <c r="D203" s="701"/>
      <c r="E203" s="396" t="str">
        <f>IFERROR(8*E$174*'Apoio - Notas Explicativas'!$D$6/$D203,"")</f>
        <v/>
      </c>
      <c r="F203" s="396" t="str">
        <f>IFERROR((8*F$174*'Apoio - Notas Explicativas'!$D$6/$D203)*($F$27/$E$27),"")</f>
        <v/>
      </c>
      <c r="G203" s="396"/>
      <c r="H203" s="396"/>
      <c r="I203" s="394"/>
      <c r="K203" s="1" t="str">
        <f t="shared" si="40"/>
        <v/>
      </c>
      <c r="L203" s="701"/>
      <c r="M203" s="398">
        <f t="shared" ref="M203:M208" si="42">SUM(E203:I203)</f>
        <v>0</v>
      </c>
      <c r="N203" s="398">
        <f t="shared" ref="N203:N208" si="43">L203*M203</f>
        <v>0</v>
      </c>
      <c r="O203" s="398">
        <f t="shared" ref="O203:O208" si="44">N203*$D$12</f>
        <v>0</v>
      </c>
      <c r="R203" s="408"/>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88"/>
      <c r="B204" s="411" t="s">
        <v>633</v>
      </c>
      <c r="C204" s="401" t="s">
        <v>357</v>
      </c>
      <c r="D204" s="701"/>
      <c r="E204" s="396" t="str">
        <f>IFERROR(8*E$174*'Apoio - Notas Explicativas'!$D$6/$D204,"")</f>
        <v/>
      </c>
      <c r="F204" s="396" t="str">
        <f>IFERROR((8*F$174*'Apoio - Notas Explicativas'!$D$6/$D204)*($F$27/$E$27),"")</f>
        <v/>
      </c>
      <c r="G204" s="396"/>
      <c r="H204" s="396"/>
      <c r="I204" s="394"/>
      <c r="K204" s="1" t="str">
        <f t="shared" si="40"/>
        <v/>
      </c>
      <c r="L204" s="701"/>
      <c r="M204" s="398">
        <f t="shared" si="42"/>
        <v>0</v>
      </c>
      <c r="N204" s="398">
        <f t="shared" si="43"/>
        <v>0</v>
      </c>
      <c r="O204" s="398">
        <f t="shared" si="44"/>
        <v>0</v>
      </c>
      <c r="R204" s="408"/>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88"/>
      <c r="B205" s="411" t="s">
        <v>634</v>
      </c>
      <c r="C205" s="401" t="s">
        <v>617</v>
      </c>
      <c r="D205" s="701"/>
      <c r="E205" s="396" t="str">
        <f>IFERROR(8*E$174*'Apoio - Notas Explicativas'!$D$7/$D205,"")</f>
        <v/>
      </c>
      <c r="F205" s="396" t="str">
        <f>IFERROR((8*F$174*'Apoio - Notas Explicativas'!$D$7/$D205)*($F$27/$E$27),"")</f>
        <v/>
      </c>
      <c r="G205" s="396"/>
      <c r="H205" s="396"/>
      <c r="I205" s="396"/>
      <c r="K205" s="1" t="str">
        <f>IFERROR(('Apoio - Notas Explicativas'!$D$7/'Apoio - Notas Explicativas'!$D$6)*L205/D205,"")</f>
        <v/>
      </c>
      <c r="L205" s="701"/>
      <c r="M205" s="398">
        <f t="shared" si="42"/>
        <v>0</v>
      </c>
      <c r="N205" s="398">
        <f t="shared" si="43"/>
        <v>0</v>
      </c>
      <c r="O205" s="398">
        <f t="shared" si="44"/>
        <v>0</v>
      </c>
      <c r="R205" s="408"/>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88"/>
      <c r="B206" s="411" t="s">
        <v>635</v>
      </c>
      <c r="C206" s="401" t="s">
        <v>618</v>
      </c>
      <c r="D206" s="701"/>
      <c r="E206" s="396" t="str">
        <f>IFERROR(8*E$174*'Apoio - Notas Explicativas'!$D$8/$D206,"")</f>
        <v/>
      </c>
      <c r="F206" s="396" t="str">
        <f>IFERROR((8*F$174*'Apoio - Notas Explicativas'!$D$7/2/$D206)*($F$27/$E$27),"")</f>
        <v/>
      </c>
      <c r="G206" s="396"/>
      <c r="H206" s="396"/>
      <c r="I206" s="396"/>
      <c r="K206" s="1" t="str">
        <f>IFERROR(('Apoio - Notas Explicativas'!$D$8/'Apoio - Notas Explicativas'!$D$6)*L206/D206,"")</f>
        <v/>
      </c>
      <c r="L206" s="701"/>
      <c r="M206" s="398">
        <f t="shared" si="42"/>
        <v>0</v>
      </c>
      <c r="N206" s="398">
        <f t="shared" si="43"/>
        <v>0</v>
      </c>
      <c r="O206" s="398">
        <f t="shared" si="44"/>
        <v>0</v>
      </c>
      <c r="R206" s="408"/>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88"/>
      <c r="B207" s="411" t="s">
        <v>636</v>
      </c>
      <c r="C207" s="401" t="s">
        <v>619</v>
      </c>
      <c r="D207" s="701"/>
      <c r="E207" s="396" t="str">
        <f>IFERROR(8*E$174/$D207,"")</f>
        <v/>
      </c>
      <c r="F207" s="396" t="str">
        <f>IFERROR((8*F$174/$D207)*($F$27/$E$27),"")</f>
        <v/>
      </c>
      <c r="G207" s="396"/>
      <c r="H207" s="396"/>
      <c r="I207" s="396"/>
      <c r="K207" s="1" t="str">
        <f>IFERROR((1/'Apoio - Notas Explicativas'!$D$6)*L207/D207,"")</f>
        <v/>
      </c>
      <c r="L207" s="701"/>
      <c r="M207" s="398">
        <f t="shared" si="42"/>
        <v>0</v>
      </c>
      <c r="N207" s="398">
        <f t="shared" si="43"/>
        <v>0</v>
      </c>
      <c r="O207" s="398">
        <f t="shared" si="44"/>
        <v>0</v>
      </c>
      <c r="R207" s="408"/>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c r="A208" s="288"/>
      <c r="B208" s="411" t="s">
        <v>637</v>
      </c>
      <c r="C208" s="401" t="s">
        <v>366</v>
      </c>
      <c r="D208" s="701"/>
      <c r="E208" s="396" t="str">
        <f>IFERROR(8*E$174*'Apoio - Notas Explicativas'!$D$6/$D208,"")</f>
        <v/>
      </c>
      <c r="F208" s="396" t="str">
        <f>IFERROR((8*F$174*'Apoio - Notas Explicativas'!$D$6/$D208)*($F$27/$E$27),"")</f>
        <v/>
      </c>
      <c r="G208" s="396"/>
      <c r="H208" s="396"/>
      <c r="I208" s="394"/>
      <c r="K208" s="1" t="str">
        <f t="shared" ref="K208:K219" si="45">IFERROR(L208/D208,"")</f>
        <v/>
      </c>
      <c r="L208" s="701"/>
      <c r="M208" s="398">
        <f t="shared" si="42"/>
        <v>0</v>
      </c>
      <c r="N208" s="398">
        <f t="shared" si="43"/>
        <v>0</v>
      </c>
      <c r="O208" s="398">
        <f t="shared" si="44"/>
        <v>0</v>
      </c>
      <c r="R208" s="408"/>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ht="3.75" customHeight="1">
      <c r="A209" s="288"/>
      <c r="B209" s="412"/>
      <c r="C209" s="402"/>
      <c r="D209" s="400"/>
      <c r="E209" s="289"/>
      <c r="F209" s="289"/>
      <c r="G209" s="289"/>
      <c r="H209" s="289"/>
      <c r="I209" s="289"/>
      <c r="K209" s="1" t="str">
        <f t="shared" si="45"/>
        <v/>
      </c>
      <c r="L209" s="409"/>
      <c r="M209" s="399"/>
      <c r="N209" s="399"/>
      <c r="O209" s="399"/>
      <c r="R209" s="408"/>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88"/>
      <c r="B210" s="413"/>
      <c r="C210" s="172" t="s">
        <v>638</v>
      </c>
      <c r="D210" s="397"/>
      <c r="E210" s="397"/>
      <c r="F210" s="397"/>
      <c r="G210" s="397"/>
      <c r="H210" s="397"/>
      <c r="I210" s="397"/>
      <c r="K210" s="1"/>
      <c r="L210" s="397"/>
      <c r="M210" s="397"/>
      <c r="N210" s="397"/>
      <c r="O210" s="397"/>
      <c r="R210" s="408"/>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88"/>
      <c r="B211" s="411" t="s">
        <v>639</v>
      </c>
      <c r="C211" s="403" t="s">
        <v>620</v>
      </c>
      <c r="D211" s="701"/>
      <c r="E211" s="396"/>
      <c r="F211" s="396"/>
      <c r="G211" s="396" t="str">
        <f>IFERROR(8*G$174/3/$D211,"")</f>
        <v/>
      </c>
      <c r="H211" s="396" t="str">
        <f>IFERROR((8*H$174/3/$D211)*($H$27/$G$27),"")</f>
        <v/>
      </c>
      <c r="I211" s="394"/>
      <c r="K211" s="1" t="str">
        <f>IFERROR((1/'Apoio - Notas Explicativas'!$D$6)/3*L211/D211,"")</f>
        <v/>
      </c>
      <c r="L211" s="701"/>
      <c r="M211" s="398">
        <f>SUM(E211:I211)</f>
        <v>0</v>
      </c>
      <c r="N211" s="398">
        <f t="shared" ref="N211:N213" si="46">L211*M211</f>
        <v>0</v>
      </c>
      <c r="O211" s="398">
        <f t="shared" ref="O211:O213" si="47">N211*$D$12</f>
        <v>0</v>
      </c>
      <c r="R211" s="408"/>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88"/>
      <c r="B212" s="411" t="s">
        <v>640</v>
      </c>
      <c r="C212" s="403" t="s">
        <v>621</v>
      </c>
      <c r="D212" s="701"/>
      <c r="E212" s="396" t="str">
        <f>IFERROR(8*E$174/3/$D212,"")</f>
        <v/>
      </c>
      <c r="F212" s="396" t="str">
        <f>IFERROR((8*F$174/3/$D212)*($F$27/$E$27),"")</f>
        <v/>
      </c>
      <c r="G212" s="396"/>
      <c r="H212" s="396"/>
      <c r="I212" s="394"/>
      <c r="K212" s="1" t="str">
        <f>IFERROR((1/'Apoio - Notas Explicativas'!$D$6)/3*L212/D212,"")</f>
        <v/>
      </c>
      <c r="L212" s="701"/>
      <c r="M212" s="398">
        <f>SUM(E212:I212)</f>
        <v>0</v>
      </c>
      <c r="N212" s="398">
        <f t="shared" si="46"/>
        <v>0</v>
      </c>
      <c r="O212" s="398">
        <f t="shared" si="47"/>
        <v>0</v>
      </c>
      <c r="R212" s="408"/>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c r="A213" s="288"/>
      <c r="B213" s="411" t="s">
        <v>641</v>
      </c>
      <c r="C213" s="403" t="s">
        <v>622</v>
      </c>
      <c r="D213" s="701"/>
      <c r="E213" s="396" t="str">
        <f>IFERROR(8*E$174*'Apoio - Notas Explicativas'!$D$7/2/$D213,"")</f>
        <v/>
      </c>
      <c r="F213" s="396" t="str">
        <f>IFERROR((8*F$174*'Apoio - Notas Explicativas'!$D$7/2/$D213)*($F$27/$E$27),"")</f>
        <v/>
      </c>
      <c r="G213" s="396"/>
      <c r="H213" s="396"/>
      <c r="I213" s="394"/>
      <c r="K213" s="1" t="str">
        <f>IFERROR(('Apoio - Notas Explicativas'!$D$8/'Apoio - Notas Explicativas'!$D$6)*L213/D213,"")</f>
        <v/>
      </c>
      <c r="L213" s="701"/>
      <c r="M213" s="398">
        <f>SUM(E213:I213)</f>
        <v>0</v>
      </c>
      <c r="N213" s="398">
        <f t="shared" si="46"/>
        <v>0</v>
      </c>
      <c r="O213" s="398">
        <f t="shared" si="47"/>
        <v>0</v>
      </c>
      <c r="R213" s="408"/>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ht="3.75" customHeight="1">
      <c r="A214" s="288"/>
      <c r="B214" s="412"/>
      <c r="C214" s="402"/>
      <c r="D214" s="400"/>
      <c r="E214" s="289"/>
      <c r="F214" s="289"/>
      <c r="G214" s="289"/>
      <c r="H214" s="289"/>
      <c r="I214" s="289"/>
      <c r="K214" s="1" t="str">
        <f t="shared" si="45"/>
        <v/>
      </c>
      <c r="L214" s="409"/>
      <c r="M214" s="399"/>
      <c r="N214" s="399"/>
      <c r="O214" s="399"/>
      <c r="R214" s="408"/>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88"/>
      <c r="B215" s="413"/>
      <c r="C215" s="172" t="s">
        <v>642</v>
      </c>
      <c r="D215" s="397"/>
      <c r="E215" s="397"/>
      <c r="F215" s="397"/>
      <c r="G215" s="397"/>
      <c r="H215" s="397"/>
      <c r="I215" s="397"/>
      <c r="K215" s="1"/>
      <c r="L215" s="397"/>
      <c r="M215" s="397"/>
      <c r="N215" s="397"/>
      <c r="O215" s="397"/>
      <c r="R215" s="408"/>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c r="A216" s="288"/>
      <c r="B216" s="411" t="s">
        <v>643</v>
      </c>
      <c r="C216" s="401" t="s">
        <v>648</v>
      </c>
      <c r="D216" s="701"/>
      <c r="E216" s="396"/>
      <c r="F216" s="396"/>
      <c r="G216" s="396" t="str">
        <f>IFERROR(8*G$174/3/$D216,"")</f>
        <v/>
      </c>
      <c r="H216" s="396" t="str">
        <f>IFERROR((8*H$174/3/$D216)*($H$27/$G$27),"")</f>
        <v/>
      </c>
      <c r="I216" s="394"/>
      <c r="K216" s="1" t="str">
        <f>IFERROR((1/'Apoio - Notas Explicativas'!$D$6)/3*L216/D216,"")</f>
        <v/>
      </c>
      <c r="L216" s="701"/>
      <c r="M216" s="398">
        <f>SUM(E216:I216)</f>
        <v>0</v>
      </c>
      <c r="N216" s="398">
        <f t="shared" ref="N216" si="48">L216*M216</f>
        <v>0</v>
      </c>
      <c r="O216" s="398">
        <f>N216*$D$12</f>
        <v>0</v>
      </c>
      <c r="R216" s="408"/>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ht="3.75" customHeight="1">
      <c r="A217" s="288"/>
      <c r="B217" s="412"/>
      <c r="C217" s="402"/>
      <c r="D217" s="400"/>
      <c r="E217" s="289"/>
      <c r="F217" s="289"/>
      <c r="G217" s="289"/>
      <c r="H217" s="289"/>
      <c r="I217" s="289"/>
      <c r="K217" s="1" t="str">
        <f t="shared" si="45"/>
        <v/>
      </c>
      <c r="L217" s="409"/>
      <c r="M217" s="398"/>
      <c r="N217" s="399"/>
      <c r="O217" s="399"/>
      <c r="R217" s="408"/>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88"/>
      <c r="B218" s="413"/>
      <c r="C218" s="172" t="s">
        <v>644</v>
      </c>
      <c r="D218" s="397"/>
      <c r="E218" s="397"/>
      <c r="F218" s="397"/>
      <c r="G218" s="397"/>
      <c r="H218" s="397"/>
      <c r="I218" s="397"/>
      <c r="K218" s="1"/>
      <c r="L218" s="397"/>
      <c r="M218" s="397"/>
      <c r="N218" s="397"/>
      <c r="O218" s="397"/>
      <c r="R218" s="408"/>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A219" s="288"/>
      <c r="B219" s="411" t="s">
        <v>645</v>
      </c>
      <c r="C219" s="401" t="s">
        <v>372</v>
      </c>
      <c r="D219" s="701"/>
      <c r="E219" s="396" t="str">
        <f>IFERROR(8*E$174*'Apoio - Notas Explicativas'!$D$6/$D219,"")</f>
        <v/>
      </c>
      <c r="F219" s="396" t="str">
        <f>IFERROR((8*F$174*'Apoio - Notas Explicativas'!$D$6/$D219)*($F$27/$E$27),"")</f>
        <v/>
      </c>
      <c r="G219" s="396"/>
      <c r="H219" s="396"/>
      <c r="I219" s="394"/>
      <c r="K219" s="1" t="str">
        <f t="shared" si="45"/>
        <v/>
      </c>
      <c r="L219" s="701"/>
      <c r="M219" s="398">
        <f>SUM(E219:I219)</f>
        <v>0</v>
      </c>
      <c r="N219" s="398">
        <f t="shared" ref="N219" si="49">L219*M219</f>
        <v>0</v>
      </c>
      <c r="O219" s="398">
        <f>N219*$D$12</f>
        <v>0</v>
      </c>
      <c r="R219" s="408"/>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row>
    <row r="220" spans="1:53">
      <c r="K220" s="1" t="str">
        <f t="shared" ref="K220" si="50">IFERROR(8*L220/D220,"")</f>
        <v/>
      </c>
    </row>
    <row r="221" spans="1:53">
      <c r="K221" s="1"/>
    </row>
    <row r="222" spans="1:53">
      <c r="K222" s="1"/>
    </row>
  </sheetData>
  <sheetProtection algorithmName="SHA-512" hashValue="1xYSCLQD7f8B3xkeKWZhSh12eKsqjKM8GiD0JPO1nDv2o0SrGb361agVeart4ts71ZWOjKnyv2q6L1g0s4RS6A==" saltValue="awp69HUDB494/QCL0ULdBg==" spinCount="100000" sheet="1" formatCells="0" formatColumns="0" formatRows="0" insertColumns="0" autoFilter="0"/>
  <dataConsolidate link="1"/>
  <mergeCells count="27">
    <mergeCell ref="B108:B111"/>
    <mergeCell ref="B140:B143"/>
    <mergeCell ref="B163:B165"/>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2 D194:D200 L194:L200 D203:D208 L203:L208 D211:D213 L211:L213 D216 L216 D219 L219">
    <cfRule type="expression" dxfId="15" priority="11">
      <formula>$H$5=1</formula>
    </cfRule>
  </conditionalFormatting>
  <conditionalFormatting sqref="D9:D10 D13:D15 E20:I25 E34:I34 E37:I38 E41:I41 E44:I45 E59:I60 D79:D80 E88:I90 E93:I95 E98:I99 E104:I105 D128:D136 E141:I142">
    <cfRule type="expression" dxfId="14" priority="12">
      <formula>$H$5=2</formula>
    </cfRule>
  </conditionalFormatting>
  <conditionalFormatting sqref="D15 E21:I21 E24:I25 E87:I87 E93:I93 E98:I98 E101:I102 E104:I104 E107:I107 E109:I109">
    <cfRule type="expression" dxfId="13" priority="8">
      <formula>$H$5=4</formula>
    </cfRule>
  </conditionalFormatting>
  <conditionalFormatting sqref="E164:H164">
    <cfRule type="expression" dxfId="12" priority="2">
      <formula>$H$5=1</formula>
    </cfRule>
  </conditionalFormatting>
  <conditionalFormatting sqref="E18:I27">
    <cfRule type="expression" dxfId="11" priority="1">
      <formula>$H$5=1</formula>
    </cfRule>
  </conditionalFormatting>
  <conditionalFormatting sqref="E51:I52">
    <cfRule type="expression" dxfId="10" priority="4">
      <formula>$H$5=1</formula>
    </cfRule>
    <cfRule type="expression" dxfId="9" priority="5">
      <formula>$H$5=2</formula>
    </cfRule>
  </conditionalFormatting>
  <conditionalFormatting sqref="E164:I164">
    <cfRule type="expression" dxfId="8" priority="3">
      <formula>$H$5=2</formula>
    </cfRule>
  </conditionalFormatting>
  <dataValidations disablePrompts="1" count="16">
    <dataValidation showInputMessage="1" sqref="D165 D140:D143"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I141 D139"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 type="list" allowBlank="1" sqref="D150" xr:uid="{0684F4A8-4B75-40E3-8225-66FC8F0FEA88}">
      <formula1>"Sim,Não"</formula1>
    </dataValidation>
  </dataValidations>
  <hyperlinks>
    <hyperlink ref="C149" location="'Mat Individual e Uniformes func'!A1" display="Material Individual e Uniformes" xr:uid="{00000000-0004-0000-0300-000000000000}"/>
    <hyperlink ref="C150"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6"/>
  <sheetViews>
    <sheetView showGridLines="0" topLeftCell="A11" zoomScale="90" zoomScaleNormal="90" workbookViewId="0">
      <selection activeCell="K60" sqref="K60"/>
    </sheetView>
  </sheetViews>
  <sheetFormatPr defaultColWidth="9.140625" defaultRowHeight="15"/>
  <cols>
    <col min="1" max="1" width="1.5703125" style="42"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2" bestFit="1" customWidth="1"/>
    <col min="13" max="13" width="14.85546875" style="42" customWidth="1"/>
    <col min="14" max="14" width="15.5703125" style="42" bestFit="1" customWidth="1"/>
    <col min="15" max="15" width="14.28515625" style="42" bestFit="1" customWidth="1"/>
    <col min="16" max="16" width="11" style="42" bestFit="1" customWidth="1"/>
    <col min="17" max="16384" width="9.140625" style="42"/>
  </cols>
  <sheetData>
    <row r="1" spans="2:12" ht="6.75" customHeight="1"/>
    <row r="2" spans="2:12" ht="26.25">
      <c r="B2" s="804" t="s">
        <v>76</v>
      </c>
      <c r="C2" s="805"/>
      <c r="D2" s="805"/>
      <c r="E2" s="805"/>
      <c r="F2" s="805"/>
      <c r="G2" s="805"/>
      <c r="H2" s="805"/>
      <c r="I2" s="805"/>
      <c r="J2" s="805"/>
      <c r="K2" s="806"/>
    </row>
    <row r="3" spans="2:12" ht="21">
      <c r="B3" s="812" t="str">
        <f>IF(IFERROR(SUM(Produtividade!L194:L219)&gt;0,FALSE()),Produtividade!D5,
IF(IFERROR(Veículos!$E$3&lt;&gt;"",FALSE()),'Mão de Obra'!D5,'Mão de Obra'!D5))</f>
        <v>Secretaria Municipal da Inclusão e Desenvolvimento Humano SMIDH</v>
      </c>
      <c r="C3" s="813"/>
      <c r="D3" s="813"/>
      <c r="E3" s="813"/>
      <c r="F3" s="813"/>
      <c r="G3" s="813"/>
      <c r="H3" s="813"/>
      <c r="I3" s="813"/>
      <c r="J3" s="813"/>
      <c r="K3" s="814"/>
    </row>
    <row r="4" spans="2:12" ht="21">
      <c r="B4" s="807" t="s">
        <v>432</v>
      </c>
      <c r="C4" s="808"/>
      <c r="D4" s="808"/>
      <c r="E4" s="808"/>
      <c r="F4" s="808"/>
      <c r="G4" s="808"/>
      <c r="H4" s="808"/>
      <c r="I4" s="808"/>
      <c r="J4" s="808"/>
      <c r="K4" s="809"/>
    </row>
    <row r="5" spans="2:12" ht="6.75" customHeight="1">
      <c r="B5" s="25"/>
      <c r="C5" s="25"/>
      <c r="D5" s="25"/>
      <c r="E5" s="25"/>
      <c r="F5" s="25"/>
      <c r="G5" s="25"/>
      <c r="H5" s="25"/>
      <c r="I5" s="25"/>
      <c r="J5" s="25"/>
      <c r="K5" s="25"/>
      <c r="L5" s="488"/>
    </row>
    <row r="6" spans="2:12" ht="15" customHeight="1">
      <c r="B6" s="344" t="s">
        <v>74</v>
      </c>
      <c r="C6" s="818">
        <f>IF(IFERROR(SUM(Produtividade!L194:L219)&gt;0,FALSE()),Produtividade!D6,
IF(IFERROR(Veículos!$E$3&lt;&gt;"",FALSE()),'Mão de Obra'!D6,
'Mão de Obra'!D6))</f>
        <v>0</v>
      </c>
      <c r="D6" s="818"/>
      <c r="E6" s="818"/>
      <c r="F6" s="818"/>
      <c r="G6" s="822" t="s">
        <v>70</v>
      </c>
      <c r="H6" s="822"/>
      <c r="I6" s="822"/>
      <c r="J6" s="820">
        <f>IF(IFERROR(SUM(Produtividade!L194:L219)&gt;0,FALSE()),Produtividade!D12,
IF(IFERROR(Veículos!$E$3&lt;&gt;"",FALSE()),'Mão de Obra'!D12,
'Mão de Obra'!D12))</f>
        <v>24</v>
      </c>
      <c r="K6" s="821"/>
    </row>
    <row r="7" spans="2:12" ht="15" customHeight="1">
      <c r="B7" s="350" t="s">
        <v>249</v>
      </c>
      <c r="C7" s="819" t="str">
        <f>IF(IFERROR(SUM(Produtividade!L194:L219)&gt;0,FALSE()),Produtividade!D7,
IF(IFERROR(Veículos!$E$3&lt;&gt;"",FALSE()),'Mão de Obra'!D7,
'Mão de Obra'!D7))</f>
        <v>26.0.000028116-5</v>
      </c>
      <c r="D7" s="819"/>
      <c r="E7" s="819"/>
      <c r="F7" s="819"/>
      <c r="G7" s="803" t="s">
        <v>110</v>
      </c>
      <c r="H7" s="803"/>
      <c r="I7" s="803"/>
      <c r="J7" s="810" t="str">
        <f>IF(IFERROR(SUM(Produtividade!L194:L219)&gt;0,FALSE()),Produtividade!D11,
IF(IFERROR(Veículos!$E$3&lt;&gt;"",FALSE()),'Mão de Obra'!D11,
'Mão de Obra'!D11))</f>
        <v>Mês</v>
      </c>
      <c r="K7" s="811"/>
    </row>
    <row r="8" spans="2:12" ht="32.25" customHeight="1">
      <c r="B8" s="815" t="str">
        <f>CONCATENATE("OBJETO: ",
IF(IFERROR(SUM(Produtividade!L194:L219)&gt;0,FALSE()),Produtividade!D8,
IF(IFERROR(Veículos!$E$3&lt;&gt;"",FALSE()),'Mão de Obra'!D8,
'Mão de Obra'!D8)))</f>
        <v>OBJETO: Contratação de empresa para a prestação de serviços de limpeza e conservação, com fornecimento de equipamentos, e prestação de serviço de copeiragem, para a Secretaria Municipal da Inclusão e Desenvolvimento Humano.</v>
      </c>
      <c r="C8" s="816"/>
      <c r="D8" s="816"/>
      <c r="E8" s="816"/>
      <c r="F8" s="816"/>
      <c r="G8" s="816"/>
      <c r="H8" s="816"/>
      <c r="I8" s="816"/>
      <c r="J8" s="816"/>
      <c r="K8" s="817"/>
    </row>
    <row r="9" spans="2:12" ht="15" customHeight="1">
      <c r="B9" s="350" t="s">
        <v>64</v>
      </c>
      <c r="C9" s="799"/>
      <c r="D9" s="799"/>
      <c r="E9" s="799"/>
      <c r="F9" s="799"/>
      <c r="G9" s="803" t="s">
        <v>318</v>
      </c>
      <c r="H9" s="803"/>
      <c r="I9" s="349"/>
      <c r="J9" s="810" t="str">
        <f>IF(IFERROR(SUM(Produtividade!L194:L219)&gt;0,FALSE()),Produtividade!D13,
IF(IFERROR(Veículos!$E$3&lt;&gt;"",FALSE()),'Mão de Obra'!D13,
'Mão de Obra'!D13))</f>
        <v>Lucro Presumido</v>
      </c>
      <c r="K9" s="811"/>
    </row>
    <row r="10" spans="2:12">
      <c r="B10" s="347" t="s">
        <v>72</v>
      </c>
      <c r="C10" s="800"/>
      <c r="D10" s="800"/>
      <c r="E10" s="800"/>
      <c r="F10" s="800"/>
      <c r="G10" s="794" t="s">
        <v>319</v>
      </c>
      <c r="H10" s="794"/>
      <c r="I10" s="348"/>
      <c r="J10" s="790">
        <f>IF(IFERROR(SUM(Produtividade!L194:L219)&gt;0,FALSE()),Produtividade!D14,
IF(IFERROR(Veículos!$E$3&lt;&gt;"",FALSE()),'Mão de Obra'!D14,
'Mão de Obra'!D14))</f>
        <v>0</v>
      </c>
      <c r="K10" s="791"/>
    </row>
    <row r="11" spans="2:12" ht="15" customHeight="1">
      <c r="B11" s="347" t="s">
        <v>65</v>
      </c>
      <c r="C11" s="799"/>
      <c r="D11" s="799"/>
      <c r="E11" s="799"/>
      <c r="F11" s="799"/>
      <c r="G11" s="794" t="s">
        <v>75</v>
      </c>
      <c r="H11" s="794"/>
      <c r="I11" s="801" t="s">
        <v>458</v>
      </c>
      <c r="J11" s="801"/>
      <c r="K11" s="802"/>
    </row>
    <row r="12" spans="2:12">
      <c r="B12" s="346" t="s">
        <v>66</v>
      </c>
      <c r="C12" s="798"/>
      <c r="D12" s="798"/>
      <c r="E12" s="798"/>
      <c r="F12" s="798"/>
      <c r="G12" s="794" t="s">
        <v>321</v>
      </c>
      <c r="H12" s="794"/>
      <c r="I12" s="796"/>
      <c r="J12" s="796"/>
      <c r="K12" s="797"/>
    </row>
    <row r="13" spans="2:12">
      <c r="B13" s="345" t="s">
        <v>73</v>
      </c>
      <c r="C13" s="789"/>
      <c r="D13" s="789"/>
      <c r="E13" s="789"/>
      <c r="F13" s="789"/>
      <c r="G13" s="795" t="s">
        <v>67</v>
      </c>
      <c r="H13" s="795"/>
      <c r="I13" s="792"/>
      <c r="J13" s="792"/>
      <c r="K13" s="793"/>
    </row>
    <row r="14" spans="2:12" ht="6.75" customHeight="1">
      <c r="B14" s="26"/>
      <c r="C14" s="26"/>
      <c r="D14" s="26"/>
      <c r="E14" s="26"/>
      <c r="F14" s="26"/>
      <c r="G14" s="26"/>
      <c r="H14" s="26"/>
      <c r="I14" s="26"/>
      <c r="J14" s="26"/>
    </row>
    <row r="15" spans="2:12">
      <c r="B15" s="463" t="s">
        <v>417</v>
      </c>
      <c r="C15" s="464"/>
      <c r="D15" s="464"/>
      <c r="E15" s="464"/>
      <c r="F15" s="464"/>
      <c r="G15" s="464"/>
      <c r="H15" s="464"/>
      <c r="I15" s="464"/>
      <c r="J15" s="464"/>
      <c r="K15" s="465"/>
    </row>
    <row r="16" spans="2:12" ht="30">
      <c r="B16" s="466" t="s">
        <v>491</v>
      </c>
      <c r="C16" s="467" t="s">
        <v>69</v>
      </c>
      <c r="D16" s="467" t="s">
        <v>68</v>
      </c>
      <c r="E16" s="467" t="s">
        <v>407</v>
      </c>
      <c r="F16" s="468" t="s">
        <v>408</v>
      </c>
      <c r="G16" s="468" t="s">
        <v>429</v>
      </c>
      <c r="H16" s="468" t="s">
        <v>430</v>
      </c>
      <c r="I16" s="468" t="s">
        <v>431</v>
      </c>
      <c r="J16" s="468" t="s">
        <v>443</v>
      </c>
      <c r="K16" s="469" t="s">
        <v>396</v>
      </c>
    </row>
    <row r="17" spans="2:14" ht="30" customHeight="1">
      <c r="B17" s="470" t="str">
        <f>IF(
INDEX('Mão de Obra'!$E$18:$X$18,1,ROW()-ROW($B$16))&lt;&gt;0,
INDEX('Mão de Obra'!$E$18:$X$18,1,ROW()-ROW($B$16)),
"OCULTAR ESTA LINHA"
)</f>
        <v>Aux. Limpeza, Serv. Gerais</v>
      </c>
      <c r="C17" s="471" t="str">
        <f>INDEX('Mão de Obra'!$E$17:$X$17,1,ROW()-ROW($C$16))</f>
        <v>Posto A</v>
      </c>
      <c r="D17" s="472" t="str">
        <f>INDEX('Mão de Obra'!$E$26:$X$26,1,ROW()-ROW($D$16))</f>
        <v>40h (5 dia/sem)</v>
      </c>
      <c r="E17" s="473">
        <f>INDEX('Mão de Obra'!$E$27:$X$27,1,ROW()-ROW($E$16))</f>
        <v>2</v>
      </c>
      <c r="F17" s="473">
        <f>INDEX('Mão de Obra'!$E$29:$X$29,1,ROW()-ROW($F$16))</f>
        <v>2</v>
      </c>
      <c r="G17" s="474">
        <f>INDEX('Mão de Obra'!$E$174:$X$174,1,ROW()-ROW($G$16))</f>
        <v>33.119999999999997</v>
      </c>
      <c r="H17" s="474">
        <f>INDEX('Mão de Obra'!$E$175:$X$175,1,ROW()-ROW($I$16))</f>
        <v>264.92</v>
      </c>
      <c r="I17" s="474">
        <f>INDEX('Mão de Obra'!$E$177:$X$177,1,ROW()-ROW($I$16))</f>
        <v>5828.28</v>
      </c>
      <c r="J17" s="474">
        <f>INDEX('Mão de Obra'!$E$183:$X$183,1,ROW()-ROW($I$16))</f>
        <v>11656.56</v>
      </c>
      <c r="K17" s="475">
        <f>INDEX('Mão de Obra'!$E$189:$X$189,1,ROW()-ROW($I$16))</f>
        <v>279757.44</v>
      </c>
      <c r="M17" s="493"/>
    </row>
    <row r="18" spans="2:14" ht="30">
      <c r="B18" s="470" t="str">
        <f>IF(
INDEX('Mão de Obra'!$E$18:$X$18,1,ROW()-ROW($B$16))&lt;&gt;0,
INDEX('Mão de Obra'!$E$18:$X$18,1,ROW()-ROW($B$16)),
"OCULTAR ESTA LINHA"
)</f>
        <v>Aux. Limpeza, Serv. Gerais</v>
      </c>
      <c r="C18" s="471" t="str">
        <f>INDEX('Mão de Obra'!$E$17:$X$17,1,ROW()-ROW($C$16))</f>
        <v>Posto B</v>
      </c>
      <c r="D18" s="472" t="str">
        <f>INDEX('Mão de Obra'!$E$26:$X$26,1,ROW()-ROW($D$16))</f>
        <v>30h (5 dia/sem)</v>
      </c>
      <c r="E18" s="473">
        <f>INDEX('Mão de Obra'!$E$27:$X$27,1,ROW()-ROW($E$16))</f>
        <v>13</v>
      </c>
      <c r="F18" s="473">
        <f>INDEX('Mão de Obra'!$E$29:$X$29,1,ROW()-ROW($F$16))</f>
        <v>13</v>
      </c>
      <c r="G18" s="474">
        <f>INDEX('Mão de Obra'!$E$174:$X$174,1,ROW()-ROW($G$16))</f>
        <v>32.5</v>
      </c>
      <c r="H18" s="474">
        <f>INDEX('Mão de Obra'!$E$175:$X$175,1,ROW()-ROW($I$16))</f>
        <v>194.98</v>
      </c>
      <c r="I18" s="474">
        <f>INDEX('Mão de Obra'!$E$177:$X$177,1,ROW()-ROW($I$16))</f>
        <v>4289.55</v>
      </c>
      <c r="J18" s="474">
        <f>INDEX('Mão de Obra'!$E$183:$X$183,1,ROW()-ROW($I$16))</f>
        <v>55764.15</v>
      </c>
      <c r="K18" s="475">
        <f>INDEX('Mão de Obra'!$E$189:$X$189,1,ROW()-ROW($I$16))</f>
        <v>1338339.6000000001</v>
      </c>
      <c r="N18" s="492"/>
    </row>
    <row r="19" spans="2:14" ht="30">
      <c r="B19" s="470" t="str">
        <f>IF(
INDEX('Mão de Obra'!$E$18:$X$18,1,ROW()-ROW($B$16))&lt;&gt;0,
INDEX('Mão de Obra'!$E$18:$X$18,1,ROW()-ROW($B$16)),
"OCULTAR ESTA LINHA"
)</f>
        <v>Aux. Limpeza, Serv. Gerais</v>
      </c>
      <c r="C19" s="471" t="str">
        <f>INDEX('Mão de Obra'!$E$17:$X$17,1,ROW()-ROW($C$16))</f>
        <v>Posto C</v>
      </c>
      <c r="D19" s="472" t="str">
        <f>INDEX('Mão de Obra'!$E$26:$X$26,1,ROW()-ROW($D$16))</f>
        <v>40h (5 dia/sem)</v>
      </c>
      <c r="E19" s="473">
        <f>INDEX('Mão de Obra'!$E$27:$X$27,1,ROW()-ROW($E$16))</f>
        <v>1</v>
      </c>
      <c r="F19" s="473">
        <f>INDEX('Mão de Obra'!$E$29:$X$29,1,ROW()-ROW($F$16))</f>
        <v>1</v>
      </c>
      <c r="G19" s="474">
        <f>INDEX('Mão de Obra'!$E$174:$X$174,1,ROW()-ROW($G$16))</f>
        <v>37.06</v>
      </c>
      <c r="H19" s="474">
        <f>INDEX('Mão de Obra'!$E$175:$X$175,1,ROW()-ROW($I$16))</f>
        <v>296.45999999999998</v>
      </c>
      <c r="I19" s="474">
        <f>INDEX('Mão de Obra'!$E$177:$X$177,1,ROW()-ROW($I$16))</f>
        <v>6522.12</v>
      </c>
      <c r="J19" s="474">
        <f>INDEX('Mão de Obra'!$E$183:$X$183,1,ROW()-ROW($I$16))</f>
        <v>6522.12</v>
      </c>
      <c r="K19" s="475">
        <f>INDEX('Mão de Obra'!$E$189:$X$189,1,ROW()-ROW($I$16))</f>
        <v>156530.88</v>
      </c>
      <c r="M19" s="493"/>
    </row>
    <row r="20" spans="2:14" ht="30">
      <c r="B20" s="470" t="str">
        <f>IF(
INDEX('Mão de Obra'!$E$18:$X$18,1,ROW()-ROW($B$16))&lt;&gt;0,
INDEX('Mão de Obra'!$E$18:$X$18,1,ROW()-ROW($B$16)),
"OCULTAR ESTA LINHA"
)</f>
        <v>Copeiro</v>
      </c>
      <c r="C20" s="471" t="str">
        <f>INDEX('Mão de Obra'!$E$17:$X$17,1,ROW()-ROW($C$16))</f>
        <v>Posto D</v>
      </c>
      <c r="D20" s="472" t="str">
        <f>INDEX('Mão de Obra'!$E$26:$X$26,1,ROW()-ROW($D$16))</f>
        <v>30h (5 dia/sem)</v>
      </c>
      <c r="E20" s="473">
        <f>INDEX('Mão de Obra'!$E$27:$X$27,1,ROW()-ROW($E$16))</f>
        <v>1</v>
      </c>
      <c r="F20" s="473">
        <f>INDEX('Mão de Obra'!$E$29:$X$29,1,ROW()-ROW($F$16))</f>
        <v>1</v>
      </c>
      <c r="G20" s="474">
        <f>INDEX('Mão de Obra'!$E$174:$X$174,1,ROW()-ROW($G$16))</f>
        <v>29.59</v>
      </c>
      <c r="H20" s="474">
        <f>INDEX('Mão de Obra'!$E$175:$X$175,1,ROW()-ROW($I$16))</f>
        <v>177.52</v>
      </c>
      <c r="I20" s="474">
        <f>INDEX('Mão de Obra'!$E$177:$X$177,1,ROW()-ROW($I$16))</f>
        <v>3905.37</v>
      </c>
      <c r="J20" s="474">
        <f>INDEX('Mão de Obra'!$E$183:$X$183,1,ROW()-ROW($I$16))</f>
        <v>3905.37</v>
      </c>
      <c r="K20" s="475">
        <f>INDEX('Mão de Obra'!$E$189:$X$189,1,ROW()-ROW($I$16))</f>
        <v>93728.88</v>
      </c>
      <c r="M20" s="494"/>
    </row>
    <row r="21" spans="2:14" hidden="1">
      <c r="B21" s="470" t="str">
        <f>IF(
INDEX('Mão de Obra'!$E$18:$X$18,1,ROW()-ROW($B$16))&lt;&gt;0,
INDEX('Mão de Obra'!$E$18:$X$18,1,ROW()-ROW($B$16)),
"OCULTAR ESTA LINHA"
)</f>
        <v>OCULTAR ESTA LINHA</v>
      </c>
      <c r="C21" s="471" t="str">
        <f>INDEX('Mão de Obra'!$E$17:$X$17,1,ROW()-ROW($C$16))</f>
        <v>Posto E</v>
      </c>
      <c r="D21" s="472">
        <f>INDEX('Mão de Obra'!$E$26:$X$26,1,ROW()-ROW($D$16))</f>
        <v>0</v>
      </c>
      <c r="E21" s="473">
        <f>INDEX('Mão de Obra'!$E$27:$X$27,1,ROW()-ROW($E$16))</f>
        <v>0</v>
      </c>
      <c r="F21" s="473" t="str">
        <f>INDEX('Mão de Obra'!$E$29:$X$29,1,ROW()-ROW($F$16))</f>
        <v/>
      </c>
      <c r="G21" s="474" t="str">
        <f>INDEX('Mão de Obra'!$E$174:$X$174,1,ROW()-ROW($G$16))</f>
        <v/>
      </c>
      <c r="H21" s="474" t="str">
        <f>INDEX('Mão de Obra'!$E$175:$X$175,1,ROW()-ROW($I$16))</f>
        <v/>
      </c>
      <c r="I21" s="474" t="str">
        <f>INDEX('Mão de Obra'!$E$177:$X$177,1,ROW()-ROW($I$16))</f>
        <v/>
      </c>
      <c r="J21" s="474" t="str">
        <f>INDEX('Mão de Obra'!$E$183:$X$183,1,ROW()-ROW($I$16))</f>
        <v/>
      </c>
      <c r="K21" s="475" t="str">
        <f>INDEX('Mão de Obra'!$E$189:$X$189,1,ROW()-ROW($I$16))</f>
        <v/>
      </c>
    </row>
    <row r="22" spans="2:14" hidden="1">
      <c r="B22" s="470" t="str">
        <f>IF(
INDEX('Mão de Obra'!$E$18:$X$18,1,ROW()-ROW($B$16))&lt;&gt;0,
INDEX('Mão de Obra'!$E$18:$X$18,1,ROW()-ROW($B$16)),
"OCULTAR ESTA LINHA"
)</f>
        <v>OCULTAR ESTA LINHA</v>
      </c>
      <c r="C22" s="471" t="str">
        <f>INDEX('Mão de Obra'!$E$17:$X$17,1,ROW()-ROW($C$16))</f>
        <v>Posto F</v>
      </c>
      <c r="D22" s="472">
        <f>INDEX('Mão de Obra'!$E$26:$X$26,1,ROW()-ROW($D$16))</f>
        <v>0</v>
      </c>
      <c r="E22" s="473">
        <f>INDEX('Mão de Obra'!$E$27:$X$27,1,ROW()-ROW($E$16))</f>
        <v>0</v>
      </c>
      <c r="F22" s="473" t="str">
        <f>INDEX('Mão de Obra'!$E$29:$X$29,1,ROW()-ROW($F$16))</f>
        <v/>
      </c>
      <c r="G22" s="474" t="str">
        <f>INDEX('Mão de Obra'!$E$174:$X$174,1,ROW()-ROW($G$16))</f>
        <v/>
      </c>
      <c r="H22" s="474" t="str">
        <f>INDEX('Mão de Obra'!$E$175:$X$175,1,ROW()-ROW($I$16))</f>
        <v/>
      </c>
      <c r="I22" s="474" t="str">
        <f>INDEX('Mão de Obra'!$E$177:$X$177,1,ROW()-ROW($I$16))</f>
        <v/>
      </c>
      <c r="J22" s="474" t="str">
        <f>INDEX('Mão de Obra'!$E$183:$X$183,1,ROW()-ROW($I$16))</f>
        <v/>
      </c>
      <c r="K22" s="475" t="str">
        <f>INDEX('Mão de Obra'!$E$189:$X$189,1,ROW()-ROW($I$16))</f>
        <v/>
      </c>
    </row>
    <row r="23" spans="2:14" hidden="1">
      <c r="B23" s="470" t="str">
        <f>IF(
INDEX('Mão de Obra'!$E$18:$X$18,1,ROW()-ROW($B$16))&lt;&gt;0,
INDEX('Mão de Obra'!$E$18:$X$18,1,ROW()-ROW($B$16)),
"OCULTAR ESTA LINHA"
)</f>
        <v>OCULTAR ESTA LINHA</v>
      </c>
      <c r="C23" s="471" t="str">
        <f>INDEX('Mão de Obra'!$E$17:$X$17,1,ROW()-ROW($C$16))</f>
        <v>Posto G</v>
      </c>
      <c r="D23" s="472">
        <f>INDEX('Mão de Obra'!$E$26:$X$26,1,ROW()-ROW($D$16))</f>
        <v>0</v>
      </c>
      <c r="E23" s="473">
        <f>INDEX('Mão de Obra'!$E$27:$X$27,1,ROW()-ROW($E$16))</f>
        <v>0</v>
      </c>
      <c r="F23" s="473" t="str">
        <f>INDEX('Mão de Obra'!$E$29:$X$29,1,ROW()-ROW($F$16))</f>
        <v/>
      </c>
      <c r="G23" s="474" t="str">
        <f>INDEX('Mão de Obra'!$E$174:$X$174,1,ROW()-ROW($G$16))</f>
        <v/>
      </c>
      <c r="H23" s="474" t="str">
        <f>INDEX('Mão de Obra'!$E$175:$X$175,1,ROW()-ROW($I$16))</f>
        <v/>
      </c>
      <c r="I23" s="474" t="str">
        <f>INDEX('Mão de Obra'!$E$177:$X$177,1,ROW()-ROW($I$16))</f>
        <v/>
      </c>
      <c r="J23" s="474" t="str">
        <f>INDEX('Mão de Obra'!$E$183:$X$183,1,ROW()-ROW($I$16))</f>
        <v/>
      </c>
      <c r="K23" s="475" t="str">
        <f>INDEX('Mão de Obra'!$E$189:$X$189,1,ROW()-ROW($I$16))</f>
        <v/>
      </c>
    </row>
    <row r="24" spans="2:14" hidden="1">
      <c r="B24" s="470" t="str">
        <f>IF(
INDEX('Mão de Obra'!$E$18:$X$18,1,ROW()-ROW($B$16))&lt;&gt;0,
INDEX('Mão de Obra'!$E$18:$X$18,1,ROW()-ROW($B$16)),
"OCULTAR ESTA LINHA"
)</f>
        <v>OCULTAR ESTA LINHA</v>
      </c>
      <c r="C24" s="471" t="str">
        <f>INDEX('Mão de Obra'!$E$17:$X$17,1,ROW()-ROW($C$16))</f>
        <v>Posto H</v>
      </c>
      <c r="D24" s="472">
        <f>INDEX('Mão de Obra'!$E$26:$X$26,1,ROW()-ROW($D$16))</f>
        <v>0</v>
      </c>
      <c r="E24" s="473">
        <f>INDEX('Mão de Obra'!$E$27:$X$27,1,ROW()-ROW($E$16))</f>
        <v>0</v>
      </c>
      <c r="F24" s="473" t="str">
        <f>INDEX('Mão de Obra'!$E$29:$X$29,1,ROW()-ROW($F$16))</f>
        <v/>
      </c>
      <c r="G24" s="474" t="str">
        <f>INDEX('Mão de Obra'!$E$174:$X$174,1,ROW()-ROW($G$16))</f>
        <v/>
      </c>
      <c r="H24" s="474" t="str">
        <f>INDEX('Mão de Obra'!$E$175:$X$175,1,ROW()-ROW($I$16))</f>
        <v/>
      </c>
      <c r="I24" s="474" t="str">
        <f>INDEX('Mão de Obra'!$E$177:$X$177,1,ROW()-ROW($I$16))</f>
        <v/>
      </c>
      <c r="J24" s="474" t="str">
        <f>INDEX('Mão de Obra'!$E$183:$X$183,1,ROW()-ROW($I$16))</f>
        <v/>
      </c>
      <c r="K24" s="475" t="str">
        <f>INDEX('Mão de Obra'!$E$189:$X$189,1,ROW()-ROW($I$16))</f>
        <v/>
      </c>
    </row>
    <row r="25" spans="2:14" hidden="1">
      <c r="B25" s="470" t="str">
        <f>IF(
INDEX('Mão de Obra'!$E$18:$X$18,1,ROW()-ROW($B$16))&lt;&gt;0,
INDEX('Mão de Obra'!$E$18:$X$18,1,ROW()-ROW($B$16)),
"OCULTAR ESTA LINHA"
)</f>
        <v>OCULTAR ESTA LINHA</v>
      </c>
      <c r="C25" s="471" t="str">
        <f>INDEX('Mão de Obra'!$E$17:$X$17,1,ROW()-ROW($C$16))</f>
        <v>Posto I</v>
      </c>
      <c r="D25" s="472">
        <f>INDEX('Mão de Obra'!$E$26:$X$26,1,ROW()-ROW($D$16))</f>
        <v>0</v>
      </c>
      <c r="E25" s="473">
        <f>INDEX('Mão de Obra'!$E$27:$X$27,1,ROW()-ROW($E$16))</f>
        <v>0</v>
      </c>
      <c r="F25" s="473" t="str">
        <f>INDEX('Mão de Obra'!$E$29:$X$29,1,ROW()-ROW($F$16))</f>
        <v/>
      </c>
      <c r="G25" s="474" t="str">
        <f>INDEX('Mão de Obra'!$E$174:$X$174,1,ROW()-ROW($G$16))</f>
        <v/>
      </c>
      <c r="H25" s="474" t="str">
        <f>INDEX('Mão de Obra'!$E$175:$X$175,1,ROW()-ROW($I$16))</f>
        <v/>
      </c>
      <c r="I25" s="474" t="str">
        <f>INDEX('Mão de Obra'!$E$177:$X$177,1,ROW()-ROW($I$16))</f>
        <v/>
      </c>
      <c r="J25" s="474" t="str">
        <f>INDEX('Mão de Obra'!$E$183:$X$183,1,ROW()-ROW($I$16))</f>
        <v/>
      </c>
      <c r="K25" s="475" t="str">
        <f>INDEX('Mão de Obra'!$E$189:$X$189,1,ROW()-ROW($I$16))</f>
        <v/>
      </c>
    </row>
    <row r="26" spans="2:14" hidden="1">
      <c r="B26" s="470" t="str">
        <f>IF(
INDEX('Mão de Obra'!$E$18:$X$18,1,ROW()-ROW($B$16))&lt;&gt;0,
INDEX('Mão de Obra'!$E$18:$X$18,1,ROW()-ROW($B$16)),
"OCULTAR ESTA LINHA"
)</f>
        <v>OCULTAR ESTA LINHA</v>
      </c>
      <c r="C26" s="471" t="str">
        <f>INDEX('Mão de Obra'!$E$17:$X$17,1,ROW()-ROW($C$16))</f>
        <v>Posto J</v>
      </c>
      <c r="D26" s="472">
        <f>INDEX('Mão de Obra'!$E$26:$X$26,1,ROW()-ROW($D$16))</f>
        <v>0</v>
      </c>
      <c r="E26" s="473">
        <f>INDEX('Mão de Obra'!$E$27:$X$27,1,ROW()-ROW($E$16))</f>
        <v>0</v>
      </c>
      <c r="F26" s="473" t="str">
        <f>INDEX('Mão de Obra'!$E$29:$X$29,1,ROW()-ROW($F$16))</f>
        <v/>
      </c>
      <c r="G26" s="474" t="str">
        <f>INDEX('Mão de Obra'!$E$174:$X$174,1,ROW()-ROW($G$16))</f>
        <v/>
      </c>
      <c r="H26" s="474" t="str">
        <f>INDEX('Mão de Obra'!$E$175:$X$175,1,ROW()-ROW($I$16))</f>
        <v/>
      </c>
      <c r="I26" s="474" t="str">
        <f>INDEX('Mão de Obra'!$E$177:$X$177,1,ROW()-ROW($I$16))</f>
        <v/>
      </c>
      <c r="J26" s="474" t="str">
        <f>INDEX('Mão de Obra'!$E$183:$X$183,1,ROW()-ROW($I$16))</f>
        <v/>
      </c>
      <c r="K26" s="475" t="str">
        <f>INDEX('Mão de Obra'!$E$189:$X$189,1,ROW()-ROW($I$16))</f>
        <v/>
      </c>
    </row>
    <row r="27" spans="2:14">
      <c r="B27" s="463"/>
      <c r="C27" s="464"/>
      <c r="D27" s="464"/>
      <c r="E27" s="476">
        <f>SUM(E17:E26)</f>
        <v>17</v>
      </c>
      <c r="F27" s="476">
        <f>SUM(F17:F26)</f>
        <v>17</v>
      </c>
      <c r="G27" s="477"/>
      <c r="H27" s="477"/>
      <c r="I27" s="477"/>
      <c r="J27" s="477">
        <f>SUM(J17:J26)</f>
        <v>77848.2</v>
      </c>
      <c r="K27" s="766">
        <f>SUM(K17:K26)</f>
        <v>1868356.7999999998</v>
      </c>
      <c r="M27" s="648"/>
    </row>
    <row r="28" spans="2:14" ht="6.75" customHeight="1">
      <c r="B28" s="478"/>
      <c r="C28" s="478"/>
      <c r="D28" s="478"/>
      <c r="E28" s="479"/>
      <c r="F28" s="479"/>
      <c r="G28" s="646"/>
      <c r="H28" s="646"/>
      <c r="I28" s="646"/>
      <c r="J28" s="646"/>
      <c r="K28" s="646"/>
    </row>
    <row r="29" spans="2:14">
      <c r="B29" s="463" t="s">
        <v>487</v>
      </c>
      <c r="C29" s="464"/>
      <c r="D29" s="464"/>
      <c r="E29" s="464"/>
      <c r="F29" s="464"/>
      <c r="G29" s="464"/>
      <c r="H29" s="464"/>
      <c r="I29" s="464"/>
      <c r="J29" s="464"/>
      <c r="K29" s="465"/>
    </row>
    <row r="30" spans="2:14">
      <c r="B30" s="466" t="s">
        <v>483</v>
      </c>
      <c r="C30" s="467"/>
      <c r="D30" s="467"/>
      <c r="E30" s="467"/>
      <c r="F30" s="467"/>
      <c r="G30" s="468"/>
      <c r="H30" s="468"/>
      <c r="I30" s="468"/>
      <c r="J30" s="468" t="s">
        <v>443</v>
      </c>
      <c r="K30" s="469" t="s">
        <v>396</v>
      </c>
    </row>
    <row r="31" spans="2:14">
      <c r="B31" s="647" t="s">
        <v>483</v>
      </c>
      <c r="C31" s="471"/>
      <c r="D31" s="473"/>
      <c r="E31" s="481"/>
      <c r="F31" s="482"/>
      <c r="G31" s="474"/>
      <c r="H31" s="474"/>
      <c r="I31" s="474"/>
      <c r="J31" s="780">
        <f>IFERROR(IF(OR('Mão de Obra'!$D$150="Não",'Mão de Obra'!$D$150=""),
'Mat Coletivo e Equipamentos'!J4,""),0)</f>
        <v>2752.9905479999998</v>
      </c>
      <c r="K31" s="781">
        <f>IFERROR(J31*J6,0)</f>
        <v>66071.773151999994</v>
      </c>
      <c r="M31" s="648"/>
    </row>
    <row r="32" spans="2:14">
      <c r="B32" s="463"/>
      <c r="C32" s="464"/>
      <c r="D32" s="464"/>
      <c r="E32" s="464"/>
      <c r="F32" s="476"/>
      <c r="G32" s="484"/>
      <c r="H32" s="484"/>
      <c r="I32" s="484"/>
      <c r="J32" s="782">
        <f>SUM(J31)</f>
        <v>2752.9905479999998</v>
      </c>
      <c r="K32" s="783">
        <f>SUM(K31)</f>
        <v>66071.773151999994</v>
      </c>
    </row>
    <row r="33" spans="2:14" ht="6.75" customHeight="1">
      <c r="B33" s="478"/>
      <c r="C33" s="478"/>
      <c r="D33" s="478"/>
      <c r="E33" s="478"/>
      <c r="F33" s="479"/>
      <c r="G33" s="480"/>
      <c r="H33" s="480"/>
      <c r="I33" s="480"/>
      <c r="J33" s="480"/>
      <c r="K33" s="480"/>
    </row>
    <row r="34" spans="2:14" hidden="1">
      <c r="B34" s="463" t="s">
        <v>419</v>
      </c>
      <c r="C34" s="464"/>
      <c r="D34" s="464"/>
      <c r="E34" s="464"/>
      <c r="F34" s="464"/>
      <c r="G34" s="464"/>
      <c r="H34" s="464"/>
      <c r="I34" s="464"/>
      <c r="J34" s="464"/>
      <c r="K34" s="465"/>
    </row>
    <row r="35" spans="2:14" ht="15" hidden="1" customHeight="1">
      <c r="B35" s="466" t="s">
        <v>413</v>
      </c>
      <c r="C35" s="467"/>
      <c r="D35" s="467" t="s">
        <v>415</v>
      </c>
      <c r="E35" s="467" t="s">
        <v>451</v>
      </c>
      <c r="F35" s="467" t="s">
        <v>414</v>
      </c>
      <c r="G35" s="468" t="s">
        <v>429</v>
      </c>
      <c r="H35" s="468" t="s">
        <v>447</v>
      </c>
      <c r="I35" s="468" t="s">
        <v>431</v>
      </c>
      <c r="J35" s="468" t="s">
        <v>443</v>
      </c>
      <c r="K35" s="469" t="s">
        <v>396</v>
      </c>
    </row>
    <row r="36" spans="2:14" hidden="1">
      <c r="B36" s="470" t="str">
        <f>IF(
INDEX(Veículos!$E$3:$AR$3,1,ROW()-ROW(B$35))&lt;&gt;"",
INDEX(Veículos!$E$3:$AR$3,1,ROW()-ROW(B$35)),
"OCULTAR ESTA LINHA")</f>
        <v>OCULTAR ESTA LINHA</v>
      </c>
      <c r="C36" s="471"/>
      <c r="D36" s="473">
        <f>INDEX(Veículos!$E$4:$CS$4,1,ROW()-ROW(D$35))</f>
        <v>0</v>
      </c>
      <c r="E36" s="481" t="str">
        <f>INDEX(Veículos!$E$88:$CS$88,1,ROW()-ROW(E$35))</f>
        <v/>
      </c>
      <c r="F36" s="482">
        <f>INDEX(Veículos!$E$5:$AR$5,1,ROW()-ROW(F$35))</f>
        <v>0</v>
      </c>
      <c r="G36" s="474" t="str">
        <f>INDEX(Veículos!$E$89:$CS$89,1,ROW()-ROW(G$35))</f>
        <v/>
      </c>
      <c r="H36" s="474" t="str">
        <f>INDEX(Veículos!$E$86:$CS$86,1,ROW()-ROW(H$35))</f>
        <v/>
      </c>
      <c r="I36" s="474" t="str">
        <f>INDEX(Veículos!$E$94:$CS$94,1,ROW()-ROW(I$35))</f>
        <v/>
      </c>
      <c r="J36" s="483" t="str">
        <f>INDEX(Veículos!$E$99:$CS$99,1,ROW()-ROW(J$35))</f>
        <v/>
      </c>
      <c r="K36" s="475" t="str">
        <f>INDEX(Veículos!$E$100:$CS$100,1,ROW()-ROW(K$35))</f>
        <v/>
      </c>
    </row>
    <row r="37" spans="2:14" hidden="1">
      <c r="B37" s="470" t="str">
        <f>IF(
INDEX(Veículos!$E$3:$AR$3,1,ROW()-ROW(B$35))&lt;&gt;"",
INDEX(Veículos!$E$3:$AR$3,1,ROW()-ROW(B$35)),
"OCULTAR ESTA LINHA")</f>
        <v>OCULTAR ESTA LINHA</v>
      </c>
      <c r="C37" s="471"/>
      <c r="D37" s="473">
        <f>INDEX(Veículos!$E$4:$CS$4,1,ROW()-ROW(D$35))</f>
        <v>0</v>
      </c>
      <c r="E37" s="481" t="str">
        <f>INDEX(Veículos!$E$88:$CS$88,1,ROW()-ROW(E$35))</f>
        <v/>
      </c>
      <c r="F37" s="482">
        <f>INDEX(Veículos!$E$5:$AR$5,1,ROW()-ROW(F$35))</f>
        <v>0</v>
      </c>
      <c r="G37" s="474" t="str">
        <f>INDEX(Veículos!$E$89:$CS$89,1,ROW()-ROW(G$35))</f>
        <v/>
      </c>
      <c r="H37" s="474" t="str">
        <f>INDEX(Veículos!$E$86:$CS$86,1,ROW()-ROW(H$35))</f>
        <v/>
      </c>
      <c r="I37" s="474" t="str">
        <f>INDEX(Veículos!$E$94:$CS$94,1,ROW()-ROW(I$35))</f>
        <v/>
      </c>
      <c r="J37" s="483" t="str">
        <f>INDEX(Veículos!$E$99:$CS$99,1,ROW()-ROW(J$35))</f>
        <v/>
      </c>
      <c r="K37" s="475" t="str">
        <f>INDEX(Veículos!$E$100:$CS$100,1,ROW()-ROW(K$35))</f>
        <v/>
      </c>
    </row>
    <row r="38" spans="2:14" hidden="1">
      <c r="B38" s="470" t="str">
        <f>IF(
INDEX(Veículos!$E$3:$AR$3,1,ROW()-ROW(B$35))&lt;&gt;"",
INDEX(Veículos!$E$3:$AR$3,1,ROW()-ROW(B$35)),
"OCULTAR ESTA LINHA")</f>
        <v>OCULTAR ESTA LINHA</v>
      </c>
      <c r="C38" s="471"/>
      <c r="D38" s="473">
        <f>INDEX(Veículos!$E$4:$CS$4,1,ROW()-ROW(D$35))</f>
        <v>0</v>
      </c>
      <c r="E38" s="481" t="str">
        <f>INDEX(Veículos!$E$88:$CS$88,1,ROW()-ROW(E$35))</f>
        <v/>
      </c>
      <c r="F38" s="482">
        <f>INDEX(Veículos!$E$5:$AR$5,1,ROW()-ROW(F$35))</f>
        <v>0</v>
      </c>
      <c r="G38" s="474" t="str">
        <f>INDEX(Veículos!$E$89:$CS$89,1,ROW()-ROW(G$35))</f>
        <v/>
      </c>
      <c r="H38" s="474" t="str">
        <f>INDEX(Veículos!$E$86:$CS$86,1,ROW()-ROW(H$35))</f>
        <v/>
      </c>
      <c r="I38" s="474" t="str">
        <f>INDEX(Veículos!$E$94:$CS$94,1,ROW()-ROW(I$35))</f>
        <v/>
      </c>
      <c r="J38" s="483" t="str">
        <f>INDEX(Veículos!$E$99:$CS$99,1,ROW()-ROW(J$35))</f>
        <v/>
      </c>
      <c r="K38" s="475" t="str">
        <f>INDEX(Veículos!$E$100:$CS$100,1,ROW()-ROW(K$35))</f>
        <v/>
      </c>
    </row>
    <row r="39" spans="2:14" hidden="1">
      <c r="B39" s="470" t="str">
        <f>IF(
INDEX(Veículos!$E$3:$AR$3,1,ROW()-ROW(B$35))&lt;&gt;"",
INDEX(Veículos!$E$3:$AR$3,1,ROW()-ROW(B$35)),
"OCULTAR ESTA LINHA")</f>
        <v>OCULTAR ESTA LINHA</v>
      </c>
      <c r="C39" s="471"/>
      <c r="D39" s="473">
        <f>INDEX(Veículos!$E$4:$CS$4,1,ROW()-ROW(D$35))</f>
        <v>0</v>
      </c>
      <c r="E39" s="481" t="str">
        <f>INDEX(Veículos!$E$88:$CS$88,1,ROW()-ROW(E$35))</f>
        <v/>
      </c>
      <c r="F39" s="482">
        <f>INDEX(Veículos!$E$5:$AR$5,1,ROW()-ROW(F$35))</f>
        <v>0</v>
      </c>
      <c r="G39" s="474" t="str">
        <f>INDEX(Veículos!$E$89:$CS$89,1,ROW()-ROW(G$35))</f>
        <v/>
      </c>
      <c r="H39" s="474" t="str">
        <f>INDEX(Veículos!$E$86:$CS$86,1,ROW()-ROW(H$35))</f>
        <v/>
      </c>
      <c r="I39" s="474" t="str">
        <f>INDEX(Veículos!$E$94:$CS$94,1,ROW()-ROW(I$35))</f>
        <v/>
      </c>
      <c r="J39" s="483" t="str">
        <f>INDEX(Veículos!$E$99:$CS$99,1,ROW()-ROW(J$35))</f>
        <v/>
      </c>
      <c r="K39" s="475" t="str">
        <f>INDEX(Veículos!$E$100:$CS$100,1,ROW()-ROW(K$35))</f>
        <v/>
      </c>
    </row>
    <row r="40" spans="2:14" hidden="1">
      <c r="B40" s="470" t="str">
        <f>IF(
INDEX(Veículos!$E$3:$AR$3,1,ROW()-ROW(B$35))&lt;&gt;"",
INDEX(Veículos!$E$3:$AR$3,1,ROW()-ROW(B$35)),
"OCULTAR ESTA LINHA")</f>
        <v>OCULTAR ESTA LINHA</v>
      </c>
      <c r="C40" s="471"/>
      <c r="D40" s="473">
        <f>INDEX(Veículos!$E$4:$CS$4,1,ROW()-ROW(D$35))</f>
        <v>0</v>
      </c>
      <c r="E40" s="481" t="str">
        <f>INDEX(Veículos!$E$88:$CS$88,1,ROW()-ROW(E$35))</f>
        <v/>
      </c>
      <c r="F40" s="482">
        <f>INDEX(Veículos!$E$5:$AR$5,1,ROW()-ROW(F$35))</f>
        <v>0</v>
      </c>
      <c r="G40" s="474" t="str">
        <f>INDEX(Veículos!$E$89:$CS$89,1,ROW()-ROW(G$35))</f>
        <v/>
      </c>
      <c r="H40" s="474" t="str">
        <f>INDEX(Veículos!$E$86:$CS$86,1,ROW()-ROW(H$35))</f>
        <v/>
      </c>
      <c r="I40" s="474" t="str">
        <f>INDEX(Veículos!$E$94:$CS$94,1,ROW()-ROW(I$35))</f>
        <v/>
      </c>
      <c r="J40" s="483" t="str">
        <f>INDEX(Veículos!$E$99:$CS$99,1,ROW()-ROW(J$35))</f>
        <v/>
      </c>
      <c r="K40" s="475" t="str">
        <f>INDEX(Veículos!$E$100:$CS$100,1,ROW()-ROW(K$35))</f>
        <v/>
      </c>
    </row>
    <row r="41" spans="2:14" hidden="1">
      <c r="B41" s="463"/>
      <c r="C41" s="464"/>
      <c r="D41" s="464"/>
      <c r="E41" s="464"/>
      <c r="F41" s="476"/>
      <c r="G41" s="484"/>
      <c r="H41" s="484"/>
      <c r="I41" s="484"/>
      <c r="J41" s="484">
        <f>SUM(J36:J40)</f>
        <v>0</v>
      </c>
      <c r="K41" s="485">
        <f>SUM(K36:K40)</f>
        <v>0</v>
      </c>
    </row>
    <row r="42" spans="2:14" ht="6.75" customHeight="1">
      <c r="B42" s="478"/>
      <c r="C42" s="478"/>
      <c r="D42" s="478"/>
      <c r="E42" s="478"/>
      <c r="F42" s="479"/>
      <c r="G42" s="479"/>
      <c r="H42" s="480"/>
      <c r="I42" s="480"/>
      <c r="J42" s="480"/>
      <c r="K42" s="480"/>
    </row>
    <row r="43" spans="2:14" hidden="1">
      <c r="B43" s="463" t="s">
        <v>418</v>
      </c>
      <c r="C43" s="464"/>
      <c r="D43" s="464"/>
      <c r="E43" s="464"/>
      <c r="F43" s="464"/>
      <c r="G43" s="464"/>
      <c r="H43" s="464"/>
      <c r="I43" s="464"/>
      <c r="J43" s="464"/>
      <c r="K43" s="465"/>
    </row>
    <row r="44" spans="2:14" hidden="1">
      <c r="B44" s="466" t="s">
        <v>409</v>
      </c>
      <c r="C44" s="467"/>
      <c r="D44" s="467"/>
      <c r="E44" s="467"/>
      <c r="F44" s="468" t="s">
        <v>40</v>
      </c>
      <c r="G44" s="468" t="s">
        <v>410</v>
      </c>
      <c r="H44" s="468" t="s">
        <v>411</v>
      </c>
      <c r="I44" s="468" t="s">
        <v>412</v>
      </c>
      <c r="J44" s="468" t="s">
        <v>322</v>
      </c>
      <c r="K44" s="469" t="s">
        <v>345</v>
      </c>
    </row>
    <row r="45" spans="2:14" hidden="1">
      <c r="B45" s="470" t="str">
        <f>IF(
'Apoio - Dados'!J2&lt;&gt;"",
'Apoio - Dados'!J2,
"OCULTAR ESTA LINHA")</f>
        <v>OCULTAR ESTA LINHA</v>
      </c>
      <c r="C45" s="471"/>
      <c r="D45" s="472"/>
      <c r="E45" s="472"/>
      <c r="F45" s="473" t="str">
        <f>IFERROR(INDEX(Produtividade!B:B,MATCH($B45,Produtividade!C:C,0)),"")</f>
        <v/>
      </c>
      <c r="G45" s="474" t="str">
        <f>IFERROR(INDEX('Apoio - Dados'!F:F,MATCH($B45,'Apoio - Dados'!E:E,0)),"")</f>
        <v/>
      </c>
      <c r="H45" s="486" t="str">
        <f>IFERROR(INDEX(Produtividade!L:L,MATCH($B45,Produtividade!C:C,0)),"")</f>
        <v/>
      </c>
      <c r="I45" s="474" t="str">
        <f>IFERROR(INDEX(Produtividade!M:M,MATCH($B45,Produtividade!C:C,0)),"")</f>
        <v/>
      </c>
      <c r="J45" s="483" t="str">
        <f>IFERROR(INDEX(Produtividade!N:N,MATCH($B45,Produtividade!C:C,0)),"")</f>
        <v/>
      </c>
      <c r="K45" s="475" t="str">
        <f>IFERROR(INDEX(Produtividade!O:O,MATCH($B45,Produtividade!C:C,0)),"")</f>
        <v/>
      </c>
      <c r="N45" s="489"/>
    </row>
    <row r="46" spans="2:14" hidden="1">
      <c r="B46" s="470" t="str">
        <f>IF(
'Apoio - Dados'!J3&lt;&gt;"",
'Apoio - Dados'!J3,
"OCULTAR ESTA LINHA")</f>
        <v>OCULTAR ESTA LINHA</v>
      </c>
      <c r="C46" s="471"/>
      <c r="D46" s="472"/>
      <c r="E46" s="472"/>
      <c r="F46" s="473" t="str">
        <f>IFERROR(INDEX(Produtividade!B:B,MATCH($B46,Produtividade!C:C,0)),"")</f>
        <v/>
      </c>
      <c r="G46" s="474" t="str">
        <f>IFERROR(INDEX('Apoio - Dados'!F:F,MATCH($B46,'Apoio - Dados'!E:E,0)),"")</f>
        <v/>
      </c>
      <c r="H46" s="486" t="str">
        <f>IFERROR(INDEX(Produtividade!L:L,MATCH($B46,Produtividade!C:C,0)),"")</f>
        <v/>
      </c>
      <c r="I46" s="474" t="str">
        <f>IFERROR(INDEX(Produtividade!M:M,MATCH($B46,Produtividade!C:C,0)),"")</f>
        <v/>
      </c>
      <c r="J46" s="483" t="str">
        <f>IFERROR(INDEX(Produtividade!N:N,MATCH($B46,Produtividade!C:C,0)),"")</f>
        <v/>
      </c>
      <c r="K46" s="475" t="str">
        <f>IFERROR(INDEX(Produtividade!O:O,MATCH($B46,Produtividade!C:C,0)),"")</f>
        <v/>
      </c>
      <c r="N46" s="489"/>
    </row>
    <row r="47" spans="2:14" hidden="1">
      <c r="B47" s="470" t="str">
        <f>IF(
'Apoio - Dados'!J4&lt;&gt;"",
'Apoio - Dados'!J4,
"OCULTAR ESTA LINHA")</f>
        <v>OCULTAR ESTA LINHA</v>
      </c>
      <c r="C47" s="471"/>
      <c r="D47" s="472"/>
      <c r="E47" s="472"/>
      <c r="F47" s="473" t="str">
        <f>IFERROR(INDEX(Produtividade!B:B,MATCH($B47,Produtividade!C:C,0)),"")</f>
        <v/>
      </c>
      <c r="G47" s="474" t="str">
        <f>IFERROR(INDEX('Apoio - Dados'!F:F,MATCH($B47,'Apoio - Dados'!E:E,0)),"")</f>
        <v/>
      </c>
      <c r="H47" s="486" t="str">
        <f>IFERROR(INDEX(Produtividade!L:L,MATCH($B47,Produtividade!C:C,0)),"")</f>
        <v/>
      </c>
      <c r="I47" s="474" t="str">
        <f>IFERROR(INDEX(Produtividade!M:M,MATCH($B47,Produtividade!C:C,0)),"")</f>
        <v/>
      </c>
      <c r="J47" s="483" t="str">
        <f>IFERROR(INDEX(Produtividade!N:N,MATCH($B47,Produtividade!C:C,0)),"")</f>
        <v/>
      </c>
      <c r="K47" s="475" t="str">
        <f>IFERROR(INDEX(Produtividade!O:O,MATCH($B47,Produtividade!C:C,0)),"")</f>
        <v/>
      </c>
      <c r="N47" s="489"/>
    </row>
    <row r="48" spans="2:14" hidden="1">
      <c r="B48" s="470" t="str">
        <f>IF(
'Apoio - Dados'!J5&lt;&gt;"",
'Apoio - Dados'!J5,
"OCULTAR ESTA LINHA")</f>
        <v>OCULTAR ESTA LINHA</v>
      </c>
      <c r="C48" s="471"/>
      <c r="D48" s="472"/>
      <c r="E48" s="472"/>
      <c r="F48" s="473" t="str">
        <f>IFERROR(INDEX(Produtividade!B:B,MATCH($B48,Produtividade!C:C,0)),"")</f>
        <v/>
      </c>
      <c r="G48" s="474" t="str">
        <f>IFERROR(INDEX('Apoio - Dados'!F:F,MATCH($B48,'Apoio - Dados'!E:E,0)),"")</f>
        <v/>
      </c>
      <c r="H48" s="486" t="str">
        <f>IFERROR(INDEX(Produtividade!L:L,MATCH($B48,Produtividade!C:C,0)),"")</f>
        <v/>
      </c>
      <c r="I48" s="474" t="str">
        <f>IFERROR(INDEX(Produtividade!M:M,MATCH($B48,Produtividade!C:C,0)),"")</f>
        <v/>
      </c>
      <c r="J48" s="483" t="str">
        <f>IFERROR(INDEX(Produtividade!N:N,MATCH($B48,Produtividade!C:C,0)),"")</f>
        <v/>
      </c>
      <c r="K48" s="475" t="str">
        <f>IFERROR(INDEX(Produtividade!O:O,MATCH($B48,Produtividade!C:C,0)),"")</f>
        <v/>
      </c>
      <c r="N48" s="489"/>
    </row>
    <row r="49" spans="2:16" hidden="1">
      <c r="B49" s="470" t="str">
        <f>IF(
'Apoio - Dados'!J6&lt;&gt;"",
'Apoio - Dados'!J6,
"OCULTAR ESTA LINHA")</f>
        <v>OCULTAR ESTA LINHA</v>
      </c>
      <c r="C49" s="471"/>
      <c r="D49" s="472"/>
      <c r="E49" s="472"/>
      <c r="F49" s="473" t="str">
        <f>IFERROR(INDEX(Produtividade!B:B,MATCH($B49,Produtividade!C:C,0)),"")</f>
        <v/>
      </c>
      <c r="G49" s="474" t="str">
        <f>IFERROR(INDEX('Apoio - Dados'!F:F,MATCH($B49,'Apoio - Dados'!E:E,0)),"")</f>
        <v/>
      </c>
      <c r="H49" s="486" t="str">
        <f>IFERROR(INDEX(Produtividade!L:L,MATCH($B49,Produtividade!C:C,0)),"")</f>
        <v/>
      </c>
      <c r="I49" s="474" t="str">
        <f>IFERROR(INDEX(Produtividade!M:M,MATCH($B49,Produtividade!C:C,0)),"")</f>
        <v/>
      </c>
      <c r="J49" s="483" t="str">
        <f>IFERROR(INDEX(Produtividade!N:N,MATCH($B49,Produtividade!C:C,0)),"")</f>
        <v/>
      </c>
      <c r="K49" s="475" t="str">
        <f>IFERROR(INDEX(Produtividade!O:O,MATCH($B49,Produtividade!C:C,0)),"")</f>
        <v/>
      </c>
      <c r="N49" s="489"/>
    </row>
    <row r="50" spans="2:16" hidden="1">
      <c r="B50" s="470" t="str">
        <f>IF(
'Apoio - Dados'!J7&lt;&gt;"",
'Apoio - Dados'!J7,
"OCULTAR ESTA LINHA")</f>
        <v>OCULTAR ESTA LINHA</v>
      </c>
      <c r="C50" s="471"/>
      <c r="D50" s="472"/>
      <c r="E50" s="472"/>
      <c r="F50" s="473" t="str">
        <f>IFERROR(INDEX(Produtividade!B:B,MATCH($B50,Produtividade!C:C,0)),"")</f>
        <v/>
      </c>
      <c r="G50" s="474" t="str">
        <f>IFERROR(INDEX('Apoio - Dados'!F:F,MATCH($B50,'Apoio - Dados'!E:E,0)),"")</f>
        <v/>
      </c>
      <c r="H50" s="486" t="str">
        <f>IFERROR(INDEX(Produtividade!L:L,MATCH($B50,Produtividade!C:C,0)),"")</f>
        <v/>
      </c>
      <c r="I50" s="474" t="str">
        <f>IFERROR(INDEX(Produtividade!M:M,MATCH($B50,Produtividade!C:C,0)),"")</f>
        <v/>
      </c>
      <c r="J50" s="483" t="str">
        <f>IFERROR(INDEX(Produtividade!N:N,MATCH($B50,Produtividade!C:C,0)),"")</f>
        <v/>
      </c>
      <c r="K50" s="475" t="str">
        <f>IFERROR(INDEX(Produtividade!O:O,MATCH($B50,Produtividade!C:C,0)),"")</f>
        <v/>
      </c>
      <c r="N50" s="489"/>
    </row>
    <row r="51" spans="2:16" hidden="1">
      <c r="B51" s="470" t="str">
        <f>IF(
'Apoio - Dados'!J8&lt;&gt;"",
'Apoio - Dados'!J8,
"OCULTAR ESTA LINHA")</f>
        <v>OCULTAR ESTA LINHA</v>
      </c>
      <c r="C51" s="471"/>
      <c r="D51" s="472"/>
      <c r="E51" s="472"/>
      <c r="F51" s="473" t="str">
        <f>IFERROR(INDEX(Produtividade!B:B,MATCH($B51,Produtividade!C:C,0)),"")</f>
        <v/>
      </c>
      <c r="G51" s="474" t="str">
        <f>IFERROR(INDEX('Apoio - Dados'!F:F,MATCH($B51,'Apoio - Dados'!E:E,0)),"")</f>
        <v/>
      </c>
      <c r="H51" s="486" t="str">
        <f>IFERROR(INDEX(Produtividade!L:L,MATCH($B51,Produtividade!C:C,0)),"")</f>
        <v/>
      </c>
      <c r="I51" s="474" t="str">
        <f>IFERROR(INDEX(Produtividade!M:M,MATCH($B51,Produtividade!C:C,0)),"")</f>
        <v/>
      </c>
      <c r="J51" s="483" t="str">
        <f>IFERROR(INDEX(Produtividade!N:N,MATCH($B51,Produtividade!C:C,0)),"")</f>
        <v/>
      </c>
      <c r="K51" s="475" t="str">
        <f>IFERROR(INDEX(Produtividade!O:O,MATCH($B51,Produtividade!C:C,0)),"")</f>
        <v/>
      </c>
      <c r="N51" s="489"/>
    </row>
    <row r="52" spans="2:16" hidden="1">
      <c r="B52" s="470" t="str">
        <f>IF(
'Apoio - Dados'!J9&lt;&gt;"",
'Apoio - Dados'!J9,
"OCULTAR ESTA LINHA")</f>
        <v>OCULTAR ESTA LINHA</v>
      </c>
      <c r="C52" s="471"/>
      <c r="D52" s="472"/>
      <c r="E52" s="472"/>
      <c r="F52" s="473" t="str">
        <f>IFERROR(INDEX(Produtividade!B:B,MATCH($B52,Produtividade!C:C,0)),"")</f>
        <v/>
      </c>
      <c r="G52" s="474" t="str">
        <f>IFERROR(INDEX('Apoio - Dados'!F:F,MATCH($B52,'Apoio - Dados'!E:E,0)),"")</f>
        <v/>
      </c>
      <c r="H52" s="486" t="str">
        <f>IFERROR(INDEX(Produtividade!L:L,MATCH($B52,Produtividade!C:C,0)),"")</f>
        <v/>
      </c>
      <c r="I52" s="474" t="str">
        <f>IFERROR(INDEX(Produtividade!M:M,MATCH($B52,Produtividade!C:C,0)),"")</f>
        <v/>
      </c>
      <c r="J52" s="483" t="str">
        <f>IFERROR(INDEX(Produtividade!N:N,MATCH($B52,Produtividade!C:C,0)),"")</f>
        <v/>
      </c>
      <c r="K52" s="475" t="str">
        <f>IFERROR(INDEX(Produtividade!O:O,MATCH($B52,Produtividade!C:C,0)),"")</f>
        <v/>
      </c>
      <c r="N52" s="489"/>
    </row>
    <row r="53" spans="2:16" hidden="1">
      <c r="B53" s="470" t="str">
        <f>IF(
'Apoio - Dados'!J10&lt;&gt;"",
'Apoio - Dados'!J10,
"OCULTAR ESTA LINHA")</f>
        <v>OCULTAR ESTA LINHA</v>
      </c>
      <c r="C53" s="471"/>
      <c r="D53" s="472"/>
      <c r="E53" s="472"/>
      <c r="F53" s="473" t="str">
        <f>IFERROR(INDEX(Produtividade!B:B,MATCH($B53,Produtividade!C:C,0)),"")</f>
        <v/>
      </c>
      <c r="G53" s="474" t="str">
        <f>IFERROR(INDEX('Apoio - Dados'!F:F,MATCH($B53,'Apoio - Dados'!E:E,0)),"")</f>
        <v/>
      </c>
      <c r="H53" s="486" t="str">
        <f>IFERROR(INDEX(Produtividade!L:L,MATCH($B53,Produtividade!C:C,0)),"")</f>
        <v/>
      </c>
      <c r="I53" s="474" t="str">
        <f>IFERROR(INDEX(Produtividade!M:M,MATCH($B53,Produtividade!C:C,0)),"")</f>
        <v/>
      </c>
      <c r="J53" s="483" t="str">
        <f>IFERROR(INDEX(Produtividade!N:N,MATCH($B53,Produtividade!C:C,0)),"")</f>
        <v/>
      </c>
      <c r="K53" s="475" t="str">
        <f>IFERROR(INDEX(Produtividade!O:O,MATCH($B53,Produtividade!C:C,0)),"")</f>
        <v/>
      </c>
      <c r="N53" s="489"/>
    </row>
    <row r="54" spans="2:16">
      <c r="B54" s="463"/>
      <c r="C54" s="464"/>
      <c r="D54" s="464"/>
      <c r="E54" s="464"/>
      <c r="F54" s="476"/>
      <c r="G54" s="484"/>
      <c r="H54" s="487">
        <f>SUM(H45:H53)</f>
        <v>0</v>
      </c>
      <c r="I54" s="484"/>
      <c r="J54" s="484">
        <f>SUM(J45:J53)</f>
        <v>0</v>
      </c>
      <c r="K54" s="485">
        <f>SUM(K45:K53)</f>
        <v>0</v>
      </c>
      <c r="N54" s="489"/>
    </row>
    <row r="55" spans="2:16" ht="6.75" customHeight="1">
      <c r="B55" s="42"/>
      <c r="C55" s="42"/>
      <c r="D55" s="42"/>
      <c r="E55" s="42"/>
      <c r="F55" s="42"/>
      <c r="G55" s="42"/>
      <c r="H55" s="42"/>
      <c r="I55" s="42"/>
      <c r="J55" s="42"/>
      <c r="K55" s="42"/>
    </row>
    <row r="56" spans="2:16">
      <c r="B56" s="27" t="s">
        <v>416</v>
      </c>
      <c r="C56" s="28"/>
      <c r="D56" s="28"/>
      <c r="E56" s="28"/>
      <c r="F56" s="28"/>
      <c r="G56" s="28"/>
      <c r="H56" s="28"/>
      <c r="I56" s="31"/>
      <c r="J56" s="31"/>
      <c r="K56" s="32"/>
    </row>
    <row r="57" spans="2:16">
      <c r="B57" s="375" t="s">
        <v>253</v>
      </c>
      <c r="C57" s="376"/>
      <c r="D57" s="376"/>
      <c r="E57" s="376"/>
      <c r="F57" s="376"/>
      <c r="G57" s="376"/>
      <c r="H57" s="376"/>
      <c r="I57" s="376"/>
      <c r="J57" s="377" t="s">
        <v>322</v>
      </c>
      <c r="K57" s="378" t="s">
        <v>345</v>
      </c>
    </row>
    <row r="58" spans="2:16">
      <c r="B58" s="51" t="s">
        <v>233</v>
      </c>
      <c r="C58" s="3"/>
      <c r="D58" s="3"/>
      <c r="E58" s="3"/>
      <c r="F58" s="3"/>
      <c r="G58" s="3"/>
      <c r="H58" s="3"/>
      <c r="I58" s="371"/>
      <c r="J58" s="769">
        <f>SUM(
IFERROR(SUM(Produtividade!$E180:$II180),0),
IFERROR(SUM('Mão de Obra'!$E$180:$II$180),0)
)</f>
        <v>62373.09</v>
      </c>
      <c r="K58" s="770">
        <f>J58*$J$6</f>
        <v>1496954.16</v>
      </c>
      <c r="L58" s="489"/>
      <c r="M58" s="648"/>
    </row>
    <row r="59" spans="2:16">
      <c r="B59" s="51" t="s">
        <v>275</v>
      </c>
      <c r="I59" s="372"/>
      <c r="J59" s="771">
        <f>SUM(
IFERROR(SUMPRODUCT(Produtividade!E149:II149,Produtividade!$E$29:$II$29),0),
IFERROR(SUMPRODUCT('Mão de Obra'!E149:II149,'Mão de Obra'!$E$29:$II$29),0)
)</f>
        <v>798.24</v>
      </c>
      <c r="K59" s="770">
        <f>J59*$J$6</f>
        <v>19157.760000000002</v>
      </c>
      <c r="L59" s="489"/>
      <c r="M59" s="648"/>
    </row>
    <row r="60" spans="2:16">
      <c r="B60" s="51" t="s">
        <v>274</v>
      </c>
      <c r="I60" s="372"/>
      <c r="J60" s="771">
        <f>IF(OR('Mão de Obra'!$D$150="Não",'Mão de Obra'!$D$150=""),'Mat Coletivo e Equipamentos'!I4,0)
+
SUM(
IFERROR(SUMPRODUCT('Mão de Obra'!E150:II150,'Mão de Obra'!$E$29:$II$29),0),
IFERROR(SUMPRODUCT(Produtividade!E150:II150,Produtividade!$E$29:$II$29),0))</f>
        <v>123.40710616666667</v>
      </c>
      <c r="K60" s="770">
        <f>J60*$J$6</f>
        <v>2961.770548</v>
      </c>
      <c r="L60" s="489"/>
      <c r="M60" s="648"/>
    </row>
    <row r="61" spans="2:16">
      <c r="B61" s="51" t="s">
        <v>424</v>
      </c>
      <c r="I61" s="372"/>
      <c r="J61" s="29">
        <f>IFERROR(SUM(Veículos!E97:II97),0)</f>
        <v>0</v>
      </c>
      <c r="K61" s="770">
        <f>IFERROR(J61*$J$6,0)</f>
        <v>0</v>
      </c>
      <c r="L61" s="489"/>
      <c r="M61" s="648"/>
    </row>
    <row r="62" spans="2:16">
      <c r="B62" s="711" t="s">
        <v>252</v>
      </c>
      <c r="C62" s="3"/>
      <c r="D62" s="3"/>
      <c r="E62" s="3"/>
      <c r="F62" s="3"/>
      <c r="G62" s="3"/>
      <c r="H62" s="3"/>
      <c r="I62" s="712"/>
      <c r="J62" s="40">
        <f>IFERROR(SUM(J58:J61),0)</f>
        <v>63294.737106166664</v>
      </c>
      <c r="K62" s="772">
        <f>IFERROR(J62*$J$6,0)</f>
        <v>1519073.6905479999</v>
      </c>
      <c r="L62" s="489"/>
      <c r="M62" s="648"/>
    </row>
    <row r="63" spans="2:16">
      <c r="B63" s="713" t="s">
        <v>174</v>
      </c>
      <c r="C63" s="714"/>
      <c r="D63" s="714"/>
      <c r="E63" s="714"/>
      <c r="F63" s="714"/>
      <c r="G63" s="714"/>
      <c r="H63" s="714"/>
      <c r="I63" s="715"/>
      <c r="J63" s="773"/>
      <c r="K63" s="774"/>
      <c r="L63" s="489"/>
      <c r="M63" s="648"/>
    </row>
    <row r="64" spans="2:16">
      <c r="B64" s="51" t="s">
        <v>255</v>
      </c>
      <c r="C64" s="255"/>
      <c r="F64" s="29"/>
      <c r="I64" s="373"/>
      <c r="J64" s="775">
        <f>IFERROR(
SUM(
IFERROR(SUMPRODUCT('Mão de Obra'!E156:II156,'Mão de Obra'!$E$29:$II$29),0),
IFERROR(SUMPRODUCT(Produtividade!E156:II156,Produtividade!$E$29:$II$29),0),
IFERROR(SUMPRODUCT(Veículos!E68:II68,Veículos!$E$4:$II$4),0)
)
*
(1+IF(OR('Mão de Obra'!$D$150="Não",'Mão de Obra'!$D$150=""),'Mat Coletivo e Equipamentos'!I4,0)/SUM(J62,-'Mat Coletivo e Equipamentos'!I4)),0)</f>
        <v>3164.6802449338725</v>
      </c>
      <c r="K64" s="770">
        <f>J64*$J$6</f>
        <v>75952.325878412943</v>
      </c>
      <c r="L64" s="489"/>
      <c r="M64" s="648"/>
      <c r="N64" s="649"/>
      <c r="P64" s="489"/>
    </row>
    <row r="65" spans="2:14">
      <c r="B65" s="51" t="s">
        <v>228</v>
      </c>
      <c r="C65" s="255"/>
      <c r="F65" s="29"/>
      <c r="H65" s="33"/>
      <c r="I65" s="373"/>
      <c r="J65" s="775">
        <f>IFERROR(
SUM(
IFERROR(SUMPRODUCT('Mão de Obra'!E157:II157,'Mão de Obra'!$E$29:$II$29),0),
IFERROR(SUMPRODUCT(Produtividade!E157:II157,Produtividade!$E$29:$II$29),0),
IFERROR(SUMPRODUCT(Veículos!E69:II69,Veículos!$E$4:$II$4),0)
)
*
(1+IF(OR('Mão de Obra'!$D$150="Não",'Mão de Obra'!$D$150=""),'Mat Coletivo e Equipamentos'!I4,0)/SUM(J62,-'Mat Coletivo e Equipamentos'!I4)),0)</f>
        <v>6645.9978445077495</v>
      </c>
      <c r="K65" s="770">
        <f>J65*$J$6</f>
        <v>159503.94826818598</v>
      </c>
      <c r="L65" s="489"/>
      <c r="M65" s="648"/>
    </row>
    <row r="66" spans="2:14">
      <c r="B66" s="51" t="s">
        <v>254</v>
      </c>
      <c r="C66" s="255"/>
      <c r="F66" s="29"/>
      <c r="H66" s="33"/>
      <c r="I66" s="373"/>
      <c r="J66" s="775">
        <f>IFERROR(
SUM(
IFERROR(SUMPRODUCT('Mão de Obra'!E167:II167,'Mão de Obra'!$E$29:$II$29),0),
IFERROR(SUMPRODUCT(Produtividade!E167:II167,Produtividade!$E$29:$II$29),0),
IFERROR(SUMPRODUCT(Veículos!E79:II79,Veículos!$E$4:$II$4),0)
)
*
(1+IF(OR('Mão de Obra'!$D$150="Não",'Mão de Obra'!$D$150=""),'Mat Coletivo e Equipamentos'!I4,0)/SUM(J62,-'Mat Coletivo e Equipamentos'!I4)),0)</f>
        <v>4894.863620561704</v>
      </c>
      <c r="K66" s="770">
        <f>J66*$J$6</f>
        <v>117476.7268934809</v>
      </c>
      <c r="L66" s="489"/>
      <c r="M66" s="648"/>
    </row>
    <row r="67" spans="2:14">
      <c r="B67" s="55" t="s">
        <v>252</v>
      </c>
      <c r="C67" s="52"/>
      <c r="D67" s="52"/>
      <c r="E67" s="52"/>
      <c r="F67" s="53"/>
      <c r="G67" s="54"/>
      <c r="H67" s="54"/>
      <c r="I67" s="374"/>
      <c r="J67" s="54">
        <f>IFERROR(
SUM(
IFERROR(SUMPRODUCT('Mão de Obra'!E169:II169,'Mão de Obra'!$E$29:$II$29),0),
IFERROR(SUMPRODUCT(Produtividade!E169:II169,Produtividade!$E$29:$II$29),0),
IFERROR(SUMPRODUCT(Veículos!E81:II81,Veículos!$E$4:$II$4),0),
IFERROR('Mat Coletivo e Equipamentos'!J4-'Mat Coletivo e Equipamentos'!I4,0)
),0)</f>
        <v>17306.453441833331</v>
      </c>
      <c r="K67" s="776">
        <f>J67*$J$6</f>
        <v>415354.88260399993</v>
      </c>
      <c r="L67" s="489"/>
      <c r="M67" s="648"/>
      <c r="N67" s="489"/>
    </row>
    <row r="68" spans="2:14">
      <c r="B68" s="56" t="s">
        <v>222</v>
      </c>
      <c r="C68" s="28"/>
      <c r="D68" s="28"/>
      <c r="E68" s="28"/>
      <c r="F68" s="31"/>
      <c r="G68" s="30"/>
      <c r="H68" s="30"/>
      <c r="I68" s="30"/>
      <c r="J68" s="30">
        <f>SUM(J62,J67)</f>
        <v>80601.190547999999</v>
      </c>
      <c r="K68" s="777">
        <f>SUM(K62,K67)</f>
        <v>1934428.5731519999</v>
      </c>
      <c r="M68" s="648"/>
      <c r="N68" s="489"/>
    </row>
    <row r="69" spans="2:14" ht="6.75" customHeight="1">
      <c r="B69" s="351"/>
      <c r="C69" s="3"/>
      <c r="D69" s="3"/>
      <c r="E69" s="3"/>
      <c r="F69" s="300"/>
      <c r="G69" s="300"/>
      <c r="H69" s="40"/>
      <c r="I69" s="40"/>
      <c r="J69" s="40"/>
      <c r="K69" s="40"/>
      <c r="L69" s="490"/>
    </row>
    <row r="70" spans="2:14" hidden="1">
      <c r="B70" s="463" t="s">
        <v>418</v>
      </c>
      <c r="C70" s="464"/>
      <c r="D70" s="464"/>
      <c r="E70" s="464"/>
      <c r="F70" s="464"/>
      <c r="G70" s="464"/>
      <c r="H70" s="464"/>
      <c r="I70" s="464"/>
      <c r="J70" s="464"/>
      <c r="K70" s="465"/>
    </row>
    <row r="71" spans="2:14" ht="30" hidden="1">
      <c r="B71" s="466" t="s">
        <v>410</v>
      </c>
      <c r="C71" s="467"/>
      <c r="D71" s="467"/>
      <c r="E71" s="467"/>
      <c r="F71" s="786" t="s">
        <v>724</v>
      </c>
      <c r="G71" s="786"/>
      <c r="H71" s="468" t="s">
        <v>412</v>
      </c>
      <c r="I71" s="468" t="s">
        <v>725</v>
      </c>
      <c r="J71" s="468" t="s">
        <v>726</v>
      </c>
      <c r="K71" s="469" t="s">
        <v>345</v>
      </c>
      <c r="M71" s="489"/>
      <c r="N71" s="648"/>
    </row>
    <row r="72" spans="2:14" hidden="1">
      <c r="B72" s="647" t="s">
        <v>727</v>
      </c>
      <c r="C72" s="471"/>
      <c r="D72" s="472"/>
      <c r="E72" s="472"/>
      <c r="F72" s="787"/>
      <c r="G72" s="787"/>
      <c r="H72" s="474" t="str">
        <f>IFERROR(J68/F72,"")</f>
        <v/>
      </c>
      <c r="I72" s="760"/>
      <c r="J72" s="483">
        <f>K72/J6</f>
        <v>0</v>
      </c>
      <c r="K72" s="475">
        <f>PRODUCT(H72,I72)</f>
        <v>0</v>
      </c>
    </row>
    <row r="73" spans="2:14" hidden="1">
      <c r="B73" s="463"/>
      <c r="C73" s="464"/>
      <c r="D73" s="464"/>
      <c r="E73" s="464"/>
      <c r="F73" s="788"/>
      <c r="G73" s="788"/>
      <c r="H73" s="758"/>
      <c r="I73" s="759"/>
      <c r="J73" s="484">
        <f>SUM(J72:J72)</f>
        <v>0</v>
      </c>
      <c r="K73" s="485">
        <f>SUM(K72:K72)</f>
        <v>0</v>
      </c>
    </row>
    <row r="75" spans="2:14">
      <c r="J75" s="767"/>
    </row>
    <row r="76" spans="2:14">
      <c r="J76" s="768"/>
      <c r="K76" s="768"/>
    </row>
  </sheetData>
  <sheetProtection sheet="1" formatCells="0" formatColumns="0" formatRows="0" insertColumns="0" insertRows="0" deleteColumns="0" deleteRows="0"/>
  <mergeCells count="28">
    <mergeCell ref="G9:H9"/>
    <mergeCell ref="B2:K2"/>
    <mergeCell ref="B4:K4"/>
    <mergeCell ref="C9:F9"/>
    <mergeCell ref="J9:K9"/>
    <mergeCell ref="B3:K3"/>
    <mergeCell ref="B8:K8"/>
    <mergeCell ref="C6:F6"/>
    <mergeCell ref="C7:F7"/>
    <mergeCell ref="J6:K6"/>
    <mergeCell ref="J7:K7"/>
    <mergeCell ref="G7:I7"/>
    <mergeCell ref="G6:I6"/>
    <mergeCell ref="F71:G71"/>
    <mergeCell ref="F72:G72"/>
    <mergeCell ref="F73:G73"/>
    <mergeCell ref="C13:F13"/>
    <mergeCell ref="J10:K10"/>
    <mergeCell ref="I13:K13"/>
    <mergeCell ref="G12:H12"/>
    <mergeCell ref="G13:H13"/>
    <mergeCell ref="I12:K12"/>
    <mergeCell ref="C12:F12"/>
    <mergeCell ref="C11:F11"/>
    <mergeCell ref="C10:F10"/>
    <mergeCell ref="G11:H11"/>
    <mergeCell ref="G10:H10"/>
    <mergeCell ref="I11:K11"/>
  </mergeCells>
  <conditionalFormatting sqref="C6:C7 J6:J7 B8 C9 J9:J10 C11:C13 I11:I13">
    <cfRule type="expression" dxfId="7" priority="76">
      <formula>#REF!</formula>
    </cfRule>
  </conditionalFormatting>
  <conditionalFormatting sqref="G36:G41">
    <cfRule type="expression" dxfId="6" priority="7">
      <formula>#REF!="Área (m²)"</formula>
    </cfRule>
  </conditionalFormatting>
  <conditionalFormatting sqref="G31:H32">
    <cfRule type="expression" dxfId="5" priority="1">
      <formula>#REF!="Área (m²)"</formula>
    </cfRule>
  </conditionalFormatting>
  <conditionalFormatting sqref="H33">
    <cfRule type="expression" dxfId="4" priority="20">
      <formula>#REF!="Área (m²)"</formula>
    </cfRule>
  </conditionalFormatting>
  <conditionalFormatting sqref="H36:H42">
    <cfRule type="expression" dxfId="3" priority="17">
      <formula>#REF!="Área (m²)"</formula>
    </cfRule>
  </conditionalFormatting>
  <conditionalFormatting sqref="I31">
    <cfRule type="expression" dxfId="2" priority="2">
      <formula>#REF!="Área (m²)"</formula>
    </cfRule>
  </conditionalFormatting>
  <conditionalFormatting sqref="I36:I40">
    <cfRule type="expression" dxfId="1"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9"/>
  <sheetViews>
    <sheetView showGridLines="0" zoomScale="115" zoomScaleNormal="115" workbookViewId="0">
      <selection activeCell="F10" sqref="F10"/>
    </sheetView>
  </sheetViews>
  <sheetFormatPr defaultRowHeight="15"/>
  <cols>
    <col min="1" max="1" width="31.42578125" customWidth="1"/>
    <col min="2" max="3" width="15.28515625" customWidth="1"/>
    <col min="4" max="4" width="15.28515625" hidden="1" customWidth="1"/>
    <col min="5" max="5" width="15.28515625" style="2" customWidth="1"/>
    <col min="6" max="6" width="13.5703125" style="43" bestFit="1" customWidth="1"/>
    <col min="7" max="7" width="9" style="2" bestFit="1" customWidth="1"/>
    <col min="8" max="9" width="15.28515625" style="2" customWidth="1"/>
    <col min="10" max="10" width="12.140625" customWidth="1"/>
  </cols>
  <sheetData>
    <row r="1" spans="1:10" s="4" customFormat="1" ht="30.75" customHeight="1">
      <c r="A1" s="166" t="s">
        <v>68</v>
      </c>
      <c r="B1" s="166" t="s">
        <v>269</v>
      </c>
      <c r="C1" s="166" t="s">
        <v>433</v>
      </c>
      <c r="D1" s="166"/>
      <c r="E1" s="166" t="s">
        <v>62</v>
      </c>
      <c r="F1" s="166" t="s">
        <v>63</v>
      </c>
      <c r="G1" s="166" t="s">
        <v>61</v>
      </c>
      <c r="H1" s="166" t="s">
        <v>442</v>
      </c>
      <c r="I1" s="166" t="s">
        <v>437</v>
      </c>
      <c r="J1" s="166" t="s">
        <v>651</v>
      </c>
    </row>
    <row r="2" spans="1:10" s="4" customFormat="1" ht="15" customHeight="1">
      <c r="A2" s="166"/>
      <c r="B2" s="166"/>
      <c r="C2" s="166"/>
      <c r="D2" s="166"/>
      <c r="E2" s="166"/>
      <c r="F2" s="166"/>
      <c r="G2" s="166"/>
      <c r="H2" s="166"/>
      <c r="I2" s="166"/>
      <c r="J2" s="166"/>
    </row>
    <row r="3" spans="1:10">
      <c r="A3" s="165" t="s">
        <v>45</v>
      </c>
      <c r="B3" s="287">
        <v>2</v>
      </c>
      <c r="C3" s="451" t="s">
        <v>434</v>
      </c>
      <c r="D3" s="287"/>
      <c r="E3" s="287" t="s">
        <v>388</v>
      </c>
      <c r="F3" s="287"/>
      <c r="G3" s="287">
        <v>15</v>
      </c>
      <c r="H3" s="287">
        <v>220</v>
      </c>
      <c r="I3" s="287">
        <f>G3*12</f>
        <v>180</v>
      </c>
      <c r="J3" s="287">
        <f>I3/G3</f>
        <v>12</v>
      </c>
    </row>
    <row r="4" spans="1:10">
      <c r="A4" s="165" t="s">
        <v>46</v>
      </c>
      <c r="B4" s="287">
        <v>2</v>
      </c>
      <c r="C4" s="451" t="s">
        <v>434</v>
      </c>
      <c r="D4" s="287"/>
      <c r="E4" s="287" t="s">
        <v>388</v>
      </c>
      <c r="F4" s="287"/>
      <c r="G4" s="287">
        <v>15</v>
      </c>
      <c r="H4" s="287">
        <v>220</v>
      </c>
      <c r="I4" s="287">
        <f>G4*12</f>
        <v>180</v>
      </c>
      <c r="J4" s="287">
        <f t="shared" ref="J4:J18" si="0">I4/G4</f>
        <v>12</v>
      </c>
    </row>
    <row r="5" spans="1:10">
      <c r="A5" s="165" t="s">
        <v>470</v>
      </c>
      <c r="B5" s="287">
        <v>1</v>
      </c>
      <c r="C5" s="451" t="s">
        <v>434</v>
      </c>
      <c r="D5" s="287"/>
      <c r="E5" s="287">
        <v>1</v>
      </c>
      <c r="F5" s="287">
        <v>4</v>
      </c>
      <c r="G5" s="287">
        <f>E5*4</f>
        <v>4</v>
      </c>
      <c r="H5" s="287">
        <f t="shared" ref="H5:H13" si="1">F5*30/6</f>
        <v>20</v>
      </c>
      <c r="I5" s="287">
        <f>F5*4</f>
        <v>16</v>
      </c>
      <c r="J5" s="287">
        <f t="shared" si="0"/>
        <v>4</v>
      </c>
    </row>
    <row r="6" spans="1:10">
      <c r="A6" s="165" t="s">
        <v>471</v>
      </c>
      <c r="B6" s="287">
        <v>1</v>
      </c>
      <c r="C6" s="451" t="s">
        <v>434</v>
      </c>
      <c r="D6" s="287"/>
      <c r="E6" s="287">
        <v>1</v>
      </c>
      <c r="F6" s="287">
        <v>6</v>
      </c>
      <c r="G6" s="287">
        <f t="shared" ref="G6:G10" si="2">E6*4</f>
        <v>4</v>
      </c>
      <c r="H6" s="287">
        <f t="shared" si="1"/>
        <v>30</v>
      </c>
      <c r="I6" s="287">
        <f>F6*4</f>
        <v>24</v>
      </c>
      <c r="J6" s="287">
        <f t="shared" si="0"/>
        <v>6</v>
      </c>
    </row>
    <row r="7" spans="1:10">
      <c r="A7" s="165" t="s">
        <v>472</v>
      </c>
      <c r="B7" s="287">
        <v>1</v>
      </c>
      <c r="C7" s="451" t="s">
        <v>434</v>
      </c>
      <c r="D7" s="287"/>
      <c r="E7" s="287">
        <v>1</v>
      </c>
      <c r="F7" s="287">
        <v>8</v>
      </c>
      <c r="G7" s="287">
        <f t="shared" si="2"/>
        <v>4</v>
      </c>
      <c r="H7" s="287">
        <f t="shared" si="1"/>
        <v>40</v>
      </c>
      <c r="I7" s="287">
        <f>F7*4</f>
        <v>32</v>
      </c>
      <c r="J7" s="287">
        <f t="shared" si="0"/>
        <v>8</v>
      </c>
    </row>
    <row r="8" spans="1:10">
      <c r="A8" s="165" t="s">
        <v>480</v>
      </c>
      <c r="B8" s="287">
        <v>1</v>
      </c>
      <c r="C8" s="451" t="s">
        <v>434</v>
      </c>
      <c r="D8" s="287"/>
      <c r="E8" s="287">
        <v>2</v>
      </c>
      <c r="F8" s="287">
        <v>12</v>
      </c>
      <c r="G8" s="287">
        <f t="shared" si="2"/>
        <v>8</v>
      </c>
      <c r="H8" s="287">
        <f t="shared" si="1"/>
        <v>60</v>
      </c>
      <c r="I8" s="287">
        <f t="shared" ref="I8:I9" si="3">F8*4</f>
        <v>48</v>
      </c>
      <c r="J8" s="287">
        <f t="shared" si="0"/>
        <v>6</v>
      </c>
    </row>
    <row r="9" spans="1:10">
      <c r="A9" s="165" t="s">
        <v>481</v>
      </c>
      <c r="B9" s="287">
        <v>1</v>
      </c>
      <c r="C9" s="451" t="s">
        <v>434</v>
      </c>
      <c r="D9" s="287"/>
      <c r="E9" s="287">
        <v>2</v>
      </c>
      <c r="F9" s="287">
        <v>16</v>
      </c>
      <c r="G9" s="287">
        <f t="shared" si="2"/>
        <v>8</v>
      </c>
      <c r="H9" s="287">
        <f t="shared" si="1"/>
        <v>80</v>
      </c>
      <c r="I9" s="287">
        <f t="shared" si="3"/>
        <v>64</v>
      </c>
      <c r="J9" s="287">
        <f t="shared" si="0"/>
        <v>8</v>
      </c>
    </row>
    <row r="10" spans="1:10">
      <c r="A10" s="165" t="s">
        <v>734</v>
      </c>
      <c r="B10" s="287">
        <v>1</v>
      </c>
      <c r="C10" s="451" t="s">
        <v>434</v>
      </c>
      <c r="D10" s="287"/>
      <c r="E10" s="287">
        <v>2</v>
      </c>
      <c r="F10" s="287">
        <f>58/4</f>
        <v>14.5</v>
      </c>
      <c r="G10" s="287">
        <f t="shared" si="2"/>
        <v>8</v>
      </c>
      <c r="H10" s="287">
        <f t="shared" si="1"/>
        <v>72.5</v>
      </c>
      <c r="I10" s="287">
        <f>F10*4</f>
        <v>58</v>
      </c>
      <c r="J10" s="287">
        <f>I10/G10</f>
        <v>7.25</v>
      </c>
    </row>
    <row r="11" spans="1:10">
      <c r="A11" s="165" t="s">
        <v>473</v>
      </c>
      <c r="B11" s="287">
        <v>1</v>
      </c>
      <c r="C11" s="451" t="s">
        <v>434</v>
      </c>
      <c r="D11" s="287"/>
      <c r="E11" s="287">
        <v>5</v>
      </c>
      <c r="F11" s="287">
        <v>20</v>
      </c>
      <c r="G11" s="287">
        <f>E11*4+2</f>
        <v>22</v>
      </c>
      <c r="H11" s="287">
        <f t="shared" si="1"/>
        <v>100</v>
      </c>
      <c r="I11" s="287">
        <f>F11*4+2*4</f>
        <v>88</v>
      </c>
      <c r="J11" s="287">
        <f t="shared" si="0"/>
        <v>4</v>
      </c>
    </row>
    <row r="12" spans="1:10">
      <c r="A12" s="165" t="s">
        <v>731</v>
      </c>
      <c r="B12" s="287">
        <v>1</v>
      </c>
      <c r="C12" s="451" t="s">
        <v>434</v>
      </c>
      <c r="D12" s="287"/>
      <c r="E12" s="287">
        <v>5</v>
      </c>
      <c r="F12" s="287">
        <v>25</v>
      </c>
      <c r="G12" s="287">
        <f>E12*4+2</f>
        <v>22</v>
      </c>
      <c r="H12" s="287">
        <f t="shared" si="1"/>
        <v>125</v>
      </c>
      <c r="I12" s="287">
        <f>F12*4+2*4</f>
        <v>108</v>
      </c>
      <c r="J12" s="765">
        <f t="shared" si="0"/>
        <v>4.9090909090909092</v>
      </c>
    </row>
    <row r="13" spans="1:10">
      <c r="A13" s="165" t="s">
        <v>474</v>
      </c>
      <c r="B13" s="287">
        <v>1</v>
      </c>
      <c r="C13" s="451" t="s">
        <v>434</v>
      </c>
      <c r="D13" s="287"/>
      <c r="E13" s="287">
        <v>5</v>
      </c>
      <c r="F13" s="287">
        <v>30</v>
      </c>
      <c r="G13" s="287">
        <f t="shared" ref="G13:G14" si="4">E13*4+2</f>
        <v>22</v>
      </c>
      <c r="H13" s="287">
        <f t="shared" si="1"/>
        <v>150</v>
      </c>
      <c r="I13" s="287">
        <f>F13*4+2*6</f>
        <v>132</v>
      </c>
      <c r="J13" s="287">
        <f t="shared" si="0"/>
        <v>6</v>
      </c>
    </row>
    <row r="14" spans="1:10">
      <c r="A14" s="165" t="s">
        <v>475</v>
      </c>
      <c r="B14" s="287">
        <v>1</v>
      </c>
      <c r="C14" s="451" t="s">
        <v>434</v>
      </c>
      <c r="D14" s="287"/>
      <c r="E14" s="287">
        <v>5</v>
      </c>
      <c r="F14" s="287">
        <v>35</v>
      </c>
      <c r="G14" s="287">
        <f t="shared" si="4"/>
        <v>22</v>
      </c>
      <c r="H14" s="287">
        <v>175</v>
      </c>
      <c r="I14" s="287">
        <f>F14*4+2*7</f>
        <v>154</v>
      </c>
      <c r="J14" s="287">
        <f t="shared" si="0"/>
        <v>7</v>
      </c>
    </row>
    <row r="15" spans="1:10">
      <c r="A15" s="165" t="s">
        <v>476</v>
      </c>
      <c r="B15" s="287">
        <v>1</v>
      </c>
      <c r="C15" s="451" t="s">
        <v>434</v>
      </c>
      <c r="D15" s="287"/>
      <c r="E15" s="287">
        <v>6</v>
      </c>
      <c r="F15" s="287">
        <v>36</v>
      </c>
      <c r="G15" s="287">
        <f>E15*4+2</f>
        <v>26</v>
      </c>
      <c r="H15" s="287">
        <f>F15*30/6</f>
        <v>180</v>
      </c>
      <c r="I15" s="287">
        <f>F15*4+2*6</f>
        <v>156</v>
      </c>
      <c r="J15" s="287">
        <f t="shared" si="0"/>
        <v>6</v>
      </c>
    </row>
    <row r="16" spans="1:10">
      <c r="A16" s="165" t="s">
        <v>477</v>
      </c>
      <c r="B16" s="287">
        <v>1</v>
      </c>
      <c r="C16" s="451" t="s">
        <v>434</v>
      </c>
      <c r="D16" s="287"/>
      <c r="E16" s="287">
        <v>5</v>
      </c>
      <c r="F16" s="287">
        <v>40</v>
      </c>
      <c r="G16" s="287">
        <f>E16*4+2</f>
        <v>22</v>
      </c>
      <c r="H16" s="287">
        <f>F16*30/6</f>
        <v>200</v>
      </c>
      <c r="I16" s="287">
        <f>F16*4+2*8</f>
        <v>176</v>
      </c>
      <c r="J16" s="287">
        <f t="shared" si="0"/>
        <v>8</v>
      </c>
    </row>
    <row r="17" spans="1:10">
      <c r="A17" s="165" t="s">
        <v>478</v>
      </c>
      <c r="B17" s="287">
        <v>1</v>
      </c>
      <c r="C17" s="451" t="s">
        <v>434</v>
      </c>
      <c r="D17" s="287"/>
      <c r="E17" s="287">
        <v>5</v>
      </c>
      <c r="F17" s="287">
        <v>44</v>
      </c>
      <c r="G17" s="287">
        <f>E17*4+2</f>
        <v>22</v>
      </c>
      <c r="H17" s="287">
        <f>F17*30/6</f>
        <v>220</v>
      </c>
      <c r="I17" s="287">
        <f>F17*4+2*8</f>
        <v>192</v>
      </c>
      <c r="J17" s="287">
        <f t="shared" si="0"/>
        <v>8.7272727272727266</v>
      </c>
    </row>
    <row r="18" spans="1:10">
      <c r="A18" s="165" t="s">
        <v>479</v>
      </c>
      <c r="B18" s="287">
        <v>1</v>
      </c>
      <c r="C18" s="451" t="s">
        <v>434</v>
      </c>
      <c r="D18" s="287"/>
      <c r="E18" s="287">
        <v>6</v>
      </c>
      <c r="F18" s="287">
        <v>44</v>
      </c>
      <c r="G18" s="287">
        <f>E18*4+2</f>
        <v>26</v>
      </c>
      <c r="H18" s="287">
        <f>F18*30/6</f>
        <v>220</v>
      </c>
      <c r="I18" s="287">
        <f>F18*4+2*8</f>
        <v>192</v>
      </c>
      <c r="J18" s="287">
        <f t="shared" si="0"/>
        <v>7.384615384615385</v>
      </c>
    </row>
    <row r="19" spans="1:10">
      <c r="I19"/>
    </row>
  </sheetData>
  <sheetProtection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topLeftCell="A28" zoomScale="80" zoomScaleNormal="80" workbookViewId="0">
      <selection activeCell="E54" sqref="E54"/>
    </sheetView>
  </sheetViews>
  <sheetFormatPr defaultColWidth="9.140625" defaultRowHeight="15" customHeight="1"/>
  <cols>
    <col min="1" max="1" width="3.42578125" style="288" customWidth="1"/>
    <col min="2" max="2" width="5" style="552" customWidth="1"/>
    <col min="3" max="3" width="45.5703125" style="289" customWidth="1"/>
    <col min="4" max="4" width="49.140625" style="552" customWidth="1"/>
    <col min="5" max="6" width="52.28515625" style="552" customWidth="1"/>
    <col min="7" max="7" width="2.42578125" style="504" customWidth="1"/>
    <col min="8" max="17" width="17.7109375" style="505" customWidth="1"/>
    <col min="18" max="18" width="24.28515625" style="288" customWidth="1"/>
    <col min="19" max="16384" width="9.140625" style="288"/>
  </cols>
  <sheetData>
    <row r="2" spans="1:18" ht="15" customHeight="1">
      <c r="A2" s="498"/>
      <c r="B2" s="499"/>
      <c r="C2" s="500" t="s">
        <v>653</v>
      </c>
      <c r="D2" s="501"/>
      <c r="E2" s="502"/>
      <c r="F2" s="503"/>
    </row>
    <row r="3" spans="1:18" ht="15" customHeight="1">
      <c r="A3" s="498"/>
      <c r="B3" s="506" t="s">
        <v>2</v>
      </c>
      <c r="C3" s="507" t="s">
        <v>190</v>
      </c>
      <c r="D3" s="508">
        <v>7</v>
      </c>
      <c r="E3" s="509"/>
      <c r="F3" s="510"/>
    </row>
    <row r="4" spans="1:18" ht="15" customHeight="1">
      <c r="B4" s="506" t="s">
        <v>1</v>
      </c>
      <c r="C4" s="507" t="s">
        <v>191</v>
      </c>
      <c r="D4" s="508">
        <v>365.25</v>
      </c>
      <c r="E4" s="511"/>
      <c r="F4" s="510"/>
    </row>
    <row r="5" spans="1:18" ht="15" customHeight="1">
      <c r="B5" s="506" t="s">
        <v>0</v>
      </c>
      <c r="C5" s="507" t="s">
        <v>192</v>
      </c>
      <c r="D5" s="508">
        <f>D4/D10</f>
        <v>30.4375</v>
      </c>
      <c r="E5" s="512"/>
      <c r="F5" s="510"/>
    </row>
    <row r="6" spans="1:18" ht="15" customHeight="1">
      <c r="B6" s="506" t="s">
        <v>3</v>
      </c>
      <c r="C6" s="507" t="s">
        <v>646</v>
      </c>
      <c r="D6" s="508">
        <v>22</v>
      </c>
      <c r="E6" s="512"/>
      <c r="F6" s="510"/>
    </row>
    <row r="7" spans="1:18" ht="15" customHeight="1">
      <c r="B7" s="506" t="s">
        <v>7</v>
      </c>
      <c r="C7" s="507" t="s">
        <v>397</v>
      </c>
      <c r="D7" s="513">
        <f>D9/D10</f>
        <v>4.3482142857142856</v>
      </c>
      <c r="E7" s="514"/>
      <c r="F7" s="510" t="str">
        <f>""</f>
        <v/>
      </c>
    </row>
    <row r="8" spans="1:18" ht="15" customHeight="1">
      <c r="B8" s="506" t="s">
        <v>6</v>
      </c>
      <c r="C8" s="507" t="s">
        <v>650</v>
      </c>
      <c r="D8" s="513">
        <f>D7/2</f>
        <v>2.1741071428571428</v>
      </c>
      <c r="E8" s="514"/>
      <c r="F8" s="510"/>
    </row>
    <row r="9" spans="1:18" ht="15" customHeight="1">
      <c r="B9" s="506" t="s">
        <v>5</v>
      </c>
      <c r="C9" s="288" t="s">
        <v>398</v>
      </c>
      <c r="D9" s="508">
        <f>D4/7</f>
        <v>52.178571428571431</v>
      </c>
      <c r="E9" s="515"/>
      <c r="F9" s="516"/>
      <c r="H9" s="517"/>
    </row>
    <row r="10" spans="1:18" ht="15" customHeight="1">
      <c r="B10" s="506" t="s">
        <v>4</v>
      </c>
      <c r="C10" s="507" t="s">
        <v>193</v>
      </c>
      <c r="D10" s="508">
        <v>12</v>
      </c>
      <c r="E10" s="511"/>
      <c r="F10" s="518"/>
    </row>
    <row r="11" spans="1:18" ht="15" customHeight="1">
      <c r="B11" s="506" t="s">
        <v>113</v>
      </c>
      <c r="C11" s="507" t="s">
        <v>194</v>
      </c>
      <c r="D11" s="508">
        <v>60</v>
      </c>
      <c r="E11" s="511"/>
      <c r="F11" s="519"/>
    </row>
    <row r="12" spans="1:18" ht="15" customHeight="1">
      <c r="B12" s="506" t="s">
        <v>140</v>
      </c>
      <c r="C12" s="507" t="s">
        <v>195</v>
      </c>
      <c r="D12" s="508">
        <v>52.5</v>
      </c>
      <c r="E12" s="519"/>
      <c r="F12" s="519"/>
    </row>
    <row r="13" spans="1:18" ht="15" customHeight="1">
      <c r="B13" s="520"/>
      <c r="C13" s="521"/>
      <c r="D13" s="522"/>
      <c r="E13" s="522"/>
      <c r="F13" s="522"/>
      <c r="H13" s="523"/>
      <c r="I13" s="523"/>
      <c r="J13" s="523"/>
      <c r="K13" s="523"/>
      <c r="L13" s="523"/>
      <c r="M13" s="523"/>
      <c r="N13" s="523"/>
      <c r="O13" s="523"/>
      <c r="P13" s="523"/>
      <c r="Q13" s="523"/>
    </row>
    <row r="14" spans="1:18" s="527" customFormat="1" ht="15" customHeight="1">
      <c r="A14" s="524"/>
      <c r="B14" s="883"/>
      <c r="C14" s="880"/>
      <c r="D14" s="875" t="s">
        <v>315</v>
      </c>
      <c r="E14" s="875" t="s">
        <v>142</v>
      </c>
      <c r="F14" s="875" t="s">
        <v>312</v>
      </c>
      <c r="G14" s="504"/>
      <c r="H14" s="874" t="s">
        <v>130</v>
      </c>
      <c r="I14" s="874"/>
      <c r="J14" s="874"/>
      <c r="K14" s="874"/>
      <c r="L14" s="874"/>
      <c r="M14" s="874"/>
      <c r="N14" s="874"/>
      <c r="O14" s="874"/>
      <c r="P14" s="874"/>
      <c r="Q14" s="874"/>
      <c r="R14" s="526"/>
    </row>
    <row r="15" spans="1:18" ht="15" customHeight="1">
      <c r="A15" s="498"/>
      <c r="B15" s="884"/>
      <c r="C15" s="881"/>
      <c r="D15" s="876"/>
      <c r="E15" s="876"/>
      <c r="F15" s="876"/>
      <c r="H15" s="874" t="s">
        <v>59</v>
      </c>
      <c r="I15" s="874" t="s">
        <v>58</v>
      </c>
      <c r="J15" s="874" t="s">
        <v>427</v>
      </c>
      <c r="K15" s="525" t="s">
        <v>313</v>
      </c>
      <c r="L15" s="525" t="s">
        <v>313</v>
      </c>
      <c r="M15" s="525" t="s">
        <v>313</v>
      </c>
      <c r="N15" s="525" t="s">
        <v>313</v>
      </c>
      <c r="O15" s="525" t="s">
        <v>313</v>
      </c>
      <c r="P15" s="525" t="s">
        <v>313</v>
      </c>
      <c r="Q15" s="874" t="s">
        <v>48</v>
      </c>
      <c r="R15" s="528"/>
    </row>
    <row r="16" spans="1:18" ht="15" customHeight="1">
      <c r="A16" s="498"/>
      <c r="B16" s="885"/>
      <c r="C16" s="882"/>
      <c r="D16" s="877"/>
      <c r="E16" s="877"/>
      <c r="F16" s="877"/>
      <c r="H16" s="874"/>
      <c r="I16" s="874"/>
      <c r="J16" s="874"/>
      <c r="K16" s="525" t="s">
        <v>131</v>
      </c>
      <c r="L16" s="525" t="s">
        <v>136</v>
      </c>
      <c r="M16" s="525" t="s">
        <v>135</v>
      </c>
      <c r="N16" s="525" t="s">
        <v>134</v>
      </c>
      <c r="O16" s="525" t="s">
        <v>133</v>
      </c>
      <c r="P16" s="525" t="s">
        <v>132</v>
      </c>
      <c r="Q16" s="874"/>
      <c r="R16" s="528"/>
    </row>
    <row r="17" spans="1:18" ht="15" customHeight="1">
      <c r="A17" s="498"/>
      <c r="B17" s="529"/>
      <c r="C17" s="530" t="s">
        <v>196</v>
      </c>
      <c r="D17" s="531"/>
      <c r="E17" s="531"/>
      <c r="F17" s="531"/>
      <c r="H17" s="532"/>
      <c r="I17" s="533"/>
      <c r="J17" s="533"/>
      <c r="K17" s="534">
        <v>180000</v>
      </c>
      <c r="L17" s="534">
        <v>360000</v>
      </c>
      <c r="M17" s="534">
        <v>720000</v>
      </c>
      <c r="N17" s="534">
        <v>1800000</v>
      </c>
      <c r="O17" s="534">
        <v>3600000</v>
      </c>
      <c r="P17" s="534">
        <v>4800000</v>
      </c>
      <c r="Q17" s="535" t="str">
        <f>IF(IFERROR(SUM(Produtividade!L194:L219)&gt;0,FALSE()),Produtividade!D13,
IF(IFERROR(Veículos!$E$3&lt;&gt;"",FALSE()),'Mão de Obra'!D13,'Mão de Obra'!D13))</f>
        <v>Lucro Presumido</v>
      </c>
      <c r="R17" s="528"/>
    </row>
    <row r="18" spans="1:18" ht="15" customHeight="1">
      <c r="A18" s="498"/>
      <c r="B18" s="529"/>
      <c r="C18" s="530" t="s">
        <v>106</v>
      </c>
      <c r="D18" s="531"/>
      <c r="E18" s="531"/>
      <c r="F18" s="531"/>
      <c r="H18" s="532"/>
      <c r="I18" s="533"/>
      <c r="J18" s="533"/>
      <c r="K18" s="534">
        <v>0</v>
      </c>
      <c r="L18" s="534">
        <v>9360</v>
      </c>
      <c r="M18" s="534">
        <v>17640</v>
      </c>
      <c r="N18" s="534">
        <v>35640</v>
      </c>
      <c r="O18" s="534">
        <v>125640</v>
      </c>
      <c r="P18" s="534">
        <v>648000</v>
      </c>
      <c r="Q18" s="534" t="str">
        <f>IF(Q17="Simples",
IF(IFERROR(SUM(Produtividade!L194:L219)&gt;0,FALSE()),Produtividade!D14,
IF(IFERROR(Veículos!$E$3&lt;&gt;"",FALSE()),'Mão de Obra'!D14,'Mão de Obra'!D14)),"")</f>
        <v/>
      </c>
      <c r="R18" s="528"/>
    </row>
    <row r="19" spans="1:18" ht="15" customHeight="1">
      <c r="A19" s="498"/>
      <c r="B19" s="529"/>
      <c r="C19" s="530" t="s">
        <v>197</v>
      </c>
      <c r="D19" s="531"/>
      <c r="E19" s="531"/>
      <c r="F19" s="531"/>
      <c r="H19" s="532"/>
      <c r="I19" s="533"/>
      <c r="J19" s="533"/>
      <c r="K19" s="536">
        <v>0.06</v>
      </c>
      <c r="L19" s="537">
        <v>0.112</v>
      </c>
      <c r="M19" s="537">
        <v>0.13500000000000001</v>
      </c>
      <c r="N19" s="536">
        <v>0.16</v>
      </c>
      <c r="O19" s="536">
        <v>0.21</v>
      </c>
      <c r="P19" s="536">
        <v>0.33</v>
      </c>
      <c r="Q19" s="535"/>
      <c r="R19" s="528"/>
    </row>
    <row r="20" spans="1:18" s="504" customFormat="1" ht="15" customHeight="1">
      <c r="B20" s="538"/>
      <c r="C20"/>
    </row>
    <row r="21" spans="1:18" s="3" customFormat="1" ht="15" customHeight="1">
      <c r="B21" s="499"/>
      <c r="C21" s="539" t="s">
        <v>178</v>
      </c>
      <c r="D21" s="539"/>
      <c r="E21" s="539"/>
      <c r="F21" s="501"/>
      <c r="H21" s="499"/>
      <c r="I21" s="540"/>
      <c r="J21" s="540"/>
      <c r="K21" s="540"/>
      <c r="L21" s="540"/>
      <c r="M21" s="540"/>
      <c r="N21" s="540"/>
      <c r="O21" s="540"/>
      <c r="P21" s="540"/>
      <c r="Q21" s="541"/>
    </row>
    <row r="22" spans="1:18" s="504" customFormat="1" ht="15" customHeight="1">
      <c r="B22" s="542" t="s">
        <v>2</v>
      </c>
      <c r="C22" s="543" t="s">
        <v>143</v>
      </c>
      <c r="D22" s="544"/>
      <c r="E22" s="545" t="s">
        <v>93</v>
      </c>
      <c r="F22" s="545" t="s">
        <v>728</v>
      </c>
      <c r="H22" s="546"/>
      <c r="I22" s="546"/>
      <c r="J22" s="546"/>
      <c r="K22" s="546"/>
      <c r="L22" s="546"/>
      <c r="M22" s="546"/>
      <c r="N22" s="546"/>
      <c r="O22" s="546"/>
      <c r="P22" s="546"/>
      <c r="Q22" s="546"/>
    </row>
    <row r="23" spans="1:18" s="504" customFormat="1" ht="15" customHeight="1">
      <c r="B23" s="542" t="s">
        <v>1</v>
      </c>
      <c r="C23" s="547" t="s">
        <v>144</v>
      </c>
      <c r="D23" s="548" t="s">
        <v>94</v>
      </c>
      <c r="E23" s="548" t="s">
        <v>495</v>
      </c>
      <c r="F23" s="549" t="s">
        <v>496</v>
      </c>
      <c r="H23" s="546"/>
      <c r="I23" s="546"/>
      <c r="J23" s="546"/>
      <c r="K23" s="546"/>
      <c r="L23" s="546"/>
      <c r="M23" s="546"/>
      <c r="N23" s="546"/>
      <c r="O23" s="546"/>
      <c r="P23" s="546"/>
      <c r="Q23" s="546"/>
    </row>
    <row r="24" spans="1:18" s="504" customFormat="1" ht="15" customHeight="1">
      <c r="B24" s="542" t="s">
        <v>0</v>
      </c>
      <c r="C24" s="543" t="s">
        <v>145</v>
      </c>
      <c r="D24" s="544" t="s">
        <v>497</v>
      </c>
      <c r="E24" s="545" t="s">
        <v>498</v>
      </c>
      <c r="F24" s="545" t="s">
        <v>499</v>
      </c>
      <c r="H24" s="546"/>
      <c r="I24" s="546"/>
      <c r="J24" s="546"/>
      <c r="K24" s="546"/>
      <c r="L24" s="546"/>
      <c r="M24" s="546"/>
      <c r="N24" s="546"/>
      <c r="O24" s="546"/>
      <c r="P24" s="546"/>
      <c r="Q24" s="546"/>
    </row>
    <row r="25" spans="1:18" s="504" customFormat="1" ht="15" customHeight="1">
      <c r="B25" s="542" t="s">
        <v>3</v>
      </c>
      <c r="C25" s="547" t="s">
        <v>81</v>
      </c>
      <c r="D25" s="548" t="s">
        <v>146</v>
      </c>
      <c r="E25" s="548" t="s">
        <v>500</v>
      </c>
      <c r="F25" s="549" t="s">
        <v>580</v>
      </c>
      <c r="H25" s="546"/>
      <c r="I25" s="546"/>
      <c r="J25" s="546"/>
      <c r="K25" s="546"/>
      <c r="L25" s="546"/>
      <c r="M25" s="546"/>
      <c r="N25" s="546"/>
      <c r="O25" s="546"/>
      <c r="P25" s="546"/>
      <c r="Q25" s="546"/>
    </row>
    <row r="26" spans="1:18" s="504" customFormat="1" ht="15" customHeight="1">
      <c r="B26" s="542" t="s">
        <v>7</v>
      </c>
      <c r="C26" s="543" t="s">
        <v>95</v>
      </c>
      <c r="D26" s="544" t="s">
        <v>147</v>
      </c>
      <c r="E26" s="545" t="s">
        <v>501</v>
      </c>
      <c r="F26" s="545" t="s">
        <v>502</v>
      </c>
      <c r="H26" s="546"/>
      <c r="I26" s="546"/>
      <c r="J26" s="546"/>
      <c r="K26" s="546"/>
      <c r="L26" s="546"/>
      <c r="M26" s="546"/>
      <c r="N26" s="546"/>
      <c r="O26" s="546"/>
      <c r="P26" s="546"/>
      <c r="Q26" s="546"/>
    </row>
    <row r="27" spans="1:18" s="504" customFormat="1" ht="15" customHeight="1">
      <c r="B27" s="542" t="s">
        <v>6</v>
      </c>
      <c r="C27" s="547" t="s">
        <v>139</v>
      </c>
      <c r="D27" s="548" t="s">
        <v>148</v>
      </c>
      <c r="E27" s="548" t="s">
        <v>501</v>
      </c>
      <c r="F27" s="549" t="s">
        <v>503</v>
      </c>
      <c r="H27" s="546"/>
      <c r="I27" s="546"/>
      <c r="J27" s="546"/>
      <c r="K27" s="546"/>
      <c r="L27" s="546"/>
      <c r="M27" s="546"/>
      <c r="N27" s="546"/>
      <c r="O27" s="546"/>
      <c r="P27" s="546"/>
      <c r="Q27" s="546"/>
    </row>
    <row r="28" spans="1:18" s="504" customFormat="1" ht="15" customHeight="1">
      <c r="B28" s="542" t="s">
        <v>5</v>
      </c>
      <c r="C28" s="543" t="s">
        <v>149</v>
      </c>
      <c r="D28" s="544" t="s">
        <v>150</v>
      </c>
      <c r="E28" s="545" t="s">
        <v>96</v>
      </c>
      <c r="F28" s="545" t="s">
        <v>504</v>
      </c>
      <c r="H28" s="546"/>
      <c r="I28" s="546"/>
      <c r="J28" s="546"/>
      <c r="K28" s="546"/>
      <c r="L28" s="546"/>
      <c r="M28" s="546"/>
      <c r="N28" s="546"/>
      <c r="O28" s="546"/>
      <c r="P28" s="546"/>
      <c r="Q28" s="546"/>
    </row>
    <row r="29" spans="1:18" s="504" customFormat="1" ht="15" customHeight="1">
      <c r="B29" s="542" t="s">
        <v>4</v>
      </c>
      <c r="C29" s="547" t="s">
        <v>82</v>
      </c>
      <c r="D29" s="548" t="s">
        <v>151</v>
      </c>
      <c r="E29" s="548" t="s">
        <v>505</v>
      </c>
      <c r="F29" s="549" t="s">
        <v>506</v>
      </c>
      <c r="H29" s="546"/>
      <c r="I29" s="546"/>
      <c r="J29" s="546"/>
      <c r="K29" s="546"/>
      <c r="L29" s="546"/>
      <c r="M29" s="546"/>
      <c r="N29" s="546"/>
      <c r="O29" s="546"/>
      <c r="P29" s="546"/>
      <c r="Q29" s="546"/>
    </row>
    <row r="30" spans="1:18" s="504" customFormat="1" ht="15" customHeight="1">
      <c r="B30" s="542" t="s">
        <v>113</v>
      </c>
      <c r="C30" s="545" t="s">
        <v>152</v>
      </c>
      <c r="D30" s="544" t="s">
        <v>153</v>
      </c>
      <c r="E30" s="545" t="s">
        <v>154</v>
      </c>
      <c r="F30" s="545" t="s">
        <v>507</v>
      </c>
      <c r="H30" s="546"/>
      <c r="I30" s="546"/>
      <c r="J30" s="546"/>
      <c r="K30" s="546"/>
      <c r="L30" s="546"/>
      <c r="M30" s="546"/>
      <c r="N30" s="546"/>
      <c r="O30" s="546"/>
      <c r="P30" s="546"/>
      <c r="Q30" s="546"/>
    </row>
    <row r="31" spans="1:18" s="504" customFormat="1" ht="15" customHeight="1">
      <c r="B31" s="542" t="s">
        <v>140</v>
      </c>
      <c r="C31" s="547" t="s">
        <v>173</v>
      </c>
      <c r="D31" s="548"/>
      <c r="E31" s="548"/>
      <c r="F31" s="549"/>
      <c r="H31" s="546"/>
      <c r="I31" s="546"/>
      <c r="J31" s="546"/>
      <c r="K31" s="546"/>
      <c r="L31" s="546"/>
      <c r="M31" s="546"/>
      <c r="N31" s="546"/>
      <c r="O31" s="546"/>
      <c r="P31" s="546"/>
      <c r="Q31" s="546"/>
    </row>
    <row r="32" spans="1:18" s="504" customFormat="1" ht="15" customHeight="1">
      <c r="B32" s="538"/>
      <c r="C32"/>
      <c r="H32" s="550"/>
      <c r="I32" s="550"/>
      <c r="J32" s="550"/>
      <c r="K32" s="550"/>
      <c r="L32" s="550"/>
      <c r="M32" s="550"/>
      <c r="N32" s="550"/>
      <c r="O32" s="550"/>
      <c r="P32" s="550"/>
      <c r="Q32" s="550"/>
    </row>
    <row r="33" spans="1:18" s="504" customFormat="1" ht="15" customHeight="1">
      <c r="B33" s="499"/>
      <c r="C33" s="551" t="s">
        <v>124</v>
      </c>
      <c r="D33" s="539"/>
      <c r="E33" s="539"/>
      <c r="F33" s="501"/>
      <c r="H33" s="499"/>
      <c r="I33" s="540"/>
      <c r="J33" s="540"/>
      <c r="K33" s="540"/>
      <c r="L33" s="540"/>
      <c r="M33" s="540"/>
      <c r="N33" s="540"/>
      <c r="O33" s="540"/>
      <c r="P33" s="540"/>
      <c r="Q33" s="541"/>
    </row>
    <row r="34" spans="1:18" ht="3.75" customHeight="1">
      <c r="C34" s="553"/>
      <c r="H34" s="554"/>
      <c r="I34" s="555"/>
      <c r="J34" s="555"/>
      <c r="K34" s="556"/>
      <c r="L34" s="557"/>
      <c r="M34" s="557"/>
      <c r="N34" s="556"/>
      <c r="O34" s="556"/>
      <c r="P34" s="556"/>
      <c r="Q34" s="558"/>
    </row>
    <row r="35" spans="1:18" s="566" customFormat="1" ht="15" customHeight="1">
      <c r="A35" s="559"/>
      <c r="B35" s="560"/>
      <c r="C35" s="561" t="s">
        <v>125</v>
      </c>
      <c r="D35" s="561"/>
      <c r="E35" s="561"/>
      <c r="F35" s="562"/>
      <c r="G35" s="3"/>
      <c r="H35" s="560"/>
      <c r="I35" s="563"/>
      <c r="J35" s="563"/>
      <c r="K35" s="563"/>
      <c r="L35" s="563"/>
      <c r="M35" s="563"/>
      <c r="N35" s="563"/>
      <c r="O35" s="563"/>
      <c r="P35" s="563"/>
      <c r="Q35" s="564"/>
      <c r="R35" s="565"/>
    </row>
    <row r="36" spans="1:18" ht="15" customHeight="1">
      <c r="A36" s="498"/>
      <c r="B36" s="567" t="s">
        <v>2</v>
      </c>
      <c r="C36" s="568" t="s">
        <v>56</v>
      </c>
      <c r="D36" s="544" t="s">
        <v>164</v>
      </c>
      <c r="E36" s="545" t="s">
        <v>508</v>
      </c>
      <c r="F36" s="545" t="s">
        <v>509</v>
      </c>
      <c r="H36" s="569">
        <f>(1/12)</f>
        <v>8.3333333333333329E-2</v>
      </c>
      <c r="I36" s="569">
        <f t="shared" ref="I36:P36" si="0">(1/12)</f>
        <v>8.3333333333333329E-2</v>
      </c>
      <c r="J36" s="569">
        <f t="shared" si="0"/>
        <v>8.3333333333333329E-2</v>
      </c>
      <c r="K36" s="569">
        <f t="shared" si="0"/>
        <v>8.3333333333333329E-2</v>
      </c>
      <c r="L36" s="569">
        <f t="shared" si="0"/>
        <v>8.3333333333333329E-2</v>
      </c>
      <c r="M36" s="569">
        <f t="shared" si="0"/>
        <v>8.3333333333333329E-2</v>
      </c>
      <c r="N36" s="569">
        <f t="shared" si="0"/>
        <v>8.3333333333333329E-2</v>
      </c>
      <c r="O36" s="569">
        <f t="shared" si="0"/>
        <v>8.3333333333333329E-2</v>
      </c>
      <c r="P36" s="569">
        <f t="shared" si="0"/>
        <v>8.3333333333333329E-2</v>
      </c>
      <c r="Q36" s="569">
        <f>IFERROR(ROUND(IF($Q$17="Simples",
INDEX(H36:P36,MATCH($Q$18,$H$18:$P$18,1)),
INDEX(H36:P36,MATCH($Q$17,$H$15:$P$15,0))
),4),"")</f>
        <v>8.3299999999999999E-2</v>
      </c>
      <c r="R36" s="528"/>
    </row>
    <row r="37" spans="1:18" ht="15" customHeight="1">
      <c r="A37" s="498"/>
      <c r="B37" s="567" t="s">
        <v>1</v>
      </c>
      <c r="C37" s="568" t="s">
        <v>21</v>
      </c>
      <c r="D37" s="544" t="s">
        <v>165</v>
      </c>
      <c r="E37" s="545" t="s">
        <v>510</v>
      </c>
      <c r="F37" s="545" t="s">
        <v>511</v>
      </c>
      <c r="H37" s="569">
        <f xml:space="preserve"> (1/12) +( 1/3)/12</f>
        <v>0.1111111111111111</v>
      </c>
      <c r="I37" s="569">
        <f t="shared" ref="I37:P37" si="1" xml:space="preserve"> (1/12) +( 1/3)/12</f>
        <v>0.1111111111111111</v>
      </c>
      <c r="J37" s="569">
        <f t="shared" si="1"/>
        <v>0.1111111111111111</v>
      </c>
      <c r="K37" s="569">
        <f t="shared" si="1"/>
        <v>0.1111111111111111</v>
      </c>
      <c r="L37" s="569">
        <f t="shared" si="1"/>
        <v>0.1111111111111111</v>
      </c>
      <c r="M37" s="569">
        <f t="shared" si="1"/>
        <v>0.1111111111111111</v>
      </c>
      <c r="N37" s="569">
        <f t="shared" si="1"/>
        <v>0.1111111111111111</v>
      </c>
      <c r="O37" s="569">
        <f t="shared" si="1"/>
        <v>0.1111111111111111</v>
      </c>
      <c r="P37" s="569">
        <f t="shared" si="1"/>
        <v>0.1111111111111111</v>
      </c>
      <c r="Q37" s="569">
        <f t="shared" ref="Q37:Q38" si="2">IFERROR(ROUND(IF($Q$17="Simples",
INDEX(H37:P37,MATCH($Q$18,$H$18:$P$18,1)),
INDEX(H37:P37,MATCH($Q$17,$H$15:$P$15,0))
),4),"")</f>
        <v>0.1111</v>
      </c>
      <c r="R37" s="528"/>
    </row>
    <row r="38" spans="1:18" ht="15" customHeight="1">
      <c r="A38" s="498"/>
      <c r="B38" s="567" t="s">
        <v>0</v>
      </c>
      <c r="C38" s="568" t="s">
        <v>80</v>
      </c>
      <c r="D38" s="544" t="s">
        <v>166</v>
      </c>
      <c r="E38" s="545"/>
      <c r="F38" s="545" t="s">
        <v>512</v>
      </c>
      <c r="H38" s="569">
        <f t="shared" ref="H38:P38" si="3">(H36+H37)*H51</f>
        <v>7.1555555555555567E-2</v>
      </c>
      <c r="I38" s="569">
        <f t="shared" si="3"/>
        <v>7.1555555555555567E-2</v>
      </c>
      <c r="J38" s="569">
        <f>(J36+J37)*J51</f>
        <v>6.0277777777777777E-2</v>
      </c>
      <c r="K38" s="569">
        <f t="shared" si="3"/>
        <v>6.0277777777777777E-2</v>
      </c>
      <c r="L38" s="569">
        <f t="shared" si="3"/>
        <v>6.0277777777777777E-2</v>
      </c>
      <c r="M38" s="569">
        <f t="shared" si="3"/>
        <v>6.0277777777777777E-2</v>
      </c>
      <c r="N38" s="569">
        <f t="shared" si="3"/>
        <v>6.0277777777777777E-2</v>
      </c>
      <c r="O38" s="569">
        <f t="shared" si="3"/>
        <v>6.0277777777777777E-2</v>
      </c>
      <c r="P38" s="569">
        <f t="shared" si="3"/>
        <v>6.0277777777777777E-2</v>
      </c>
      <c r="Q38" s="569">
        <f t="shared" si="2"/>
        <v>7.1599999999999997E-2</v>
      </c>
      <c r="R38" s="528"/>
    </row>
    <row r="39" spans="1:18" ht="3.75" customHeight="1">
      <c r="B39" s="570"/>
      <c r="C39" s="571"/>
      <c r="D39" s="571"/>
      <c r="E39" s="571"/>
      <c r="F39" s="571"/>
      <c r="H39" s="572"/>
      <c r="I39" s="572"/>
      <c r="J39" s="572"/>
      <c r="K39" s="572"/>
      <c r="L39" s="572"/>
      <c r="M39" s="572"/>
      <c r="N39" s="572"/>
      <c r="O39" s="572"/>
      <c r="P39" s="572"/>
      <c r="Q39" s="572"/>
    </row>
    <row r="40" spans="1:18" s="566" customFormat="1" ht="15" customHeight="1">
      <c r="A40" s="559"/>
      <c r="B40" s="560"/>
      <c r="C40" s="561" t="s">
        <v>223</v>
      </c>
      <c r="D40" s="561"/>
      <c r="E40" s="561"/>
      <c r="F40" s="562"/>
      <c r="G40" s="3"/>
      <c r="H40" s="560"/>
      <c r="I40" s="563"/>
      <c r="J40" s="563"/>
      <c r="K40" s="563"/>
      <c r="L40" s="563"/>
      <c r="M40" s="563"/>
      <c r="N40" s="563"/>
      <c r="O40" s="563"/>
      <c r="P40" s="563"/>
      <c r="Q40" s="564"/>
      <c r="R40" s="565"/>
    </row>
    <row r="41" spans="1:18" ht="15" customHeight="1">
      <c r="A41" s="498"/>
      <c r="B41" s="506" t="s">
        <v>2</v>
      </c>
      <c r="C41" s="507" t="s">
        <v>49</v>
      </c>
      <c r="D41" s="544"/>
      <c r="E41" s="545" t="s">
        <v>513</v>
      </c>
      <c r="F41" s="545" t="s">
        <v>514</v>
      </c>
      <c r="H41" s="573">
        <v>0.2</v>
      </c>
      <c r="I41" s="573">
        <v>0.2</v>
      </c>
      <c r="J41" s="573">
        <v>0.2</v>
      </c>
      <c r="K41" s="573">
        <v>0.2</v>
      </c>
      <c r="L41" s="573">
        <v>0.2</v>
      </c>
      <c r="M41" s="573">
        <v>0.2</v>
      </c>
      <c r="N41" s="573">
        <v>0.2</v>
      </c>
      <c r="O41" s="573">
        <v>0.2</v>
      </c>
      <c r="P41" s="573">
        <v>0.2</v>
      </c>
      <c r="Q41" s="573">
        <f t="shared" ref="Q41:Q51" si="4">IFERROR(ROUND(IF($Q$17="Simples",
INDEX(H41:P41,MATCH($Q$18,$H$18:$P$18,1)),
INDEX(H41:P41,MATCH($Q$17,$H$15:$P$15,0))
),4),"")</f>
        <v>0.2</v>
      </c>
      <c r="R41" s="528"/>
    </row>
    <row r="42" spans="1:18" ht="15" customHeight="1">
      <c r="A42" s="498"/>
      <c r="B42" s="574" t="s">
        <v>1</v>
      </c>
      <c r="C42" s="575" t="s">
        <v>50</v>
      </c>
      <c r="D42" s="544"/>
      <c r="E42" s="545" t="s">
        <v>611</v>
      </c>
      <c r="F42" s="545" t="s">
        <v>515</v>
      </c>
      <c r="H42" s="573">
        <v>1.4999999999999999E-2</v>
      </c>
      <c r="I42" s="573">
        <v>1.4999999999999999E-2</v>
      </c>
      <c r="J42" s="573"/>
      <c r="K42" s="573"/>
      <c r="L42" s="573"/>
      <c r="M42" s="573"/>
      <c r="N42" s="573"/>
      <c r="O42" s="573"/>
      <c r="P42" s="573"/>
      <c r="Q42" s="573">
        <f t="shared" si="4"/>
        <v>1.4999999999999999E-2</v>
      </c>
      <c r="R42" s="528"/>
    </row>
    <row r="43" spans="1:18" ht="15" customHeight="1">
      <c r="A43" s="498"/>
      <c r="B43" s="574" t="s">
        <v>0</v>
      </c>
      <c r="C43" s="507" t="s">
        <v>51</v>
      </c>
      <c r="D43" s="544"/>
      <c r="E43" s="545" t="s">
        <v>612</v>
      </c>
      <c r="F43" s="545" t="s">
        <v>515</v>
      </c>
      <c r="H43" s="573">
        <v>0.01</v>
      </c>
      <c r="I43" s="573">
        <v>0.01</v>
      </c>
      <c r="J43" s="573"/>
      <c r="K43" s="573"/>
      <c r="L43" s="573"/>
      <c r="M43" s="573"/>
      <c r="N43" s="573"/>
      <c r="O43" s="573"/>
      <c r="P43" s="573"/>
      <c r="Q43" s="573">
        <f t="shared" si="4"/>
        <v>0.01</v>
      </c>
      <c r="R43" s="528"/>
    </row>
    <row r="44" spans="1:18" ht="15" customHeight="1">
      <c r="A44" s="498"/>
      <c r="B44" s="506" t="s">
        <v>3</v>
      </c>
      <c r="C44" s="575" t="s">
        <v>52</v>
      </c>
      <c r="D44" s="544"/>
      <c r="E44" s="545" t="s">
        <v>613</v>
      </c>
      <c r="F44" s="545" t="s">
        <v>515</v>
      </c>
      <c r="H44" s="573">
        <v>2E-3</v>
      </c>
      <c r="I44" s="573">
        <v>2E-3</v>
      </c>
      <c r="J44" s="573"/>
      <c r="K44" s="573"/>
      <c r="L44" s="573"/>
      <c r="M44" s="573"/>
      <c r="N44" s="573"/>
      <c r="O44" s="573"/>
      <c r="P44" s="573"/>
      <c r="Q44" s="573">
        <f t="shared" si="4"/>
        <v>2E-3</v>
      </c>
      <c r="R44" s="528"/>
    </row>
    <row r="45" spans="1:18" ht="15" customHeight="1">
      <c r="A45" s="498"/>
      <c r="B45" s="574" t="s">
        <v>7</v>
      </c>
      <c r="C45" s="507" t="s">
        <v>53</v>
      </c>
      <c r="D45" s="544"/>
      <c r="E45" s="545" t="s">
        <v>614</v>
      </c>
      <c r="F45" s="545" t="s">
        <v>515</v>
      </c>
      <c r="H45" s="573">
        <v>2.5000000000000001E-2</v>
      </c>
      <c r="I45" s="573">
        <v>2.5000000000000001E-2</v>
      </c>
      <c r="J45" s="573"/>
      <c r="K45" s="573"/>
      <c r="L45" s="573"/>
      <c r="M45" s="573"/>
      <c r="N45" s="573"/>
      <c r="O45" s="573"/>
      <c r="P45" s="573"/>
      <c r="Q45" s="573">
        <f t="shared" si="4"/>
        <v>2.5000000000000001E-2</v>
      </c>
      <c r="R45" s="528"/>
    </row>
    <row r="46" spans="1:18" ht="15" customHeight="1">
      <c r="A46" s="498"/>
      <c r="B46" s="574" t="s">
        <v>6</v>
      </c>
      <c r="C46" s="575" t="s">
        <v>54</v>
      </c>
      <c r="D46" s="544"/>
      <c r="E46" s="545" t="s">
        <v>516</v>
      </c>
      <c r="F46" s="545"/>
      <c r="H46" s="573">
        <v>0.08</v>
      </c>
      <c r="I46" s="573">
        <v>0.08</v>
      </c>
      <c r="J46" s="573">
        <v>0.08</v>
      </c>
      <c r="K46" s="573">
        <v>0.08</v>
      </c>
      <c r="L46" s="573">
        <v>0.08</v>
      </c>
      <c r="M46" s="573">
        <v>0.08</v>
      </c>
      <c r="N46" s="573">
        <v>0.08</v>
      </c>
      <c r="O46" s="573">
        <v>0.08</v>
      </c>
      <c r="P46" s="573">
        <v>0.08</v>
      </c>
      <c r="Q46" s="573">
        <f t="shared" si="4"/>
        <v>0.08</v>
      </c>
      <c r="R46" s="528"/>
    </row>
    <row r="47" spans="1:18" ht="15" customHeight="1">
      <c r="A47" s="498"/>
      <c r="B47" s="886" t="s">
        <v>5</v>
      </c>
      <c r="C47" s="507" t="s">
        <v>517</v>
      </c>
      <c r="D47" s="544" t="s">
        <v>278</v>
      </c>
      <c r="E47" s="545" t="s">
        <v>518</v>
      </c>
      <c r="F47" s="545" t="s">
        <v>615</v>
      </c>
      <c r="H47" s="573">
        <f>ROUND(H48*H49,2)</f>
        <v>0.03</v>
      </c>
      <c r="I47" s="573">
        <f t="shared" ref="I47:P47" si="5">ROUND(I48*I49,2)</f>
        <v>0.03</v>
      </c>
      <c r="J47" s="573">
        <f>ROUND(J48*J49,2)</f>
        <v>0.03</v>
      </c>
      <c r="K47" s="573">
        <f t="shared" si="5"/>
        <v>0.03</v>
      </c>
      <c r="L47" s="573">
        <f t="shared" si="5"/>
        <v>0.03</v>
      </c>
      <c r="M47" s="573">
        <f t="shared" si="5"/>
        <v>0.03</v>
      </c>
      <c r="N47" s="573">
        <f t="shared" si="5"/>
        <v>0.03</v>
      </c>
      <c r="O47" s="573">
        <f t="shared" si="5"/>
        <v>0.03</v>
      </c>
      <c r="P47" s="573">
        <f t="shared" si="5"/>
        <v>0.03</v>
      </c>
      <c r="Q47" s="573">
        <f t="shared" si="4"/>
        <v>0.03</v>
      </c>
      <c r="R47" s="528"/>
    </row>
    <row r="48" spans="1:18" ht="15" customHeight="1">
      <c r="A48" s="498"/>
      <c r="B48" s="886"/>
      <c r="C48" s="576" t="s">
        <v>47</v>
      </c>
      <c r="D48" s="577"/>
      <c r="E48" s="577" t="s">
        <v>519</v>
      </c>
      <c r="F48" s="577"/>
      <c r="H48" s="573">
        <v>0.03</v>
      </c>
      <c r="I48" s="573">
        <f>H48</f>
        <v>0.03</v>
      </c>
      <c r="J48" s="573">
        <f>I48</f>
        <v>0.03</v>
      </c>
      <c r="K48" s="573">
        <f>I48</f>
        <v>0.03</v>
      </c>
      <c r="L48" s="573">
        <f t="shared" ref="I48:P49" si="6">K48</f>
        <v>0.03</v>
      </c>
      <c r="M48" s="573">
        <f t="shared" si="6"/>
        <v>0.03</v>
      </c>
      <c r="N48" s="573">
        <f t="shared" si="6"/>
        <v>0.03</v>
      </c>
      <c r="O48" s="573">
        <f t="shared" si="6"/>
        <v>0.03</v>
      </c>
      <c r="P48" s="573">
        <f t="shared" si="6"/>
        <v>0.03</v>
      </c>
      <c r="Q48" s="573">
        <f t="shared" si="4"/>
        <v>0.03</v>
      </c>
      <c r="R48" s="528"/>
    </row>
    <row r="49" spans="1:18" ht="15" customHeight="1">
      <c r="A49" s="498"/>
      <c r="B49" s="886"/>
      <c r="C49" s="576" t="s">
        <v>42</v>
      </c>
      <c r="D49" s="578"/>
      <c r="E49" s="578" t="s">
        <v>520</v>
      </c>
      <c r="F49" s="578" t="s">
        <v>521</v>
      </c>
      <c r="H49" s="579">
        <v>1</v>
      </c>
      <c r="I49" s="579">
        <f t="shared" si="6"/>
        <v>1</v>
      </c>
      <c r="J49" s="579">
        <f t="shared" si="6"/>
        <v>1</v>
      </c>
      <c r="K49" s="579">
        <f>I49</f>
        <v>1</v>
      </c>
      <c r="L49" s="579">
        <f t="shared" si="6"/>
        <v>1</v>
      </c>
      <c r="M49" s="579">
        <f t="shared" si="6"/>
        <v>1</v>
      </c>
      <c r="N49" s="579">
        <f t="shared" si="6"/>
        <v>1</v>
      </c>
      <c r="O49" s="579">
        <f t="shared" si="6"/>
        <v>1</v>
      </c>
      <c r="P49" s="579">
        <f t="shared" si="6"/>
        <v>1</v>
      </c>
      <c r="Q49" s="579">
        <f t="shared" si="4"/>
        <v>1</v>
      </c>
      <c r="R49" s="528"/>
    </row>
    <row r="50" spans="1:18" ht="15" customHeight="1">
      <c r="A50" s="498"/>
      <c r="B50" s="574" t="s">
        <v>4</v>
      </c>
      <c r="C50" s="575" t="s">
        <v>55</v>
      </c>
      <c r="D50" s="544"/>
      <c r="E50" s="545" t="s">
        <v>97</v>
      </c>
      <c r="F50" s="545" t="s">
        <v>515</v>
      </c>
      <c r="H50" s="573">
        <v>6.0000000000000001E-3</v>
      </c>
      <c r="I50" s="573">
        <v>6.0000000000000001E-3</v>
      </c>
      <c r="J50" s="573"/>
      <c r="K50" s="573"/>
      <c r="L50" s="573"/>
      <c r="M50" s="573"/>
      <c r="N50" s="573"/>
      <c r="O50" s="573"/>
      <c r="P50" s="573"/>
      <c r="Q50" s="573">
        <f t="shared" si="4"/>
        <v>6.0000000000000001E-3</v>
      </c>
      <c r="R50" s="528"/>
    </row>
    <row r="51" spans="1:18" ht="15" customHeight="1">
      <c r="A51" s="498"/>
      <c r="B51" s="560"/>
      <c r="C51" s="580"/>
      <c r="D51" s="561"/>
      <c r="E51" s="561"/>
      <c r="F51" s="562"/>
      <c r="H51" s="581">
        <f>SUM(H41:H50)-H48-H49</f>
        <v>0.3680000000000001</v>
      </c>
      <c r="I51" s="581">
        <f>SUM(I41:I50)-I48-I49</f>
        <v>0.3680000000000001</v>
      </c>
      <c r="J51" s="581">
        <f>SUM(J41:J50)-J48-J49</f>
        <v>0.31000000000000005</v>
      </c>
      <c r="K51" s="581">
        <f>SUM(K41:K47)+K50</f>
        <v>0.31000000000000005</v>
      </c>
      <c r="L51" s="581">
        <f>SUM(L41:L50)-L48-L49</f>
        <v>0.31000000000000005</v>
      </c>
      <c r="M51" s="581">
        <f>SUM(M41:M50)-M48-M49</f>
        <v>0.31000000000000005</v>
      </c>
      <c r="N51" s="581">
        <f>SUM(N41:N50)-N48-N49</f>
        <v>0.31000000000000005</v>
      </c>
      <c r="O51" s="581">
        <f>SUM(O41:O50)-O48-O49</f>
        <v>0.31000000000000005</v>
      </c>
      <c r="P51" s="581">
        <f>SUM(P41:P50)-P48-P49</f>
        <v>0.31000000000000005</v>
      </c>
      <c r="Q51" s="581">
        <f t="shared" si="4"/>
        <v>0.36799999999999999</v>
      </c>
      <c r="R51" s="528"/>
    </row>
    <row r="52" spans="1:18" ht="3.75" customHeight="1">
      <c r="H52" s="582"/>
      <c r="I52" s="582"/>
      <c r="J52" s="582"/>
      <c r="K52" s="582"/>
      <c r="L52" s="583"/>
      <c r="M52" s="582"/>
      <c r="N52" s="582"/>
      <c r="O52" s="582"/>
      <c r="P52" s="582"/>
      <c r="Q52" s="582"/>
    </row>
    <row r="53" spans="1:18" s="566" customFormat="1" ht="15" customHeight="1">
      <c r="B53" s="560"/>
      <c r="C53" s="561" t="s">
        <v>126</v>
      </c>
      <c r="D53" s="561"/>
      <c r="E53" s="561"/>
      <c r="F53" s="562"/>
      <c r="G53" s="3"/>
      <c r="H53" s="560"/>
      <c r="I53" s="563"/>
      <c r="J53" s="563"/>
      <c r="K53" s="563"/>
      <c r="L53" s="563"/>
      <c r="M53" s="563"/>
      <c r="N53" s="563"/>
      <c r="O53" s="563"/>
      <c r="P53" s="563"/>
      <c r="Q53" s="564"/>
    </row>
    <row r="54" spans="1:18" ht="15" customHeight="1">
      <c r="B54" s="542" t="s">
        <v>2</v>
      </c>
      <c r="C54" s="543" t="s">
        <v>86</v>
      </c>
      <c r="D54" s="544" t="s">
        <v>158</v>
      </c>
      <c r="E54" s="545" t="s">
        <v>732</v>
      </c>
      <c r="F54" s="545" t="s">
        <v>578</v>
      </c>
      <c r="H54" s="573"/>
      <c r="I54" s="573"/>
      <c r="J54" s="573"/>
      <c r="K54" s="573"/>
      <c r="L54" s="573"/>
      <c r="M54" s="573"/>
      <c r="N54" s="573"/>
      <c r="O54" s="573"/>
      <c r="P54" s="573"/>
      <c r="Q54" s="573"/>
    </row>
    <row r="55" spans="1:18" ht="15" customHeight="1">
      <c r="B55" s="542" t="s">
        <v>1</v>
      </c>
      <c r="C55" s="543" t="s">
        <v>23</v>
      </c>
      <c r="D55" s="544" t="s">
        <v>156</v>
      </c>
      <c r="E55" s="545" t="s">
        <v>522</v>
      </c>
      <c r="F55" s="545" t="s">
        <v>577</v>
      </c>
      <c r="H55" s="573"/>
      <c r="I55" s="573"/>
      <c r="J55" s="573"/>
      <c r="K55" s="573"/>
      <c r="L55" s="573"/>
      <c r="M55" s="573"/>
      <c r="N55" s="573"/>
      <c r="O55" s="573"/>
      <c r="P55" s="573"/>
      <c r="Q55" s="573"/>
    </row>
    <row r="56" spans="1:18" ht="15" customHeight="1">
      <c r="B56" s="542" t="s">
        <v>0</v>
      </c>
      <c r="C56" s="543" t="s">
        <v>25</v>
      </c>
      <c r="D56" s="544" t="s">
        <v>159</v>
      </c>
      <c r="E56" s="545" t="s">
        <v>523</v>
      </c>
      <c r="F56" s="545" t="s">
        <v>578</v>
      </c>
      <c r="H56" s="573"/>
      <c r="I56" s="573"/>
      <c r="J56" s="573"/>
      <c r="K56" s="573"/>
      <c r="L56" s="573"/>
      <c r="M56" s="573"/>
      <c r="N56" s="573"/>
      <c r="O56" s="573"/>
      <c r="P56" s="573"/>
      <c r="Q56" s="573"/>
    </row>
    <row r="57" spans="1:18" ht="15" customHeight="1">
      <c r="B57" s="542" t="s">
        <v>3</v>
      </c>
      <c r="C57" s="543" t="s">
        <v>27</v>
      </c>
      <c r="D57" s="544" t="s">
        <v>157</v>
      </c>
      <c r="E57" s="545" t="s">
        <v>523</v>
      </c>
      <c r="F57" s="545" t="s">
        <v>579</v>
      </c>
      <c r="H57" s="573"/>
      <c r="I57" s="573"/>
      <c r="J57" s="573"/>
      <c r="K57" s="573"/>
      <c r="L57" s="573"/>
      <c r="M57" s="573"/>
      <c r="N57" s="573"/>
      <c r="O57" s="573"/>
      <c r="P57" s="573"/>
      <c r="Q57" s="573"/>
    </row>
    <row r="58" spans="1:18" ht="15" customHeight="1">
      <c r="B58" s="542" t="s">
        <v>7</v>
      </c>
      <c r="C58" s="543" t="s">
        <v>28</v>
      </c>
      <c r="D58" s="544" t="s">
        <v>157</v>
      </c>
      <c r="E58" s="545"/>
      <c r="F58" s="545" t="s">
        <v>579</v>
      </c>
      <c r="H58" s="573"/>
      <c r="I58" s="573"/>
      <c r="J58" s="573"/>
      <c r="K58" s="573"/>
      <c r="L58" s="573"/>
      <c r="M58" s="573"/>
      <c r="N58" s="573"/>
      <c r="O58" s="573"/>
      <c r="P58" s="573"/>
      <c r="Q58" s="573"/>
    </row>
    <row r="59" spans="1:18" ht="15" customHeight="1">
      <c r="B59" s="542" t="s">
        <v>6</v>
      </c>
      <c r="C59" s="543" t="s">
        <v>29</v>
      </c>
      <c r="D59" s="544" t="s">
        <v>159</v>
      </c>
      <c r="E59" s="545"/>
      <c r="F59" s="545" t="s">
        <v>578</v>
      </c>
      <c r="H59" s="573"/>
      <c r="I59" s="573"/>
      <c r="J59" s="573"/>
      <c r="K59" s="573"/>
      <c r="L59" s="573"/>
      <c r="M59" s="573"/>
      <c r="N59" s="573"/>
      <c r="O59" s="573"/>
      <c r="P59" s="573"/>
      <c r="Q59" s="573"/>
    </row>
    <row r="60" spans="1:18" ht="15" customHeight="1">
      <c r="B60" s="542" t="s">
        <v>5</v>
      </c>
      <c r="C60" s="543" t="s">
        <v>30</v>
      </c>
      <c r="D60" s="544" t="s">
        <v>157</v>
      </c>
      <c r="E60" s="545"/>
      <c r="F60" s="545" t="s">
        <v>579</v>
      </c>
      <c r="H60" s="573"/>
      <c r="I60" s="573"/>
      <c r="J60" s="573"/>
      <c r="K60" s="573"/>
      <c r="L60" s="573"/>
      <c r="M60" s="573"/>
      <c r="N60" s="573"/>
      <c r="O60" s="573"/>
      <c r="P60" s="573"/>
      <c r="Q60" s="573"/>
    </row>
    <row r="61" spans="1:18" ht="15" customHeight="1">
      <c r="B61" s="542" t="s">
        <v>4</v>
      </c>
      <c r="C61" s="543" t="s">
        <v>114</v>
      </c>
      <c r="D61" s="544" t="s">
        <v>157</v>
      </c>
      <c r="E61" s="545"/>
      <c r="F61" s="545" t="s">
        <v>579</v>
      </c>
      <c r="H61" s="573"/>
      <c r="I61" s="573"/>
      <c r="J61" s="573"/>
      <c r="K61" s="573"/>
      <c r="L61" s="573"/>
      <c r="M61" s="573"/>
      <c r="N61" s="573"/>
      <c r="O61" s="573"/>
      <c r="P61" s="573"/>
      <c r="Q61" s="573"/>
    </row>
    <row r="62" spans="1:18" ht="15" customHeight="1">
      <c r="H62" s="582"/>
      <c r="I62" s="582"/>
      <c r="J62" s="582"/>
      <c r="K62" s="582"/>
      <c r="L62" s="583"/>
      <c r="M62" s="582"/>
      <c r="N62" s="582"/>
      <c r="O62" s="582"/>
      <c r="P62" s="582"/>
      <c r="Q62" s="582"/>
    </row>
    <row r="63" spans="1:18" s="3" customFormat="1" ht="15" customHeight="1">
      <c r="B63" s="499"/>
      <c r="C63" s="539" t="s">
        <v>127</v>
      </c>
      <c r="D63" s="539"/>
      <c r="E63" s="539"/>
      <c r="F63" s="501"/>
      <c r="H63" s="499"/>
      <c r="I63" s="540"/>
      <c r="J63" s="540"/>
      <c r="K63" s="540"/>
      <c r="L63" s="540"/>
      <c r="M63" s="540"/>
      <c r="N63" s="540"/>
      <c r="O63" s="540"/>
      <c r="P63" s="540"/>
      <c r="Q63" s="541"/>
    </row>
    <row r="64" spans="1:18" ht="3.75" customHeight="1">
      <c r="B64" s="584"/>
      <c r="H64" s="585"/>
      <c r="I64" s="585"/>
      <c r="J64" s="585"/>
      <c r="K64" s="585"/>
      <c r="L64" s="585"/>
      <c r="M64" s="585"/>
      <c r="N64" s="585"/>
      <c r="O64" s="585"/>
      <c r="P64" s="585"/>
      <c r="Q64" s="585"/>
    </row>
    <row r="65" spans="1:18" s="566" customFormat="1" ht="15" customHeight="1">
      <c r="B65" s="560"/>
      <c r="C65" s="561" t="s">
        <v>198</v>
      </c>
      <c r="D65" s="561"/>
      <c r="E65" s="561"/>
      <c r="F65" s="562"/>
      <c r="G65" s="3"/>
      <c r="H65" s="560"/>
      <c r="I65" s="563"/>
      <c r="J65" s="563"/>
      <c r="K65" s="563"/>
      <c r="L65" s="563"/>
      <c r="M65" s="563"/>
      <c r="N65" s="563"/>
      <c r="O65" s="563"/>
      <c r="P65" s="563"/>
      <c r="Q65" s="564"/>
    </row>
    <row r="66" spans="1:18" ht="15" customHeight="1">
      <c r="A66" s="498"/>
      <c r="B66" s="506"/>
      <c r="C66" s="586" t="s">
        <v>199</v>
      </c>
      <c r="D66" s="587"/>
      <c r="E66" s="587"/>
      <c r="F66" s="587"/>
      <c r="H66" s="588">
        <v>0.05</v>
      </c>
      <c r="I66" s="588">
        <f>H66</f>
        <v>0.05</v>
      </c>
      <c r="J66" s="588">
        <f>I66</f>
        <v>0.05</v>
      </c>
      <c r="K66" s="588">
        <f t="shared" ref="K66:K71" si="7">I66</f>
        <v>0.05</v>
      </c>
      <c r="L66" s="588">
        <f>K66</f>
        <v>0.05</v>
      </c>
      <c r="M66" s="588">
        <f>L66</f>
        <v>0.05</v>
      </c>
      <c r="N66" s="588">
        <f>M66</f>
        <v>0.05</v>
      </c>
      <c r="O66" s="588">
        <f>N66</f>
        <v>0.05</v>
      </c>
      <c r="P66" s="588">
        <f>O66</f>
        <v>0.05</v>
      </c>
      <c r="Q66" s="588">
        <f t="shared" ref="Q66:Q71" si="8">IFERROR(ROUND(IF($Q$17="Simples",
INDEX(H66:P66,MATCH($Q$18,$H$18:$P$18,1)),
INDEX(H66:P66,MATCH($Q$17,$H$15:$P$15,0))
),4),"")</f>
        <v>0.05</v>
      </c>
      <c r="R66" s="528"/>
    </row>
    <row r="67" spans="1:18" ht="15" customHeight="1">
      <c r="A67" s="498"/>
      <c r="B67" s="506"/>
      <c r="C67" s="586" t="s">
        <v>54</v>
      </c>
      <c r="D67" s="587"/>
      <c r="E67" s="587"/>
      <c r="F67" s="587"/>
      <c r="H67" s="588">
        <v>0.08</v>
      </c>
      <c r="I67" s="588">
        <f t="shared" ref="I67:P71" si="9">H67</f>
        <v>0.08</v>
      </c>
      <c r="J67" s="588">
        <f t="shared" si="9"/>
        <v>0.08</v>
      </c>
      <c r="K67" s="588">
        <f t="shared" si="7"/>
        <v>0.08</v>
      </c>
      <c r="L67" s="588">
        <f t="shared" si="9"/>
        <v>0.08</v>
      </c>
      <c r="M67" s="588">
        <f t="shared" si="9"/>
        <v>0.08</v>
      </c>
      <c r="N67" s="588">
        <f t="shared" si="9"/>
        <v>0.08</v>
      </c>
      <c r="O67" s="588">
        <f t="shared" si="9"/>
        <v>0.08</v>
      </c>
      <c r="P67" s="588">
        <f t="shared" si="9"/>
        <v>0.08</v>
      </c>
      <c r="Q67" s="588">
        <f t="shared" si="8"/>
        <v>0.08</v>
      </c>
      <c r="R67" s="528"/>
    </row>
    <row r="68" spans="1:18" ht="15" customHeight="1">
      <c r="A68" s="498"/>
      <c r="B68" s="506"/>
      <c r="C68" s="586" t="s">
        <v>200</v>
      </c>
      <c r="D68" s="587"/>
      <c r="E68" s="587"/>
      <c r="F68" s="587"/>
      <c r="H68" s="588">
        <v>0.4</v>
      </c>
      <c r="I68" s="588">
        <f t="shared" si="9"/>
        <v>0.4</v>
      </c>
      <c r="J68" s="588">
        <f t="shared" si="9"/>
        <v>0.4</v>
      </c>
      <c r="K68" s="588">
        <f t="shared" si="7"/>
        <v>0.4</v>
      </c>
      <c r="L68" s="588">
        <f t="shared" si="9"/>
        <v>0.4</v>
      </c>
      <c r="M68" s="588">
        <f t="shared" si="9"/>
        <v>0.4</v>
      </c>
      <c r="N68" s="588">
        <f t="shared" si="9"/>
        <v>0.4</v>
      </c>
      <c r="O68" s="588">
        <f t="shared" si="9"/>
        <v>0.4</v>
      </c>
      <c r="P68" s="588">
        <f t="shared" si="9"/>
        <v>0.4</v>
      </c>
      <c r="Q68" s="588">
        <f t="shared" si="8"/>
        <v>0.4</v>
      </c>
      <c r="R68" s="528"/>
    </row>
    <row r="69" spans="1:18" ht="15" customHeight="1">
      <c r="A69" s="498"/>
      <c r="B69" s="506"/>
      <c r="C69" s="586" t="s">
        <v>201</v>
      </c>
      <c r="D69" s="587"/>
      <c r="E69" s="587"/>
      <c r="F69" s="587"/>
      <c r="H69" s="588">
        <v>0.02</v>
      </c>
      <c r="I69" s="588">
        <f t="shared" si="9"/>
        <v>0.02</v>
      </c>
      <c r="J69" s="588">
        <f t="shared" si="9"/>
        <v>0.02</v>
      </c>
      <c r="K69" s="588">
        <f t="shared" si="7"/>
        <v>0.02</v>
      </c>
      <c r="L69" s="588">
        <f t="shared" si="9"/>
        <v>0.02</v>
      </c>
      <c r="M69" s="588">
        <f t="shared" si="9"/>
        <v>0.02</v>
      </c>
      <c r="N69" s="588">
        <f t="shared" si="9"/>
        <v>0.02</v>
      </c>
      <c r="O69" s="588">
        <f t="shared" si="9"/>
        <v>0.02</v>
      </c>
      <c r="P69" s="588">
        <f t="shared" si="9"/>
        <v>0.02</v>
      </c>
      <c r="Q69" s="588">
        <f t="shared" si="8"/>
        <v>0.02</v>
      </c>
      <c r="R69" s="528"/>
    </row>
    <row r="70" spans="1:18" ht="15" customHeight="1">
      <c r="A70" s="498"/>
      <c r="B70" s="506"/>
      <c r="C70" s="586" t="s">
        <v>202</v>
      </c>
      <c r="D70" s="587"/>
      <c r="E70" s="587"/>
      <c r="F70" s="587"/>
      <c r="H70" s="588">
        <v>1</v>
      </c>
      <c r="I70" s="588">
        <f t="shared" si="9"/>
        <v>1</v>
      </c>
      <c r="J70" s="588">
        <f t="shared" si="9"/>
        <v>1</v>
      </c>
      <c r="K70" s="588">
        <f t="shared" si="7"/>
        <v>1</v>
      </c>
      <c r="L70" s="588">
        <f t="shared" si="9"/>
        <v>1</v>
      </c>
      <c r="M70" s="588">
        <f t="shared" si="9"/>
        <v>1</v>
      </c>
      <c r="N70" s="588">
        <f t="shared" si="9"/>
        <v>1</v>
      </c>
      <c r="O70" s="588">
        <f t="shared" si="9"/>
        <v>1</v>
      </c>
      <c r="P70" s="588">
        <f t="shared" si="9"/>
        <v>1</v>
      </c>
      <c r="Q70" s="588">
        <f t="shared" si="8"/>
        <v>1</v>
      </c>
      <c r="R70" s="528"/>
    </row>
    <row r="71" spans="1:18" ht="15" customHeight="1">
      <c r="A71" s="498"/>
      <c r="B71" s="506"/>
      <c r="C71" s="586" t="s">
        <v>203</v>
      </c>
      <c r="D71" s="589"/>
      <c r="E71" s="589"/>
      <c r="F71" s="589"/>
      <c r="H71" s="590">
        <v>7</v>
      </c>
      <c r="I71" s="590">
        <f t="shared" si="9"/>
        <v>7</v>
      </c>
      <c r="J71" s="590">
        <f t="shared" si="9"/>
        <v>7</v>
      </c>
      <c r="K71" s="590">
        <f t="shared" si="7"/>
        <v>7</v>
      </c>
      <c r="L71" s="590">
        <f t="shared" si="9"/>
        <v>7</v>
      </c>
      <c r="M71" s="590">
        <f t="shared" si="9"/>
        <v>7</v>
      </c>
      <c r="N71" s="590">
        <f t="shared" si="9"/>
        <v>7</v>
      </c>
      <c r="O71" s="590">
        <f t="shared" si="9"/>
        <v>7</v>
      </c>
      <c r="P71" s="590">
        <f t="shared" si="9"/>
        <v>7</v>
      </c>
      <c r="Q71" s="590">
        <f t="shared" si="8"/>
        <v>7</v>
      </c>
      <c r="R71" s="528"/>
    </row>
    <row r="72" spans="1:18" ht="3.75" customHeight="1">
      <c r="B72" s="591"/>
      <c r="C72" s="592"/>
      <c r="D72" s="591"/>
      <c r="E72" s="591"/>
      <c r="F72" s="591"/>
      <c r="H72" s="593"/>
      <c r="I72" s="593"/>
      <c r="J72" s="593"/>
      <c r="K72" s="593"/>
      <c r="L72" s="593"/>
      <c r="M72" s="593"/>
      <c r="N72" s="593"/>
      <c r="O72" s="593"/>
      <c r="P72" s="593"/>
      <c r="Q72" s="593"/>
    </row>
    <row r="73" spans="1:18" s="566" customFormat="1" ht="15" customHeight="1">
      <c r="B73" s="560"/>
      <c r="C73" s="561" t="s">
        <v>314</v>
      </c>
      <c r="D73" s="561"/>
      <c r="E73" s="561"/>
      <c r="F73" s="562"/>
      <c r="G73" s="3"/>
      <c r="H73" s="560"/>
      <c r="I73" s="563"/>
      <c r="J73" s="563"/>
      <c r="K73" s="563"/>
      <c r="L73" s="563"/>
      <c r="M73" s="563"/>
      <c r="N73" s="563"/>
      <c r="O73" s="563"/>
      <c r="P73" s="563"/>
      <c r="Q73" s="564"/>
    </row>
    <row r="74" spans="1:18" ht="15" customHeight="1">
      <c r="A74" s="498"/>
      <c r="B74" s="506" t="s">
        <v>2</v>
      </c>
      <c r="C74" s="507" t="s">
        <v>221</v>
      </c>
      <c r="D74" s="544" t="s">
        <v>163</v>
      </c>
      <c r="E74" s="545" t="s">
        <v>524</v>
      </c>
      <c r="F74" s="545" t="s">
        <v>525</v>
      </c>
      <c r="H74" s="573">
        <f>(($D$5/$D$5)/$D$10)*H66</f>
        <v>4.1666666666666666E-3</v>
      </c>
      <c r="I74" s="573">
        <f t="shared" ref="I74:J79" si="10">H74</f>
        <v>4.1666666666666666E-3</v>
      </c>
      <c r="J74" s="573">
        <f t="shared" si="10"/>
        <v>4.1666666666666666E-3</v>
      </c>
      <c r="K74" s="573">
        <f t="shared" ref="K74:K79" si="11">I74</f>
        <v>4.1666666666666666E-3</v>
      </c>
      <c r="L74" s="573">
        <f t="shared" ref="L74:P79" si="12">K74</f>
        <v>4.1666666666666666E-3</v>
      </c>
      <c r="M74" s="573">
        <f t="shared" si="12"/>
        <v>4.1666666666666666E-3</v>
      </c>
      <c r="N74" s="573">
        <f t="shared" si="12"/>
        <v>4.1666666666666666E-3</v>
      </c>
      <c r="O74" s="573">
        <f t="shared" si="12"/>
        <v>4.1666666666666666E-3</v>
      </c>
      <c r="P74" s="573">
        <f t="shared" si="12"/>
        <v>4.1666666666666666E-3</v>
      </c>
      <c r="Q74" s="573">
        <f t="shared" ref="Q74:Q79" si="13">IFERROR(ROUND(IF($Q$17="Simples",
INDEX(H74:P74,MATCH($Q$18,$H$18:$P$18,1)),
INDEX(H74:P74,MATCH($Q$17,$H$15:$P$15,0))
),4),"")</f>
        <v>4.1999999999999997E-3</v>
      </c>
      <c r="R74" s="528"/>
    </row>
    <row r="75" spans="1:18" ht="15" customHeight="1">
      <c r="A75" s="498"/>
      <c r="B75" s="574" t="s">
        <v>1</v>
      </c>
      <c r="C75" s="507" t="s">
        <v>31</v>
      </c>
      <c r="D75" s="544" t="s">
        <v>160</v>
      </c>
      <c r="E75" s="545" t="s">
        <v>98</v>
      </c>
      <c r="F75" s="545"/>
      <c r="H75" s="573">
        <f>(($D$5/$D$5)/$D$10)*H66*H67</f>
        <v>3.3333333333333332E-4</v>
      </c>
      <c r="I75" s="573">
        <f t="shared" si="10"/>
        <v>3.3333333333333332E-4</v>
      </c>
      <c r="J75" s="573">
        <f t="shared" si="10"/>
        <v>3.3333333333333332E-4</v>
      </c>
      <c r="K75" s="573">
        <f t="shared" si="11"/>
        <v>3.3333333333333332E-4</v>
      </c>
      <c r="L75" s="573">
        <f t="shared" si="12"/>
        <v>3.3333333333333332E-4</v>
      </c>
      <c r="M75" s="573">
        <f t="shared" si="12"/>
        <v>3.3333333333333332E-4</v>
      </c>
      <c r="N75" s="573">
        <f t="shared" si="12"/>
        <v>3.3333333333333332E-4</v>
      </c>
      <c r="O75" s="573">
        <f t="shared" si="12"/>
        <v>3.3333333333333332E-4</v>
      </c>
      <c r="P75" s="573">
        <f t="shared" si="12"/>
        <v>3.3333333333333332E-4</v>
      </c>
      <c r="Q75" s="573">
        <f t="shared" si="13"/>
        <v>2.9999999999999997E-4</v>
      </c>
      <c r="R75" s="528"/>
    </row>
    <row r="76" spans="1:18" ht="15" customHeight="1">
      <c r="A76" s="498"/>
      <c r="B76" s="574" t="s">
        <v>0</v>
      </c>
      <c r="C76" s="507" t="s">
        <v>553</v>
      </c>
      <c r="D76" s="544" t="s">
        <v>161</v>
      </c>
      <c r="E76" s="545" t="s">
        <v>526</v>
      </c>
      <c r="F76" s="545" t="s">
        <v>527</v>
      </c>
      <c r="H76" s="594">
        <f>H74*H67*H68</f>
        <v>1.3333333333333334E-4</v>
      </c>
      <c r="I76" s="573">
        <f t="shared" si="10"/>
        <v>1.3333333333333334E-4</v>
      </c>
      <c r="J76" s="573">
        <f t="shared" si="10"/>
        <v>1.3333333333333334E-4</v>
      </c>
      <c r="K76" s="573">
        <f t="shared" si="11"/>
        <v>1.3333333333333334E-4</v>
      </c>
      <c r="L76" s="573">
        <f t="shared" si="12"/>
        <v>1.3333333333333334E-4</v>
      </c>
      <c r="M76" s="573">
        <f t="shared" si="12"/>
        <v>1.3333333333333334E-4</v>
      </c>
      <c r="N76" s="573">
        <f t="shared" si="12"/>
        <v>1.3333333333333334E-4</v>
      </c>
      <c r="O76" s="573">
        <f t="shared" si="12"/>
        <v>1.3333333333333334E-4</v>
      </c>
      <c r="P76" s="573">
        <f t="shared" si="12"/>
        <v>1.3333333333333334E-4</v>
      </c>
      <c r="Q76" s="573">
        <f t="shared" si="13"/>
        <v>1E-4</v>
      </c>
      <c r="R76" s="528"/>
    </row>
    <row r="77" spans="1:18" ht="15" customHeight="1">
      <c r="A77" s="498"/>
      <c r="B77" s="506" t="s">
        <v>3</v>
      </c>
      <c r="C77" s="507" t="s">
        <v>32</v>
      </c>
      <c r="D77" s="544" t="s">
        <v>482</v>
      </c>
      <c r="E77" s="545" t="s">
        <v>528</v>
      </c>
      <c r="F77" s="545" t="s">
        <v>529</v>
      </c>
      <c r="H77" s="594">
        <f>(H71/$D$5*(1+0.1*MAX(0,ROUNDUP('Mão de Obra'!$D$12/12,0)-1))/'Mão de Obra'!$D$12)</f>
        <v>1.0540725530458589E-2</v>
      </c>
      <c r="I77" s="573">
        <f t="shared" si="10"/>
        <v>1.0540725530458589E-2</v>
      </c>
      <c r="J77" s="573">
        <f t="shared" si="10"/>
        <v>1.0540725530458589E-2</v>
      </c>
      <c r="K77" s="573">
        <f t="shared" si="11"/>
        <v>1.0540725530458589E-2</v>
      </c>
      <c r="L77" s="573">
        <f t="shared" si="12"/>
        <v>1.0540725530458589E-2</v>
      </c>
      <c r="M77" s="573">
        <f t="shared" si="12"/>
        <v>1.0540725530458589E-2</v>
      </c>
      <c r="N77" s="573">
        <f t="shared" si="12"/>
        <v>1.0540725530458589E-2</v>
      </c>
      <c r="O77" s="573">
        <f t="shared" si="12"/>
        <v>1.0540725530458589E-2</v>
      </c>
      <c r="P77" s="573">
        <f t="shared" si="12"/>
        <v>1.0540725530458589E-2</v>
      </c>
      <c r="Q77" s="573">
        <f t="shared" si="13"/>
        <v>1.0500000000000001E-2</v>
      </c>
      <c r="R77" s="528"/>
    </row>
    <row r="78" spans="1:18" ht="15" customHeight="1">
      <c r="A78" s="498"/>
      <c r="B78" s="574" t="s">
        <v>7</v>
      </c>
      <c r="C78" s="507" t="s">
        <v>33</v>
      </c>
      <c r="D78" s="544" t="s">
        <v>554</v>
      </c>
      <c r="E78" s="545" t="s">
        <v>530</v>
      </c>
      <c r="F78" s="644" t="s">
        <v>531</v>
      </c>
      <c r="H78" s="573">
        <f>H77*H51</f>
        <v>3.8789869952087618E-3</v>
      </c>
      <c r="I78" s="573">
        <f t="shared" ref="I78:P78" si="14">I77*I51</f>
        <v>3.8789869952087618E-3</v>
      </c>
      <c r="J78" s="573">
        <f t="shared" si="14"/>
        <v>3.2676249144421633E-3</v>
      </c>
      <c r="K78" s="573">
        <f t="shared" si="14"/>
        <v>3.2676249144421633E-3</v>
      </c>
      <c r="L78" s="573">
        <f t="shared" si="14"/>
        <v>3.2676249144421633E-3</v>
      </c>
      <c r="M78" s="573">
        <f t="shared" si="14"/>
        <v>3.2676249144421633E-3</v>
      </c>
      <c r="N78" s="573">
        <f t="shared" si="14"/>
        <v>3.2676249144421633E-3</v>
      </c>
      <c r="O78" s="573">
        <f t="shared" si="14"/>
        <v>3.2676249144421633E-3</v>
      </c>
      <c r="P78" s="573">
        <f t="shared" si="14"/>
        <v>3.2676249144421633E-3</v>
      </c>
      <c r="Q78" s="573">
        <f t="shared" si="13"/>
        <v>3.8999999999999998E-3</v>
      </c>
      <c r="R78" s="528"/>
    </row>
    <row r="79" spans="1:18" ht="15" customHeight="1">
      <c r="A79" s="498"/>
      <c r="B79" s="574" t="s">
        <v>6</v>
      </c>
      <c r="C79" s="507" t="s">
        <v>34</v>
      </c>
      <c r="D79" s="544" t="s">
        <v>162</v>
      </c>
      <c r="E79" s="545" t="s">
        <v>532</v>
      </c>
      <c r="F79" s="545" t="s">
        <v>533</v>
      </c>
      <c r="H79" s="569">
        <v>0.04</v>
      </c>
      <c r="I79" s="573">
        <f t="shared" si="10"/>
        <v>0.04</v>
      </c>
      <c r="J79" s="573">
        <f t="shared" si="10"/>
        <v>0.04</v>
      </c>
      <c r="K79" s="573">
        <f t="shared" si="11"/>
        <v>0.04</v>
      </c>
      <c r="L79" s="573">
        <f t="shared" si="12"/>
        <v>0.04</v>
      </c>
      <c r="M79" s="573">
        <f t="shared" si="12"/>
        <v>0.04</v>
      </c>
      <c r="N79" s="573">
        <f t="shared" si="12"/>
        <v>0.04</v>
      </c>
      <c r="O79" s="573">
        <f t="shared" si="12"/>
        <v>0.04</v>
      </c>
      <c r="P79" s="573">
        <f t="shared" si="12"/>
        <v>0.04</v>
      </c>
      <c r="Q79" s="573">
        <f t="shared" si="13"/>
        <v>0.04</v>
      </c>
      <c r="R79" s="528"/>
    </row>
    <row r="80" spans="1:18" ht="15" customHeight="1">
      <c r="B80" s="591"/>
      <c r="C80" s="592"/>
      <c r="D80" s="591"/>
      <c r="E80" s="591"/>
      <c r="F80" s="591"/>
      <c r="H80" s="593"/>
      <c r="I80" s="593"/>
      <c r="J80" s="593"/>
      <c r="K80" s="593"/>
      <c r="L80" s="593"/>
      <c r="M80" s="593"/>
      <c r="N80" s="593"/>
      <c r="O80" s="593"/>
      <c r="P80" s="593"/>
      <c r="Q80" s="593"/>
    </row>
    <row r="81" spans="1:18" s="3" customFormat="1" ht="15" customHeight="1">
      <c r="B81" s="499"/>
      <c r="C81" s="539" t="s">
        <v>128</v>
      </c>
      <c r="D81" s="539"/>
      <c r="E81" s="539"/>
      <c r="F81" s="501"/>
      <c r="H81" s="499"/>
      <c r="I81" s="540"/>
      <c r="J81" s="540"/>
      <c r="K81" s="540"/>
      <c r="L81" s="540"/>
      <c r="M81" s="540"/>
      <c r="N81" s="540"/>
      <c r="O81" s="540"/>
      <c r="P81" s="540"/>
      <c r="Q81" s="541"/>
    </row>
    <row r="82" spans="1:18" s="566" customFormat="1" ht="3.75" customHeight="1">
      <c r="B82" s="595"/>
      <c r="C82" s="596"/>
      <c r="D82" s="595"/>
      <c r="E82" s="595"/>
      <c r="F82" s="595"/>
      <c r="G82" s="3"/>
      <c r="H82" s="597"/>
      <c r="I82" s="597"/>
      <c r="J82" s="597"/>
      <c r="K82" s="597"/>
      <c r="L82" s="597"/>
      <c r="M82" s="597"/>
      <c r="N82" s="597"/>
      <c r="O82" s="597"/>
      <c r="P82" s="597"/>
      <c r="Q82" s="597"/>
    </row>
    <row r="83" spans="1:18" s="566" customFormat="1" ht="15" customHeight="1">
      <c r="B83" s="560"/>
      <c r="C83" s="561" t="s">
        <v>198</v>
      </c>
      <c r="D83" s="561"/>
      <c r="E83" s="561"/>
      <c r="F83" s="562"/>
      <c r="G83" s="3"/>
      <c r="H83" s="560"/>
      <c r="I83" s="563"/>
      <c r="J83" s="563"/>
      <c r="K83" s="563"/>
      <c r="L83" s="563"/>
      <c r="M83" s="563"/>
      <c r="N83" s="563"/>
      <c r="O83" s="563"/>
      <c r="P83" s="563"/>
      <c r="Q83" s="564"/>
    </row>
    <row r="84" spans="1:18" ht="15" customHeight="1">
      <c r="A84" s="498"/>
      <c r="B84" s="598"/>
      <c r="C84" s="586" t="s">
        <v>204</v>
      </c>
      <c r="D84" s="589"/>
      <c r="E84" s="688"/>
      <c r="F84" s="545" t="s">
        <v>280</v>
      </c>
      <c r="H84" s="590">
        <v>5</v>
      </c>
      <c r="I84" s="590">
        <f>H84</f>
        <v>5</v>
      </c>
      <c r="J84" s="590">
        <f>I84</f>
        <v>5</v>
      </c>
      <c r="K84" s="590">
        <f t="shared" ref="K84:K97" si="15">I84</f>
        <v>5</v>
      </c>
      <c r="L84" s="590">
        <f>K84</f>
        <v>5</v>
      </c>
      <c r="M84" s="590">
        <f>L84</f>
        <v>5</v>
      </c>
      <c r="N84" s="590">
        <f>M84</f>
        <v>5</v>
      </c>
      <c r="O84" s="590">
        <f>N84</f>
        <v>5</v>
      </c>
      <c r="P84" s="590">
        <f>O84</f>
        <v>5</v>
      </c>
      <c r="Q84" s="590">
        <f t="shared" ref="Q84:Q97" si="16">IFERROR(ROUND(IF($Q$17="Simples",
INDEX(H84:P84,MATCH($Q$18,$H$18:$P$18,1)),
INDEX(H84:P84,MATCH($Q$17,$H$15:$P$15,0))
),4),"")</f>
        <v>5</v>
      </c>
      <c r="R84" s="528"/>
    </row>
    <row r="85" spans="1:18" ht="15" customHeight="1">
      <c r="A85" s="498"/>
      <c r="B85" s="598"/>
      <c r="C85" s="586" t="s">
        <v>205</v>
      </c>
      <c r="D85" s="589"/>
      <c r="E85" s="589"/>
      <c r="F85" s="589"/>
      <c r="H85" s="590">
        <v>5</v>
      </c>
      <c r="I85" s="590">
        <f t="shared" ref="I85:P97" si="17">H85</f>
        <v>5</v>
      </c>
      <c r="J85" s="590">
        <f t="shared" si="17"/>
        <v>5</v>
      </c>
      <c r="K85" s="590">
        <f t="shared" si="15"/>
        <v>5</v>
      </c>
      <c r="L85" s="590">
        <f t="shared" si="17"/>
        <v>5</v>
      </c>
      <c r="M85" s="590">
        <f t="shared" si="17"/>
        <v>5</v>
      </c>
      <c r="N85" s="590">
        <f t="shared" si="17"/>
        <v>5</v>
      </c>
      <c r="O85" s="590">
        <f t="shared" si="17"/>
        <v>5</v>
      </c>
      <c r="P85" s="590">
        <f t="shared" si="17"/>
        <v>5</v>
      </c>
      <c r="Q85" s="590">
        <f t="shared" si="16"/>
        <v>5</v>
      </c>
      <c r="R85" s="528"/>
    </row>
    <row r="86" spans="1:18" ht="15" customHeight="1">
      <c r="A86" s="498"/>
      <c r="B86" s="598"/>
      <c r="C86" s="586" t="s">
        <v>206</v>
      </c>
      <c r="D86" s="599"/>
      <c r="E86" s="599"/>
      <c r="F86" s="545" t="s">
        <v>281</v>
      </c>
      <c r="H86" s="569">
        <v>1.4999999999999999E-2</v>
      </c>
      <c r="I86" s="569">
        <f t="shared" si="17"/>
        <v>1.4999999999999999E-2</v>
      </c>
      <c r="J86" s="569">
        <f t="shared" si="17"/>
        <v>1.4999999999999999E-2</v>
      </c>
      <c r="K86" s="569">
        <f t="shared" si="15"/>
        <v>1.4999999999999999E-2</v>
      </c>
      <c r="L86" s="569">
        <f t="shared" si="17"/>
        <v>1.4999999999999999E-2</v>
      </c>
      <c r="M86" s="569">
        <f t="shared" si="17"/>
        <v>1.4999999999999999E-2</v>
      </c>
      <c r="N86" s="569">
        <f t="shared" si="17"/>
        <v>1.4999999999999999E-2</v>
      </c>
      <c r="O86" s="569">
        <f t="shared" si="17"/>
        <v>1.4999999999999999E-2</v>
      </c>
      <c r="P86" s="569">
        <f t="shared" si="17"/>
        <v>1.4999999999999999E-2</v>
      </c>
      <c r="Q86" s="569">
        <f t="shared" si="16"/>
        <v>1.4999999999999999E-2</v>
      </c>
      <c r="R86" s="528"/>
    </row>
    <row r="87" spans="1:18" ht="15" customHeight="1">
      <c r="A87" s="498"/>
      <c r="B87" s="598"/>
      <c r="C87" s="586" t="s">
        <v>207</v>
      </c>
      <c r="D87" s="600"/>
      <c r="E87" s="600"/>
      <c r="F87" s="545" t="s">
        <v>282</v>
      </c>
      <c r="H87" s="601">
        <v>2.96</v>
      </c>
      <c r="I87" s="601">
        <f t="shared" si="17"/>
        <v>2.96</v>
      </c>
      <c r="J87" s="601">
        <f t="shared" si="17"/>
        <v>2.96</v>
      </c>
      <c r="K87" s="601">
        <f t="shared" si="15"/>
        <v>2.96</v>
      </c>
      <c r="L87" s="601">
        <f t="shared" si="17"/>
        <v>2.96</v>
      </c>
      <c r="M87" s="601">
        <f t="shared" si="17"/>
        <v>2.96</v>
      </c>
      <c r="N87" s="601">
        <f t="shared" si="17"/>
        <v>2.96</v>
      </c>
      <c r="O87" s="601">
        <f t="shared" si="17"/>
        <v>2.96</v>
      </c>
      <c r="P87" s="601">
        <f t="shared" si="17"/>
        <v>2.96</v>
      </c>
      <c r="Q87" s="601">
        <f t="shared" si="16"/>
        <v>2.96</v>
      </c>
      <c r="R87" s="528"/>
    </row>
    <row r="88" spans="1:18" ht="15" customHeight="1">
      <c r="A88" s="498"/>
      <c r="B88" s="598"/>
      <c r="C88" s="586" t="s">
        <v>208</v>
      </c>
      <c r="D88" s="599"/>
      <c r="E88" s="599"/>
      <c r="F88" s="545" t="s">
        <v>283</v>
      </c>
      <c r="H88" s="569">
        <v>7.7999999999999996E-3</v>
      </c>
      <c r="I88" s="569">
        <f t="shared" si="17"/>
        <v>7.7999999999999996E-3</v>
      </c>
      <c r="J88" s="569">
        <f t="shared" si="17"/>
        <v>7.7999999999999996E-3</v>
      </c>
      <c r="K88" s="569">
        <f t="shared" si="15"/>
        <v>7.7999999999999996E-3</v>
      </c>
      <c r="L88" s="569">
        <f t="shared" si="17"/>
        <v>7.7999999999999996E-3</v>
      </c>
      <c r="M88" s="569">
        <f t="shared" si="17"/>
        <v>7.7999999999999996E-3</v>
      </c>
      <c r="N88" s="569">
        <f t="shared" si="17"/>
        <v>7.7999999999999996E-3</v>
      </c>
      <c r="O88" s="569">
        <f t="shared" si="17"/>
        <v>7.7999999999999996E-3</v>
      </c>
      <c r="P88" s="569">
        <f t="shared" si="17"/>
        <v>7.7999999999999996E-3</v>
      </c>
      <c r="Q88" s="569">
        <f t="shared" si="16"/>
        <v>7.7999999999999996E-3</v>
      </c>
      <c r="R88" s="528"/>
    </row>
    <row r="89" spans="1:18" ht="15" customHeight="1">
      <c r="A89" s="498"/>
      <c r="B89" s="598"/>
      <c r="C89" s="586" t="s">
        <v>209</v>
      </c>
      <c r="D89" s="589"/>
      <c r="E89" s="589"/>
      <c r="F89" s="589"/>
      <c r="H89" s="590">
        <v>15</v>
      </c>
      <c r="I89" s="590">
        <f t="shared" si="17"/>
        <v>15</v>
      </c>
      <c r="J89" s="590">
        <f t="shared" si="17"/>
        <v>15</v>
      </c>
      <c r="K89" s="590">
        <f t="shared" si="15"/>
        <v>15</v>
      </c>
      <c r="L89" s="590">
        <f t="shared" si="17"/>
        <v>15</v>
      </c>
      <c r="M89" s="590">
        <f t="shared" si="17"/>
        <v>15</v>
      </c>
      <c r="N89" s="590">
        <f t="shared" si="17"/>
        <v>15</v>
      </c>
      <c r="O89" s="590">
        <f t="shared" si="17"/>
        <v>15</v>
      </c>
      <c r="P89" s="590">
        <f t="shared" si="17"/>
        <v>15</v>
      </c>
      <c r="Q89" s="590">
        <f t="shared" si="16"/>
        <v>15</v>
      </c>
      <c r="R89" s="528"/>
    </row>
    <row r="90" spans="1:18" ht="15" customHeight="1">
      <c r="A90" s="498"/>
      <c r="B90" s="598"/>
      <c r="C90" s="586" t="s">
        <v>210</v>
      </c>
      <c r="D90" s="602"/>
      <c r="E90" s="645"/>
      <c r="F90" s="602"/>
      <c r="H90" s="603">
        <v>4</v>
      </c>
      <c r="I90" s="603">
        <f t="shared" si="17"/>
        <v>4</v>
      </c>
      <c r="J90" s="603">
        <f t="shared" si="17"/>
        <v>4</v>
      </c>
      <c r="K90" s="603">
        <f t="shared" si="15"/>
        <v>4</v>
      </c>
      <c r="L90" s="603">
        <f t="shared" si="17"/>
        <v>4</v>
      </c>
      <c r="M90" s="603">
        <f t="shared" si="17"/>
        <v>4</v>
      </c>
      <c r="N90" s="603">
        <f t="shared" si="17"/>
        <v>4</v>
      </c>
      <c r="O90" s="603">
        <f t="shared" si="17"/>
        <v>4</v>
      </c>
      <c r="P90" s="603">
        <f t="shared" si="17"/>
        <v>4</v>
      </c>
      <c r="Q90" s="603">
        <f t="shared" si="16"/>
        <v>4</v>
      </c>
      <c r="R90" s="528"/>
    </row>
    <row r="91" spans="1:18" ht="15" customHeight="1">
      <c r="A91" s="498"/>
      <c r="B91" s="598"/>
      <c r="C91" s="586" t="s">
        <v>211</v>
      </c>
      <c r="D91" s="599"/>
      <c r="E91" s="599"/>
      <c r="F91" s="599"/>
      <c r="H91" s="569">
        <f>H90/12</f>
        <v>0.33333333333333331</v>
      </c>
      <c r="I91" s="569">
        <f t="shared" si="17"/>
        <v>0.33333333333333331</v>
      </c>
      <c r="J91" s="569">
        <f t="shared" si="17"/>
        <v>0.33333333333333331</v>
      </c>
      <c r="K91" s="569">
        <f t="shared" si="15"/>
        <v>0.33333333333333331</v>
      </c>
      <c r="L91" s="569">
        <f t="shared" si="17"/>
        <v>0.33333333333333331</v>
      </c>
      <c r="M91" s="569">
        <f t="shared" si="17"/>
        <v>0.33333333333333331</v>
      </c>
      <c r="N91" s="569">
        <f t="shared" si="17"/>
        <v>0.33333333333333331</v>
      </c>
      <c r="O91" s="569">
        <f t="shared" si="17"/>
        <v>0.33333333333333331</v>
      </c>
      <c r="P91" s="569">
        <f t="shared" si="17"/>
        <v>0.33333333333333331</v>
      </c>
      <c r="Q91" s="569">
        <f t="shared" si="16"/>
        <v>0.33329999999999999</v>
      </c>
      <c r="R91" s="528"/>
    </row>
    <row r="92" spans="1:18" ht="15" customHeight="1">
      <c r="A92" s="498"/>
      <c r="B92" s="598"/>
      <c r="C92" s="586" t="s">
        <v>212</v>
      </c>
      <c r="D92" s="604"/>
      <c r="E92" s="604"/>
      <c r="F92" s="604"/>
      <c r="H92" s="605">
        <v>2820968</v>
      </c>
      <c r="I92" s="605">
        <f t="shared" si="17"/>
        <v>2820968</v>
      </c>
      <c r="J92" s="605">
        <f t="shared" si="17"/>
        <v>2820968</v>
      </c>
      <c r="K92" s="605">
        <f t="shared" si="15"/>
        <v>2820968</v>
      </c>
      <c r="L92" s="605">
        <f t="shared" si="17"/>
        <v>2820968</v>
      </c>
      <c r="M92" s="605">
        <f t="shared" si="17"/>
        <v>2820968</v>
      </c>
      <c r="N92" s="605">
        <f t="shared" si="17"/>
        <v>2820968</v>
      </c>
      <c r="O92" s="605">
        <f t="shared" si="17"/>
        <v>2820968</v>
      </c>
      <c r="P92" s="605">
        <f t="shared" si="17"/>
        <v>2820968</v>
      </c>
      <c r="Q92" s="605">
        <f t="shared" si="16"/>
        <v>2820968</v>
      </c>
      <c r="R92" s="528"/>
    </row>
    <row r="93" spans="1:18" ht="15" customHeight="1">
      <c r="A93" s="498"/>
      <c r="B93" s="598"/>
      <c r="C93" s="586" t="s">
        <v>213</v>
      </c>
      <c r="D93" s="604"/>
      <c r="E93" s="604"/>
      <c r="F93" s="604"/>
      <c r="H93" s="605">
        <v>1303632</v>
      </c>
      <c r="I93" s="605">
        <f t="shared" si="17"/>
        <v>1303632</v>
      </c>
      <c r="J93" s="605">
        <f t="shared" si="17"/>
        <v>1303632</v>
      </c>
      <c r="K93" s="605">
        <f t="shared" si="15"/>
        <v>1303632</v>
      </c>
      <c r="L93" s="605">
        <f t="shared" si="17"/>
        <v>1303632</v>
      </c>
      <c r="M93" s="605">
        <f t="shared" si="17"/>
        <v>1303632</v>
      </c>
      <c r="N93" s="605">
        <f t="shared" si="17"/>
        <v>1303632</v>
      </c>
      <c r="O93" s="605">
        <f t="shared" si="17"/>
        <v>1303632</v>
      </c>
      <c r="P93" s="605">
        <f t="shared" si="17"/>
        <v>1303632</v>
      </c>
      <c r="Q93" s="605">
        <f t="shared" si="16"/>
        <v>1303632</v>
      </c>
      <c r="R93" s="528"/>
    </row>
    <row r="94" spans="1:18" ht="15" customHeight="1">
      <c r="A94" s="498"/>
      <c r="B94" s="598"/>
      <c r="C94" s="586" t="s">
        <v>214</v>
      </c>
      <c r="D94" s="604"/>
      <c r="E94" s="604"/>
      <c r="F94" s="604"/>
      <c r="H94" s="605">
        <v>52313</v>
      </c>
      <c r="I94" s="605">
        <f t="shared" si="17"/>
        <v>52313</v>
      </c>
      <c r="J94" s="605">
        <f t="shared" si="17"/>
        <v>52313</v>
      </c>
      <c r="K94" s="605">
        <f t="shared" si="15"/>
        <v>52313</v>
      </c>
      <c r="L94" s="605">
        <f t="shared" si="17"/>
        <v>52313</v>
      </c>
      <c r="M94" s="605">
        <f t="shared" si="17"/>
        <v>52313</v>
      </c>
      <c r="N94" s="605">
        <f t="shared" si="17"/>
        <v>52313</v>
      </c>
      <c r="O94" s="605">
        <f t="shared" si="17"/>
        <v>52313</v>
      </c>
      <c r="P94" s="605">
        <f t="shared" si="17"/>
        <v>52313</v>
      </c>
      <c r="Q94" s="605">
        <f t="shared" si="16"/>
        <v>52313</v>
      </c>
      <c r="R94" s="528"/>
    </row>
    <row r="95" spans="1:18" ht="15" customHeight="1">
      <c r="A95" s="498"/>
      <c r="B95" s="598"/>
      <c r="C95" s="586" t="s">
        <v>215</v>
      </c>
      <c r="D95" s="599"/>
      <c r="E95" s="599"/>
      <c r="F95" s="599"/>
      <c r="H95" s="569">
        <f>H94/H93</f>
        <v>4.012865593971305E-2</v>
      </c>
      <c r="I95" s="569">
        <f t="shared" si="17"/>
        <v>4.012865593971305E-2</v>
      </c>
      <c r="J95" s="569">
        <f t="shared" si="17"/>
        <v>4.012865593971305E-2</v>
      </c>
      <c r="K95" s="569">
        <f t="shared" si="15"/>
        <v>4.012865593971305E-2</v>
      </c>
      <c r="L95" s="569">
        <f t="shared" si="17"/>
        <v>4.012865593971305E-2</v>
      </c>
      <c r="M95" s="569">
        <f t="shared" si="17"/>
        <v>4.012865593971305E-2</v>
      </c>
      <c r="N95" s="569">
        <f t="shared" si="17"/>
        <v>4.012865593971305E-2</v>
      </c>
      <c r="O95" s="569">
        <f t="shared" si="17"/>
        <v>4.012865593971305E-2</v>
      </c>
      <c r="P95" s="569">
        <f t="shared" si="17"/>
        <v>4.012865593971305E-2</v>
      </c>
      <c r="Q95" s="569">
        <f t="shared" si="16"/>
        <v>4.0099999999999997E-2</v>
      </c>
      <c r="R95" s="528"/>
    </row>
    <row r="96" spans="1:18" ht="15" customHeight="1">
      <c r="A96" s="498"/>
      <c r="B96" s="598"/>
      <c r="C96" s="586" t="s">
        <v>216</v>
      </c>
      <c r="D96" s="587"/>
      <c r="E96" s="587"/>
      <c r="F96" s="587"/>
      <c r="H96" s="588">
        <f>H93/H92</f>
        <v>0.46212222187561147</v>
      </c>
      <c r="I96" s="588">
        <f t="shared" si="17"/>
        <v>0.46212222187561147</v>
      </c>
      <c r="J96" s="588">
        <f t="shared" si="17"/>
        <v>0.46212222187561147</v>
      </c>
      <c r="K96" s="588">
        <f t="shared" si="15"/>
        <v>0.46212222187561147</v>
      </c>
      <c r="L96" s="588">
        <f t="shared" si="17"/>
        <v>0.46212222187561147</v>
      </c>
      <c r="M96" s="588">
        <f t="shared" si="17"/>
        <v>0.46212222187561147</v>
      </c>
      <c r="N96" s="588">
        <f t="shared" si="17"/>
        <v>0.46212222187561147</v>
      </c>
      <c r="O96" s="588">
        <f t="shared" si="17"/>
        <v>0.46212222187561147</v>
      </c>
      <c r="P96" s="588">
        <f t="shared" si="17"/>
        <v>0.46212222187561147</v>
      </c>
      <c r="Q96" s="588">
        <f t="shared" si="16"/>
        <v>0.46210000000000001</v>
      </c>
      <c r="R96" s="528"/>
    </row>
    <row r="97" spans="1:18" ht="15" customHeight="1">
      <c r="A97" s="498"/>
      <c r="B97" s="598"/>
      <c r="C97" s="586" t="s">
        <v>218</v>
      </c>
      <c r="D97" s="599"/>
      <c r="E97" s="599"/>
      <c r="F97" s="545" t="s">
        <v>616</v>
      </c>
      <c r="H97" s="569">
        <f>H91*H95*H96</f>
        <v>6.181447881247382E-3</v>
      </c>
      <c r="I97" s="569">
        <f t="shared" si="17"/>
        <v>6.181447881247382E-3</v>
      </c>
      <c r="J97" s="569">
        <f t="shared" si="17"/>
        <v>6.181447881247382E-3</v>
      </c>
      <c r="K97" s="569">
        <f t="shared" si="15"/>
        <v>6.181447881247382E-3</v>
      </c>
      <c r="L97" s="569">
        <f t="shared" si="17"/>
        <v>6.181447881247382E-3</v>
      </c>
      <c r="M97" s="569">
        <f t="shared" si="17"/>
        <v>6.181447881247382E-3</v>
      </c>
      <c r="N97" s="569">
        <f t="shared" si="17"/>
        <v>6.181447881247382E-3</v>
      </c>
      <c r="O97" s="569">
        <f t="shared" si="17"/>
        <v>6.181447881247382E-3</v>
      </c>
      <c r="P97" s="569">
        <f t="shared" si="17"/>
        <v>6.181447881247382E-3</v>
      </c>
      <c r="Q97" s="569">
        <f t="shared" si="16"/>
        <v>6.1999999999999998E-3</v>
      </c>
      <c r="R97" s="528"/>
    </row>
    <row r="98" spans="1:18" ht="3.75" customHeight="1">
      <c r="B98" s="606"/>
      <c r="C98" s="607"/>
      <c r="D98" s="608"/>
      <c r="E98" s="608"/>
      <c r="F98" s="608"/>
      <c r="H98" s="593"/>
      <c r="I98" s="593"/>
      <c r="J98" s="593"/>
      <c r="K98" s="593"/>
      <c r="L98" s="593"/>
      <c r="M98" s="593"/>
      <c r="N98" s="593"/>
      <c r="O98" s="593"/>
      <c r="P98" s="593"/>
      <c r="Q98" s="593"/>
    </row>
    <row r="99" spans="1:18" s="566" customFormat="1" ht="15" customHeight="1">
      <c r="B99" s="560"/>
      <c r="C99" s="561" t="s">
        <v>172</v>
      </c>
      <c r="D99" s="561"/>
      <c r="E99" s="561"/>
      <c r="F99" s="562"/>
      <c r="G99" s="3"/>
      <c r="H99" s="560"/>
      <c r="I99" s="563"/>
      <c r="J99" s="563"/>
      <c r="K99" s="563"/>
      <c r="L99" s="563"/>
      <c r="M99" s="563"/>
      <c r="N99" s="563"/>
      <c r="O99" s="563"/>
      <c r="P99" s="563"/>
      <c r="Q99" s="564"/>
    </row>
    <row r="100" spans="1:18" ht="15" customHeight="1">
      <c r="A100" s="498"/>
      <c r="B100" s="506" t="s">
        <v>2</v>
      </c>
      <c r="C100" s="507" t="s">
        <v>35</v>
      </c>
      <c r="D100" s="544" t="s">
        <v>463</v>
      </c>
      <c r="E100" s="545" t="s">
        <v>99</v>
      </c>
      <c r="F100" s="545" t="s">
        <v>279</v>
      </c>
      <c r="H100" s="569">
        <f>((1/12)/12)+((1/12)/12)+((1/3)*((1/12)/12))</f>
        <v>1.6203703703703703E-2</v>
      </c>
      <c r="I100" s="569">
        <f>H100</f>
        <v>1.6203703703703703E-2</v>
      </c>
      <c r="J100" s="569">
        <f>I100</f>
        <v>1.6203703703703703E-2</v>
      </c>
      <c r="K100" s="569">
        <f t="shared" ref="K100:K108" si="18">I100</f>
        <v>1.6203703703703703E-2</v>
      </c>
      <c r="L100" s="569">
        <f>K100</f>
        <v>1.6203703703703703E-2</v>
      </c>
      <c r="M100" s="569">
        <f>L100</f>
        <v>1.6203703703703703E-2</v>
      </c>
      <c r="N100" s="569">
        <f>M100</f>
        <v>1.6203703703703703E-2</v>
      </c>
      <c r="O100" s="569">
        <f>N100</f>
        <v>1.6203703703703703E-2</v>
      </c>
      <c r="P100" s="569">
        <f>O100</f>
        <v>1.6203703703703703E-2</v>
      </c>
      <c r="Q100" s="569">
        <f t="shared" ref="Q100:Q108" si="19">IFERROR(ROUND(IF($Q$17="Simples",
INDEX(H100:P100,MATCH($Q$18,$H$18:$P$18,1)),
INDEX(H100:P100,MATCH($Q$17,$H$15:$P$15,0))
),4),"")</f>
        <v>1.6199999999999999E-2</v>
      </c>
      <c r="R100" s="528"/>
    </row>
    <row r="101" spans="1:18" ht="15" customHeight="1">
      <c r="A101" s="498"/>
      <c r="B101" s="506" t="s">
        <v>1</v>
      </c>
      <c r="C101" s="507" t="s">
        <v>187</v>
      </c>
      <c r="D101" s="544" t="s">
        <v>167</v>
      </c>
      <c r="E101" s="545" t="s">
        <v>534</v>
      </c>
      <c r="F101" s="545" t="s">
        <v>280</v>
      </c>
      <c r="H101" s="569">
        <f>(H84/$D$5)/$D$10</f>
        <v>1.3689253935660506E-2</v>
      </c>
      <c r="I101" s="569">
        <f t="shared" ref="I101:P108" si="20">H101</f>
        <v>1.3689253935660506E-2</v>
      </c>
      <c r="J101" s="569">
        <f t="shared" si="20"/>
        <v>1.3689253935660506E-2</v>
      </c>
      <c r="K101" s="569">
        <f t="shared" si="18"/>
        <v>1.3689253935660506E-2</v>
      </c>
      <c r="L101" s="569">
        <f t="shared" si="20"/>
        <v>1.3689253935660506E-2</v>
      </c>
      <c r="M101" s="569">
        <f t="shared" si="20"/>
        <v>1.3689253935660506E-2</v>
      </c>
      <c r="N101" s="569">
        <f t="shared" si="20"/>
        <v>1.3689253935660506E-2</v>
      </c>
      <c r="O101" s="569">
        <f t="shared" si="20"/>
        <v>1.3689253935660506E-2</v>
      </c>
      <c r="P101" s="569">
        <f t="shared" si="20"/>
        <v>1.3689253935660506E-2</v>
      </c>
      <c r="Q101" s="569">
        <f t="shared" si="19"/>
        <v>1.37E-2</v>
      </c>
      <c r="R101" s="528"/>
    </row>
    <row r="102" spans="1:18" ht="15" customHeight="1">
      <c r="A102" s="498"/>
      <c r="B102" s="506" t="s">
        <v>0</v>
      </c>
      <c r="C102" s="507" t="s">
        <v>36</v>
      </c>
      <c r="D102" s="544" t="s">
        <v>168</v>
      </c>
      <c r="E102" s="545" t="s">
        <v>100</v>
      </c>
      <c r="F102" s="545" t="s">
        <v>281</v>
      </c>
      <c r="H102" s="569">
        <f>((H85/$D$5)/$D$10*H86)</f>
        <v>2.0533880903490757E-4</v>
      </c>
      <c r="I102" s="569">
        <f t="shared" si="20"/>
        <v>2.0533880903490757E-4</v>
      </c>
      <c r="J102" s="569">
        <f t="shared" si="20"/>
        <v>2.0533880903490757E-4</v>
      </c>
      <c r="K102" s="569">
        <f t="shared" si="18"/>
        <v>2.0533880903490757E-4</v>
      </c>
      <c r="L102" s="569">
        <f t="shared" si="20"/>
        <v>2.0533880903490757E-4</v>
      </c>
      <c r="M102" s="569">
        <f t="shared" si="20"/>
        <v>2.0533880903490757E-4</v>
      </c>
      <c r="N102" s="569">
        <f t="shared" si="20"/>
        <v>2.0533880903490757E-4</v>
      </c>
      <c r="O102" s="569">
        <f t="shared" si="20"/>
        <v>2.0533880903490757E-4</v>
      </c>
      <c r="P102" s="569">
        <f t="shared" si="20"/>
        <v>2.0533880903490757E-4</v>
      </c>
      <c r="Q102" s="569">
        <f t="shared" si="19"/>
        <v>2.0000000000000001E-4</v>
      </c>
      <c r="R102" s="528"/>
    </row>
    <row r="103" spans="1:18" ht="15" customHeight="1">
      <c r="A103" s="498"/>
      <c r="B103" s="506" t="s">
        <v>3</v>
      </c>
      <c r="C103" s="507" t="s">
        <v>37</v>
      </c>
      <c r="D103" s="544" t="s">
        <v>169</v>
      </c>
      <c r="E103" s="545" t="s">
        <v>101</v>
      </c>
      <c r="F103" s="545" t="s">
        <v>535</v>
      </c>
      <c r="H103" s="569">
        <f>H87/$D$5/$D$10</f>
        <v>8.1040383299110196E-3</v>
      </c>
      <c r="I103" s="569">
        <f t="shared" si="20"/>
        <v>8.1040383299110196E-3</v>
      </c>
      <c r="J103" s="569">
        <f t="shared" si="20"/>
        <v>8.1040383299110196E-3</v>
      </c>
      <c r="K103" s="569">
        <f t="shared" si="18"/>
        <v>8.1040383299110196E-3</v>
      </c>
      <c r="L103" s="569">
        <f t="shared" si="20"/>
        <v>8.1040383299110196E-3</v>
      </c>
      <c r="M103" s="569">
        <f t="shared" si="20"/>
        <v>8.1040383299110196E-3</v>
      </c>
      <c r="N103" s="569">
        <f t="shared" si="20"/>
        <v>8.1040383299110196E-3</v>
      </c>
      <c r="O103" s="569">
        <f t="shared" si="20"/>
        <v>8.1040383299110196E-3</v>
      </c>
      <c r="P103" s="569">
        <f t="shared" si="20"/>
        <v>8.1040383299110196E-3</v>
      </c>
      <c r="Q103" s="569">
        <f t="shared" si="19"/>
        <v>8.0999999999999996E-3</v>
      </c>
      <c r="R103" s="528"/>
    </row>
    <row r="104" spans="1:18" ht="15" customHeight="1">
      <c r="A104" s="498"/>
      <c r="B104" s="506" t="s">
        <v>7</v>
      </c>
      <c r="C104" s="507" t="s">
        <v>188</v>
      </c>
      <c r="D104" s="544" t="s">
        <v>170</v>
      </c>
      <c r="E104" s="545" t="s">
        <v>536</v>
      </c>
      <c r="F104" s="545" t="s">
        <v>283</v>
      </c>
      <c r="H104" s="569">
        <f>(H89/$D$5/$D$10)*H88</f>
        <v>3.2032854209445585E-4</v>
      </c>
      <c r="I104" s="569">
        <f t="shared" si="20"/>
        <v>3.2032854209445585E-4</v>
      </c>
      <c r="J104" s="569">
        <f t="shared" si="20"/>
        <v>3.2032854209445585E-4</v>
      </c>
      <c r="K104" s="569">
        <f t="shared" si="18"/>
        <v>3.2032854209445585E-4</v>
      </c>
      <c r="L104" s="569">
        <f t="shared" si="20"/>
        <v>3.2032854209445585E-4</v>
      </c>
      <c r="M104" s="569">
        <f t="shared" si="20"/>
        <v>3.2032854209445585E-4</v>
      </c>
      <c r="N104" s="569">
        <f t="shared" si="20"/>
        <v>3.2032854209445585E-4</v>
      </c>
      <c r="O104" s="569">
        <f t="shared" si="20"/>
        <v>3.2032854209445585E-4</v>
      </c>
      <c r="P104" s="569">
        <f t="shared" si="20"/>
        <v>3.2032854209445585E-4</v>
      </c>
      <c r="Q104" s="569">
        <f t="shared" si="19"/>
        <v>2.9999999999999997E-4</v>
      </c>
      <c r="R104" s="528"/>
    </row>
    <row r="105" spans="1:18" ht="15" customHeight="1">
      <c r="A105" s="498"/>
      <c r="B105" s="506" t="s">
        <v>6</v>
      </c>
      <c r="C105" s="507" t="s">
        <v>38</v>
      </c>
      <c r="D105" s="544" t="s">
        <v>171</v>
      </c>
      <c r="E105" s="545" t="s">
        <v>537</v>
      </c>
      <c r="F105" s="545" t="s">
        <v>616</v>
      </c>
      <c r="H105" s="569">
        <f>((1/12)+((1/3)*(1/12)))*H97</f>
        <v>6.868275423608202E-4</v>
      </c>
      <c r="I105" s="569">
        <f t="shared" si="20"/>
        <v>6.868275423608202E-4</v>
      </c>
      <c r="J105" s="569">
        <f t="shared" si="20"/>
        <v>6.868275423608202E-4</v>
      </c>
      <c r="K105" s="569">
        <f t="shared" si="18"/>
        <v>6.868275423608202E-4</v>
      </c>
      <c r="L105" s="569">
        <f t="shared" si="20"/>
        <v>6.868275423608202E-4</v>
      </c>
      <c r="M105" s="569">
        <f t="shared" si="20"/>
        <v>6.868275423608202E-4</v>
      </c>
      <c r="N105" s="569">
        <f t="shared" si="20"/>
        <v>6.868275423608202E-4</v>
      </c>
      <c r="O105" s="569">
        <f t="shared" si="20"/>
        <v>6.868275423608202E-4</v>
      </c>
      <c r="P105" s="569">
        <f t="shared" si="20"/>
        <v>6.868275423608202E-4</v>
      </c>
      <c r="Q105" s="569">
        <f t="shared" si="19"/>
        <v>6.9999999999999999E-4</v>
      </c>
      <c r="R105" s="528"/>
    </row>
    <row r="106" spans="1:18" ht="15" customHeight="1">
      <c r="A106" s="498"/>
      <c r="B106" s="506" t="s">
        <v>5</v>
      </c>
      <c r="C106" s="507" t="s">
        <v>92</v>
      </c>
      <c r="D106" s="544" t="s">
        <v>538</v>
      </c>
      <c r="E106" s="545"/>
      <c r="F106" s="545" t="s">
        <v>539</v>
      </c>
      <c r="H106" s="609">
        <f>SUM(H100:H105)*H51</f>
        <v>1.4429092637497674E-2</v>
      </c>
      <c r="I106" s="609">
        <f t="shared" ref="I106:P106" si="21">SUM(I100:I105)*I51</f>
        <v>1.4429092637497674E-2</v>
      </c>
      <c r="J106" s="609">
        <f t="shared" si="21"/>
        <v>1.2154942167457279E-2</v>
      </c>
      <c r="K106" s="609">
        <f t="shared" si="21"/>
        <v>1.2154942167457279E-2</v>
      </c>
      <c r="L106" s="609">
        <f t="shared" si="21"/>
        <v>1.2154942167457279E-2</v>
      </c>
      <c r="M106" s="609">
        <f t="shared" si="21"/>
        <v>1.2154942167457279E-2</v>
      </c>
      <c r="N106" s="609">
        <f t="shared" si="21"/>
        <v>1.2154942167457279E-2</v>
      </c>
      <c r="O106" s="609">
        <f t="shared" si="21"/>
        <v>1.2154942167457279E-2</v>
      </c>
      <c r="P106" s="609">
        <f t="shared" si="21"/>
        <v>1.2154942167457279E-2</v>
      </c>
      <c r="Q106" s="609">
        <f t="shared" si="19"/>
        <v>1.44E-2</v>
      </c>
      <c r="R106" s="528"/>
    </row>
    <row r="107" spans="1:18" ht="15" customHeight="1">
      <c r="A107" s="498"/>
      <c r="B107" s="506" t="s">
        <v>4</v>
      </c>
      <c r="C107" s="507" t="s">
        <v>89</v>
      </c>
      <c r="D107" s="544" t="s">
        <v>284</v>
      </c>
      <c r="E107" s="545"/>
      <c r="F107" s="545" t="s">
        <v>541</v>
      </c>
      <c r="H107" s="610">
        <v>37.96</v>
      </c>
      <c r="I107" s="610">
        <f t="shared" si="20"/>
        <v>37.96</v>
      </c>
      <c r="J107" s="610">
        <f t="shared" si="20"/>
        <v>37.96</v>
      </c>
      <c r="K107" s="610">
        <f t="shared" si="18"/>
        <v>37.96</v>
      </c>
      <c r="L107" s="610">
        <f t="shared" si="20"/>
        <v>37.96</v>
      </c>
      <c r="M107" s="610">
        <f t="shared" si="20"/>
        <v>37.96</v>
      </c>
      <c r="N107" s="610">
        <f t="shared" si="20"/>
        <v>37.96</v>
      </c>
      <c r="O107" s="610">
        <f t="shared" si="20"/>
        <v>37.96</v>
      </c>
      <c r="P107" s="610">
        <f t="shared" si="20"/>
        <v>37.96</v>
      </c>
      <c r="Q107" s="611">
        <f t="shared" si="19"/>
        <v>37.96</v>
      </c>
      <c r="R107" s="528"/>
    </row>
    <row r="108" spans="1:18" ht="15" customHeight="1">
      <c r="A108" s="498"/>
      <c r="B108" s="506" t="s">
        <v>113</v>
      </c>
      <c r="C108" s="507" t="s">
        <v>39</v>
      </c>
      <c r="D108" s="544" t="s">
        <v>540</v>
      </c>
      <c r="E108" s="545"/>
      <c r="F108" s="545" t="s">
        <v>541</v>
      </c>
      <c r="H108" s="610">
        <v>37.96</v>
      </c>
      <c r="I108" s="610">
        <f t="shared" si="20"/>
        <v>37.96</v>
      </c>
      <c r="J108" s="610">
        <f t="shared" si="20"/>
        <v>37.96</v>
      </c>
      <c r="K108" s="610">
        <f t="shared" si="18"/>
        <v>37.96</v>
      </c>
      <c r="L108" s="610">
        <f t="shared" si="20"/>
        <v>37.96</v>
      </c>
      <c r="M108" s="610">
        <f t="shared" si="20"/>
        <v>37.96</v>
      </c>
      <c r="N108" s="610">
        <f t="shared" si="20"/>
        <v>37.96</v>
      </c>
      <c r="O108" s="610">
        <f t="shared" si="20"/>
        <v>37.96</v>
      </c>
      <c r="P108" s="610">
        <f t="shared" si="20"/>
        <v>37.96</v>
      </c>
      <c r="Q108" s="611">
        <f t="shared" si="19"/>
        <v>37.96</v>
      </c>
      <c r="R108" s="528"/>
    </row>
    <row r="109" spans="1:18" customFormat="1" ht="3.75" customHeight="1">
      <c r="H109" s="12"/>
      <c r="I109" s="12"/>
      <c r="J109" s="12"/>
      <c r="K109" s="12"/>
      <c r="L109" s="12"/>
      <c r="M109" s="12"/>
      <c r="N109" s="12"/>
      <c r="O109" s="12"/>
      <c r="P109" s="12"/>
      <c r="Q109" s="12"/>
    </row>
    <row r="110" spans="1:18" s="566" customFormat="1" ht="15" customHeight="1">
      <c r="B110" s="560"/>
      <c r="C110" s="561" t="s">
        <v>129</v>
      </c>
      <c r="D110" s="561"/>
      <c r="E110" s="561"/>
      <c r="F110" s="562"/>
      <c r="G110" s="3"/>
      <c r="H110" s="560"/>
      <c r="I110" s="563"/>
      <c r="J110" s="563"/>
      <c r="K110" s="563"/>
      <c r="L110" s="563"/>
      <c r="M110" s="563"/>
      <c r="N110" s="563"/>
      <c r="O110" s="563"/>
      <c r="P110" s="563"/>
      <c r="Q110" s="564"/>
    </row>
    <row r="111" spans="1:18" ht="15" customHeight="1">
      <c r="B111" s="878" t="s">
        <v>2</v>
      </c>
      <c r="C111" s="543" t="s">
        <v>102</v>
      </c>
      <c r="D111" s="544" t="s">
        <v>111</v>
      </c>
      <c r="E111" s="545" t="s">
        <v>104</v>
      </c>
      <c r="F111" s="545" t="s">
        <v>542</v>
      </c>
      <c r="H111" s="610"/>
      <c r="I111" s="610"/>
      <c r="J111" s="610"/>
      <c r="K111" s="610"/>
      <c r="L111" s="610"/>
      <c r="M111" s="610"/>
      <c r="N111" s="610"/>
      <c r="O111" s="610"/>
      <c r="P111" s="610"/>
      <c r="Q111" s="611"/>
      <c r="R111" s="528"/>
    </row>
    <row r="112" spans="1:18" ht="15" customHeight="1">
      <c r="B112" s="879"/>
      <c r="C112" s="543" t="s">
        <v>103</v>
      </c>
      <c r="D112" s="544" t="s">
        <v>112</v>
      </c>
      <c r="E112" s="545" t="s">
        <v>104</v>
      </c>
      <c r="F112" s="545" t="s">
        <v>543</v>
      </c>
      <c r="H112" s="610"/>
      <c r="I112" s="610"/>
      <c r="J112" s="610"/>
      <c r="K112" s="610"/>
      <c r="L112" s="610"/>
      <c r="M112" s="610"/>
      <c r="N112" s="610"/>
      <c r="O112" s="610"/>
      <c r="P112" s="610"/>
      <c r="Q112" s="611"/>
      <c r="R112" s="528"/>
    </row>
    <row r="113" spans="1:18" ht="15" customHeight="1">
      <c r="B113" s="612"/>
      <c r="C113" s="613"/>
      <c r="D113" s="614"/>
      <c r="E113" s="615"/>
      <c r="F113" s="615"/>
      <c r="H113" s="12"/>
      <c r="I113" s="12"/>
      <c r="J113" s="12"/>
      <c r="K113" s="12"/>
      <c r="L113" s="12"/>
      <c r="M113" s="12"/>
      <c r="N113" s="12"/>
      <c r="O113" s="12"/>
      <c r="P113" s="12"/>
      <c r="Q113" s="12"/>
      <c r="R113"/>
    </row>
    <row r="114" spans="1:18" s="3" customFormat="1" ht="15" customHeight="1">
      <c r="B114" s="499"/>
      <c r="C114" s="539" t="s">
        <v>326</v>
      </c>
      <c r="D114" s="539"/>
      <c r="E114" s="539"/>
      <c r="F114" s="539"/>
      <c r="G114"/>
      <c r="H114" s="539"/>
      <c r="I114" s="539"/>
      <c r="J114" s="539"/>
      <c r="K114" s="539"/>
      <c r="L114" s="539"/>
      <c r="M114" s="539"/>
      <c r="N114" s="539"/>
      <c r="O114" s="539"/>
      <c r="P114" s="539"/>
      <c r="Q114" s="539"/>
    </row>
    <row r="115" spans="1:18" ht="5.25" customHeight="1">
      <c r="B115"/>
      <c r="C115"/>
      <c r="D115"/>
      <c r="E115"/>
      <c r="F115"/>
      <c r="G115"/>
      <c r="H115"/>
      <c r="I115"/>
      <c r="J115"/>
      <c r="K115"/>
      <c r="L115"/>
      <c r="M115"/>
      <c r="N115"/>
      <c r="O115"/>
      <c r="P115"/>
      <c r="Q115"/>
      <c r="R115" s="528"/>
    </row>
    <row r="116" spans="1:18" ht="15" customHeight="1">
      <c r="A116" s="498"/>
      <c r="B116" s="560"/>
      <c r="C116" s="561" t="s">
        <v>327</v>
      </c>
      <c r="D116" s="561"/>
      <c r="E116" s="561"/>
      <c r="F116" s="562"/>
      <c r="G116"/>
      <c r="H116" s="616"/>
      <c r="I116" s="561"/>
      <c r="J116" s="561"/>
      <c r="K116" s="561"/>
      <c r="L116" s="561"/>
      <c r="M116" s="561"/>
      <c r="N116" s="561"/>
      <c r="O116" s="561"/>
      <c r="P116" s="561"/>
      <c r="Q116" s="562"/>
      <c r="R116" s="528"/>
    </row>
    <row r="117" spans="1:18" ht="15" customHeight="1">
      <c r="B117" s="617" t="s">
        <v>2</v>
      </c>
      <c r="C117" s="689" t="s">
        <v>224</v>
      </c>
      <c r="D117" s="690"/>
      <c r="E117" s="690" t="s">
        <v>544</v>
      </c>
      <c r="F117" s="690" t="s">
        <v>545</v>
      </c>
      <c r="G117"/>
      <c r="H117" s="618"/>
      <c r="I117" s="618"/>
      <c r="J117" s="618"/>
      <c r="K117" s="618"/>
      <c r="L117" s="618"/>
      <c r="M117" s="618"/>
      <c r="N117" s="618"/>
      <c r="O117" s="618"/>
      <c r="P117" s="618"/>
      <c r="Q117" s="618"/>
      <c r="R117" s="528"/>
    </row>
    <row r="118" spans="1:18" ht="15" customHeight="1">
      <c r="B118" s="617" t="s">
        <v>1</v>
      </c>
      <c r="C118" s="689" t="s">
        <v>225</v>
      </c>
      <c r="D118" s="690"/>
      <c r="E118" s="618"/>
      <c r="F118" s="691" t="s">
        <v>546</v>
      </c>
      <c r="G118"/>
      <c r="H118" s="618"/>
      <c r="I118" s="618"/>
      <c r="J118" s="618"/>
      <c r="K118" s="618"/>
      <c r="L118" s="618"/>
      <c r="M118" s="618"/>
      <c r="N118" s="618"/>
      <c r="O118" s="618"/>
      <c r="P118" s="618"/>
      <c r="Q118" s="618"/>
      <c r="R118" s="528"/>
    </row>
    <row r="119" spans="1:18" ht="5.25" customHeight="1">
      <c r="B119"/>
      <c r="C119"/>
      <c r="D119"/>
      <c r="E119"/>
      <c r="F119"/>
      <c r="G119"/>
      <c r="H119"/>
      <c r="I119"/>
      <c r="J119"/>
      <c r="K119"/>
      <c r="L119"/>
      <c r="M119"/>
      <c r="N119"/>
      <c r="O119"/>
      <c r="P119"/>
      <c r="Q119"/>
      <c r="R119" s="528"/>
    </row>
    <row r="120" spans="1:18" ht="5.25" customHeight="1">
      <c r="B120" s="288"/>
      <c r="C120" s="288"/>
      <c r="D120" s="288"/>
      <c r="E120" s="288"/>
      <c r="F120" s="288"/>
      <c r="G120"/>
      <c r="H120" s="288"/>
      <c r="I120" s="288"/>
      <c r="J120" s="288"/>
      <c r="K120" s="288"/>
      <c r="L120" s="288"/>
      <c r="M120" s="288"/>
      <c r="N120" s="288"/>
      <c r="O120" s="288"/>
      <c r="P120" s="288"/>
      <c r="Q120" s="288"/>
      <c r="R120" s="528"/>
    </row>
    <row r="121" spans="1:18" ht="15" customHeight="1">
      <c r="A121" s="498"/>
      <c r="B121" s="560"/>
      <c r="C121" s="561" t="s">
        <v>328</v>
      </c>
      <c r="D121" s="561"/>
      <c r="E121" s="561"/>
      <c r="F121" s="562"/>
      <c r="G121"/>
      <c r="H121" s="616"/>
      <c r="I121" s="561"/>
      <c r="J121" s="561"/>
      <c r="K121" s="561"/>
      <c r="L121" s="561"/>
      <c r="M121" s="561"/>
      <c r="N121" s="561"/>
      <c r="O121" s="561"/>
      <c r="P121" s="561"/>
      <c r="Q121" s="562"/>
      <c r="R121" s="528"/>
    </row>
    <row r="122" spans="1:18" ht="15" customHeight="1">
      <c r="B122" s="619" t="s">
        <v>332</v>
      </c>
      <c r="C122" s="692" t="s">
        <v>238</v>
      </c>
      <c r="D122" s="507"/>
      <c r="E122" s="620"/>
      <c r="F122" s="507" t="s">
        <v>545</v>
      </c>
      <c r="G122"/>
      <c r="H122" s="620"/>
      <c r="I122" s="620"/>
      <c r="J122" s="620"/>
      <c r="K122" s="620"/>
      <c r="L122" s="620"/>
      <c r="M122" s="620"/>
      <c r="N122" s="620"/>
      <c r="O122" s="620"/>
      <c r="P122" s="620"/>
      <c r="Q122" s="620"/>
      <c r="R122" s="528"/>
    </row>
    <row r="123" spans="1:18" ht="15" customHeight="1">
      <c r="B123" s="621" t="s">
        <v>333</v>
      </c>
      <c r="C123" s="693" t="s">
        <v>237</v>
      </c>
      <c r="D123" s="694"/>
      <c r="E123" s="622"/>
      <c r="F123" s="694" t="s">
        <v>545</v>
      </c>
      <c r="G123"/>
      <c r="H123" s="622"/>
      <c r="I123" s="622"/>
      <c r="J123" s="622"/>
      <c r="K123" s="622"/>
      <c r="L123" s="622"/>
      <c r="M123" s="622"/>
      <c r="N123" s="622"/>
      <c r="O123" s="622"/>
      <c r="P123" s="622"/>
      <c r="Q123" s="622"/>
      <c r="R123" s="528"/>
    </row>
    <row r="124" spans="1:18" ht="15" customHeight="1">
      <c r="B124" s="623" t="s">
        <v>334</v>
      </c>
      <c r="C124" s="695" t="s">
        <v>331</v>
      </c>
      <c r="D124" s="694"/>
      <c r="E124" s="622"/>
      <c r="F124" s="694" t="s">
        <v>545</v>
      </c>
      <c r="G124"/>
      <c r="H124" s="622"/>
      <c r="I124" s="622"/>
      <c r="J124" s="622"/>
      <c r="K124" s="622"/>
      <c r="L124" s="622"/>
      <c r="M124" s="622"/>
      <c r="N124" s="622"/>
      <c r="O124" s="622"/>
      <c r="P124" s="622"/>
      <c r="Q124" s="622"/>
      <c r="R124" s="528"/>
    </row>
    <row r="125" spans="1:18" ht="15" customHeight="1">
      <c r="B125" s="624" t="s">
        <v>335</v>
      </c>
      <c r="C125" s="696" t="s">
        <v>239</v>
      </c>
      <c r="D125" s="694"/>
      <c r="E125" s="622"/>
      <c r="F125" s="694" t="s">
        <v>545</v>
      </c>
      <c r="G125"/>
      <c r="H125" s="622"/>
      <c r="I125" s="622"/>
      <c r="J125" s="622"/>
      <c r="K125" s="622"/>
      <c r="L125" s="622"/>
      <c r="M125" s="622"/>
      <c r="N125" s="622"/>
      <c r="O125" s="622"/>
      <c r="P125" s="622"/>
      <c r="Q125" s="622"/>
      <c r="R125" s="528"/>
    </row>
    <row r="126" spans="1:18" ht="15" customHeight="1">
      <c r="B126" s="625" t="s">
        <v>336</v>
      </c>
      <c r="C126" s="697" t="s">
        <v>14</v>
      </c>
      <c r="D126" s="507"/>
      <c r="E126" s="620"/>
      <c r="F126" s="620"/>
      <c r="G126"/>
      <c r="H126" s="620"/>
      <c r="I126" s="620"/>
      <c r="J126" s="620"/>
      <c r="K126" s="620"/>
      <c r="L126" s="620"/>
      <c r="M126" s="620"/>
      <c r="N126" s="620"/>
      <c r="O126" s="620"/>
      <c r="P126" s="620"/>
      <c r="Q126" s="620"/>
      <c r="R126" s="528"/>
    </row>
    <row r="127" spans="1:18" ht="5.25" customHeight="1">
      <c r="B127" s="300"/>
      <c r="C127" s="37"/>
      <c r="D127" s="37"/>
      <c r="E127" s="37"/>
      <c r="F127" s="37"/>
      <c r="G127"/>
      <c r="H127" s="37"/>
      <c r="I127" s="37"/>
      <c r="J127" s="37"/>
      <c r="K127" s="37"/>
      <c r="L127" s="37"/>
      <c r="M127" s="37"/>
      <c r="N127" s="37"/>
      <c r="O127" s="37"/>
      <c r="P127" s="37"/>
      <c r="Q127" s="37"/>
      <c r="R127" s="528"/>
    </row>
    <row r="128" spans="1:18" ht="15" customHeight="1">
      <c r="A128" s="498"/>
      <c r="B128" s="560"/>
      <c r="C128" s="561" t="s">
        <v>329</v>
      </c>
      <c r="D128" s="561"/>
      <c r="E128" s="561"/>
      <c r="F128" s="562"/>
      <c r="G128"/>
      <c r="H128" s="616"/>
      <c r="I128" s="561"/>
      <c r="J128" s="561"/>
      <c r="K128" s="561"/>
      <c r="L128" s="561"/>
      <c r="M128" s="561"/>
      <c r="N128" s="561"/>
      <c r="O128" s="561"/>
      <c r="P128" s="561"/>
      <c r="Q128" s="562"/>
      <c r="R128" s="528"/>
    </row>
    <row r="129" spans="1:18" ht="15" customHeight="1">
      <c r="B129" s="626" t="s">
        <v>338</v>
      </c>
      <c r="C129" s="698" t="s">
        <v>13</v>
      </c>
      <c r="D129" s="507"/>
      <c r="E129" s="507" t="s">
        <v>547</v>
      </c>
      <c r="F129" s="507"/>
      <c r="G129"/>
      <c r="H129" s="620"/>
      <c r="I129" s="620"/>
      <c r="J129" s="620"/>
      <c r="K129" s="620"/>
      <c r="L129" s="620"/>
      <c r="M129" s="620"/>
      <c r="N129" s="620"/>
      <c r="O129" s="620"/>
      <c r="P129" s="620"/>
      <c r="Q129" s="620"/>
      <c r="R129" s="528"/>
    </row>
    <row r="130" spans="1:18" ht="15" customHeight="1">
      <c r="B130" s="626" t="s">
        <v>339</v>
      </c>
      <c r="C130" s="698" t="s">
        <v>12</v>
      </c>
      <c r="D130" s="507"/>
      <c r="E130" s="507" t="s">
        <v>548</v>
      </c>
      <c r="F130" s="507"/>
      <c r="G130"/>
      <c r="H130" s="620"/>
      <c r="I130" s="620"/>
      <c r="J130" s="620"/>
      <c r="K130" s="620"/>
      <c r="L130" s="620"/>
      <c r="M130" s="620"/>
      <c r="N130" s="620"/>
      <c r="O130" s="620"/>
      <c r="P130" s="620"/>
      <c r="Q130" s="620"/>
      <c r="R130" s="528"/>
    </row>
    <row r="131" spans="1:18" ht="15" customHeight="1">
      <c r="B131" s="627" t="s">
        <v>340</v>
      </c>
      <c r="C131" s="699" t="s">
        <v>11</v>
      </c>
      <c r="D131" s="507"/>
      <c r="E131" s="620"/>
      <c r="F131" s="620"/>
      <c r="G131"/>
      <c r="H131" s="620"/>
      <c r="I131" s="620"/>
      <c r="J131" s="620"/>
      <c r="K131" s="620"/>
      <c r="L131" s="620"/>
      <c r="M131" s="620"/>
      <c r="N131" s="620"/>
      <c r="O131" s="620"/>
      <c r="P131" s="620"/>
      <c r="Q131" s="620"/>
      <c r="R131" s="528"/>
    </row>
    <row r="132" spans="1:18" ht="15" customHeight="1">
      <c r="B132" s="626" t="s">
        <v>341</v>
      </c>
      <c r="C132" s="698" t="s">
        <v>10</v>
      </c>
      <c r="D132" s="507"/>
      <c r="E132" s="620"/>
      <c r="F132" s="620"/>
      <c r="G132"/>
      <c r="H132" s="620"/>
      <c r="I132" s="620"/>
      <c r="J132" s="620"/>
      <c r="K132" s="620"/>
      <c r="L132" s="620"/>
      <c r="M132" s="620"/>
      <c r="N132" s="620"/>
      <c r="O132" s="620"/>
      <c r="P132" s="620"/>
      <c r="Q132" s="620"/>
      <c r="R132" s="528"/>
    </row>
    <row r="133" spans="1:18" ht="15" customHeight="1">
      <c r="B133" s="628" t="s">
        <v>342</v>
      </c>
      <c r="C133" s="697" t="s">
        <v>9</v>
      </c>
      <c r="D133" s="507"/>
      <c r="E133" s="507" t="s">
        <v>549</v>
      </c>
      <c r="F133" s="507"/>
      <c r="G133"/>
      <c r="H133" s="620"/>
      <c r="I133" s="620"/>
      <c r="J133" s="620"/>
      <c r="K133" s="620"/>
      <c r="L133" s="620"/>
      <c r="M133" s="620"/>
      <c r="N133" s="620"/>
      <c r="O133" s="620"/>
      <c r="P133" s="620"/>
      <c r="Q133" s="620"/>
      <c r="R133" s="528"/>
    </row>
    <row r="134" spans="1:18" ht="5.25" customHeight="1">
      <c r="B134" s="300"/>
      <c r="C134" s="37"/>
      <c r="D134" s="37"/>
      <c r="E134" s="37"/>
      <c r="F134" s="37"/>
      <c r="G134"/>
      <c r="H134" s="37"/>
      <c r="I134" s="37"/>
      <c r="J134" s="37"/>
      <c r="K134" s="37"/>
      <c r="L134" s="37"/>
      <c r="M134" s="37"/>
      <c r="N134" s="37"/>
      <c r="O134" s="37"/>
      <c r="P134" s="37"/>
      <c r="Q134" s="37"/>
      <c r="R134" s="528"/>
    </row>
    <row r="135" spans="1:18" ht="15" customHeight="1">
      <c r="A135" s="498"/>
      <c r="B135" s="560"/>
      <c r="C135" s="561" t="s">
        <v>330</v>
      </c>
      <c r="D135" s="561"/>
      <c r="E135" s="561"/>
      <c r="F135" s="562"/>
      <c r="G135"/>
      <c r="H135" s="616"/>
      <c r="I135" s="561"/>
      <c r="J135" s="561"/>
      <c r="K135" s="561"/>
      <c r="L135" s="561"/>
      <c r="M135" s="561"/>
      <c r="N135" s="561"/>
      <c r="O135" s="561"/>
      <c r="P135" s="561"/>
      <c r="Q135" s="562"/>
      <c r="R135" s="528"/>
    </row>
    <row r="136" spans="1:18" ht="15" customHeight="1">
      <c r="B136" s="629" t="s">
        <v>343</v>
      </c>
      <c r="C136" s="692" t="s">
        <v>240</v>
      </c>
      <c r="D136" s="507"/>
      <c r="E136" s="620"/>
      <c r="F136" s="620"/>
      <c r="G136"/>
      <c r="H136" s="620"/>
      <c r="I136" s="620"/>
      <c r="J136" s="620"/>
      <c r="K136" s="620"/>
      <c r="L136" s="620"/>
      <c r="M136" s="620"/>
      <c r="N136" s="620"/>
      <c r="O136" s="620"/>
      <c r="P136" s="620"/>
      <c r="Q136" s="620"/>
      <c r="R136" s="528"/>
    </row>
    <row r="137" spans="1:18" ht="15" customHeight="1">
      <c r="B137" s="626" t="s">
        <v>344</v>
      </c>
      <c r="C137" s="698" t="s">
        <v>8</v>
      </c>
      <c r="D137" s="507"/>
      <c r="E137" s="620"/>
      <c r="F137" s="507" t="s">
        <v>550</v>
      </c>
      <c r="G137"/>
      <c r="H137" s="620"/>
      <c r="I137" s="620"/>
      <c r="J137" s="620"/>
      <c r="K137" s="620"/>
      <c r="L137" s="620"/>
      <c r="M137" s="620"/>
      <c r="N137" s="620"/>
      <c r="O137" s="620"/>
      <c r="P137" s="620"/>
      <c r="Q137" s="620"/>
      <c r="R137" s="528"/>
    </row>
    <row r="138" spans="1:18" ht="15" customHeight="1">
      <c r="B138" s="612"/>
      <c r="C138" s="613"/>
      <c r="D138" s="614"/>
      <c r="E138" s="615"/>
      <c r="F138" s="615"/>
      <c r="H138" s="630"/>
      <c r="I138" s="630"/>
      <c r="J138" s="630"/>
      <c r="K138" s="630"/>
      <c r="L138" s="630"/>
      <c r="M138" s="630"/>
      <c r="N138" s="630"/>
      <c r="O138" s="630"/>
      <c r="P138" s="630"/>
      <c r="Q138" s="631"/>
      <c r="R138" s="528"/>
    </row>
    <row r="139" spans="1:18" s="3" customFormat="1" ht="15" customHeight="1">
      <c r="B139" s="499"/>
      <c r="C139" s="539" t="s">
        <v>217</v>
      </c>
      <c r="D139" s="539"/>
      <c r="E139" s="539"/>
      <c r="F139" s="501"/>
      <c r="H139" s="499"/>
      <c r="I139" s="540"/>
      <c r="J139" s="540"/>
      <c r="K139" s="540"/>
      <c r="L139" s="540"/>
      <c r="M139" s="540"/>
      <c r="N139" s="540"/>
      <c r="O139" s="540"/>
      <c r="P139" s="540"/>
      <c r="Q139" s="541"/>
    </row>
    <row r="140" spans="1:18" s="3" customFormat="1" ht="3.75" customHeight="1">
      <c r="H140" s="6"/>
      <c r="I140" s="6"/>
      <c r="J140" s="6"/>
      <c r="K140" s="6"/>
      <c r="L140" s="6"/>
      <c r="M140" s="6"/>
      <c r="N140" s="6"/>
      <c r="O140" s="6"/>
      <c r="P140" s="6"/>
      <c r="Q140" s="6"/>
    </row>
    <row r="141" spans="1:18" s="566" customFormat="1" ht="15" customHeight="1">
      <c r="B141" s="560"/>
      <c r="C141" s="561" t="s">
        <v>230</v>
      </c>
      <c r="D141" s="561"/>
      <c r="E141" s="561"/>
      <c r="F141" s="562"/>
      <c r="G141" s="3"/>
      <c r="H141" s="560"/>
      <c r="I141" s="563"/>
      <c r="J141" s="563"/>
      <c r="K141" s="563"/>
      <c r="L141" s="563"/>
      <c r="M141" s="563"/>
      <c r="N141" s="563"/>
      <c r="O141" s="563"/>
      <c r="P141" s="563"/>
      <c r="Q141" s="564"/>
    </row>
    <row r="142" spans="1:18" ht="15" customHeight="1">
      <c r="A142" s="498"/>
      <c r="B142" s="506" t="s">
        <v>2</v>
      </c>
      <c r="C142" s="507" t="s">
        <v>227</v>
      </c>
      <c r="D142" s="507"/>
      <c r="E142" s="507"/>
      <c r="F142" s="545" t="s">
        <v>177</v>
      </c>
      <c r="H142" s="569">
        <v>0.05</v>
      </c>
      <c r="I142" s="569">
        <f t="shared" ref="I142:P143" si="22">H142</f>
        <v>0.05</v>
      </c>
      <c r="J142" s="569">
        <f t="shared" si="22"/>
        <v>0.05</v>
      </c>
      <c r="K142" s="569">
        <f>I142</f>
        <v>0.05</v>
      </c>
      <c r="L142" s="569">
        <f t="shared" si="22"/>
        <v>0.05</v>
      </c>
      <c r="M142" s="569">
        <f t="shared" si="22"/>
        <v>0.05</v>
      </c>
      <c r="N142" s="569">
        <f t="shared" si="22"/>
        <v>0.05</v>
      </c>
      <c r="O142" s="569">
        <f t="shared" si="22"/>
        <v>0.05</v>
      </c>
      <c r="P142" s="569">
        <f t="shared" si="22"/>
        <v>0.05</v>
      </c>
      <c r="Q142" s="569">
        <f t="shared" ref="Q142:Q143" si="23">IFERROR(ROUND(IF($Q$17="Simples",
INDEX(H142:P142,MATCH($Q$18,$H$18:$P$18,1)),
INDEX(H142:P142,MATCH($Q$17,$H$15:$P$15,0))
),4),"")</f>
        <v>0.05</v>
      </c>
      <c r="R142" s="528"/>
    </row>
    <row r="143" spans="1:18" ht="15" customHeight="1">
      <c r="A143" s="498"/>
      <c r="B143" s="506" t="s">
        <v>1</v>
      </c>
      <c r="C143" s="507" t="s">
        <v>228</v>
      </c>
      <c r="D143" s="507"/>
      <c r="E143" s="507"/>
      <c r="F143" s="545" t="s">
        <v>176</v>
      </c>
      <c r="H143" s="569">
        <v>0.1</v>
      </c>
      <c r="I143" s="569">
        <f t="shared" si="22"/>
        <v>0.1</v>
      </c>
      <c r="J143" s="569">
        <f t="shared" si="22"/>
        <v>0.1</v>
      </c>
      <c r="K143" s="569">
        <f>I143</f>
        <v>0.1</v>
      </c>
      <c r="L143" s="569">
        <f t="shared" si="22"/>
        <v>0.1</v>
      </c>
      <c r="M143" s="569">
        <f t="shared" si="22"/>
        <v>0.1</v>
      </c>
      <c r="N143" s="569">
        <f t="shared" si="22"/>
        <v>0.1</v>
      </c>
      <c r="O143" s="569">
        <f t="shared" si="22"/>
        <v>0.1</v>
      </c>
      <c r="P143" s="569">
        <f t="shared" si="22"/>
        <v>0.1</v>
      </c>
      <c r="Q143" s="569">
        <f t="shared" si="23"/>
        <v>0.1</v>
      </c>
      <c r="R143" s="528"/>
    </row>
    <row r="144" spans="1:18" customFormat="1" ht="3.75" customHeight="1">
      <c r="H144" s="12"/>
      <c r="I144" s="12"/>
      <c r="J144" s="12"/>
      <c r="K144" s="12"/>
      <c r="L144" s="12"/>
      <c r="M144" s="12"/>
      <c r="N144" s="12"/>
      <c r="O144" s="12"/>
      <c r="P144" s="12"/>
      <c r="Q144" s="12"/>
    </row>
    <row r="145" spans="1:18" s="566" customFormat="1" ht="15" customHeight="1">
      <c r="B145" s="560"/>
      <c r="C145" s="561" t="s">
        <v>309</v>
      </c>
      <c r="D145" s="561"/>
      <c r="E145" s="561"/>
      <c r="F145" s="562"/>
      <c r="G145" s="3"/>
      <c r="H145" s="560"/>
      <c r="I145" s="563"/>
      <c r="J145" s="563"/>
      <c r="K145" s="563"/>
      <c r="L145" s="563"/>
      <c r="M145" s="563"/>
      <c r="N145" s="563"/>
      <c r="O145" s="563"/>
      <c r="P145" s="563"/>
      <c r="Q145" s="564"/>
    </row>
    <row r="146" spans="1:18" ht="15" customHeight="1">
      <c r="A146" s="498"/>
      <c r="B146" s="542" t="s">
        <v>2</v>
      </c>
      <c r="C146" s="543" t="s">
        <v>43</v>
      </c>
      <c r="D146" s="507"/>
      <c r="E146" s="507"/>
      <c r="F146" s="545" t="s">
        <v>175</v>
      </c>
      <c r="H146" s="569">
        <v>0.03</v>
      </c>
      <c r="I146" s="569">
        <v>7.5999999999999998E-2</v>
      </c>
      <c r="J146" s="569"/>
      <c r="K146" s="569" t="str">
        <f>IFERROR(((Proposta!$J$10*K$19-K$18)/Proposta!$J$10)*12.82%,"")</f>
        <v/>
      </c>
      <c r="L146" s="569" t="str">
        <f>IFERROR(((Proposta!$J$10*L$19-L$18)/Proposta!$J$10)*14.05%,"")</f>
        <v/>
      </c>
      <c r="M146" s="569" t="str">
        <f>IFERROR(((Proposta!$J$10*M$19-M$18)/Proposta!$J$10)*13.64%,"")</f>
        <v/>
      </c>
      <c r="N146" s="569" t="str">
        <f>IFERROR(((Proposta!$J$10*N$19-N$18)/Proposta!$J$10)*14%,"")</f>
        <v/>
      </c>
      <c r="O146" s="569" t="str">
        <f>IFERROR(((Proposta!$J$10*O$19-O$18)/Proposta!$J$10)*12.82%,"")</f>
        <v/>
      </c>
      <c r="P146" s="569" t="str">
        <f>IFERROR(((Proposta!$J$10*P$19-P$18)/Proposta!$J$10)*16.03%,"")</f>
        <v/>
      </c>
      <c r="Q146" s="569">
        <f t="shared" ref="Q146:Q149" si="24">IFERROR(ROUND(IF($Q$17="Simples",
INDEX(H146:P146,MATCH($Q$18,$H$18:$P$18,1)),
INDEX(H146:P146,MATCH($Q$17,$H$15:$P$15,0))
),4),"")</f>
        <v>0.03</v>
      </c>
      <c r="R146" s="528"/>
    </row>
    <row r="147" spans="1:18" ht="15" customHeight="1">
      <c r="A147" s="498"/>
      <c r="B147" s="542" t="s">
        <v>1</v>
      </c>
      <c r="C147" s="543" t="s">
        <v>107</v>
      </c>
      <c r="D147" s="507"/>
      <c r="E147" s="507"/>
      <c r="F147" s="545" t="s">
        <v>175</v>
      </c>
      <c r="H147" s="569">
        <v>6.4999999999999997E-3</v>
      </c>
      <c r="I147" s="569">
        <v>1.6500000000000001E-2</v>
      </c>
      <c r="J147" s="569">
        <v>6.4999999999999997E-3</v>
      </c>
      <c r="K147" s="569" t="str">
        <f>IFERROR(((Proposta!$J$10*K$19-K$18)/Proposta!$J$10)*2.78%,"")</f>
        <v/>
      </c>
      <c r="L147" s="569" t="str">
        <f>IFERROR(((Proposta!$J$10*L$19-L$18)/Proposta!$J$10)*3.05%,"")</f>
        <v/>
      </c>
      <c r="M147" s="569" t="str">
        <f>IFERROR(((Proposta!$J$10*M$19-M$18)/Proposta!$J$10)*2.96%,"")</f>
        <v/>
      </c>
      <c r="N147" s="569" t="str">
        <f>IFERROR(((Proposta!$J$10*N$19-N$18)/Proposta!$J$10)*3%,"")</f>
        <v/>
      </c>
      <c r="O147" s="569" t="str">
        <f>IFERROR(((Proposta!$J$10*O$19-O$18)/Proposta!$J$10)*2.78%,"")</f>
        <v/>
      </c>
      <c r="P147" s="569" t="str">
        <f>IFERROR(((Proposta!$J$10*P$19-P$18)/Proposta!$J$10)*3.47%,"")</f>
        <v/>
      </c>
      <c r="Q147" s="569">
        <f t="shared" si="24"/>
        <v>6.4999999999999997E-3</v>
      </c>
      <c r="R147" s="528"/>
    </row>
    <row r="148" spans="1:18" ht="15" customHeight="1">
      <c r="A148" s="498"/>
      <c r="B148" s="542" t="s">
        <v>0</v>
      </c>
      <c r="C148" s="543" t="s">
        <v>44</v>
      </c>
      <c r="D148" s="507"/>
      <c r="E148" s="507" t="s">
        <v>730</v>
      </c>
      <c r="F148" s="545" t="s">
        <v>175</v>
      </c>
      <c r="H148" s="569">
        <v>0.05</v>
      </c>
      <c r="I148" s="569">
        <v>0.05</v>
      </c>
      <c r="J148" s="569">
        <v>2.5000000000000001E-2</v>
      </c>
      <c r="K148" s="569" t="str">
        <f>IFERROR(((Proposta!$J$10*K$19-K$18)/Proposta!$J$10)*33.5%,"")</f>
        <v/>
      </c>
      <c r="L148" s="569" t="str">
        <f>IFERROR(((Proposta!$J$10*L$19-L$18)/Proposta!$J$10)*32%,"")</f>
        <v/>
      </c>
      <c r="M148" s="569" t="str">
        <f>IFERROR(((Proposta!$J$10*M$19-M$18)/Proposta!$J$10)*32.5%,"")</f>
        <v/>
      </c>
      <c r="N148" s="569" t="str">
        <f>IFERROR(((Proposta!$J$10*N$19-N$18)/Proposta!$J$10)*33%,"")</f>
        <v/>
      </c>
      <c r="O148" s="569" t="str">
        <f>IFERROR(((Proposta!$J$10*O$19-O$18)/Proposta!$J$10)*33.5%,"")</f>
        <v/>
      </c>
      <c r="P148" s="569" t="str">
        <f>IFERROR(((Proposta!$J$10*P$19-P$18)/Proposta!$J$10)*30.5%,"")</f>
        <v/>
      </c>
      <c r="Q148" s="569">
        <f t="shared" si="24"/>
        <v>0.05</v>
      </c>
      <c r="R148" s="528"/>
    </row>
    <row r="149" spans="1:18" ht="15" customHeight="1">
      <c r="B149" s="542" t="s">
        <v>3</v>
      </c>
      <c r="C149" s="543" t="s">
        <v>303</v>
      </c>
      <c r="D149" s="507"/>
      <c r="E149" s="507"/>
      <c r="F149" s="545"/>
      <c r="H149" s="610"/>
      <c r="I149" s="610"/>
      <c r="J149" s="610"/>
      <c r="K149" s="610"/>
      <c r="L149" s="610"/>
      <c r="M149" s="610"/>
      <c r="N149" s="610"/>
      <c r="O149" s="610"/>
      <c r="P149" s="610"/>
      <c r="Q149" s="611">
        <f t="shared" si="24"/>
        <v>0</v>
      </c>
    </row>
    <row r="151" spans="1:18" ht="15" customHeight="1">
      <c r="B151" s="499"/>
      <c r="C151" s="539" t="s">
        <v>380</v>
      </c>
      <c r="D151" s="539"/>
      <c r="E151" s="539"/>
      <c r="F151" s="501"/>
      <c r="G151" s="3"/>
      <c r="H151" s="499"/>
      <c r="I151" s="540"/>
      <c r="J151" s="540"/>
      <c r="K151" s="540"/>
      <c r="L151" s="540"/>
      <c r="M151" s="540"/>
      <c r="N151" s="540"/>
      <c r="O151" s="540"/>
      <c r="P151" s="540"/>
      <c r="Q151" s="541"/>
    </row>
    <row r="152" spans="1:18" ht="4.5" customHeight="1">
      <c r="B152" s="3"/>
      <c r="C152" s="3"/>
      <c r="D152" s="3"/>
      <c r="E152" s="3"/>
      <c r="F152" s="3"/>
      <c r="G152" s="3"/>
      <c r="H152" s="6"/>
      <c r="I152" s="6"/>
      <c r="J152" s="6"/>
      <c r="K152" s="6"/>
      <c r="L152" s="6"/>
      <c r="M152" s="6"/>
      <c r="N152" s="6"/>
      <c r="O152" s="6"/>
      <c r="P152" s="6"/>
      <c r="Q152" s="6"/>
    </row>
    <row r="153" spans="1:18" ht="15" customHeight="1">
      <c r="B153" s="560"/>
      <c r="C153" s="561" t="s">
        <v>391</v>
      </c>
      <c r="D153" s="561"/>
      <c r="E153" s="561"/>
      <c r="F153" s="562"/>
      <c r="G153" s="3"/>
      <c r="H153" s="560"/>
      <c r="I153" s="563"/>
      <c r="J153" s="563"/>
      <c r="K153" s="563"/>
      <c r="L153" s="563"/>
      <c r="M153" s="563"/>
      <c r="N153" s="563"/>
      <c r="O153" s="563"/>
      <c r="P153" s="563"/>
      <c r="Q153" s="632"/>
      <c r="R153" s="528"/>
    </row>
    <row r="154" spans="1:18" ht="15" customHeight="1">
      <c r="B154" s="633" t="s">
        <v>2</v>
      </c>
      <c r="C154" s="634" t="s">
        <v>358</v>
      </c>
      <c r="D154" s="507"/>
      <c r="E154" s="507" t="s">
        <v>551</v>
      </c>
      <c r="F154" s="545" t="s">
        <v>652</v>
      </c>
      <c r="H154" s="569"/>
      <c r="I154" s="569"/>
      <c r="J154" s="569"/>
      <c r="K154" s="569"/>
      <c r="L154" s="569"/>
      <c r="M154" s="569"/>
      <c r="N154" s="569"/>
      <c r="O154" s="569"/>
      <c r="P154" s="569"/>
      <c r="Q154" s="635">
        <v>800</v>
      </c>
    </row>
    <row r="155" spans="1:18" ht="15" customHeight="1">
      <c r="B155" s="633" t="s">
        <v>1</v>
      </c>
      <c r="C155" s="634" t="s">
        <v>359</v>
      </c>
      <c r="D155" s="507"/>
      <c r="E155" s="507" t="s">
        <v>551</v>
      </c>
      <c r="F155" s="545"/>
      <c r="H155" s="569"/>
      <c r="I155" s="569"/>
      <c r="J155" s="569"/>
      <c r="K155" s="569"/>
      <c r="L155" s="569"/>
      <c r="M155" s="569"/>
      <c r="N155" s="569"/>
      <c r="O155" s="569"/>
      <c r="P155" s="569"/>
      <c r="Q155" s="635">
        <v>800</v>
      </c>
    </row>
    <row r="156" spans="1:18" ht="15" customHeight="1">
      <c r="B156" s="633" t="s">
        <v>0</v>
      </c>
      <c r="C156" s="634" t="s">
        <v>360</v>
      </c>
      <c r="D156" s="507"/>
      <c r="E156" s="507" t="s">
        <v>551</v>
      </c>
      <c r="F156" s="545"/>
      <c r="H156" s="569"/>
      <c r="I156" s="569"/>
      <c r="J156" s="569"/>
      <c r="K156" s="569"/>
      <c r="L156" s="569"/>
      <c r="M156" s="569"/>
      <c r="N156" s="569"/>
      <c r="O156" s="569"/>
      <c r="P156" s="569"/>
      <c r="Q156" s="635">
        <v>360</v>
      </c>
    </row>
    <row r="157" spans="1:18" ht="15" customHeight="1">
      <c r="B157" s="633" t="s">
        <v>3</v>
      </c>
      <c r="C157" s="634" t="s">
        <v>361</v>
      </c>
      <c r="D157" s="507"/>
      <c r="E157" s="507" t="s">
        <v>551</v>
      </c>
      <c r="F157" s="545"/>
      <c r="H157" s="569"/>
      <c r="I157" s="569"/>
      <c r="J157" s="569"/>
      <c r="K157" s="569"/>
      <c r="L157" s="569"/>
      <c r="M157" s="569"/>
      <c r="N157" s="569"/>
      <c r="O157" s="569"/>
      <c r="P157" s="569"/>
      <c r="Q157" s="635">
        <v>1500</v>
      </c>
    </row>
    <row r="158" spans="1:18" ht="15" customHeight="1">
      <c r="B158" s="633" t="s">
        <v>7</v>
      </c>
      <c r="C158" s="634" t="s">
        <v>356</v>
      </c>
      <c r="D158" s="507"/>
      <c r="E158" s="507" t="s">
        <v>551</v>
      </c>
      <c r="F158" s="545"/>
      <c r="H158" s="569"/>
      <c r="I158" s="569"/>
      <c r="J158" s="569"/>
      <c r="K158" s="569"/>
      <c r="L158" s="569"/>
      <c r="M158" s="569"/>
      <c r="N158" s="569"/>
      <c r="O158" s="569"/>
      <c r="P158" s="569"/>
      <c r="Q158" s="635">
        <v>1200</v>
      </c>
    </row>
    <row r="159" spans="1:18" ht="15" customHeight="1">
      <c r="B159" s="633" t="s">
        <v>6</v>
      </c>
      <c r="C159" s="636" t="s">
        <v>389</v>
      </c>
      <c r="D159" s="507"/>
      <c r="E159" s="507" t="s">
        <v>551</v>
      </c>
      <c r="F159" s="545"/>
      <c r="H159" s="569"/>
      <c r="I159" s="569"/>
      <c r="J159" s="569"/>
      <c r="K159" s="569"/>
      <c r="L159" s="569"/>
      <c r="M159" s="569"/>
      <c r="N159" s="569"/>
      <c r="O159" s="569"/>
      <c r="P159" s="569"/>
      <c r="Q159" s="635">
        <v>1000</v>
      </c>
    </row>
    <row r="160" spans="1:18" ht="15" customHeight="1">
      <c r="B160" s="633" t="s">
        <v>5</v>
      </c>
      <c r="C160" s="636" t="s">
        <v>390</v>
      </c>
      <c r="D160" s="507"/>
      <c r="E160" s="507" t="s">
        <v>551</v>
      </c>
      <c r="F160" s="545"/>
      <c r="H160" s="569"/>
      <c r="I160" s="569"/>
      <c r="J160" s="569"/>
      <c r="K160" s="569"/>
      <c r="L160" s="569"/>
      <c r="M160" s="569"/>
      <c r="N160" s="569"/>
      <c r="O160" s="569"/>
      <c r="P160" s="569"/>
      <c r="Q160" s="635">
        <v>200</v>
      </c>
    </row>
    <row r="161" spans="2:18" ht="4.5" customHeight="1">
      <c r="C161" s="402"/>
      <c r="Q161" s="637"/>
    </row>
    <row r="162" spans="2:18" ht="15" customHeight="1">
      <c r="B162" s="560"/>
      <c r="C162" s="561" t="s">
        <v>392</v>
      </c>
      <c r="D162" s="561"/>
      <c r="E162" s="561"/>
      <c r="F162" s="562"/>
      <c r="G162" s="3"/>
      <c r="H162" s="560"/>
      <c r="I162" s="563"/>
      <c r="J162" s="563"/>
      <c r="K162" s="563"/>
      <c r="L162" s="563"/>
      <c r="M162" s="563"/>
      <c r="N162" s="563"/>
      <c r="O162" s="563"/>
      <c r="P162" s="563"/>
      <c r="Q162" s="638"/>
      <c r="R162" s="528"/>
    </row>
    <row r="163" spans="2:18" ht="15" customHeight="1">
      <c r="B163" s="633" t="s">
        <v>2</v>
      </c>
      <c r="C163" s="634" t="s">
        <v>362</v>
      </c>
      <c r="D163" s="507"/>
      <c r="E163" s="507" t="s">
        <v>551</v>
      </c>
      <c r="F163" s="545"/>
      <c r="H163" s="569"/>
      <c r="I163" s="569"/>
      <c r="J163" s="569"/>
      <c r="K163" s="569"/>
      <c r="L163" s="569"/>
      <c r="M163" s="569"/>
      <c r="N163" s="569"/>
      <c r="O163" s="569"/>
      <c r="P163" s="569"/>
      <c r="Q163" s="635">
        <v>1800</v>
      </c>
    </row>
    <row r="164" spans="2:18" ht="15" customHeight="1">
      <c r="B164" s="633" t="s">
        <v>1</v>
      </c>
      <c r="C164" s="634" t="s">
        <v>357</v>
      </c>
      <c r="D164" s="507"/>
      <c r="E164" s="507" t="s">
        <v>551</v>
      </c>
      <c r="F164" s="545"/>
      <c r="H164" s="569"/>
      <c r="I164" s="569"/>
      <c r="J164" s="569"/>
      <c r="K164" s="569"/>
      <c r="L164" s="569"/>
      <c r="M164" s="569"/>
      <c r="N164" s="569"/>
      <c r="O164" s="569"/>
      <c r="P164" s="569"/>
      <c r="Q164" s="635">
        <v>6000</v>
      </c>
    </row>
    <row r="165" spans="2:18" ht="15" customHeight="1">
      <c r="B165" s="633" t="s">
        <v>0</v>
      </c>
      <c r="C165" s="634" t="s">
        <v>363</v>
      </c>
      <c r="D165" s="507"/>
      <c r="E165" s="691" t="s">
        <v>551</v>
      </c>
      <c r="F165" s="545"/>
      <c r="H165" s="569"/>
      <c r="I165" s="569"/>
      <c r="J165" s="569"/>
      <c r="K165" s="569"/>
      <c r="L165" s="569"/>
      <c r="M165" s="569"/>
      <c r="N165" s="569"/>
      <c r="O165" s="569"/>
      <c r="P165" s="569"/>
      <c r="Q165" s="635">
        <v>1800</v>
      </c>
    </row>
    <row r="166" spans="2:18" ht="15" customHeight="1">
      <c r="B166" s="633" t="s">
        <v>3</v>
      </c>
      <c r="C166" s="634" t="s">
        <v>364</v>
      </c>
      <c r="D166" s="507"/>
      <c r="E166" s="691" t="s">
        <v>551</v>
      </c>
      <c r="F166" s="545"/>
      <c r="H166" s="569"/>
      <c r="I166" s="569"/>
      <c r="J166" s="569"/>
      <c r="K166" s="569"/>
      <c r="L166" s="569"/>
      <c r="M166" s="569"/>
      <c r="N166" s="569"/>
      <c r="O166" s="569"/>
      <c r="P166" s="569"/>
      <c r="Q166" s="635">
        <v>1800</v>
      </c>
    </row>
    <row r="167" spans="2:18" ht="15" customHeight="1">
      <c r="B167" s="633" t="s">
        <v>7</v>
      </c>
      <c r="C167" s="634" t="s">
        <v>365</v>
      </c>
      <c r="D167" s="507"/>
      <c r="E167" s="691" t="s">
        <v>551</v>
      </c>
      <c r="F167" s="545"/>
      <c r="H167" s="569"/>
      <c r="I167" s="569"/>
      <c r="J167" s="569"/>
      <c r="K167" s="569"/>
      <c r="L167" s="569"/>
      <c r="M167" s="569"/>
      <c r="N167" s="569"/>
      <c r="O167" s="569"/>
      <c r="P167" s="569"/>
      <c r="Q167" s="635">
        <v>1800</v>
      </c>
    </row>
    <row r="168" spans="2:18" ht="15" customHeight="1">
      <c r="B168" s="633" t="s">
        <v>6</v>
      </c>
      <c r="C168" s="634" t="s">
        <v>366</v>
      </c>
      <c r="D168" s="507"/>
      <c r="E168" s="507" t="s">
        <v>551</v>
      </c>
      <c r="F168" s="545"/>
      <c r="H168" s="569"/>
      <c r="I168" s="569"/>
      <c r="J168" s="569"/>
      <c r="K168" s="569"/>
      <c r="L168" s="569"/>
      <c r="M168" s="569"/>
      <c r="N168" s="569"/>
      <c r="O168" s="569"/>
      <c r="P168" s="569"/>
      <c r="Q168" s="635">
        <v>100000</v>
      </c>
    </row>
    <row r="169" spans="2:18" ht="4.5" customHeight="1">
      <c r="C169" s="402"/>
      <c r="Q169" s="637"/>
    </row>
    <row r="170" spans="2:18" ht="15" customHeight="1">
      <c r="B170" s="560"/>
      <c r="C170" s="561" t="s">
        <v>393</v>
      </c>
      <c r="D170" s="561"/>
      <c r="E170" s="561"/>
      <c r="F170" s="562"/>
      <c r="G170" s="3"/>
      <c r="H170" s="560"/>
      <c r="I170" s="563"/>
      <c r="J170" s="563"/>
      <c r="K170" s="563"/>
      <c r="L170" s="563"/>
      <c r="M170" s="563"/>
      <c r="N170" s="563"/>
      <c r="O170" s="563"/>
      <c r="P170" s="563"/>
      <c r="Q170" s="638"/>
      <c r="R170" s="528"/>
    </row>
    <row r="171" spans="2:18" ht="15" customHeight="1">
      <c r="B171" s="633" t="s">
        <v>2</v>
      </c>
      <c r="C171" s="636" t="s">
        <v>385</v>
      </c>
      <c r="D171" s="507"/>
      <c r="E171" s="507" t="s">
        <v>551</v>
      </c>
      <c r="F171" s="545"/>
      <c r="H171" s="569"/>
      <c r="I171" s="569"/>
      <c r="J171" s="569"/>
      <c r="K171" s="569"/>
      <c r="L171" s="569"/>
      <c r="M171" s="569"/>
      <c r="N171" s="569"/>
      <c r="O171" s="569"/>
      <c r="P171" s="569"/>
      <c r="Q171" s="635">
        <v>130</v>
      </c>
    </row>
    <row r="172" spans="2:18" ht="15" customHeight="1">
      <c r="B172" s="633" t="s">
        <v>1</v>
      </c>
      <c r="C172" s="636" t="s">
        <v>386</v>
      </c>
      <c r="D172" s="507"/>
      <c r="E172" s="507" t="s">
        <v>551</v>
      </c>
      <c r="F172" s="545"/>
      <c r="H172" s="569"/>
      <c r="I172" s="569"/>
      <c r="J172" s="569"/>
      <c r="K172" s="569"/>
      <c r="L172" s="569"/>
      <c r="M172" s="569"/>
      <c r="N172" s="569"/>
      <c r="O172" s="569"/>
      <c r="P172" s="569"/>
      <c r="Q172" s="635">
        <v>300</v>
      </c>
    </row>
    <row r="173" spans="2:18" ht="15" customHeight="1">
      <c r="B173" s="633" t="s">
        <v>0</v>
      </c>
      <c r="C173" s="636" t="s">
        <v>387</v>
      </c>
      <c r="D173" s="507"/>
      <c r="E173" s="507" t="s">
        <v>551</v>
      </c>
      <c r="F173" s="545"/>
      <c r="H173" s="569"/>
      <c r="I173" s="569"/>
      <c r="J173" s="569"/>
      <c r="K173" s="569"/>
      <c r="L173" s="569"/>
      <c r="M173" s="569"/>
      <c r="N173" s="569"/>
      <c r="O173" s="569"/>
      <c r="P173" s="569"/>
      <c r="Q173" s="635">
        <v>300</v>
      </c>
    </row>
    <row r="174" spans="2:18" ht="4.5" customHeight="1">
      <c r="C174" s="402"/>
      <c r="Q174" s="637"/>
    </row>
    <row r="175" spans="2:18" ht="15" customHeight="1">
      <c r="B175" s="560"/>
      <c r="C175" s="561" t="s">
        <v>394</v>
      </c>
      <c r="D175" s="561"/>
      <c r="E175" s="561"/>
      <c r="F175" s="562"/>
      <c r="G175" s="3"/>
      <c r="H175" s="560"/>
      <c r="I175" s="563"/>
      <c r="J175" s="563"/>
      <c r="K175" s="563"/>
      <c r="L175" s="563"/>
      <c r="M175" s="563"/>
      <c r="N175" s="563"/>
      <c r="O175" s="563"/>
      <c r="P175" s="563"/>
      <c r="Q175" s="638"/>
      <c r="R175" s="528"/>
    </row>
    <row r="176" spans="2:18" ht="15" customHeight="1">
      <c r="B176" s="633" t="s">
        <v>2</v>
      </c>
      <c r="C176" s="634" t="s">
        <v>371</v>
      </c>
      <c r="D176" s="507"/>
      <c r="E176" s="507" t="s">
        <v>551</v>
      </c>
      <c r="F176" s="545"/>
      <c r="H176" s="569"/>
      <c r="I176" s="569"/>
      <c r="J176" s="569"/>
      <c r="K176" s="569"/>
      <c r="L176" s="569"/>
      <c r="M176" s="569"/>
      <c r="N176" s="569"/>
      <c r="O176" s="569"/>
      <c r="P176" s="569"/>
      <c r="Q176" s="635">
        <v>130</v>
      </c>
    </row>
    <row r="177" spans="2:18" ht="4.5" customHeight="1">
      <c r="C177" s="402"/>
      <c r="Q177" s="637"/>
    </row>
    <row r="178" spans="2:18" ht="15" customHeight="1">
      <c r="B178" s="560"/>
      <c r="C178" s="561" t="s">
        <v>395</v>
      </c>
      <c r="D178" s="561"/>
      <c r="E178" s="561"/>
      <c r="F178" s="562"/>
      <c r="G178" s="3"/>
      <c r="H178" s="560"/>
      <c r="I178" s="563"/>
      <c r="J178" s="563"/>
      <c r="K178" s="563"/>
      <c r="L178" s="563"/>
      <c r="M178" s="563"/>
      <c r="N178" s="563"/>
      <c r="O178" s="563"/>
      <c r="P178" s="563"/>
      <c r="Q178" s="638"/>
      <c r="R178" s="528"/>
    </row>
    <row r="179" spans="2:18" ht="15" customHeight="1">
      <c r="B179" s="633" t="s">
        <v>2</v>
      </c>
      <c r="C179" s="634" t="s">
        <v>372</v>
      </c>
      <c r="D179" s="507"/>
      <c r="E179" s="507" t="s">
        <v>551</v>
      </c>
      <c r="F179" s="545"/>
      <c r="H179" s="569"/>
      <c r="I179" s="569"/>
      <c r="J179" s="569"/>
      <c r="K179" s="569"/>
      <c r="L179" s="569"/>
      <c r="M179" s="569"/>
      <c r="N179" s="569"/>
      <c r="O179" s="569"/>
      <c r="P179" s="569"/>
      <c r="Q179" s="635">
        <v>360</v>
      </c>
    </row>
  </sheetData>
  <sheetProtection algorithmName="SHA-512" hashValue="NSHGHwtqOxwZavTpEEfICPLrOGUIoOy/KO3mj9vy286N5Z9G8Xmp032+IvP2zRBGJL2RYvbqhHuIUWcICX6D+g==" saltValue="aaWWYAM5+EkjJpovDOf84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topLeftCell="B1" zoomScale="85" zoomScaleNormal="85" workbookViewId="0">
      <pane ySplit="1" topLeftCell="A3" activePane="bottomLeft" state="frozen"/>
      <selection pane="bottomLeft" activeCell="T30" sqref="T30"/>
    </sheetView>
  </sheetViews>
  <sheetFormatPr defaultRowHeight="15"/>
  <cols>
    <col min="1" max="1" width="29.28515625" style="34" bestFit="1" customWidth="1"/>
    <col min="2" max="2" width="7.42578125" style="2" customWidth="1"/>
    <col min="3" max="3" width="16.5703125" style="58" bestFit="1" customWidth="1"/>
    <col min="4" max="4" width="21" bestFit="1" customWidth="1"/>
    <col min="5" max="5" width="16.140625" bestFit="1" customWidth="1"/>
    <col min="6" max="6" width="17.5703125" bestFit="1" customWidth="1"/>
    <col min="7" max="7" width="17.28515625" style="41" bestFit="1" customWidth="1"/>
    <col min="8" max="8" width="17.28515625" style="68" bestFit="1" customWidth="1"/>
    <col min="9" max="9" width="19" style="41"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3" customFormat="1" ht="90">
      <c r="A1" s="258" t="s">
        <v>256</v>
      </c>
      <c r="B1" s="258" t="s">
        <v>257</v>
      </c>
      <c r="C1" s="259" t="s">
        <v>258</v>
      </c>
      <c r="D1" s="258" t="s">
        <v>261</v>
      </c>
      <c r="E1" s="260" t="s">
        <v>268</v>
      </c>
      <c r="F1" s="260" t="s">
        <v>260</v>
      </c>
      <c r="G1" s="261" t="s">
        <v>308</v>
      </c>
      <c r="H1" s="262" t="s">
        <v>259</v>
      </c>
      <c r="I1" s="263" t="s">
        <v>262</v>
      </c>
      <c r="J1" s="263" t="s">
        <v>263</v>
      </c>
      <c r="K1" s="263" t="s">
        <v>286</v>
      </c>
      <c r="L1" s="263" t="s">
        <v>285</v>
      </c>
      <c r="M1" s="263" t="s">
        <v>297</v>
      </c>
      <c r="N1" s="263" t="s">
        <v>399</v>
      </c>
      <c r="O1" s="263" t="s">
        <v>291</v>
      </c>
      <c r="P1" s="263" t="s">
        <v>324</v>
      </c>
      <c r="Q1" s="263" t="s">
        <v>325</v>
      </c>
      <c r="R1" s="263" t="s">
        <v>294</v>
      </c>
      <c r="S1" s="263" t="s">
        <v>290</v>
      </c>
      <c r="T1" s="263" t="s">
        <v>44</v>
      </c>
    </row>
    <row r="2" spans="1:20" s="243" customFormat="1">
      <c r="A2" s="352"/>
      <c r="B2" s="352"/>
      <c r="C2" s="353"/>
      <c r="D2" s="352"/>
      <c r="E2" s="354"/>
      <c r="F2" s="354"/>
      <c r="G2" s="355"/>
      <c r="H2" s="356"/>
      <c r="I2" s="357"/>
      <c r="J2" s="357"/>
      <c r="K2" s="357"/>
      <c r="L2" s="357"/>
      <c r="M2" s="357"/>
      <c r="N2" s="357"/>
      <c r="O2" s="357"/>
      <c r="P2" s="357"/>
      <c r="Q2" s="357"/>
      <c r="R2" s="357"/>
      <c r="S2" s="357"/>
      <c r="T2" s="357"/>
    </row>
    <row r="3" spans="1:20" s="67" customFormat="1">
      <c r="A3" s="358" t="s">
        <v>264</v>
      </c>
      <c r="B3" s="359">
        <v>4141</v>
      </c>
      <c r="C3" s="761" t="s">
        <v>123</v>
      </c>
      <c r="D3" s="706" t="s">
        <v>729</v>
      </c>
      <c r="E3" s="360">
        <v>46023</v>
      </c>
      <c r="F3" s="360">
        <v>46387</v>
      </c>
      <c r="G3" s="763">
        <v>1765.86</v>
      </c>
      <c r="H3" s="362">
        <v>220</v>
      </c>
      <c r="I3" s="361">
        <v>27.15</v>
      </c>
      <c r="J3" s="361">
        <f>I3/2</f>
        <v>13.574999999999999</v>
      </c>
      <c r="K3" s="359"/>
      <c r="L3" s="359"/>
      <c r="M3" s="363"/>
      <c r="N3" s="363" t="s">
        <v>317</v>
      </c>
      <c r="O3" s="363"/>
      <c r="P3" s="363">
        <v>0.06</v>
      </c>
      <c r="Q3" s="363">
        <v>0.19</v>
      </c>
      <c r="R3" s="361">
        <v>25.52</v>
      </c>
      <c r="S3" s="361"/>
      <c r="T3" s="496">
        <v>0.05</v>
      </c>
    </row>
    <row r="4" spans="1:20" s="2" customFormat="1">
      <c r="A4" s="264" t="s">
        <v>302</v>
      </c>
      <c r="B4" s="272">
        <v>4110</v>
      </c>
      <c r="C4" s="762" t="s">
        <v>123</v>
      </c>
      <c r="D4" s="266" t="s">
        <v>729</v>
      </c>
      <c r="E4" s="267">
        <v>46023</v>
      </c>
      <c r="F4" s="267">
        <v>46387</v>
      </c>
      <c r="G4" s="764">
        <v>2307.83</v>
      </c>
      <c r="H4" s="269">
        <v>220</v>
      </c>
      <c r="I4" s="268">
        <v>27.15</v>
      </c>
      <c r="J4" s="268">
        <f t="shared" ref="J4:J15" si="0">I4/2</f>
        <v>13.574999999999999</v>
      </c>
      <c r="K4" s="272"/>
      <c r="L4" s="272"/>
      <c r="M4" s="270"/>
      <c r="N4" s="270" t="s">
        <v>317</v>
      </c>
      <c r="O4" s="270"/>
      <c r="P4" s="270">
        <v>0.06</v>
      </c>
      <c r="Q4" s="270">
        <v>0.19</v>
      </c>
      <c r="R4" s="268">
        <v>25.52</v>
      </c>
      <c r="S4" s="268"/>
      <c r="T4" s="705">
        <v>0.05</v>
      </c>
    </row>
    <row r="5" spans="1:20" s="2" customFormat="1">
      <c r="A5" s="264" t="s">
        <v>301</v>
      </c>
      <c r="B5" s="272">
        <v>5143</v>
      </c>
      <c r="C5" s="762" t="s">
        <v>123</v>
      </c>
      <c r="D5" s="266" t="s">
        <v>729</v>
      </c>
      <c r="E5" s="267">
        <v>46023</v>
      </c>
      <c r="F5" s="267">
        <v>46387</v>
      </c>
      <c r="G5" s="764">
        <v>1765.86</v>
      </c>
      <c r="H5" s="269">
        <v>220</v>
      </c>
      <c r="I5" s="268">
        <v>27.15</v>
      </c>
      <c r="J5" s="268">
        <f t="shared" si="0"/>
        <v>13.574999999999999</v>
      </c>
      <c r="K5" s="272"/>
      <c r="L5" s="272"/>
      <c r="M5" s="270"/>
      <c r="N5" s="270" t="s">
        <v>317</v>
      </c>
      <c r="O5" s="270"/>
      <c r="P5" s="270">
        <v>0.06</v>
      </c>
      <c r="Q5" s="270">
        <v>0.19</v>
      </c>
      <c r="R5" s="268">
        <v>25.52</v>
      </c>
      <c r="S5" s="268"/>
      <c r="T5" s="705">
        <v>0.05</v>
      </c>
    </row>
    <row r="6" spans="1:20" s="2" customFormat="1">
      <c r="A6" s="264" t="s">
        <v>266</v>
      </c>
      <c r="B6" s="272">
        <v>5135</v>
      </c>
      <c r="C6" s="762" t="s">
        <v>123</v>
      </c>
      <c r="D6" s="266" t="s">
        <v>729</v>
      </c>
      <c r="E6" s="267">
        <v>46023</v>
      </c>
      <c r="F6" s="267">
        <v>46387</v>
      </c>
      <c r="G6" s="764">
        <v>1766.86</v>
      </c>
      <c r="H6" s="273">
        <v>220</v>
      </c>
      <c r="I6" s="268">
        <v>27.15</v>
      </c>
      <c r="J6" s="268">
        <f t="shared" si="0"/>
        <v>13.574999999999999</v>
      </c>
      <c r="K6" s="272"/>
      <c r="L6" s="272"/>
      <c r="M6" s="270">
        <v>0.2</v>
      </c>
      <c r="N6" s="270" t="s">
        <v>317</v>
      </c>
      <c r="O6" s="270"/>
      <c r="P6" s="270">
        <v>0.06</v>
      </c>
      <c r="Q6" s="703">
        <v>0.19</v>
      </c>
      <c r="R6" s="268">
        <v>25.52</v>
      </c>
      <c r="S6" s="268"/>
      <c r="T6" s="705">
        <v>0.05</v>
      </c>
    </row>
    <row r="7" spans="1:20" s="2" customFormat="1">
      <c r="A7" s="264" t="s">
        <v>300</v>
      </c>
      <c r="B7" s="272">
        <v>5142</v>
      </c>
      <c r="C7" s="762" t="s">
        <v>123</v>
      </c>
      <c r="D7" s="266" t="s">
        <v>729</v>
      </c>
      <c r="E7" s="267">
        <v>46023</v>
      </c>
      <c r="F7" s="267">
        <v>46387</v>
      </c>
      <c r="G7" s="764">
        <v>2082.31</v>
      </c>
      <c r="H7" s="273">
        <v>220</v>
      </c>
      <c r="I7" s="268">
        <v>27.15</v>
      </c>
      <c r="J7" s="268">
        <f t="shared" si="0"/>
        <v>13.574999999999999</v>
      </c>
      <c r="K7" s="272"/>
      <c r="L7" s="272"/>
      <c r="M7" s="270">
        <v>0.4</v>
      </c>
      <c r="N7" s="270" t="s">
        <v>317</v>
      </c>
      <c r="O7" s="270"/>
      <c r="P7" s="270">
        <v>0.06</v>
      </c>
      <c r="Q7" s="703">
        <v>0.19</v>
      </c>
      <c r="R7" s="268">
        <v>25.52</v>
      </c>
      <c r="S7" s="268"/>
      <c r="T7" s="705">
        <v>0.05</v>
      </c>
    </row>
    <row r="8" spans="1:20">
      <c r="A8" s="264" t="s">
        <v>299</v>
      </c>
      <c r="B8" s="272">
        <v>5134</v>
      </c>
      <c r="C8" s="762" t="s">
        <v>123</v>
      </c>
      <c r="D8" s="266" t="s">
        <v>729</v>
      </c>
      <c r="E8" s="267">
        <v>46023</v>
      </c>
      <c r="F8" s="267">
        <v>46387</v>
      </c>
      <c r="G8" s="764">
        <v>1765.86</v>
      </c>
      <c r="H8" s="273">
        <v>220</v>
      </c>
      <c r="I8" s="268">
        <v>27.15</v>
      </c>
      <c r="J8" s="268">
        <f t="shared" si="0"/>
        <v>13.574999999999999</v>
      </c>
      <c r="K8" s="264"/>
      <c r="L8" s="264"/>
      <c r="M8" s="270">
        <v>0.2</v>
      </c>
      <c r="N8" s="270" t="s">
        <v>317</v>
      </c>
      <c r="O8" s="270"/>
      <c r="P8" s="270">
        <v>0.06</v>
      </c>
      <c r="Q8" s="703">
        <v>0.19</v>
      </c>
      <c r="R8" s="268">
        <v>25.52</v>
      </c>
      <c r="S8" s="268"/>
      <c r="T8" s="705">
        <v>0.05</v>
      </c>
    </row>
    <row r="9" spans="1:20">
      <c r="A9" s="264" t="s">
        <v>265</v>
      </c>
      <c r="B9" s="272">
        <v>5132</v>
      </c>
      <c r="C9" s="762" t="s">
        <v>123</v>
      </c>
      <c r="D9" s="266" t="s">
        <v>729</v>
      </c>
      <c r="E9" s="267">
        <v>46023</v>
      </c>
      <c r="F9" s="267">
        <v>46387</v>
      </c>
      <c r="G9" s="764">
        <v>1854.05</v>
      </c>
      <c r="H9" s="273">
        <v>220</v>
      </c>
      <c r="I9" s="268">
        <v>27.15</v>
      </c>
      <c r="J9" s="268">
        <f t="shared" si="0"/>
        <v>13.574999999999999</v>
      </c>
      <c r="K9" s="264"/>
      <c r="L9" s="264"/>
      <c r="M9" s="270">
        <v>0.2</v>
      </c>
      <c r="N9" s="270" t="s">
        <v>317</v>
      </c>
      <c r="O9" s="270"/>
      <c r="P9" s="270">
        <v>0.06</v>
      </c>
      <c r="Q9" s="703">
        <v>0.19</v>
      </c>
      <c r="R9" s="268">
        <v>25.52</v>
      </c>
      <c r="S9" s="268"/>
      <c r="T9" s="705">
        <v>0.05</v>
      </c>
    </row>
    <row r="10" spans="1:20">
      <c r="A10" s="264" t="s">
        <v>298</v>
      </c>
      <c r="B10" s="272">
        <v>5143</v>
      </c>
      <c r="C10" s="762" t="s">
        <v>123</v>
      </c>
      <c r="D10" s="266" t="s">
        <v>729</v>
      </c>
      <c r="E10" s="267">
        <v>46023</v>
      </c>
      <c r="F10" s="267">
        <v>46387</v>
      </c>
      <c r="G10" s="764">
        <v>1765.86</v>
      </c>
      <c r="H10" s="273">
        <v>220</v>
      </c>
      <c r="I10" s="268">
        <v>27.15</v>
      </c>
      <c r="J10" s="268">
        <f t="shared" si="0"/>
        <v>13.574999999999999</v>
      </c>
      <c r="K10" s="264"/>
      <c r="L10" s="264"/>
      <c r="M10" s="270">
        <v>0.4</v>
      </c>
      <c r="N10" s="270" t="s">
        <v>317</v>
      </c>
      <c r="O10" s="270"/>
      <c r="P10" s="270">
        <v>0.06</v>
      </c>
      <c r="Q10" s="703">
        <v>0.19</v>
      </c>
      <c r="R10" s="268">
        <v>25.52</v>
      </c>
      <c r="S10" s="268"/>
      <c r="T10" s="705">
        <v>2.5000000000000001E-2</v>
      </c>
    </row>
    <row r="11" spans="1:20">
      <c r="A11" s="274" t="s">
        <v>251</v>
      </c>
      <c r="B11" s="272">
        <v>5174</v>
      </c>
      <c r="C11" s="762" t="s">
        <v>123</v>
      </c>
      <c r="D11" s="266" t="s">
        <v>729</v>
      </c>
      <c r="E11" s="267">
        <v>46023</v>
      </c>
      <c r="F11" s="267">
        <v>46387</v>
      </c>
      <c r="G11" s="764">
        <v>2126.25</v>
      </c>
      <c r="H11" s="273">
        <v>220</v>
      </c>
      <c r="I11" s="268">
        <v>27.15</v>
      </c>
      <c r="J11" s="268">
        <f t="shared" si="0"/>
        <v>13.574999999999999</v>
      </c>
      <c r="K11" s="264"/>
      <c r="L11" s="264"/>
      <c r="M11" s="270"/>
      <c r="N11" s="270" t="s">
        <v>317</v>
      </c>
      <c r="O11" s="270"/>
      <c r="P11" s="270">
        <v>0.06</v>
      </c>
      <c r="Q11" s="703">
        <v>0.19</v>
      </c>
      <c r="R11" s="268">
        <v>25.52</v>
      </c>
      <c r="S11" s="268"/>
      <c r="T11" s="705">
        <v>2.5000000000000001E-2</v>
      </c>
    </row>
    <row r="12" spans="1:20">
      <c r="A12" s="274" t="s">
        <v>296</v>
      </c>
      <c r="B12" s="272">
        <v>4221</v>
      </c>
      <c r="C12" s="762" t="s">
        <v>123</v>
      </c>
      <c r="D12" s="266" t="s">
        <v>729</v>
      </c>
      <c r="E12" s="267">
        <v>46023</v>
      </c>
      <c r="F12" s="267">
        <v>46387</v>
      </c>
      <c r="G12" s="764">
        <v>1996.44</v>
      </c>
      <c r="H12" s="273">
        <v>220</v>
      </c>
      <c r="I12" s="268">
        <v>27.15</v>
      </c>
      <c r="J12" s="268">
        <f t="shared" si="0"/>
        <v>13.574999999999999</v>
      </c>
      <c r="K12" s="264"/>
      <c r="L12" s="264"/>
      <c r="M12" s="270"/>
      <c r="N12" s="270" t="s">
        <v>317</v>
      </c>
      <c r="O12" s="270"/>
      <c r="P12" s="270">
        <v>0.06</v>
      </c>
      <c r="Q12" s="703">
        <v>0.19</v>
      </c>
      <c r="R12" s="268">
        <v>25.52</v>
      </c>
      <c r="S12" s="268"/>
      <c r="T12" s="705">
        <v>2.5000000000000001E-2</v>
      </c>
    </row>
    <row r="13" spans="1:20">
      <c r="A13" s="264" t="s">
        <v>295</v>
      </c>
      <c r="B13" s="272">
        <v>5142</v>
      </c>
      <c r="C13" s="762" t="s">
        <v>123</v>
      </c>
      <c r="D13" s="266" t="s">
        <v>729</v>
      </c>
      <c r="E13" s="267">
        <v>46023</v>
      </c>
      <c r="F13" s="267">
        <v>46387</v>
      </c>
      <c r="G13" s="764">
        <v>1799.68</v>
      </c>
      <c r="H13" s="273">
        <v>220</v>
      </c>
      <c r="I13" s="268">
        <v>27.15</v>
      </c>
      <c r="J13" s="268">
        <f t="shared" si="0"/>
        <v>13.574999999999999</v>
      </c>
      <c r="K13" s="264"/>
      <c r="L13" s="264"/>
      <c r="M13" s="270">
        <v>0.2</v>
      </c>
      <c r="N13" s="270" t="s">
        <v>317</v>
      </c>
      <c r="O13" s="270"/>
      <c r="P13" s="270">
        <v>0.06</v>
      </c>
      <c r="Q13" s="703">
        <v>0.19</v>
      </c>
      <c r="R13" s="268">
        <v>25.52</v>
      </c>
      <c r="S13" s="268"/>
      <c r="T13" s="705">
        <v>2.5000000000000001E-2</v>
      </c>
    </row>
    <row r="14" spans="1:20">
      <c r="A14" s="274" t="s">
        <v>305</v>
      </c>
      <c r="B14" s="272">
        <v>5143</v>
      </c>
      <c r="C14" s="762" t="s">
        <v>123</v>
      </c>
      <c r="D14" s="266" t="s">
        <v>729</v>
      </c>
      <c r="E14" s="267">
        <v>46023</v>
      </c>
      <c r="F14" s="267">
        <v>46387</v>
      </c>
      <c r="G14" s="764">
        <v>2243.81</v>
      </c>
      <c r="H14" s="273">
        <v>220</v>
      </c>
      <c r="I14" s="268">
        <v>27.15</v>
      </c>
      <c r="J14" s="268">
        <f t="shared" si="0"/>
        <v>13.574999999999999</v>
      </c>
      <c r="K14" s="264"/>
      <c r="L14" s="264"/>
      <c r="M14" s="270"/>
      <c r="N14" s="270" t="s">
        <v>317</v>
      </c>
      <c r="O14" s="270">
        <v>0.3</v>
      </c>
      <c r="P14" s="270">
        <v>0.06</v>
      </c>
      <c r="Q14" s="703">
        <v>0.19</v>
      </c>
      <c r="R14" s="268">
        <v>25.52</v>
      </c>
      <c r="S14" s="268"/>
      <c r="T14" s="705">
        <v>2.5000000000000001E-2</v>
      </c>
    </row>
    <row r="15" spans="1:20">
      <c r="A15" s="274" t="s">
        <v>306</v>
      </c>
      <c r="B15" s="272">
        <v>4227</v>
      </c>
      <c r="C15" s="762" t="s">
        <v>123</v>
      </c>
      <c r="D15" s="266" t="s">
        <v>729</v>
      </c>
      <c r="E15" s="267">
        <v>46023</v>
      </c>
      <c r="F15" s="267">
        <v>46387</v>
      </c>
      <c r="G15" s="764">
        <v>2126.25</v>
      </c>
      <c r="H15" s="273">
        <v>220</v>
      </c>
      <c r="I15" s="268">
        <v>27.15</v>
      </c>
      <c r="J15" s="268">
        <f t="shared" si="0"/>
        <v>13.574999999999999</v>
      </c>
      <c r="K15" s="264"/>
      <c r="L15" s="264"/>
      <c r="M15" s="270"/>
      <c r="N15" s="270" t="s">
        <v>317</v>
      </c>
      <c r="O15" s="270"/>
      <c r="P15" s="270">
        <v>0.06</v>
      </c>
      <c r="Q15" s="703">
        <v>0.19</v>
      </c>
      <c r="R15" s="268">
        <v>25.52</v>
      </c>
      <c r="S15" s="268"/>
      <c r="T15" s="705">
        <v>0.05</v>
      </c>
    </row>
    <row r="16" spans="1:20">
      <c r="A16" s="274" t="s">
        <v>307</v>
      </c>
      <c r="B16" s="272">
        <v>4222</v>
      </c>
      <c r="C16" s="762" t="s">
        <v>123</v>
      </c>
      <c r="D16" s="266" t="s">
        <v>729</v>
      </c>
      <c r="E16" s="267">
        <v>46023</v>
      </c>
      <c r="F16" s="267">
        <v>46387</v>
      </c>
      <c r="G16" s="764">
        <v>1996.44</v>
      </c>
      <c r="H16" s="273">
        <v>180</v>
      </c>
      <c r="I16" s="268">
        <v>27.15</v>
      </c>
      <c r="J16" s="268">
        <f t="shared" ref="J16" si="1">I16/2</f>
        <v>13.574999999999999</v>
      </c>
      <c r="K16" s="264"/>
      <c r="L16" s="264"/>
      <c r="M16" s="270"/>
      <c r="N16" s="270" t="s">
        <v>317</v>
      </c>
      <c r="O16" s="270"/>
      <c r="P16" s="270">
        <v>0.06</v>
      </c>
      <c r="Q16" s="703">
        <v>0.19</v>
      </c>
      <c r="R16" s="268">
        <v>25.52</v>
      </c>
      <c r="S16" s="268"/>
      <c r="T16" s="705">
        <v>0.05</v>
      </c>
    </row>
    <row r="17" spans="1:20">
      <c r="A17" s="274" t="s">
        <v>292</v>
      </c>
      <c r="B17" s="272">
        <v>5173</v>
      </c>
      <c r="C17" s="265" t="s">
        <v>293</v>
      </c>
      <c r="D17" s="266" t="s">
        <v>659</v>
      </c>
      <c r="E17" s="267">
        <v>45689</v>
      </c>
      <c r="F17" s="267">
        <v>46418</v>
      </c>
      <c r="G17" s="271">
        <v>2105.4</v>
      </c>
      <c r="H17" s="273">
        <v>220</v>
      </c>
      <c r="I17" s="268">
        <v>30</v>
      </c>
      <c r="J17" s="268"/>
      <c r="K17" s="264"/>
      <c r="L17" s="275">
        <f>G17/H17*1.3/6</f>
        <v>2.0735000000000001</v>
      </c>
      <c r="M17" s="270"/>
      <c r="N17" s="270" t="s">
        <v>316</v>
      </c>
      <c r="O17" s="270">
        <v>0.3</v>
      </c>
      <c r="P17" s="270">
        <v>0.06</v>
      </c>
      <c r="Q17" s="703">
        <v>0.2</v>
      </c>
      <c r="R17" s="268"/>
      <c r="S17" s="268">
        <f>$R$4</f>
        <v>25.52</v>
      </c>
      <c r="T17" s="705">
        <v>2.5000000000000001E-2</v>
      </c>
    </row>
    <row r="18" spans="1:20">
      <c r="A18" s="274" t="s">
        <v>288</v>
      </c>
      <c r="B18" s="272">
        <v>7823</v>
      </c>
      <c r="C18" s="265" t="s">
        <v>289</v>
      </c>
      <c r="D18" s="266" t="s">
        <v>610</v>
      </c>
      <c r="E18" s="267">
        <v>45566</v>
      </c>
      <c r="F18" s="267">
        <v>45930</v>
      </c>
      <c r="G18" s="271">
        <f>2091.44</f>
        <v>2091.44</v>
      </c>
      <c r="H18" s="273">
        <v>220</v>
      </c>
      <c r="I18" s="268">
        <v>30</v>
      </c>
      <c r="J18" s="268"/>
      <c r="K18" s="264"/>
      <c r="L18" s="264"/>
      <c r="M18" s="270"/>
      <c r="N18" s="270" t="s">
        <v>316</v>
      </c>
      <c r="O18" s="270"/>
      <c r="P18" s="270">
        <v>0.06</v>
      </c>
      <c r="Q18" s="703">
        <v>0.2</v>
      </c>
      <c r="R18" s="268"/>
      <c r="S18" s="268">
        <f t="shared" ref="S18:S21" si="2">$R$4</f>
        <v>25.52</v>
      </c>
      <c r="T18" s="705">
        <v>0.05</v>
      </c>
    </row>
    <row r="19" spans="1:20">
      <c r="A19" s="274" t="s">
        <v>287</v>
      </c>
      <c r="B19" s="272">
        <v>7823</v>
      </c>
      <c r="C19" s="265" t="s">
        <v>289</v>
      </c>
      <c r="D19" s="266" t="s">
        <v>610</v>
      </c>
      <c r="E19" s="267">
        <v>45566</v>
      </c>
      <c r="F19" s="267">
        <v>45930</v>
      </c>
      <c r="G19" s="271">
        <f>2159.19</f>
        <v>2159.19</v>
      </c>
      <c r="H19" s="273">
        <v>220</v>
      </c>
      <c r="I19" s="268">
        <v>30</v>
      </c>
      <c r="J19" s="268"/>
      <c r="K19" s="264"/>
      <c r="L19" s="264"/>
      <c r="M19" s="270"/>
      <c r="N19" s="270" t="s">
        <v>316</v>
      </c>
      <c r="O19" s="270"/>
      <c r="P19" s="270">
        <v>0.06</v>
      </c>
      <c r="Q19" s="703">
        <v>0.2</v>
      </c>
      <c r="R19" s="268"/>
      <c r="S19" s="268">
        <f t="shared" si="2"/>
        <v>25.52</v>
      </c>
      <c r="T19" s="705">
        <v>0.05</v>
      </c>
    </row>
    <row r="20" spans="1:20">
      <c r="A20" s="264" t="s">
        <v>425</v>
      </c>
      <c r="B20" s="272">
        <v>7825</v>
      </c>
      <c r="C20" s="265" t="s">
        <v>289</v>
      </c>
      <c r="D20" s="266" t="s">
        <v>610</v>
      </c>
      <c r="E20" s="267">
        <v>45566</v>
      </c>
      <c r="F20" s="267">
        <v>45930</v>
      </c>
      <c r="G20" s="271">
        <f>2123.47</f>
        <v>2123.4699999999998</v>
      </c>
      <c r="H20" s="273">
        <v>220</v>
      </c>
      <c r="I20" s="268">
        <v>30</v>
      </c>
      <c r="J20" s="268"/>
      <c r="K20" s="264"/>
      <c r="L20" s="264"/>
      <c r="M20" s="270"/>
      <c r="N20" s="270" t="s">
        <v>316</v>
      </c>
      <c r="O20" s="270"/>
      <c r="P20" s="270">
        <v>0.06</v>
      </c>
      <c r="Q20" s="703">
        <v>0.2</v>
      </c>
      <c r="R20" s="268"/>
      <c r="S20" s="268">
        <f t="shared" si="2"/>
        <v>25.52</v>
      </c>
      <c r="T20" s="705">
        <v>0.05</v>
      </c>
    </row>
    <row r="21" spans="1:20">
      <c r="A21" s="276" t="s">
        <v>426</v>
      </c>
      <c r="B21" s="285">
        <v>7825</v>
      </c>
      <c r="C21" s="277" t="s">
        <v>289</v>
      </c>
      <c r="D21" s="278" t="s">
        <v>610</v>
      </c>
      <c r="E21" s="279">
        <v>45566</v>
      </c>
      <c r="F21" s="279">
        <v>45930</v>
      </c>
      <c r="G21" s="280">
        <f>2176.43</f>
        <v>2176.4299999999998</v>
      </c>
      <c r="H21" s="281">
        <v>220</v>
      </c>
      <c r="I21" s="282">
        <v>30</v>
      </c>
      <c r="J21" s="282"/>
      <c r="K21" s="283"/>
      <c r="L21" s="283"/>
      <c r="M21" s="284"/>
      <c r="N21" s="284" t="s">
        <v>316</v>
      </c>
      <c r="O21" s="284"/>
      <c r="P21" s="284">
        <v>0.06</v>
      </c>
      <c r="Q21" s="704">
        <v>0.2</v>
      </c>
      <c r="R21" s="282"/>
      <c r="S21" s="282">
        <f t="shared" si="2"/>
        <v>25.52</v>
      </c>
      <c r="T21" s="705">
        <v>0.05</v>
      </c>
    </row>
    <row r="22" spans="1:20">
      <c r="A22"/>
      <c r="E22" s="61"/>
      <c r="F22" s="61"/>
      <c r="R22" s="66"/>
      <c r="S22" s="66"/>
      <c r="T22" s="66"/>
    </row>
    <row r="23" spans="1:20">
      <c r="C23"/>
      <c r="E23" s="61"/>
      <c r="F23" s="61"/>
      <c r="R23" s="66"/>
      <c r="S23" s="66"/>
      <c r="T23" s="66"/>
    </row>
    <row r="24" spans="1:20">
      <c r="E24" s="61"/>
      <c r="F24" s="61"/>
      <c r="R24" s="66"/>
      <c r="S24" s="66"/>
      <c r="T24" s="66"/>
    </row>
    <row r="25" spans="1:20">
      <c r="C25"/>
      <c r="E25" s="61"/>
      <c r="F25" s="61"/>
      <c r="R25" s="66"/>
      <c r="S25" s="66"/>
      <c r="T25" s="66"/>
    </row>
    <row r="26" spans="1:20">
      <c r="A26"/>
      <c r="I26"/>
    </row>
    <row r="27" spans="1:20">
      <c r="I27"/>
    </row>
    <row r="28" spans="1:20">
      <c r="A28"/>
      <c r="I28"/>
    </row>
    <row r="29" spans="1:20">
      <c r="A29"/>
      <c r="I29"/>
    </row>
    <row r="30" spans="1:20">
      <c r="B30" s="286"/>
      <c r="C30"/>
      <c r="E30" s="61"/>
      <c r="F30" s="61"/>
    </row>
    <row r="31" spans="1:20">
      <c r="I31"/>
    </row>
    <row r="32" spans="1:20">
      <c r="C32"/>
      <c r="E32" s="61"/>
      <c r="F32" s="61"/>
    </row>
    <row r="33" spans="1:9">
      <c r="B33" s="286"/>
      <c r="C33"/>
      <c r="E33" s="61"/>
      <c r="F33" s="61"/>
    </row>
    <row r="34" spans="1:9">
      <c r="A34"/>
      <c r="E34" s="61"/>
      <c r="F34" s="61"/>
      <c r="I34"/>
    </row>
    <row r="35" spans="1:9">
      <c r="A35"/>
      <c r="E35" s="61"/>
      <c r="F35" s="61"/>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1"/>
      <c r="F43" s="61"/>
      <c r="I43"/>
    </row>
    <row r="44" spans="1:9">
      <c r="I44"/>
    </row>
    <row r="45" spans="1:9">
      <c r="B45" s="286"/>
      <c r="C45"/>
      <c r="I45"/>
    </row>
    <row r="46" spans="1:9">
      <c r="A46"/>
      <c r="C46"/>
      <c r="E46" s="61"/>
      <c r="F46" s="61"/>
      <c r="I46"/>
    </row>
    <row r="47" spans="1:9">
      <c r="C47"/>
      <c r="E47" s="61"/>
      <c r="F47" s="61"/>
      <c r="I47"/>
    </row>
    <row r="48" spans="1:9">
      <c r="A48"/>
      <c r="C48"/>
      <c r="E48" s="61"/>
      <c r="F48" s="61"/>
      <c r="I48"/>
    </row>
    <row r="49" spans="1:9">
      <c r="C49"/>
      <c r="E49" s="61"/>
      <c r="F49" s="61"/>
      <c r="I49"/>
    </row>
    <row r="50" spans="1:9">
      <c r="C50"/>
      <c r="E50" s="61"/>
      <c r="F50" s="61"/>
      <c r="I50"/>
    </row>
    <row r="51" spans="1:9">
      <c r="C51"/>
      <c r="E51" s="61"/>
      <c r="F51" s="61"/>
      <c r="I51"/>
    </row>
    <row r="52" spans="1:9">
      <c r="C52"/>
      <c r="E52" s="61"/>
      <c r="F52" s="61"/>
      <c r="I52"/>
    </row>
    <row r="53" spans="1:9">
      <c r="C53"/>
      <c r="E53" s="61"/>
      <c r="F53" s="61"/>
      <c r="I53"/>
    </row>
    <row r="54" spans="1:9">
      <c r="E54" s="61"/>
      <c r="F54" s="61"/>
      <c r="I54"/>
    </row>
    <row r="55" spans="1:9">
      <c r="C55"/>
      <c r="E55" s="61"/>
      <c r="F55" s="61"/>
      <c r="I55"/>
    </row>
    <row r="56" spans="1:9">
      <c r="A56"/>
      <c r="C56"/>
      <c r="E56" s="61"/>
      <c r="F56" s="61"/>
      <c r="I56"/>
    </row>
    <row r="57" spans="1:9">
      <c r="C57"/>
      <c r="E57" s="61"/>
      <c r="F57" s="61"/>
      <c r="I57"/>
    </row>
    <row r="58" spans="1:9">
      <c r="C58"/>
      <c r="E58" s="61"/>
      <c r="F58" s="61"/>
      <c r="I58"/>
    </row>
    <row r="59" spans="1:9">
      <c r="A59"/>
      <c r="C59"/>
      <c r="E59" s="61"/>
      <c r="F59" s="61"/>
      <c r="I59"/>
    </row>
    <row r="60" spans="1:9">
      <c r="A60"/>
      <c r="I60"/>
    </row>
    <row r="61" spans="1:9">
      <c r="A61"/>
      <c r="I61"/>
    </row>
    <row r="62" spans="1:9">
      <c r="A62"/>
      <c r="I62"/>
    </row>
    <row r="63" spans="1:9">
      <c r="A63" s="63"/>
      <c r="B63" s="286"/>
      <c r="C63" s="62"/>
      <c r="E63" s="61"/>
      <c r="F63" s="61"/>
    </row>
    <row r="64" spans="1:9">
      <c r="A64" s="63"/>
      <c r="B64" s="286"/>
      <c r="C64" s="62"/>
      <c r="E64" s="61"/>
      <c r="F64" s="61"/>
    </row>
    <row r="65" spans="1:9">
      <c r="C65"/>
      <c r="E65" s="61"/>
      <c r="F65" s="61"/>
    </row>
    <row r="66" spans="1:9">
      <c r="C66"/>
      <c r="E66" s="61"/>
      <c r="F66" s="61"/>
    </row>
    <row r="67" spans="1:9">
      <c r="C67"/>
      <c r="E67" s="61"/>
      <c r="F67" s="61"/>
    </row>
    <row r="68" spans="1:9">
      <c r="A68"/>
      <c r="E68" s="61"/>
      <c r="F68" s="61"/>
    </row>
    <row r="69" spans="1:9">
      <c r="A69"/>
      <c r="C69"/>
      <c r="E69" s="61"/>
      <c r="F69" s="61"/>
      <c r="I69"/>
    </row>
    <row r="70" spans="1:9">
      <c r="E70" s="61"/>
      <c r="F70" s="61"/>
    </row>
    <row r="71" spans="1:9">
      <c r="E71" s="61"/>
      <c r="F71" s="61"/>
    </row>
    <row r="72" spans="1:9">
      <c r="C72"/>
      <c r="E72" s="61"/>
      <c r="F72" s="61"/>
    </row>
    <row r="73" spans="1:9">
      <c r="E73" s="61"/>
      <c r="F73" s="61"/>
    </row>
    <row r="74" spans="1:9">
      <c r="E74" s="61"/>
      <c r="F74" s="61"/>
    </row>
    <row r="75" spans="1:9">
      <c r="E75" s="61"/>
      <c r="F75" s="61"/>
    </row>
    <row r="76" spans="1:9">
      <c r="A76"/>
      <c r="B76" s="286"/>
      <c r="E76" s="61"/>
      <c r="F76" s="61"/>
    </row>
    <row r="77" spans="1:9">
      <c r="E77" s="61"/>
      <c r="F77" s="61"/>
    </row>
    <row r="78" spans="1:9">
      <c r="A78"/>
      <c r="C78" s="62"/>
      <c r="E78" s="61"/>
      <c r="F78" s="61"/>
    </row>
    <row r="79" spans="1:9">
      <c r="C79"/>
      <c r="E79" s="61"/>
      <c r="F79" s="61"/>
      <c r="I79"/>
    </row>
    <row r="80" spans="1:9">
      <c r="C80"/>
      <c r="E80" s="61"/>
      <c r="F80" s="61"/>
      <c r="I80"/>
    </row>
    <row r="81" spans="1:10">
      <c r="A81"/>
      <c r="I81"/>
    </row>
    <row r="82" spans="1:10">
      <c r="A82"/>
      <c r="I82"/>
    </row>
    <row r="83" spans="1:10">
      <c r="A83"/>
      <c r="I83"/>
    </row>
    <row r="84" spans="1:10">
      <c r="A84"/>
      <c r="C84"/>
      <c r="I84"/>
    </row>
    <row r="85" spans="1:10">
      <c r="C85"/>
      <c r="E85" s="61"/>
      <c r="F85" s="61"/>
      <c r="I85"/>
    </row>
    <row r="86" spans="1:10">
      <c r="A86"/>
      <c r="I86"/>
    </row>
    <row r="87" spans="1:10">
      <c r="A87"/>
      <c r="I87"/>
    </row>
    <row r="88" spans="1:10">
      <c r="A88"/>
      <c r="C88" s="62"/>
      <c r="E88" s="61"/>
      <c r="F88" s="61"/>
    </row>
    <row r="89" spans="1:10">
      <c r="A89" s="63"/>
      <c r="C89"/>
      <c r="E89" s="61"/>
      <c r="F89" s="61"/>
      <c r="I89"/>
    </row>
    <row r="90" spans="1:10">
      <c r="A90" s="63"/>
      <c r="C90"/>
      <c r="E90" s="61"/>
      <c r="F90" s="61"/>
      <c r="I90"/>
    </row>
    <row r="91" spans="1:10">
      <c r="C91"/>
      <c r="E91" s="61"/>
      <c r="F91" s="61"/>
      <c r="I91"/>
    </row>
    <row r="92" spans="1:10">
      <c r="A92" s="57"/>
      <c r="D92" s="2"/>
      <c r="E92" s="60"/>
      <c r="F92" s="60"/>
      <c r="G92" s="59"/>
      <c r="H92" s="65"/>
      <c r="I92" s="59"/>
      <c r="J92" s="2"/>
    </row>
    <row r="93" spans="1:10">
      <c r="A93" s="57"/>
      <c r="D93" s="2"/>
      <c r="E93" s="60"/>
      <c r="F93" s="60"/>
      <c r="G93" s="59"/>
      <c r="H93" s="65"/>
      <c r="I93" s="59"/>
      <c r="J93" s="2"/>
    </row>
    <row r="94" spans="1:10">
      <c r="A94" s="57"/>
      <c r="D94" s="2"/>
      <c r="E94" s="60"/>
      <c r="F94" s="60"/>
      <c r="G94" s="59"/>
      <c r="H94" s="65"/>
      <c r="I94" s="59"/>
      <c r="J94" s="2"/>
    </row>
    <row r="95" spans="1:10">
      <c r="A95" s="57"/>
      <c r="D95" s="2"/>
      <c r="E95" s="60"/>
      <c r="F95" s="60"/>
      <c r="G95" s="59"/>
      <c r="H95" s="65"/>
      <c r="I95" s="59"/>
      <c r="J95" s="2"/>
    </row>
    <row r="96" spans="1:10">
      <c r="A96"/>
    </row>
    <row r="97" spans="1:10">
      <c r="A97"/>
    </row>
    <row r="98" spans="1:10">
      <c r="A98"/>
    </row>
    <row r="99" spans="1:10">
      <c r="A99"/>
    </row>
    <row r="100" spans="1:10">
      <c r="A100"/>
    </row>
    <row r="101" spans="1:10">
      <c r="A101"/>
    </row>
    <row r="102" spans="1:10">
      <c r="A102"/>
    </row>
    <row r="103" spans="1:10" s="58" customFormat="1">
      <c r="A103"/>
      <c r="B103" s="2"/>
      <c r="D103"/>
      <c r="E103"/>
      <c r="F103"/>
      <c r="G103" s="41"/>
      <c r="H103" s="68"/>
      <c r="I103" s="41"/>
      <c r="J103"/>
    </row>
    <row r="104" spans="1:10" s="58" customFormat="1">
      <c r="A104"/>
      <c r="B104" s="2"/>
      <c r="D104"/>
      <c r="E104"/>
      <c r="F104"/>
      <c r="G104" s="41"/>
      <c r="H104" s="68"/>
      <c r="I104" s="41"/>
      <c r="J104"/>
    </row>
    <row r="105" spans="1:10" s="58" customFormat="1">
      <c r="A105"/>
      <c r="B105" s="2"/>
      <c r="D105"/>
      <c r="E105"/>
      <c r="F105"/>
      <c r="G105" s="41"/>
      <c r="H105" s="68"/>
      <c r="I105" s="41"/>
      <c r="J105"/>
    </row>
    <row r="106" spans="1:10" s="58" customFormat="1">
      <c r="A106"/>
      <c r="B106" s="2"/>
      <c r="D106"/>
      <c r="E106"/>
      <c r="F106"/>
      <c r="G106" s="41"/>
      <c r="H106" s="68"/>
      <c r="I106" s="41"/>
      <c r="J106"/>
    </row>
    <row r="107" spans="1:10" s="58" customFormat="1">
      <c r="A107"/>
      <c r="B107" s="2"/>
      <c r="D107"/>
      <c r="E107"/>
      <c r="F107"/>
      <c r="G107" s="41"/>
      <c r="H107" s="68"/>
      <c r="I107" s="41"/>
      <c r="J107"/>
    </row>
    <row r="108" spans="1:10" s="58" customFormat="1">
      <c r="A108"/>
      <c r="B108" s="2"/>
      <c r="D108"/>
      <c r="E108"/>
      <c r="F108"/>
      <c r="G108" s="41"/>
      <c r="H108" s="68"/>
      <c r="I108" s="41"/>
      <c r="J108"/>
    </row>
    <row r="109" spans="1:10" s="58" customFormat="1">
      <c r="A109"/>
      <c r="B109" s="2"/>
      <c r="D109"/>
      <c r="E109"/>
      <c r="F109"/>
      <c r="G109" s="41"/>
      <c r="H109" s="68"/>
      <c r="I109" s="41"/>
      <c r="J109"/>
    </row>
    <row r="110" spans="1:10" s="58" customFormat="1">
      <c r="A110"/>
      <c r="B110" s="2"/>
      <c r="D110"/>
      <c r="E110"/>
      <c r="F110"/>
      <c r="G110" s="41"/>
      <c r="H110" s="68"/>
      <c r="I110" s="41"/>
      <c r="J110"/>
    </row>
    <row r="111" spans="1:10" s="58" customFormat="1">
      <c r="A111"/>
      <c r="B111" s="2"/>
      <c r="D111"/>
      <c r="E111"/>
      <c r="F111"/>
      <c r="G111" s="41"/>
      <c r="H111" s="68"/>
      <c r="I111" s="41"/>
      <c r="J111"/>
    </row>
    <row r="112" spans="1:10" s="58" customFormat="1">
      <c r="A112"/>
      <c r="B112" s="2"/>
      <c r="D112"/>
      <c r="E112"/>
      <c r="F112"/>
      <c r="G112" s="41"/>
      <c r="H112" s="68"/>
      <c r="I112" s="41"/>
      <c r="J112"/>
    </row>
    <row r="113" spans="1:10" s="58" customFormat="1">
      <c r="A113"/>
      <c r="B113" s="2"/>
      <c r="D113"/>
      <c r="E113"/>
      <c r="F113"/>
      <c r="G113" s="41"/>
      <c r="H113" s="68"/>
      <c r="I113" s="41"/>
      <c r="J113"/>
    </row>
    <row r="114" spans="1:10" s="58" customFormat="1">
      <c r="A114"/>
      <c r="B114" s="2"/>
      <c r="D114"/>
      <c r="E114"/>
      <c r="F114"/>
      <c r="G114" s="41"/>
      <c r="H114" s="68"/>
      <c r="I114" s="41"/>
      <c r="J114"/>
    </row>
    <row r="115" spans="1:10" s="58" customFormat="1">
      <c r="A115"/>
      <c r="B115" s="2"/>
      <c r="D115"/>
      <c r="E115"/>
      <c r="F115"/>
      <c r="G115" s="41"/>
      <c r="H115" s="68"/>
      <c r="I115" s="41"/>
      <c r="J115"/>
    </row>
    <row r="116" spans="1:10" s="58" customFormat="1">
      <c r="A116"/>
      <c r="B116" s="2"/>
      <c r="D116"/>
      <c r="E116"/>
      <c r="F116"/>
      <c r="G116" s="41"/>
      <c r="H116" s="68"/>
      <c r="I116" s="41"/>
      <c r="J116"/>
    </row>
    <row r="117" spans="1:10" s="58" customFormat="1">
      <c r="A117"/>
      <c r="B117" s="2"/>
      <c r="D117"/>
      <c r="E117"/>
      <c r="F117"/>
      <c r="G117" s="41"/>
      <c r="H117" s="68"/>
      <c r="I117" s="41"/>
      <c r="J117"/>
    </row>
    <row r="118" spans="1:10" s="58" customFormat="1">
      <c r="A118"/>
      <c r="B118" s="2"/>
      <c r="D118"/>
      <c r="E118"/>
      <c r="F118"/>
      <c r="G118" s="41"/>
      <c r="H118" s="68"/>
      <c r="I118" s="41"/>
      <c r="J118"/>
    </row>
    <row r="119" spans="1:10" s="58" customFormat="1">
      <c r="A119"/>
      <c r="B119" s="2"/>
      <c r="D119"/>
      <c r="E119"/>
      <c r="F119"/>
      <c r="G119" s="41"/>
      <c r="H119" s="68"/>
      <c r="I119" s="41"/>
      <c r="J119"/>
    </row>
    <row r="120" spans="1:10" s="58" customFormat="1">
      <c r="A120"/>
      <c r="B120" s="2"/>
      <c r="D120"/>
      <c r="E120"/>
      <c r="F120"/>
      <c r="G120" s="41"/>
      <c r="H120" s="68"/>
      <c r="I120" s="41"/>
      <c r="J120"/>
    </row>
    <row r="121" spans="1:10" s="58" customFormat="1">
      <c r="A121"/>
      <c r="B121" s="2"/>
      <c r="D121"/>
      <c r="E121"/>
      <c r="F121"/>
      <c r="G121" s="41"/>
      <c r="H121" s="68"/>
      <c r="I121" s="41"/>
      <c r="J121"/>
    </row>
    <row r="122" spans="1:10" s="58" customFormat="1">
      <c r="A122"/>
      <c r="B122" s="2"/>
      <c r="D122"/>
      <c r="E122"/>
      <c r="F122"/>
      <c r="G122" s="41"/>
      <c r="H122" s="68"/>
      <c r="I122" s="41"/>
      <c r="J122"/>
    </row>
    <row r="123" spans="1:10" s="58" customFormat="1">
      <c r="A123"/>
      <c r="B123" s="2"/>
      <c r="D123"/>
      <c r="E123"/>
      <c r="F123"/>
      <c r="G123" s="41"/>
      <c r="H123" s="68"/>
      <c r="I123" s="41"/>
      <c r="J123"/>
    </row>
    <row r="124" spans="1:10" s="58" customFormat="1">
      <c r="A124"/>
      <c r="B124" s="2"/>
      <c r="D124"/>
      <c r="E124"/>
      <c r="F124"/>
      <c r="G124" s="41"/>
      <c r="H124" s="68"/>
      <c r="I124" s="41"/>
      <c r="J124"/>
    </row>
    <row r="125" spans="1:10" s="58" customFormat="1">
      <c r="A125"/>
      <c r="B125" s="2"/>
      <c r="D125"/>
      <c r="E125"/>
      <c r="F125"/>
      <c r="G125" s="41"/>
      <c r="H125" s="68"/>
      <c r="I125" s="41"/>
      <c r="J125"/>
    </row>
    <row r="126" spans="1:10" s="58" customFormat="1">
      <c r="A126"/>
      <c r="B126" s="2"/>
      <c r="D126"/>
      <c r="E126"/>
      <c r="F126"/>
      <c r="G126" s="41"/>
      <c r="H126" s="68"/>
      <c r="I126" s="41"/>
      <c r="J126"/>
    </row>
    <row r="127" spans="1:10" s="58" customFormat="1">
      <c r="A127"/>
      <c r="B127" s="2"/>
      <c r="D127"/>
      <c r="E127"/>
      <c r="F127"/>
      <c r="G127" s="41"/>
      <c r="H127" s="68"/>
      <c r="I127" s="41"/>
      <c r="J127"/>
    </row>
    <row r="128" spans="1:10" s="58" customFormat="1">
      <c r="A128"/>
      <c r="B128" s="2"/>
      <c r="D128"/>
      <c r="E128"/>
      <c r="F128"/>
      <c r="G128" s="41"/>
      <c r="H128" s="68"/>
      <c r="I128" s="41"/>
      <c r="J128"/>
    </row>
    <row r="129" spans="1:10" s="58" customFormat="1">
      <c r="A129"/>
      <c r="B129" s="2"/>
      <c r="D129"/>
      <c r="E129"/>
      <c r="F129"/>
      <c r="G129" s="41"/>
      <c r="H129" s="68"/>
      <c r="I129" s="41"/>
      <c r="J129"/>
    </row>
    <row r="130" spans="1:10" s="58" customFormat="1">
      <c r="A130"/>
      <c r="B130" s="2"/>
      <c r="D130"/>
      <c r="E130"/>
      <c r="F130"/>
      <c r="G130" s="41"/>
      <c r="H130" s="68"/>
      <c r="I130" s="41"/>
      <c r="J130"/>
    </row>
    <row r="131" spans="1:10" s="58" customFormat="1">
      <c r="A131"/>
      <c r="B131" s="2"/>
      <c r="D131"/>
      <c r="E131"/>
      <c r="F131"/>
      <c r="G131" s="41"/>
      <c r="H131" s="68"/>
      <c r="I131" s="41"/>
      <c r="J131"/>
    </row>
    <row r="132" spans="1:10" s="58" customFormat="1">
      <c r="A132"/>
      <c r="B132" s="2"/>
      <c r="D132"/>
      <c r="E132"/>
      <c r="F132"/>
      <c r="G132" s="41"/>
      <c r="H132" s="68"/>
      <c r="I132" s="41"/>
      <c r="J132"/>
    </row>
    <row r="133" spans="1:10" s="58" customFormat="1">
      <c r="A133"/>
      <c r="B133" s="2"/>
      <c r="D133"/>
      <c r="E133"/>
      <c r="F133"/>
      <c r="G133" s="41"/>
      <c r="H133" s="68"/>
      <c r="I133" s="41"/>
      <c r="J133"/>
    </row>
    <row r="134" spans="1:10" s="58" customFormat="1">
      <c r="A134"/>
      <c r="B134" s="2"/>
      <c r="D134"/>
      <c r="E134"/>
      <c r="F134"/>
      <c r="G134" s="41"/>
      <c r="H134" s="68"/>
      <c r="I134" s="41"/>
      <c r="J134"/>
    </row>
    <row r="135" spans="1:10" s="58" customFormat="1">
      <c r="A135"/>
      <c r="B135" s="2"/>
      <c r="D135"/>
      <c r="E135"/>
      <c r="F135"/>
      <c r="G135" s="41"/>
      <c r="H135" s="68"/>
      <c r="I135" s="41"/>
      <c r="J135"/>
    </row>
    <row r="136" spans="1:10" s="58" customFormat="1">
      <c r="A136"/>
      <c r="B136" s="2"/>
      <c r="D136"/>
      <c r="E136"/>
      <c r="F136"/>
      <c r="G136" s="41"/>
      <c r="H136" s="68"/>
      <c r="I136" s="41"/>
      <c r="J136"/>
    </row>
    <row r="137" spans="1:10" s="58" customFormat="1">
      <c r="A137"/>
      <c r="B137" s="2"/>
      <c r="D137"/>
      <c r="E137"/>
      <c r="F137"/>
      <c r="G137" s="41"/>
      <c r="H137" s="68"/>
      <c r="I137" s="41"/>
      <c r="J137"/>
    </row>
    <row r="138" spans="1:10" s="58" customFormat="1">
      <c r="A138"/>
      <c r="B138" s="2"/>
      <c r="D138"/>
      <c r="E138"/>
      <c r="F138"/>
      <c r="G138" s="41"/>
      <c r="H138" s="68"/>
      <c r="I138" s="41"/>
      <c r="J138"/>
    </row>
    <row r="139" spans="1:10" s="58" customFormat="1">
      <c r="A139"/>
      <c r="B139" s="2"/>
      <c r="D139"/>
      <c r="E139"/>
      <c r="F139"/>
      <c r="G139" s="41"/>
      <c r="H139" s="68"/>
      <c r="I139" s="41"/>
      <c r="J139"/>
    </row>
    <row r="140" spans="1:10" s="58" customFormat="1">
      <c r="A140"/>
      <c r="B140" s="2"/>
      <c r="D140"/>
      <c r="E140"/>
      <c r="F140"/>
      <c r="G140" s="41"/>
      <c r="H140" s="68"/>
      <c r="I140" s="41"/>
      <c r="J140"/>
    </row>
    <row r="141" spans="1:10" s="58" customFormat="1">
      <c r="A141"/>
      <c r="B141" s="2"/>
      <c r="D141"/>
      <c r="E141"/>
      <c r="F141"/>
      <c r="G141" s="41"/>
      <c r="H141" s="68"/>
      <c r="I141" s="41"/>
      <c r="J141"/>
    </row>
    <row r="142" spans="1:10" s="58" customFormat="1">
      <c r="A142" s="34"/>
      <c r="B142" s="2"/>
      <c r="D142"/>
      <c r="E142"/>
      <c r="F142"/>
      <c r="G142" s="41"/>
      <c r="H142" s="68"/>
      <c r="I142" s="41"/>
      <c r="J142"/>
    </row>
    <row r="143" spans="1:10" s="58" customFormat="1">
      <c r="A143" s="34"/>
      <c r="B143" s="2"/>
      <c r="D143"/>
      <c r="E143"/>
      <c r="F143"/>
      <c r="G143" s="41"/>
      <c r="H143" s="68"/>
      <c r="I143" s="41"/>
      <c r="J143"/>
    </row>
    <row r="144" spans="1:10" s="58" customFormat="1">
      <c r="A144" s="34"/>
      <c r="B144" s="2"/>
      <c r="D144"/>
      <c r="E144"/>
      <c r="F144"/>
      <c r="G144" s="41"/>
      <c r="H144" s="68"/>
      <c r="I144" s="41"/>
      <c r="J144"/>
    </row>
    <row r="145" spans="1:10" s="58" customFormat="1">
      <c r="A145" s="34"/>
      <c r="B145" s="2"/>
      <c r="D145"/>
      <c r="E145"/>
      <c r="F145"/>
      <c r="G145" s="41"/>
      <c r="H145" s="68"/>
      <c r="I145" s="41"/>
      <c r="J145"/>
    </row>
    <row r="146" spans="1:10" s="58" customFormat="1">
      <c r="A146" s="34"/>
      <c r="B146" s="2"/>
      <c r="D146"/>
      <c r="E146"/>
      <c r="F146"/>
      <c r="G146" s="41"/>
      <c r="H146" s="68"/>
      <c r="I146" s="41"/>
      <c r="J146"/>
    </row>
    <row r="147" spans="1:10" s="58" customFormat="1">
      <c r="A147" s="34"/>
      <c r="B147" s="2"/>
      <c r="D147"/>
      <c r="E147"/>
      <c r="F147"/>
      <c r="G147" s="41"/>
      <c r="H147" s="68"/>
      <c r="I147" s="41"/>
      <c r="J147"/>
    </row>
    <row r="148" spans="1:10" s="58" customFormat="1">
      <c r="A148" s="34"/>
      <c r="B148" s="2"/>
      <c r="D148"/>
      <c r="E148"/>
      <c r="F148"/>
      <c r="G148" s="41"/>
      <c r="H148" s="68"/>
      <c r="I148" s="41"/>
      <c r="J148"/>
    </row>
    <row r="149" spans="1:10" s="58" customFormat="1">
      <c r="A149" s="34"/>
      <c r="B149" s="2"/>
      <c r="D149"/>
      <c r="E149"/>
      <c r="F149"/>
      <c r="G149" s="41"/>
      <c r="H149" s="68"/>
      <c r="I149" s="41"/>
      <c r="J149"/>
    </row>
    <row r="150" spans="1:10" s="58" customFormat="1">
      <c r="A150" s="34"/>
      <c r="B150" s="2"/>
      <c r="D150"/>
      <c r="E150"/>
      <c r="F150"/>
      <c r="G150" s="41"/>
      <c r="H150" s="68"/>
      <c r="I150" s="41"/>
      <c r="J150"/>
    </row>
    <row r="151" spans="1:10" s="58" customFormat="1">
      <c r="A151" s="34"/>
      <c r="B151" s="2"/>
      <c r="D151"/>
      <c r="E151"/>
      <c r="F151"/>
      <c r="G151" s="41"/>
      <c r="H151" s="68"/>
      <c r="I151" s="41"/>
      <c r="J151"/>
    </row>
    <row r="152" spans="1:10" s="58" customFormat="1">
      <c r="A152" s="34"/>
      <c r="B152" s="2"/>
      <c r="D152"/>
      <c r="E152"/>
      <c r="F152"/>
      <c r="G152" s="41"/>
      <c r="H152" s="68"/>
      <c r="I152" s="41"/>
      <c r="J152"/>
    </row>
    <row r="153" spans="1:10" s="58" customFormat="1">
      <c r="A153" s="34"/>
      <c r="B153" s="2"/>
      <c r="D153"/>
      <c r="E153"/>
      <c r="F153"/>
      <c r="G153" s="41"/>
      <c r="H153" s="68"/>
      <c r="I153" s="41"/>
      <c r="J153"/>
    </row>
    <row r="154" spans="1:10" s="58" customFormat="1">
      <c r="A154" s="34"/>
      <c r="B154" s="2"/>
      <c r="D154"/>
      <c r="E154"/>
      <c r="F154"/>
      <c r="G154" s="41"/>
      <c r="H154" s="68"/>
      <c r="I154" s="41"/>
      <c r="J154"/>
    </row>
    <row r="155" spans="1:10" s="58" customFormat="1">
      <c r="A155" s="34"/>
      <c r="B155" s="2"/>
      <c r="D155"/>
      <c r="E155"/>
      <c r="F155"/>
      <c r="G155" s="41"/>
      <c r="H155" s="68"/>
      <c r="I155" s="41"/>
      <c r="J155"/>
    </row>
    <row r="156" spans="1:10" s="58" customFormat="1">
      <c r="A156" s="34"/>
      <c r="B156" s="2"/>
      <c r="D156"/>
      <c r="E156"/>
      <c r="F156"/>
      <c r="G156" s="41"/>
      <c r="H156" s="68"/>
      <c r="I156" s="41"/>
      <c r="J156"/>
    </row>
    <row r="157" spans="1:10" s="58" customFormat="1">
      <c r="A157" s="34"/>
      <c r="B157" s="2"/>
      <c r="D157"/>
      <c r="E157"/>
      <c r="F157"/>
      <c r="G157" s="41"/>
      <c r="H157" s="68"/>
      <c r="I157" s="41"/>
      <c r="J157"/>
    </row>
    <row r="158" spans="1:10" s="58" customFormat="1">
      <c r="A158" s="34"/>
      <c r="B158" s="2"/>
      <c r="D158"/>
      <c r="E158"/>
      <c r="F158"/>
      <c r="G158" s="41"/>
      <c r="H158" s="68"/>
      <c r="I158" s="41"/>
      <c r="J158"/>
    </row>
    <row r="159" spans="1:10" s="58" customFormat="1">
      <c r="A159" s="34"/>
      <c r="B159" s="2"/>
      <c r="D159"/>
      <c r="E159"/>
      <c r="F159"/>
      <c r="G159" s="41"/>
      <c r="H159" s="68"/>
      <c r="I159" s="41"/>
      <c r="J159"/>
    </row>
    <row r="160" spans="1:10" s="58" customFormat="1">
      <c r="A160" s="34"/>
      <c r="B160" s="2"/>
      <c r="D160"/>
      <c r="E160"/>
      <c r="F160"/>
      <c r="G160" s="41"/>
      <c r="H160" s="68"/>
      <c r="I160" s="41"/>
      <c r="J160"/>
    </row>
    <row r="161" spans="1:10" s="58" customFormat="1">
      <c r="A161" s="34"/>
      <c r="B161" s="2"/>
      <c r="D161"/>
      <c r="E161"/>
      <c r="F161"/>
      <c r="G161" s="41"/>
      <c r="H161" s="68"/>
      <c r="I161" s="41"/>
      <c r="J161"/>
    </row>
    <row r="162" spans="1:10" s="58" customFormat="1">
      <c r="A162" s="34"/>
      <c r="B162" s="2"/>
      <c r="D162"/>
      <c r="E162"/>
      <c r="F162"/>
      <c r="G162" s="41"/>
      <c r="H162" s="68"/>
      <c r="I162" s="41"/>
      <c r="J162"/>
    </row>
    <row r="163" spans="1:10" s="58" customFormat="1">
      <c r="A163" s="34"/>
      <c r="B163" s="2"/>
      <c r="D163"/>
      <c r="E163"/>
      <c r="F163"/>
      <c r="G163" s="41"/>
      <c r="H163" s="68"/>
      <c r="I163" s="41"/>
      <c r="J163"/>
    </row>
    <row r="164" spans="1:10" s="58" customFormat="1">
      <c r="A164" s="34"/>
      <c r="B164" s="2"/>
      <c r="D164"/>
      <c r="E164"/>
      <c r="F164"/>
      <c r="G164" s="41"/>
      <c r="H164" s="68"/>
      <c r="I164" s="41"/>
      <c r="J164"/>
    </row>
    <row r="165" spans="1:10" s="58" customFormat="1">
      <c r="A165" s="34"/>
      <c r="B165" s="2"/>
      <c r="D165"/>
      <c r="E165"/>
      <c r="F165"/>
      <c r="G165" s="41"/>
      <c r="H165" s="68"/>
      <c r="I165" s="41"/>
      <c r="J165"/>
    </row>
    <row r="166" spans="1:10" s="58" customFormat="1">
      <c r="A166" s="34"/>
      <c r="B166" s="2"/>
      <c r="D166"/>
      <c r="E166"/>
      <c r="F166"/>
      <c r="G166" s="41"/>
      <c r="H166" s="68"/>
      <c r="I166" s="41"/>
      <c r="J166"/>
    </row>
    <row r="167" spans="1:10" s="58" customFormat="1">
      <c r="A167" s="34"/>
      <c r="B167" s="2"/>
      <c r="D167"/>
      <c r="E167"/>
      <c r="F167"/>
      <c r="G167" s="41"/>
      <c r="H167" s="68"/>
      <c r="I167" s="41"/>
      <c r="J167"/>
    </row>
    <row r="168" spans="1:10" s="58" customFormat="1">
      <c r="A168" s="34"/>
      <c r="B168" s="2"/>
      <c r="D168"/>
      <c r="E168"/>
      <c r="F168"/>
      <c r="G168" s="41"/>
      <c r="H168" s="68"/>
      <c r="I168" s="41"/>
      <c r="J168"/>
    </row>
    <row r="169" spans="1:10" s="58" customFormat="1">
      <c r="A169" s="34"/>
      <c r="B169" s="2"/>
      <c r="D169"/>
      <c r="E169"/>
      <c r="F169"/>
      <c r="G169" s="41"/>
      <c r="H169" s="68"/>
      <c r="I169" s="41"/>
      <c r="J169"/>
    </row>
    <row r="170" spans="1:10" s="58" customFormat="1">
      <c r="A170" s="34"/>
      <c r="B170" s="2"/>
      <c r="D170"/>
      <c r="E170"/>
      <c r="F170"/>
      <c r="G170" s="41"/>
      <c r="H170" s="68"/>
      <c r="I170" s="41"/>
      <c r="J170"/>
    </row>
    <row r="171" spans="1:10" s="58" customFormat="1">
      <c r="A171" s="34"/>
      <c r="B171" s="2"/>
      <c r="D171"/>
      <c r="E171"/>
      <c r="F171"/>
      <c r="G171" s="41"/>
      <c r="H171" s="68"/>
      <c r="I171" s="41"/>
      <c r="J171"/>
    </row>
    <row r="172" spans="1:10" s="58" customFormat="1">
      <c r="A172" s="34"/>
      <c r="B172" s="2"/>
      <c r="D172"/>
      <c r="E172"/>
      <c r="F172"/>
      <c r="G172" s="41"/>
      <c r="H172" s="68"/>
      <c r="I172" s="41"/>
      <c r="J172"/>
    </row>
    <row r="173" spans="1:10" s="58" customFormat="1">
      <c r="A173" s="34"/>
      <c r="B173" s="2"/>
      <c r="D173"/>
      <c r="E173"/>
      <c r="F173"/>
      <c r="G173" s="41"/>
      <c r="H173" s="68"/>
      <c r="I173" s="41"/>
      <c r="J173"/>
    </row>
    <row r="174" spans="1:10" s="58" customFormat="1">
      <c r="A174" s="34"/>
      <c r="B174" s="2"/>
      <c r="D174"/>
      <c r="E174"/>
      <c r="F174"/>
      <c r="G174" s="41"/>
      <c r="H174" s="68"/>
      <c r="I174" s="41"/>
      <c r="J174"/>
    </row>
    <row r="175" spans="1:10" s="58" customFormat="1">
      <c r="A175" s="34"/>
      <c r="B175" s="2"/>
      <c r="D175"/>
      <c r="E175"/>
      <c r="F175"/>
      <c r="G175" s="41"/>
      <c r="H175" s="68"/>
      <c r="I175" s="41"/>
      <c r="J175"/>
    </row>
    <row r="176" spans="1:10" s="58" customFormat="1">
      <c r="A176" s="34"/>
      <c r="B176" s="2"/>
      <c r="D176"/>
      <c r="E176"/>
      <c r="F176"/>
      <c r="G176" s="41"/>
      <c r="H176" s="68"/>
      <c r="I176" s="41"/>
      <c r="J176"/>
    </row>
    <row r="177" spans="1:10" s="58" customFormat="1">
      <c r="A177" s="34"/>
      <c r="B177" s="2"/>
      <c r="D177"/>
      <c r="E177"/>
      <c r="F177"/>
      <c r="G177" s="41"/>
      <c r="H177" s="68"/>
      <c r="I177" s="41"/>
      <c r="J177"/>
    </row>
    <row r="178" spans="1:10" s="58" customFormat="1">
      <c r="A178" s="34"/>
      <c r="B178" s="2"/>
      <c r="D178"/>
      <c r="E178"/>
      <c r="F178"/>
      <c r="G178" s="41"/>
      <c r="H178" s="68"/>
      <c r="I178" s="41"/>
      <c r="J178"/>
    </row>
    <row r="179" spans="1:10" s="58" customFormat="1">
      <c r="A179" s="34"/>
      <c r="B179" s="2"/>
      <c r="D179"/>
      <c r="E179"/>
      <c r="F179"/>
      <c r="G179" s="41"/>
      <c r="H179" s="68"/>
      <c r="I179" s="41"/>
      <c r="J179"/>
    </row>
    <row r="180" spans="1:10" s="58" customFormat="1">
      <c r="A180" s="34"/>
      <c r="B180" s="2"/>
      <c r="D180"/>
      <c r="E180"/>
      <c r="F180"/>
      <c r="G180" s="41"/>
      <c r="H180" s="68"/>
      <c r="I180" s="41"/>
      <c r="J180"/>
    </row>
    <row r="181" spans="1:10" s="58" customFormat="1">
      <c r="A181" s="34"/>
      <c r="B181" s="2"/>
      <c r="D181"/>
      <c r="E181"/>
      <c r="F181"/>
      <c r="G181" s="41"/>
      <c r="H181" s="68"/>
      <c r="I181" s="41"/>
      <c r="J181"/>
    </row>
    <row r="182" spans="1:10" s="58" customFormat="1">
      <c r="A182" s="34"/>
      <c r="B182" s="2"/>
      <c r="D182"/>
      <c r="E182"/>
      <c r="F182"/>
      <c r="G182" s="41"/>
      <c r="H182" s="68"/>
      <c r="I182" s="41"/>
      <c r="J182"/>
    </row>
    <row r="183" spans="1:10" s="58" customFormat="1">
      <c r="A183" s="34"/>
      <c r="B183" s="2"/>
      <c r="D183"/>
      <c r="E183"/>
      <c r="F183"/>
      <c r="G183" s="41"/>
      <c r="H183" s="68"/>
      <c r="I183" s="41"/>
      <c r="J183"/>
    </row>
    <row r="184" spans="1:10" s="58" customFormat="1">
      <c r="A184" s="34"/>
      <c r="B184" s="2"/>
      <c r="D184"/>
      <c r="E184"/>
      <c r="F184"/>
      <c r="G184" s="41"/>
      <c r="H184" s="68"/>
      <c r="I184" s="41"/>
      <c r="J184"/>
    </row>
    <row r="185" spans="1:10" s="58" customFormat="1">
      <c r="A185" s="34"/>
      <c r="B185" s="2"/>
      <c r="D185"/>
      <c r="E185"/>
      <c r="F185"/>
      <c r="G185" s="41"/>
      <c r="H185" s="68"/>
      <c r="I185" s="41"/>
      <c r="J185"/>
    </row>
    <row r="186" spans="1:10" s="58" customFormat="1">
      <c r="A186" s="34"/>
      <c r="B186" s="2"/>
      <c r="D186"/>
      <c r="E186"/>
      <c r="F186"/>
      <c r="G186" s="41"/>
      <c r="H186" s="68"/>
      <c r="I186" s="41"/>
      <c r="J186"/>
    </row>
    <row r="187" spans="1:10" s="58" customFormat="1">
      <c r="A187" s="34"/>
      <c r="B187" s="2"/>
      <c r="D187"/>
      <c r="E187"/>
      <c r="F187"/>
      <c r="G187" s="41"/>
      <c r="H187" s="68"/>
      <c r="I187" s="41"/>
      <c r="J187"/>
    </row>
    <row r="188" spans="1:10" s="58" customFormat="1">
      <c r="A188" s="34"/>
      <c r="B188" s="2"/>
      <c r="D188"/>
      <c r="E188"/>
      <c r="F188"/>
      <c r="G188" s="41"/>
      <c r="H188" s="68"/>
      <c r="I188" s="41"/>
      <c r="J188"/>
    </row>
    <row r="189" spans="1:10" s="58" customFormat="1">
      <c r="A189" s="34"/>
      <c r="B189" s="2"/>
      <c r="D189"/>
      <c r="E189"/>
      <c r="F189"/>
      <c r="G189" s="41"/>
      <c r="H189" s="68"/>
      <c r="I189" s="41"/>
      <c r="J189"/>
    </row>
    <row r="190" spans="1:10" s="58" customFormat="1">
      <c r="A190" s="34"/>
      <c r="B190" s="2"/>
      <c r="D190"/>
      <c r="E190"/>
      <c r="F190"/>
      <c r="G190" s="41"/>
      <c r="H190" s="68"/>
      <c r="I190" s="41"/>
      <c r="J190"/>
    </row>
    <row r="191" spans="1:10" s="58" customFormat="1">
      <c r="A191" s="34"/>
      <c r="B191" s="2"/>
      <c r="D191"/>
      <c r="E191"/>
      <c r="F191"/>
      <c r="G191" s="41"/>
      <c r="H191" s="68"/>
      <c r="I191" s="41"/>
      <c r="J191"/>
    </row>
    <row r="192" spans="1:10" s="58" customFormat="1">
      <c r="A192" s="34"/>
      <c r="B192" s="2"/>
      <c r="D192"/>
      <c r="E192"/>
      <c r="F192"/>
      <c r="G192" s="41"/>
      <c r="H192" s="68"/>
      <c r="I192" s="41"/>
      <c r="J192"/>
    </row>
    <row r="193" spans="1:10" s="58" customFormat="1">
      <c r="A193" s="34"/>
      <c r="B193" s="2"/>
      <c r="D193"/>
      <c r="E193"/>
      <c r="F193"/>
      <c r="G193" s="41"/>
      <c r="H193" s="68"/>
      <c r="I193" s="41"/>
      <c r="J193"/>
    </row>
    <row r="194" spans="1:10" s="58" customFormat="1">
      <c r="A194" s="34"/>
      <c r="B194" s="2"/>
      <c r="D194"/>
      <c r="E194"/>
      <c r="F194"/>
      <c r="G194" s="41"/>
      <c r="H194" s="68"/>
      <c r="I194" s="41"/>
      <c r="J194"/>
    </row>
    <row r="195" spans="1:10" s="58" customFormat="1">
      <c r="A195" s="34"/>
      <c r="B195" s="2"/>
      <c r="D195"/>
      <c r="E195"/>
      <c r="F195"/>
      <c r="G195" s="41"/>
      <c r="H195" s="68"/>
      <c r="I195" s="41"/>
      <c r="J195"/>
    </row>
    <row r="196" spans="1:10" s="58" customFormat="1">
      <c r="A196" s="34"/>
      <c r="B196" s="2"/>
      <c r="D196"/>
      <c r="E196"/>
      <c r="F196"/>
      <c r="G196" s="41"/>
      <c r="H196" s="68"/>
      <c r="I196" s="41"/>
      <c r="J196"/>
    </row>
    <row r="197" spans="1:10" s="58" customFormat="1">
      <c r="A197" s="34"/>
      <c r="B197" s="2"/>
      <c r="D197"/>
      <c r="E197"/>
      <c r="F197"/>
      <c r="G197" s="41"/>
      <c r="H197" s="68"/>
      <c r="I197" s="41"/>
      <c r="J197"/>
    </row>
    <row r="198" spans="1:10" s="58" customFormat="1">
      <c r="A198" s="34"/>
      <c r="B198" s="2"/>
      <c r="D198"/>
      <c r="E198"/>
      <c r="F198"/>
      <c r="G198" s="41"/>
      <c r="H198" s="68"/>
      <c r="I198" s="41"/>
      <c r="J198"/>
    </row>
    <row r="199" spans="1:10" s="58" customFormat="1">
      <c r="A199" s="34"/>
      <c r="B199" s="2"/>
      <c r="D199"/>
      <c r="E199"/>
      <c r="F199"/>
      <c r="G199" s="41"/>
      <c r="H199" s="68"/>
      <c r="I199" s="41"/>
      <c r="J199"/>
    </row>
    <row r="200" spans="1:10" s="58" customFormat="1">
      <c r="A200" s="34"/>
      <c r="B200" s="2"/>
      <c r="D200"/>
      <c r="E200"/>
      <c r="F200"/>
      <c r="G200" s="41"/>
      <c r="H200" s="68"/>
      <c r="I200" s="41"/>
      <c r="J200"/>
    </row>
    <row r="201" spans="1:10" s="58" customFormat="1">
      <c r="A201" s="34"/>
      <c r="B201" s="2"/>
      <c r="D201"/>
      <c r="E201"/>
      <c r="F201"/>
      <c r="G201" s="41"/>
      <c r="H201" s="68"/>
      <c r="I201" s="41"/>
      <c r="J201"/>
    </row>
    <row r="202" spans="1:10" s="58" customFormat="1">
      <c r="A202" s="34"/>
      <c r="B202" s="2"/>
      <c r="D202"/>
      <c r="E202"/>
      <c r="F202"/>
      <c r="G202" s="41"/>
      <c r="H202" s="68"/>
      <c r="I202" s="41"/>
      <c r="J202"/>
    </row>
    <row r="203" spans="1:10" s="58" customFormat="1">
      <c r="A203" s="34"/>
      <c r="B203" s="2"/>
      <c r="D203"/>
      <c r="E203"/>
      <c r="F203"/>
      <c r="G203" s="41"/>
      <c r="H203" s="68"/>
      <c r="I203" s="41"/>
      <c r="J203"/>
    </row>
    <row r="204" spans="1:10" s="58" customFormat="1">
      <c r="A204" s="34"/>
      <c r="B204" s="2"/>
      <c r="D204"/>
      <c r="E204"/>
      <c r="F204"/>
      <c r="G204" s="41"/>
      <c r="H204" s="68"/>
      <c r="I204" s="41"/>
      <c r="J204"/>
    </row>
    <row r="205" spans="1:10" s="58" customFormat="1">
      <c r="A205" s="34"/>
      <c r="B205" s="2"/>
      <c r="D205"/>
      <c r="E205"/>
      <c r="F205"/>
      <c r="G205" s="41"/>
      <c r="H205" s="68"/>
      <c r="I205" s="41"/>
      <c r="J205"/>
    </row>
    <row r="206" spans="1:10" s="58" customFormat="1">
      <c r="A206" s="34"/>
      <c r="B206" s="2"/>
      <c r="D206"/>
      <c r="E206"/>
      <c r="F206"/>
      <c r="G206" s="41"/>
      <c r="H206" s="68"/>
      <c r="I206" s="41"/>
      <c r="J206"/>
    </row>
    <row r="207" spans="1:10" s="58" customFormat="1">
      <c r="A207" s="34"/>
      <c r="B207" s="2"/>
      <c r="D207"/>
      <c r="E207"/>
      <c r="F207"/>
      <c r="G207" s="41"/>
      <c r="H207" s="68"/>
      <c r="I207" s="41"/>
      <c r="J207"/>
    </row>
    <row r="208" spans="1:10" s="58" customFormat="1">
      <c r="A208" s="34"/>
      <c r="B208" s="2"/>
      <c r="D208"/>
      <c r="E208"/>
      <c r="F208"/>
      <c r="G208" s="41"/>
      <c r="H208" s="68"/>
      <c r="I208" s="41"/>
      <c r="J208"/>
    </row>
    <row r="209" spans="1:10" s="58" customFormat="1">
      <c r="A209" s="34"/>
      <c r="B209" s="2"/>
      <c r="D209"/>
      <c r="E209"/>
      <c r="F209"/>
      <c r="G209" s="41"/>
      <c r="H209" s="68"/>
      <c r="I209" s="41"/>
      <c r="J209"/>
    </row>
    <row r="210" spans="1:10" s="58" customFormat="1">
      <c r="A210" s="34"/>
      <c r="B210" s="2"/>
      <c r="D210"/>
      <c r="E210"/>
      <c r="F210"/>
      <c r="G210" s="41"/>
      <c r="H210" s="68"/>
      <c r="I210" s="41"/>
      <c r="J210"/>
    </row>
    <row r="211" spans="1:10" s="58" customFormat="1">
      <c r="A211" s="34"/>
      <c r="B211" s="2"/>
      <c r="D211"/>
      <c r="E211"/>
      <c r="F211"/>
      <c r="G211" s="41"/>
      <c r="H211" s="68"/>
      <c r="I211" s="41"/>
      <c r="J211"/>
    </row>
    <row r="212" spans="1:10" s="58" customFormat="1">
      <c r="A212" s="34"/>
      <c r="B212" s="2"/>
      <c r="D212"/>
      <c r="E212"/>
      <c r="F212"/>
      <c r="G212" s="41"/>
      <c r="H212" s="68"/>
      <c r="I212" s="41"/>
      <c r="J212"/>
    </row>
    <row r="213" spans="1:10" s="58" customFormat="1">
      <c r="A213" s="34"/>
      <c r="B213" s="2"/>
      <c r="D213"/>
      <c r="E213"/>
      <c r="F213"/>
      <c r="G213" s="41"/>
      <c r="H213" s="68"/>
      <c r="I213" s="41"/>
      <c r="J213"/>
    </row>
    <row r="214" spans="1:10" s="58" customFormat="1">
      <c r="A214" s="34"/>
      <c r="B214" s="2"/>
      <c r="D214"/>
      <c r="E214"/>
      <c r="F214"/>
      <c r="G214" s="41"/>
      <c r="H214" s="68"/>
      <c r="I214" s="41"/>
      <c r="J214"/>
    </row>
    <row r="215" spans="1:10" s="58" customFormat="1">
      <c r="A215" s="34"/>
      <c r="B215" s="2"/>
      <c r="D215"/>
      <c r="E215"/>
      <c r="F215"/>
      <c r="G215" s="41"/>
      <c r="H215" s="68"/>
      <c r="I215" s="41"/>
      <c r="J215"/>
    </row>
    <row r="216" spans="1:10" s="58" customFormat="1">
      <c r="A216" s="34"/>
      <c r="B216" s="2"/>
      <c r="D216"/>
      <c r="E216"/>
      <c r="F216"/>
      <c r="G216" s="41"/>
      <c r="H216" s="68"/>
      <c r="I216" s="41"/>
      <c r="J216"/>
    </row>
    <row r="217" spans="1:10" s="58" customFormat="1">
      <c r="A217" s="34"/>
      <c r="B217" s="2"/>
      <c r="D217"/>
      <c r="E217"/>
      <c r="F217"/>
      <c r="G217" s="41"/>
      <c r="H217" s="68"/>
      <c r="I217" s="41"/>
      <c r="J217"/>
    </row>
    <row r="218" spans="1:10" s="58" customFormat="1">
      <c r="A218" s="34"/>
      <c r="B218" s="2"/>
      <c r="D218"/>
      <c r="E218"/>
      <c r="F218"/>
      <c r="G218" s="41"/>
      <c r="H218" s="68"/>
      <c r="I218" s="41"/>
      <c r="J218"/>
    </row>
    <row r="219" spans="1:10" s="58" customFormat="1">
      <c r="A219" s="34"/>
      <c r="B219" s="2"/>
      <c r="D219"/>
      <c r="E219"/>
      <c r="F219"/>
      <c r="G219" s="41"/>
      <c r="H219" s="68"/>
      <c r="I219" s="41"/>
      <c r="J219"/>
    </row>
    <row r="220" spans="1:10" s="58" customFormat="1">
      <c r="A220" s="34"/>
      <c r="B220" s="2"/>
      <c r="D220"/>
      <c r="E220"/>
      <c r="F220"/>
      <c r="G220" s="41"/>
      <c r="H220" s="68"/>
      <c r="I220" s="41"/>
      <c r="J220"/>
    </row>
    <row r="221" spans="1:10" s="58" customFormat="1">
      <c r="A221" s="34"/>
      <c r="B221" s="2"/>
      <c r="D221"/>
      <c r="E221"/>
      <c r="F221"/>
      <c r="G221" s="41"/>
      <c r="H221" s="68"/>
      <c r="I221" s="41"/>
      <c r="J221"/>
    </row>
    <row r="222" spans="1:10" s="58" customFormat="1">
      <c r="A222" s="34"/>
      <c r="B222" s="2"/>
      <c r="D222"/>
      <c r="E222"/>
      <c r="F222"/>
      <c r="G222" s="41"/>
      <c r="H222" s="68"/>
      <c r="I222" s="41"/>
      <c r="J222"/>
    </row>
    <row r="223" spans="1:10" s="58" customFormat="1">
      <c r="A223" s="34"/>
      <c r="B223" s="2"/>
      <c r="D223"/>
      <c r="E223"/>
      <c r="F223"/>
      <c r="G223" s="41"/>
      <c r="H223" s="68"/>
      <c r="I223" s="41"/>
      <c r="J223"/>
    </row>
    <row r="224" spans="1:10" s="58" customFormat="1">
      <c r="A224" s="34"/>
      <c r="B224" s="2"/>
      <c r="D224"/>
      <c r="E224"/>
      <c r="F224"/>
      <c r="G224" s="41"/>
      <c r="H224" s="68"/>
      <c r="I224" s="41"/>
      <c r="J224"/>
    </row>
    <row r="225" spans="1:10" s="58" customFormat="1">
      <c r="A225" s="34"/>
      <c r="B225" s="2"/>
      <c r="D225"/>
      <c r="E225"/>
      <c r="F225"/>
      <c r="G225" s="41"/>
      <c r="H225" s="68"/>
      <c r="I225" s="41"/>
      <c r="J225"/>
    </row>
    <row r="226" spans="1:10" s="58" customFormat="1">
      <c r="A226" s="34"/>
      <c r="B226" s="2"/>
      <c r="D226"/>
      <c r="E226"/>
      <c r="F226"/>
      <c r="G226" s="41"/>
      <c r="H226" s="68"/>
      <c r="I226" s="41"/>
      <c r="J226"/>
    </row>
    <row r="227" spans="1:10" s="58" customFormat="1">
      <c r="A227" s="34"/>
      <c r="B227" s="2"/>
      <c r="D227"/>
      <c r="E227"/>
      <c r="F227"/>
      <c r="G227" s="41"/>
      <c r="H227" s="68"/>
      <c r="I227" s="41"/>
      <c r="J227"/>
    </row>
    <row r="228" spans="1:10" s="58" customFormat="1">
      <c r="A228" s="34"/>
      <c r="B228" s="2"/>
      <c r="D228"/>
      <c r="E228"/>
      <c r="F228"/>
      <c r="G228" s="41"/>
      <c r="H228" s="68"/>
      <c r="I228" s="41"/>
      <c r="J228"/>
    </row>
    <row r="229" spans="1:10" s="58" customFormat="1">
      <c r="A229" s="34"/>
      <c r="B229" s="2"/>
      <c r="D229"/>
      <c r="E229"/>
      <c r="F229"/>
      <c r="G229" s="41"/>
      <c r="H229" s="68"/>
      <c r="I229" s="41"/>
      <c r="J229"/>
    </row>
    <row r="230" spans="1:10" s="58" customFormat="1">
      <c r="A230" s="34"/>
      <c r="B230" s="2"/>
      <c r="D230"/>
      <c r="E230"/>
      <c r="F230"/>
      <c r="G230" s="41"/>
      <c r="H230" s="68"/>
      <c r="I230" s="41"/>
      <c r="J230"/>
    </row>
    <row r="231" spans="1:10" s="58" customFormat="1">
      <c r="A231" s="34"/>
      <c r="B231" s="2"/>
      <c r="D231"/>
      <c r="E231"/>
      <c r="F231"/>
      <c r="G231" s="41"/>
      <c r="H231" s="68"/>
      <c r="I231" s="41"/>
      <c r="J231"/>
    </row>
    <row r="232" spans="1:10" s="58" customFormat="1">
      <c r="A232" s="34"/>
      <c r="B232" s="2"/>
      <c r="D232"/>
      <c r="E232"/>
      <c r="F232"/>
      <c r="G232" s="41"/>
      <c r="H232" s="68"/>
      <c r="I232" s="41"/>
      <c r="J232"/>
    </row>
    <row r="233" spans="1:10" s="58" customFormat="1">
      <c r="A233" s="34"/>
      <c r="B233" s="2"/>
      <c r="D233"/>
      <c r="E233"/>
      <c r="F233"/>
      <c r="G233" s="41"/>
      <c r="H233" s="68"/>
      <c r="I233" s="41"/>
      <c r="J233"/>
    </row>
    <row r="234" spans="1:10" s="58" customFormat="1">
      <c r="A234" s="34"/>
      <c r="B234" s="2"/>
      <c r="D234"/>
      <c r="E234"/>
      <c r="F234"/>
      <c r="G234" s="41"/>
      <c r="H234" s="68"/>
      <c r="I234" s="41"/>
      <c r="J234"/>
    </row>
    <row r="235" spans="1:10" s="58" customFormat="1">
      <c r="A235" s="34"/>
      <c r="B235" s="2"/>
      <c r="D235"/>
      <c r="E235"/>
      <c r="F235"/>
      <c r="G235" s="41"/>
      <c r="H235" s="68"/>
      <c r="I235" s="41"/>
      <c r="J235"/>
    </row>
    <row r="236" spans="1:10" s="58" customFormat="1">
      <c r="A236" s="34"/>
      <c r="B236" s="2"/>
      <c r="D236"/>
      <c r="E236"/>
      <c r="F236"/>
      <c r="G236" s="41"/>
      <c r="H236" s="68"/>
      <c r="I236" s="41"/>
      <c r="J236"/>
    </row>
    <row r="237" spans="1:10" s="58" customFormat="1">
      <c r="A237" s="34"/>
      <c r="B237" s="2"/>
      <c r="D237"/>
      <c r="E237"/>
      <c r="F237"/>
      <c r="G237" s="41"/>
      <c r="H237" s="68"/>
      <c r="I237" s="41"/>
      <c r="J237"/>
    </row>
    <row r="238" spans="1:10" s="58" customFormat="1">
      <c r="A238" s="34"/>
      <c r="B238" s="2"/>
      <c r="D238"/>
      <c r="E238"/>
      <c r="F238"/>
      <c r="G238" s="41"/>
      <c r="H238" s="68"/>
      <c r="I238" s="41"/>
      <c r="J238"/>
    </row>
    <row r="239" spans="1:10" s="58" customFormat="1">
      <c r="A239" s="34"/>
      <c r="B239" s="2"/>
      <c r="D239"/>
      <c r="E239"/>
      <c r="F239"/>
      <c r="G239" s="41"/>
      <c r="H239" s="68"/>
      <c r="I239" s="41"/>
      <c r="J239"/>
    </row>
    <row r="240" spans="1:10" s="58" customFormat="1">
      <c r="A240" s="34"/>
      <c r="B240" s="2"/>
      <c r="D240"/>
      <c r="E240"/>
      <c r="F240"/>
      <c r="G240" s="41"/>
      <c r="H240" s="68"/>
      <c r="I240" s="41"/>
      <c r="J240"/>
    </row>
    <row r="241" spans="1:10" s="58" customFormat="1">
      <c r="A241" s="34"/>
      <c r="B241" s="2"/>
      <c r="D241"/>
      <c r="E241"/>
      <c r="F241"/>
      <c r="G241" s="41"/>
      <c r="H241" s="68"/>
      <c r="I241" s="41"/>
      <c r="J241"/>
    </row>
    <row r="242" spans="1:10" s="58" customFormat="1">
      <c r="A242" s="34"/>
      <c r="B242" s="2"/>
      <c r="D242"/>
      <c r="E242"/>
      <c r="F242"/>
      <c r="G242" s="41"/>
      <c r="H242" s="68"/>
      <c r="I242" s="41"/>
      <c r="J242"/>
    </row>
    <row r="243" spans="1:10" s="58" customFormat="1">
      <c r="A243" s="34"/>
      <c r="B243" s="2"/>
      <c r="D243"/>
      <c r="E243"/>
      <c r="F243"/>
      <c r="G243" s="41"/>
      <c r="H243" s="68"/>
      <c r="I243" s="41"/>
      <c r="J243"/>
    </row>
    <row r="244" spans="1:10" s="58" customFormat="1">
      <c r="A244" s="34"/>
      <c r="B244" s="2"/>
      <c r="D244"/>
      <c r="E244"/>
      <c r="F244"/>
      <c r="G244" s="41"/>
      <c r="H244" s="68"/>
      <c r="I244" s="41"/>
      <c r="J244"/>
    </row>
    <row r="245" spans="1:10" s="58" customFormat="1">
      <c r="A245" s="34"/>
      <c r="B245" s="2"/>
      <c r="D245"/>
      <c r="E245"/>
      <c r="F245"/>
      <c r="G245" s="41"/>
      <c r="H245" s="68"/>
      <c r="I245" s="41"/>
      <c r="J245"/>
    </row>
    <row r="246" spans="1:10" s="58" customFormat="1">
      <c r="A246" s="34"/>
      <c r="B246" s="2"/>
      <c r="D246"/>
      <c r="E246"/>
      <c r="F246"/>
      <c r="G246" s="41"/>
      <c r="H246" s="68"/>
      <c r="I246" s="41"/>
      <c r="J246"/>
    </row>
    <row r="247" spans="1:10" s="58" customFormat="1">
      <c r="A247" s="34"/>
      <c r="B247" s="2"/>
      <c r="D247"/>
      <c r="E247"/>
      <c r="F247"/>
      <c r="G247" s="41"/>
      <c r="H247" s="68"/>
      <c r="I247" s="41"/>
      <c r="J247"/>
    </row>
    <row r="248" spans="1:10" s="58" customFormat="1">
      <c r="A248" s="34"/>
      <c r="B248" s="2"/>
      <c r="D248"/>
      <c r="E248"/>
      <c r="F248"/>
      <c r="G248" s="41"/>
      <c r="H248" s="68"/>
      <c r="I248" s="41"/>
      <c r="J248"/>
    </row>
    <row r="249" spans="1:10" s="58" customFormat="1">
      <c r="A249" s="34"/>
      <c r="B249" s="2"/>
      <c r="D249"/>
      <c r="E249"/>
      <c r="F249"/>
      <c r="G249" s="41"/>
      <c r="H249" s="68"/>
      <c r="I249" s="41"/>
      <c r="J249"/>
    </row>
    <row r="250" spans="1:10" s="58" customFormat="1">
      <c r="A250" s="34"/>
      <c r="B250" s="2"/>
      <c r="D250"/>
      <c r="E250"/>
      <c r="F250"/>
      <c r="G250" s="41"/>
      <c r="H250" s="68"/>
      <c r="I250" s="41"/>
      <c r="J250"/>
    </row>
    <row r="251" spans="1:10" s="58" customFormat="1">
      <c r="A251" s="34"/>
      <c r="B251" s="2"/>
      <c r="D251"/>
      <c r="E251"/>
      <c r="F251"/>
      <c r="G251" s="41"/>
      <c r="H251" s="68"/>
      <c r="I251" s="41"/>
      <c r="J251"/>
    </row>
    <row r="252" spans="1:10" s="58" customFormat="1">
      <c r="A252" s="34"/>
      <c r="B252" s="2"/>
      <c r="D252"/>
      <c r="E252"/>
      <c r="F252"/>
      <c r="G252" s="41"/>
      <c r="H252" s="68"/>
      <c r="I252" s="41"/>
      <c r="J252"/>
    </row>
    <row r="253" spans="1:10" s="58" customFormat="1">
      <c r="A253" s="34"/>
      <c r="B253" s="2"/>
      <c r="D253"/>
      <c r="E253"/>
      <c r="F253"/>
      <c r="G253" s="41"/>
      <c r="H253" s="68"/>
      <c r="I253" s="41"/>
      <c r="J253"/>
    </row>
    <row r="254" spans="1:10" s="58" customFormat="1">
      <c r="A254" s="34"/>
      <c r="B254" s="2"/>
      <c r="D254"/>
      <c r="E254"/>
      <c r="F254"/>
      <c r="G254" s="41"/>
      <c r="H254" s="68"/>
      <c r="I254" s="41"/>
      <c r="J254"/>
    </row>
    <row r="255" spans="1:10" s="58" customFormat="1">
      <c r="A255" s="34"/>
      <c r="B255" s="2"/>
      <c r="D255"/>
      <c r="E255"/>
      <c r="F255"/>
      <c r="G255" s="41"/>
      <c r="H255" s="68"/>
      <c r="I255" s="41"/>
      <c r="J255"/>
    </row>
    <row r="256" spans="1:10" s="58" customFormat="1">
      <c r="A256" s="34"/>
      <c r="B256" s="2"/>
      <c r="D256"/>
      <c r="E256"/>
      <c r="F256"/>
      <c r="G256" s="41"/>
      <c r="H256" s="68"/>
      <c r="I256" s="41"/>
      <c r="J256"/>
    </row>
    <row r="257" spans="1:10" s="58" customFormat="1">
      <c r="A257" s="34"/>
      <c r="B257" s="2"/>
      <c r="D257"/>
      <c r="E257"/>
      <c r="F257"/>
      <c r="G257" s="41"/>
      <c r="H257" s="68"/>
      <c r="I257" s="41"/>
      <c r="J257"/>
    </row>
    <row r="258" spans="1:10" s="58" customFormat="1">
      <c r="A258" s="34"/>
      <c r="B258" s="2"/>
      <c r="D258"/>
      <c r="E258"/>
      <c r="F258"/>
      <c r="G258" s="41"/>
      <c r="H258" s="68"/>
      <c r="I258" s="41"/>
      <c r="J258"/>
    </row>
    <row r="259" spans="1:10" s="58" customFormat="1">
      <c r="A259" s="34"/>
      <c r="B259" s="2"/>
      <c r="D259"/>
      <c r="E259"/>
      <c r="F259"/>
      <c r="G259" s="41"/>
      <c r="H259" s="68"/>
      <c r="I259" s="41"/>
      <c r="J259"/>
    </row>
    <row r="260" spans="1:10" s="58" customFormat="1">
      <c r="A260" s="34"/>
      <c r="B260" s="2"/>
      <c r="D260"/>
      <c r="E260"/>
      <c r="F260"/>
      <c r="G260" s="41"/>
      <c r="H260" s="68"/>
      <c r="I260" s="41"/>
      <c r="J260"/>
    </row>
    <row r="261" spans="1:10" s="58" customFormat="1">
      <c r="A261" s="34"/>
      <c r="B261" s="2"/>
      <c r="D261"/>
      <c r="E261"/>
      <c r="F261"/>
      <c r="G261" s="41"/>
      <c r="H261" s="68"/>
      <c r="I261" s="41"/>
      <c r="J261"/>
    </row>
    <row r="262" spans="1:10" s="58" customFormat="1">
      <c r="A262" s="34"/>
      <c r="B262" s="2"/>
      <c r="D262"/>
      <c r="E262"/>
      <c r="F262"/>
      <c r="G262" s="41"/>
      <c r="H262" s="68"/>
      <c r="I262" s="41"/>
      <c r="J262"/>
    </row>
    <row r="263" spans="1:10" s="58" customFormat="1">
      <c r="A263" s="34"/>
      <c r="B263" s="2"/>
      <c r="D263"/>
      <c r="E263"/>
      <c r="F263"/>
      <c r="G263" s="41"/>
      <c r="H263" s="68"/>
      <c r="I263" s="41"/>
      <c r="J263"/>
    </row>
    <row r="264" spans="1:10" s="58" customFormat="1">
      <c r="A264" s="34"/>
      <c r="B264" s="2"/>
      <c r="D264"/>
      <c r="E264"/>
      <c r="F264"/>
      <c r="G264" s="41"/>
      <c r="H264" s="68"/>
      <c r="I264" s="41"/>
      <c r="J264"/>
    </row>
    <row r="265" spans="1:10" s="58" customFormat="1">
      <c r="A265" s="34"/>
      <c r="B265" s="2"/>
      <c r="D265"/>
      <c r="E265"/>
      <c r="F265"/>
      <c r="G265" s="41"/>
      <c r="H265" s="68"/>
      <c r="I265" s="41"/>
      <c r="J265"/>
    </row>
    <row r="266" spans="1:10" s="58" customFormat="1">
      <c r="A266" s="34"/>
      <c r="B266" s="2"/>
      <c r="D266"/>
      <c r="E266"/>
      <c r="F266"/>
      <c r="G266" s="41"/>
      <c r="H266" s="68"/>
      <c r="I266" s="41"/>
      <c r="J266"/>
    </row>
    <row r="267" spans="1:10" s="58" customFormat="1">
      <c r="A267" s="34"/>
      <c r="B267" s="2"/>
      <c r="D267"/>
      <c r="E267"/>
      <c r="F267"/>
      <c r="G267" s="41"/>
      <c r="H267" s="68"/>
      <c r="I267" s="41"/>
      <c r="J267"/>
    </row>
    <row r="268" spans="1:10" s="58" customFormat="1">
      <c r="A268" s="34"/>
      <c r="B268" s="2"/>
      <c r="D268"/>
      <c r="E268"/>
      <c r="F268"/>
      <c r="G268" s="41"/>
      <c r="H268" s="68"/>
      <c r="I268" s="41"/>
      <c r="J268"/>
    </row>
    <row r="269" spans="1:10" s="58" customFormat="1">
      <c r="A269" s="34"/>
      <c r="B269" s="2"/>
      <c r="D269"/>
      <c r="E269"/>
      <c r="F269"/>
      <c r="G269" s="41"/>
      <c r="H269" s="68"/>
      <c r="I269" s="41"/>
      <c r="J269"/>
    </row>
    <row r="270" spans="1:10" s="58" customFormat="1">
      <c r="A270" s="34"/>
      <c r="B270" s="2"/>
      <c r="D270"/>
      <c r="E270"/>
      <c r="F270"/>
      <c r="G270" s="41"/>
      <c r="H270" s="68"/>
      <c r="I270" s="41"/>
      <c r="J270"/>
    </row>
    <row r="271" spans="1:10" s="58" customFormat="1">
      <c r="A271" s="34"/>
      <c r="B271" s="2"/>
      <c r="D271"/>
      <c r="E271"/>
      <c r="F271"/>
      <c r="G271" s="41"/>
      <c r="H271" s="68"/>
      <c r="I271" s="41"/>
      <c r="J271"/>
    </row>
    <row r="272" spans="1:10" s="58" customFormat="1">
      <c r="A272" s="34"/>
      <c r="B272" s="2"/>
      <c r="D272"/>
      <c r="E272"/>
      <c r="F272"/>
      <c r="G272" s="41"/>
      <c r="H272" s="68"/>
      <c r="I272" s="41"/>
      <c r="J272"/>
    </row>
    <row r="273" spans="1:10" s="58" customFormat="1">
      <c r="A273" s="34"/>
      <c r="B273" s="2"/>
      <c r="D273"/>
      <c r="E273"/>
      <c r="F273"/>
      <c r="G273" s="41"/>
      <c r="H273" s="68"/>
      <c r="I273" s="41"/>
      <c r="J273"/>
    </row>
    <row r="274" spans="1:10" s="58" customFormat="1">
      <c r="A274" s="34"/>
      <c r="B274" s="2"/>
      <c r="D274"/>
      <c r="E274"/>
      <c r="F274"/>
      <c r="G274" s="41"/>
      <c r="H274" s="68"/>
      <c r="I274" s="41"/>
      <c r="J274"/>
    </row>
    <row r="275" spans="1:10" s="58" customFormat="1">
      <c r="A275" s="34"/>
      <c r="B275" s="2"/>
      <c r="D275"/>
      <c r="E275"/>
      <c r="F275"/>
      <c r="G275" s="41"/>
      <c r="H275" s="68"/>
      <c r="I275" s="41"/>
      <c r="J275"/>
    </row>
    <row r="276" spans="1:10" s="58" customFormat="1">
      <c r="A276" s="34"/>
      <c r="B276" s="2"/>
      <c r="D276"/>
      <c r="E276"/>
      <c r="F276"/>
      <c r="G276" s="41"/>
      <c r="H276" s="68"/>
      <c r="I276" s="41"/>
      <c r="J276"/>
    </row>
    <row r="277" spans="1:10" s="58" customFormat="1">
      <c r="A277" s="34"/>
      <c r="B277" s="2"/>
      <c r="D277"/>
      <c r="E277"/>
      <c r="F277"/>
      <c r="G277" s="41"/>
      <c r="H277" s="68"/>
      <c r="I277" s="41"/>
      <c r="J277"/>
    </row>
    <row r="278" spans="1:10" s="58" customFormat="1">
      <c r="A278" s="34"/>
      <c r="B278" s="2"/>
      <c r="D278"/>
      <c r="E278"/>
      <c r="F278"/>
      <c r="G278" s="41"/>
      <c r="H278" s="68"/>
      <c r="I278" s="41"/>
      <c r="J278"/>
    </row>
    <row r="279" spans="1:10" s="58" customFormat="1">
      <c r="A279" s="34"/>
      <c r="B279" s="2"/>
      <c r="D279"/>
      <c r="E279"/>
      <c r="F279"/>
      <c r="G279" s="41"/>
      <c r="H279" s="68"/>
      <c r="I279" s="41"/>
      <c r="J279"/>
    </row>
    <row r="280" spans="1:10" s="58" customFormat="1">
      <c r="A280" s="34"/>
      <c r="B280" s="2"/>
      <c r="D280"/>
      <c r="E280"/>
      <c r="F280"/>
      <c r="G280" s="41"/>
      <c r="H280" s="68"/>
      <c r="I280" s="41"/>
      <c r="J280"/>
    </row>
    <row r="281" spans="1:10" s="58" customFormat="1">
      <c r="A281" s="34"/>
      <c r="B281" s="2"/>
      <c r="D281"/>
      <c r="E281"/>
      <c r="F281"/>
      <c r="G281" s="41"/>
      <c r="H281" s="68"/>
      <c r="I281" s="41"/>
      <c r="J281"/>
    </row>
    <row r="282" spans="1:10" s="58" customFormat="1">
      <c r="A282" s="34"/>
      <c r="B282" s="2"/>
      <c r="D282"/>
      <c r="E282"/>
      <c r="F282"/>
      <c r="G282" s="41"/>
      <c r="H282" s="68"/>
      <c r="I282" s="41"/>
      <c r="J282"/>
    </row>
    <row r="283" spans="1:10" s="58" customFormat="1">
      <c r="A283" s="34"/>
      <c r="B283" s="2"/>
      <c r="D283"/>
      <c r="E283"/>
      <c r="F283"/>
      <c r="G283" s="41"/>
      <c r="H283" s="68"/>
      <c r="I283" s="41"/>
      <c r="J283"/>
    </row>
    <row r="284" spans="1:10" s="58" customFormat="1">
      <c r="A284" s="34"/>
      <c r="B284" s="2"/>
      <c r="D284"/>
      <c r="E284"/>
      <c r="F284"/>
      <c r="G284" s="41"/>
      <c r="H284" s="68"/>
      <c r="I284" s="41"/>
      <c r="J284"/>
    </row>
    <row r="285" spans="1:10" s="58" customFormat="1">
      <c r="A285" s="34"/>
      <c r="B285" s="2"/>
      <c r="D285"/>
      <c r="E285"/>
      <c r="F285"/>
      <c r="G285" s="41"/>
      <c r="H285" s="68"/>
      <c r="I285" s="41"/>
      <c r="J285"/>
    </row>
    <row r="286" spans="1:10" s="58" customFormat="1">
      <c r="A286" s="34"/>
      <c r="B286" s="2"/>
      <c r="D286"/>
      <c r="E286"/>
      <c r="F286"/>
      <c r="G286" s="41"/>
      <c r="H286" s="68"/>
      <c r="I286" s="41"/>
      <c r="J286"/>
    </row>
    <row r="287" spans="1:10" s="58" customFormat="1">
      <c r="A287" s="34"/>
      <c r="B287" s="2"/>
      <c r="D287"/>
      <c r="E287"/>
      <c r="F287"/>
      <c r="G287" s="41"/>
      <c r="H287" s="68"/>
      <c r="I287" s="41"/>
      <c r="J287"/>
    </row>
    <row r="288" spans="1:10" s="58" customFormat="1">
      <c r="A288" s="34"/>
      <c r="B288" s="2"/>
      <c r="D288"/>
      <c r="E288"/>
      <c r="F288"/>
      <c r="G288" s="41"/>
      <c r="H288" s="68"/>
      <c r="I288" s="41"/>
      <c r="J288"/>
    </row>
    <row r="289" spans="1:10" s="58" customFormat="1">
      <c r="A289" s="34"/>
      <c r="B289" s="2"/>
      <c r="D289"/>
      <c r="E289"/>
      <c r="F289"/>
      <c r="G289" s="41"/>
      <c r="H289" s="68"/>
      <c r="I289" s="41"/>
      <c r="J289"/>
    </row>
    <row r="290" spans="1:10" s="58" customFormat="1">
      <c r="A290" s="34"/>
      <c r="B290" s="2"/>
      <c r="D290"/>
      <c r="E290"/>
      <c r="F290"/>
      <c r="G290" s="41"/>
      <c r="H290" s="68"/>
      <c r="I290" s="41"/>
      <c r="J290"/>
    </row>
    <row r="291" spans="1:10" s="58" customFormat="1">
      <c r="A291" s="34"/>
      <c r="B291" s="2"/>
      <c r="D291"/>
      <c r="E291"/>
      <c r="F291"/>
      <c r="G291" s="41"/>
      <c r="H291" s="68"/>
      <c r="I291" s="41"/>
      <c r="J291"/>
    </row>
    <row r="292" spans="1:10" s="58" customFormat="1">
      <c r="A292" s="34"/>
      <c r="B292" s="2"/>
      <c r="D292"/>
      <c r="E292"/>
      <c r="F292"/>
      <c r="G292" s="41"/>
      <c r="H292" s="68"/>
      <c r="I292" s="41"/>
      <c r="J292"/>
    </row>
    <row r="293" spans="1:10" s="58" customFormat="1">
      <c r="A293" s="34"/>
      <c r="B293" s="2"/>
      <c r="D293"/>
      <c r="E293"/>
      <c r="F293"/>
      <c r="G293" s="41"/>
      <c r="H293" s="68"/>
      <c r="I293" s="41"/>
      <c r="J293"/>
    </row>
    <row r="294" spans="1:10" s="58" customFormat="1">
      <c r="A294" s="34"/>
      <c r="B294" s="2"/>
      <c r="D294"/>
      <c r="E294"/>
      <c r="F294"/>
      <c r="G294" s="41"/>
      <c r="H294" s="68"/>
      <c r="I294" s="41"/>
      <c r="J294"/>
    </row>
    <row r="295" spans="1:10" s="58" customFormat="1">
      <c r="A295" s="34"/>
      <c r="B295" s="2"/>
      <c r="D295"/>
      <c r="E295"/>
      <c r="F295"/>
      <c r="G295" s="41"/>
      <c r="H295" s="68"/>
      <c r="I295" s="41"/>
      <c r="J295"/>
    </row>
    <row r="296" spans="1:10" s="58" customFormat="1">
      <c r="A296" s="34"/>
      <c r="B296" s="2"/>
      <c r="D296"/>
      <c r="E296"/>
      <c r="F296"/>
      <c r="G296" s="41"/>
      <c r="H296" s="68"/>
      <c r="I296" s="41"/>
      <c r="J296"/>
    </row>
    <row r="297" spans="1:10" s="58" customFormat="1">
      <c r="A297" s="34"/>
      <c r="B297" s="2"/>
      <c r="D297"/>
      <c r="E297"/>
      <c r="F297"/>
      <c r="G297" s="41"/>
      <c r="H297" s="68"/>
      <c r="I297" s="41"/>
      <c r="J297"/>
    </row>
    <row r="298" spans="1:10" s="58" customFormat="1">
      <c r="A298" s="34"/>
      <c r="B298" s="2"/>
      <c r="D298"/>
      <c r="E298"/>
      <c r="F298"/>
      <c r="G298" s="41"/>
      <c r="H298" s="68"/>
      <c r="I298" s="41"/>
      <c r="J298"/>
    </row>
    <row r="299" spans="1:10" s="58" customFormat="1">
      <c r="A299" s="34"/>
      <c r="B299" s="2"/>
      <c r="D299"/>
      <c r="E299"/>
      <c r="F299"/>
      <c r="G299" s="41"/>
      <c r="H299" s="68"/>
      <c r="I299" s="41"/>
      <c r="J299"/>
    </row>
    <row r="300" spans="1:10" s="58" customFormat="1">
      <c r="A300" s="34"/>
      <c r="B300" s="2"/>
      <c r="D300"/>
      <c r="E300"/>
      <c r="F300"/>
      <c r="G300" s="41"/>
      <c r="H300" s="68"/>
      <c r="I300" s="41"/>
      <c r="J300"/>
    </row>
    <row r="301" spans="1:10" s="58" customFormat="1">
      <c r="A301" s="34"/>
      <c r="B301" s="2"/>
      <c r="D301"/>
      <c r="E301"/>
      <c r="F301"/>
      <c r="G301" s="41"/>
      <c r="H301" s="68"/>
      <c r="I301" s="41"/>
      <c r="J301"/>
    </row>
    <row r="302" spans="1:10" s="58" customFormat="1">
      <c r="A302" s="34"/>
      <c r="B302" s="2"/>
      <c r="D302"/>
      <c r="E302"/>
      <c r="F302"/>
      <c r="G302" s="41"/>
      <c r="H302" s="68"/>
      <c r="I302" s="41"/>
      <c r="J302"/>
    </row>
    <row r="303" spans="1:10" s="58" customFormat="1">
      <c r="A303" s="34"/>
      <c r="B303" s="2"/>
      <c r="D303"/>
      <c r="E303"/>
      <c r="F303"/>
      <c r="G303" s="41"/>
      <c r="H303" s="68"/>
      <c r="I303" s="41"/>
      <c r="J303"/>
    </row>
    <row r="304" spans="1:10" s="58" customFormat="1">
      <c r="A304" s="34"/>
      <c r="B304" s="2"/>
      <c r="D304"/>
      <c r="E304"/>
      <c r="F304"/>
      <c r="G304" s="41"/>
      <c r="H304" s="68"/>
      <c r="I304" s="41"/>
      <c r="J304"/>
    </row>
    <row r="305" spans="1:10" s="58" customFormat="1">
      <c r="A305" s="34"/>
      <c r="B305" s="2"/>
      <c r="D305"/>
      <c r="E305"/>
      <c r="F305"/>
      <c r="G305" s="41"/>
      <c r="H305" s="68"/>
      <c r="I305" s="41"/>
      <c r="J305"/>
    </row>
    <row r="306" spans="1:10" s="58" customFormat="1">
      <c r="A306" s="34"/>
      <c r="B306" s="2"/>
      <c r="D306"/>
      <c r="E306"/>
      <c r="F306"/>
      <c r="G306" s="41"/>
      <c r="H306" s="68"/>
      <c r="I306" s="41"/>
      <c r="J306"/>
    </row>
    <row r="307" spans="1:10" s="58" customFormat="1">
      <c r="A307" s="34"/>
      <c r="B307" s="2"/>
      <c r="D307"/>
      <c r="E307"/>
      <c r="F307"/>
      <c r="G307" s="41"/>
      <c r="H307" s="68"/>
      <c r="I307" s="41"/>
      <c r="J307"/>
    </row>
    <row r="308" spans="1:10" s="58" customFormat="1">
      <c r="A308" s="34"/>
      <c r="B308" s="2"/>
      <c r="D308"/>
      <c r="E308"/>
      <c r="F308"/>
      <c r="G308" s="41"/>
      <c r="H308" s="68"/>
      <c r="I308" s="41"/>
      <c r="J308"/>
    </row>
    <row r="309" spans="1:10" s="58" customFormat="1">
      <c r="A309" s="34"/>
      <c r="B309" s="2"/>
      <c r="D309"/>
      <c r="E309"/>
      <c r="F309"/>
      <c r="G309" s="41"/>
      <c r="H309" s="68"/>
      <c r="I309" s="41"/>
      <c r="J309"/>
    </row>
    <row r="310" spans="1:10" s="58" customFormat="1">
      <c r="A310" s="34"/>
      <c r="B310" s="2"/>
      <c r="D310"/>
      <c r="E310"/>
      <c r="F310"/>
      <c r="G310" s="41"/>
      <c r="H310" s="68"/>
      <c r="I310" s="41"/>
      <c r="J310"/>
    </row>
    <row r="311" spans="1:10" s="58" customFormat="1">
      <c r="A311" s="34"/>
      <c r="B311" s="2"/>
      <c r="D311"/>
      <c r="E311"/>
      <c r="F311"/>
      <c r="G311" s="41"/>
      <c r="H311" s="68"/>
      <c r="I311" s="41"/>
      <c r="J311"/>
    </row>
    <row r="312" spans="1:10" s="58" customFormat="1">
      <c r="A312" s="34"/>
      <c r="B312" s="2"/>
      <c r="D312"/>
      <c r="E312"/>
      <c r="F312"/>
      <c r="G312" s="41"/>
      <c r="H312" s="68"/>
      <c r="I312" s="41"/>
      <c r="J312"/>
    </row>
    <row r="313" spans="1:10" s="58" customFormat="1">
      <c r="A313" s="34"/>
      <c r="B313" s="2"/>
      <c r="D313"/>
      <c r="E313"/>
      <c r="F313"/>
      <c r="G313" s="41"/>
      <c r="H313" s="68"/>
      <c r="I313" s="41"/>
      <c r="J313"/>
    </row>
    <row r="314" spans="1:10" s="58" customFormat="1">
      <c r="A314" s="34"/>
      <c r="B314" s="2"/>
      <c r="D314"/>
      <c r="E314"/>
      <c r="F314"/>
      <c r="G314" s="41"/>
      <c r="H314" s="68"/>
      <c r="I314" s="41"/>
      <c r="J314"/>
    </row>
    <row r="315" spans="1:10" s="58" customFormat="1">
      <c r="A315" s="34"/>
      <c r="B315" s="2"/>
      <c r="D315"/>
      <c r="E315"/>
      <c r="F315"/>
      <c r="G315" s="41"/>
      <c r="H315" s="68"/>
      <c r="I315" s="41"/>
      <c r="J315"/>
    </row>
    <row r="316" spans="1:10" s="58" customFormat="1">
      <c r="A316" s="34"/>
      <c r="B316" s="2"/>
      <c r="D316"/>
      <c r="E316"/>
      <c r="F316"/>
      <c r="G316" s="41"/>
      <c r="H316" s="68"/>
      <c r="I316" s="41"/>
      <c r="J316"/>
    </row>
    <row r="317" spans="1:10" s="58" customFormat="1">
      <c r="A317" s="34"/>
      <c r="B317" s="2"/>
      <c r="D317"/>
      <c r="E317"/>
      <c r="F317"/>
      <c r="G317" s="41"/>
      <c r="H317" s="68"/>
      <c r="I317" s="41"/>
      <c r="J317"/>
    </row>
    <row r="318" spans="1:10" s="58" customFormat="1">
      <c r="A318" s="34"/>
      <c r="B318" s="2"/>
      <c r="D318"/>
      <c r="E318"/>
      <c r="F318"/>
      <c r="G318" s="41"/>
      <c r="H318" s="68"/>
      <c r="I318" s="41"/>
      <c r="J318"/>
    </row>
    <row r="319" spans="1:10" s="58" customFormat="1">
      <c r="A319" s="34"/>
      <c r="B319" s="2"/>
      <c r="D319"/>
      <c r="E319"/>
      <c r="F319"/>
      <c r="G319" s="41"/>
      <c r="H319" s="68"/>
      <c r="I319" s="41"/>
      <c r="J319"/>
    </row>
    <row r="320" spans="1:10" s="58" customFormat="1">
      <c r="A320" s="34"/>
      <c r="B320" s="2"/>
      <c r="D320"/>
      <c r="E320"/>
      <c r="F320"/>
      <c r="G320" s="41"/>
      <c r="H320" s="68"/>
      <c r="I320" s="41"/>
      <c r="J320"/>
    </row>
    <row r="321" spans="1:10" s="58" customFormat="1">
      <c r="A321" s="34"/>
      <c r="B321" s="2"/>
      <c r="D321"/>
      <c r="E321"/>
      <c r="F321"/>
      <c r="G321" s="41"/>
      <c r="H321" s="68"/>
      <c r="I321" s="41"/>
      <c r="J321"/>
    </row>
    <row r="322" spans="1:10" s="58" customFormat="1">
      <c r="A322" s="34"/>
      <c r="B322" s="2"/>
      <c r="D322"/>
      <c r="E322"/>
      <c r="F322"/>
      <c r="G322" s="41"/>
      <c r="H322" s="68"/>
      <c r="I322" s="41"/>
      <c r="J322"/>
    </row>
    <row r="323" spans="1:10" s="58" customFormat="1">
      <c r="A323" s="34"/>
      <c r="B323" s="2"/>
      <c r="D323"/>
      <c r="E323"/>
      <c r="F323"/>
      <c r="G323" s="41"/>
      <c r="H323" s="68"/>
      <c r="I323" s="41"/>
      <c r="J323"/>
    </row>
    <row r="324" spans="1:10" s="58" customFormat="1">
      <c r="A324" s="34"/>
      <c r="B324" s="2"/>
      <c r="D324"/>
      <c r="E324"/>
      <c r="F324"/>
      <c r="G324" s="41"/>
      <c r="H324" s="68"/>
      <c r="I324" s="41"/>
      <c r="J324"/>
    </row>
    <row r="325" spans="1:10" s="58" customFormat="1">
      <c r="A325" s="34"/>
      <c r="B325" s="2"/>
      <c r="D325"/>
      <c r="E325"/>
      <c r="F325"/>
      <c r="G325" s="41"/>
      <c r="H325" s="68"/>
      <c r="I325" s="41"/>
      <c r="J325"/>
    </row>
    <row r="326" spans="1:10" s="58" customFormat="1">
      <c r="A326" s="34"/>
      <c r="B326" s="2"/>
      <c r="D326"/>
      <c r="E326"/>
      <c r="F326"/>
      <c r="G326" s="41"/>
      <c r="H326" s="68"/>
      <c r="I326" s="41"/>
      <c r="J326"/>
    </row>
    <row r="327" spans="1:10" s="58" customFormat="1">
      <c r="A327" s="34"/>
      <c r="B327" s="2"/>
      <c r="D327"/>
      <c r="E327"/>
      <c r="F327"/>
      <c r="G327" s="41"/>
      <c r="H327" s="68"/>
      <c r="I327" s="41"/>
      <c r="J327"/>
    </row>
    <row r="328" spans="1:10" s="58" customFormat="1">
      <c r="A328" s="34"/>
      <c r="B328" s="2"/>
      <c r="D328"/>
      <c r="E328"/>
      <c r="F328"/>
      <c r="G328" s="41"/>
      <c r="H328" s="68"/>
      <c r="I328" s="41"/>
      <c r="J328"/>
    </row>
    <row r="329" spans="1:10" s="58" customFormat="1">
      <c r="A329" s="34"/>
      <c r="B329" s="2"/>
      <c r="D329"/>
      <c r="E329"/>
      <c r="F329"/>
      <c r="G329" s="41"/>
      <c r="H329" s="68"/>
      <c r="I329" s="41"/>
      <c r="J329"/>
    </row>
    <row r="330" spans="1:10" s="58" customFormat="1">
      <c r="A330" s="34"/>
      <c r="B330" s="2"/>
      <c r="D330"/>
      <c r="E330"/>
      <c r="F330"/>
      <c r="G330" s="41"/>
      <c r="H330" s="68"/>
      <c r="I330" s="41"/>
      <c r="J330"/>
    </row>
    <row r="331" spans="1:10" s="58" customFormat="1">
      <c r="A331" s="34"/>
      <c r="B331" s="2"/>
      <c r="D331"/>
      <c r="E331"/>
      <c r="F331"/>
      <c r="G331" s="41"/>
      <c r="H331" s="68"/>
      <c r="I331" s="41"/>
      <c r="J331"/>
    </row>
    <row r="332" spans="1:10" s="58" customFormat="1">
      <c r="A332" s="34"/>
      <c r="B332" s="2"/>
      <c r="D332"/>
      <c r="E332"/>
      <c r="F332"/>
      <c r="G332" s="41"/>
      <c r="H332" s="68"/>
      <c r="I332" s="41"/>
      <c r="J332"/>
    </row>
    <row r="333" spans="1:10" s="58" customFormat="1">
      <c r="A333" s="34"/>
      <c r="B333" s="2"/>
      <c r="D333"/>
      <c r="E333"/>
      <c r="F333"/>
      <c r="G333" s="41"/>
      <c r="H333" s="68"/>
      <c r="I333" s="41"/>
      <c r="J333"/>
    </row>
    <row r="334" spans="1:10" s="58" customFormat="1">
      <c r="A334" s="34"/>
      <c r="B334" s="2"/>
      <c r="D334"/>
      <c r="E334"/>
      <c r="F334"/>
      <c r="G334" s="41"/>
      <c r="H334" s="68"/>
      <c r="I334" s="41"/>
      <c r="J334"/>
    </row>
    <row r="335" spans="1:10" s="58" customFormat="1">
      <c r="A335" s="34"/>
      <c r="B335" s="2"/>
      <c r="D335"/>
      <c r="E335"/>
      <c r="F335"/>
      <c r="G335" s="41"/>
      <c r="H335" s="68"/>
      <c r="I335" s="41"/>
      <c r="J335"/>
    </row>
    <row r="336" spans="1:10" s="58" customFormat="1">
      <c r="A336" s="34"/>
      <c r="B336" s="2"/>
      <c r="D336"/>
      <c r="E336"/>
      <c r="F336"/>
      <c r="G336" s="41"/>
      <c r="H336" s="68"/>
      <c r="I336" s="41"/>
      <c r="J336"/>
    </row>
    <row r="337" spans="1:10" s="58" customFormat="1">
      <c r="A337" s="34"/>
      <c r="B337" s="2"/>
      <c r="D337"/>
      <c r="E337"/>
      <c r="F337"/>
      <c r="G337" s="41"/>
      <c r="H337" s="68"/>
      <c r="I337" s="41"/>
      <c r="J337"/>
    </row>
    <row r="338" spans="1:10" s="58" customFormat="1">
      <c r="A338" s="34"/>
      <c r="B338" s="2"/>
      <c r="D338"/>
      <c r="E338"/>
      <c r="F338"/>
      <c r="G338" s="41"/>
      <c r="H338" s="68"/>
      <c r="I338" s="41"/>
      <c r="J338"/>
    </row>
    <row r="339" spans="1:10" s="58" customFormat="1">
      <c r="A339" s="34"/>
      <c r="B339" s="2"/>
      <c r="D339"/>
      <c r="E339"/>
      <c r="F339"/>
      <c r="G339" s="41"/>
      <c r="H339" s="68"/>
      <c r="I339" s="41"/>
      <c r="J339"/>
    </row>
    <row r="340" spans="1:10" s="58" customFormat="1">
      <c r="A340" s="34"/>
      <c r="B340" s="2"/>
      <c r="D340"/>
      <c r="E340"/>
      <c r="F340"/>
      <c r="G340" s="41"/>
      <c r="H340" s="68"/>
      <c r="I340" s="41"/>
      <c r="J340"/>
    </row>
    <row r="341" spans="1:10" s="58" customFormat="1">
      <c r="A341" s="34"/>
      <c r="B341" s="2"/>
      <c r="D341"/>
      <c r="E341"/>
      <c r="F341"/>
      <c r="G341" s="41"/>
      <c r="H341" s="68"/>
      <c r="I341" s="41"/>
      <c r="J341"/>
    </row>
    <row r="342" spans="1:10" s="58" customFormat="1">
      <c r="A342" s="34"/>
      <c r="B342" s="2"/>
      <c r="D342"/>
      <c r="E342"/>
      <c r="F342"/>
      <c r="G342" s="41"/>
      <c r="H342" s="68"/>
      <c r="I342" s="41"/>
      <c r="J342"/>
    </row>
    <row r="343" spans="1:10" s="58" customFormat="1">
      <c r="A343" s="34"/>
      <c r="B343" s="2"/>
      <c r="D343"/>
      <c r="E343"/>
      <c r="F343"/>
      <c r="G343" s="41"/>
      <c r="H343" s="68"/>
      <c r="I343" s="41"/>
      <c r="J343"/>
    </row>
    <row r="344" spans="1:10" s="58" customFormat="1">
      <c r="A344" s="34"/>
      <c r="B344" s="2"/>
      <c r="D344"/>
      <c r="E344"/>
      <c r="F344"/>
      <c r="G344" s="41"/>
      <c r="H344" s="68"/>
      <c r="I344" s="41"/>
      <c r="J344"/>
    </row>
    <row r="345" spans="1:10" s="58" customFormat="1">
      <c r="A345" s="34"/>
      <c r="B345" s="2"/>
      <c r="D345"/>
      <c r="E345"/>
      <c r="F345"/>
      <c r="G345" s="41"/>
      <c r="H345" s="68"/>
      <c r="I345" s="41"/>
      <c r="J345"/>
    </row>
    <row r="346" spans="1:10" s="58" customFormat="1">
      <c r="A346" s="34"/>
      <c r="B346" s="2"/>
      <c r="D346"/>
      <c r="E346"/>
      <c r="F346"/>
      <c r="G346" s="41"/>
      <c r="H346" s="68"/>
      <c r="I346" s="41"/>
      <c r="J346"/>
    </row>
    <row r="347" spans="1:10" s="58" customFormat="1">
      <c r="A347" s="34"/>
      <c r="B347" s="2"/>
      <c r="D347"/>
      <c r="E347"/>
      <c r="F347"/>
      <c r="G347" s="41"/>
      <c r="H347" s="68"/>
      <c r="I347" s="41"/>
      <c r="J347"/>
    </row>
    <row r="348" spans="1:10" s="58" customFormat="1">
      <c r="A348" s="34"/>
      <c r="B348" s="2"/>
      <c r="D348"/>
      <c r="E348"/>
      <c r="F348"/>
      <c r="G348" s="41"/>
      <c r="H348" s="68"/>
      <c r="I348" s="41"/>
      <c r="J348"/>
    </row>
    <row r="349" spans="1:10" s="58" customFormat="1">
      <c r="A349" s="34"/>
      <c r="B349" s="2"/>
      <c r="D349"/>
      <c r="E349"/>
      <c r="F349"/>
      <c r="G349" s="41"/>
      <c r="H349" s="68"/>
      <c r="I349" s="41"/>
      <c r="J349"/>
    </row>
    <row r="350" spans="1:10" s="58" customFormat="1">
      <c r="A350" s="34"/>
      <c r="B350" s="2"/>
      <c r="D350"/>
      <c r="E350"/>
      <c r="F350"/>
      <c r="G350" s="41"/>
      <c r="H350" s="68"/>
      <c r="I350" s="41"/>
      <c r="J350"/>
    </row>
    <row r="351" spans="1:10" s="58" customFormat="1">
      <c r="A351" s="34"/>
      <c r="B351" s="2"/>
      <c r="D351"/>
      <c r="E351"/>
      <c r="F351"/>
      <c r="G351" s="41"/>
      <c r="H351" s="68"/>
      <c r="I351" s="41"/>
      <c r="J351"/>
    </row>
    <row r="352" spans="1:10" s="58" customFormat="1">
      <c r="A352" s="34"/>
      <c r="B352" s="2"/>
      <c r="D352"/>
      <c r="E352"/>
      <c r="F352"/>
      <c r="G352" s="41"/>
      <c r="H352" s="68"/>
      <c r="I352" s="41"/>
      <c r="J352"/>
    </row>
    <row r="353" spans="1:10" s="58" customFormat="1">
      <c r="A353" s="34"/>
      <c r="B353" s="2"/>
      <c r="D353"/>
      <c r="E353"/>
      <c r="F353"/>
      <c r="G353" s="41"/>
      <c r="H353" s="68"/>
      <c r="I353" s="41"/>
      <c r="J353"/>
    </row>
    <row r="354" spans="1:10" s="58" customFormat="1">
      <c r="A354" s="34"/>
      <c r="B354" s="2"/>
      <c r="D354"/>
      <c r="E354"/>
      <c r="F354"/>
      <c r="G354" s="41"/>
      <c r="H354" s="68"/>
      <c r="I354" s="41"/>
      <c r="J354"/>
    </row>
    <row r="355" spans="1:10" s="58" customFormat="1">
      <c r="A355" s="34"/>
      <c r="B355" s="2"/>
      <c r="D355"/>
      <c r="E355"/>
      <c r="F355"/>
      <c r="G355" s="41"/>
      <c r="H355" s="68"/>
      <c r="I355" s="41"/>
      <c r="J355"/>
    </row>
    <row r="356" spans="1:10" s="58" customFormat="1">
      <c r="A356" s="34"/>
      <c r="B356" s="2"/>
      <c r="D356"/>
      <c r="E356"/>
      <c r="F356"/>
      <c r="G356" s="41"/>
      <c r="H356" s="68"/>
      <c r="I356" s="41"/>
      <c r="J356"/>
    </row>
    <row r="357" spans="1:10" s="58" customFormat="1">
      <c r="A357" s="34"/>
      <c r="B357" s="2"/>
      <c r="D357"/>
      <c r="E357"/>
      <c r="F357"/>
      <c r="G357" s="41"/>
      <c r="H357" s="68"/>
      <c r="I357" s="41"/>
      <c r="J357"/>
    </row>
    <row r="358" spans="1:10" s="58" customFormat="1">
      <c r="A358" s="34"/>
      <c r="B358" s="2"/>
      <c r="D358"/>
      <c r="E358"/>
      <c r="F358"/>
      <c r="G358" s="41"/>
      <c r="H358" s="68"/>
      <c r="I358" s="41"/>
      <c r="J358"/>
    </row>
    <row r="359" spans="1:10" s="58" customFormat="1">
      <c r="A359" s="34"/>
      <c r="B359" s="2"/>
      <c r="D359"/>
      <c r="E359"/>
      <c r="F359"/>
      <c r="G359" s="41"/>
      <c r="H359" s="68"/>
      <c r="I359" s="41"/>
      <c r="J359"/>
    </row>
    <row r="360" spans="1:10" s="58" customFormat="1">
      <c r="A360" s="34"/>
      <c r="B360" s="2"/>
      <c r="D360"/>
      <c r="E360"/>
      <c r="F360"/>
      <c r="G360" s="41"/>
      <c r="H360" s="68"/>
      <c r="I360" s="41"/>
      <c r="J360"/>
    </row>
    <row r="361" spans="1:10" s="58" customFormat="1">
      <c r="A361" s="34"/>
      <c r="B361" s="2"/>
      <c r="D361"/>
      <c r="E361"/>
      <c r="F361"/>
      <c r="G361" s="41"/>
      <c r="H361" s="68"/>
      <c r="I361" s="41"/>
      <c r="J361"/>
    </row>
    <row r="362" spans="1:10" s="58" customFormat="1">
      <c r="A362" s="34"/>
      <c r="B362" s="2"/>
      <c r="D362"/>
      <c r="E362"/>
      <c r="F362"/>
      <c r="G362" s="41"/>
      <c r="H362" s="68"/>
      <c r="I362" s="41"/>
      <c r="J362"/>
    </row>
    <row r="363" spans="1:10" s="58" customFormat="1">
      <c r="A363" s="34"/>
      <c r="B363" s="2"/>
      <c r="D363"/>
      <c r="E363"/>
      <c r="F363"/>
      <c r="G363" s="41"/>
      <c r="H363" s="68"/>
      <c r="I363" s="41"/>
      <c r="J363"/>
    </row>
    <row r="364" spans="1:10" s="58" customFormat="1">
      <c r="A364" s="34"/>
      <c r="B364" s="2"/>
      <c r="D364"/>
      <c r="E364"/>
      <c r="F364"/>
      <c r="G364" s="41"/>
      <c r="H364" s="68"/>
      <c r="I364" s="41"/>
      <c r="J364"/>
    </row>
    <row r="365" spans="1:10" s="58" customFormat="1">
      <c r="A365" s="34"/>
      <c r="B365" s="2"/>
      <c r="D365"/>
      <c r="E365"/>
      <c r="F365"/>
      <c r="G365" s="41"/>
      <c r="H365" s="68"/>
      <c r="I365" s="41"/>
      <c r="J365"/>
    </row>
    <row r="366" spans="1:10" s="58" customFormat="1">
      <c r="A366" s="34"/>
      <c r="B366" s="2"/>
      <c r="D366"/>
      <c r="E366"/>
      <c r="F366"/>
      <c r="G366" s="41"/>
      <c r="H366" s="68"/>
      <c r="I366" s="41"/>
      <c r="J366"/>
    </row>
    <row r="367" spans="1:10" s="58" customFormat="1">
      <c r="A367" s="34"/>
      <c r="B367" s="2"/>
      <c r="D367"/>
      <c r="E367"/>
      <c r="F367"/>
      <c r="G367" s="41"/>
      <c r="H367" s="68"/>
      <c r="I367" s="41"/>
      <c r="J367"/>
    </row>
    <row r="368" spans="1:10" s="58" customFormat="1">
      <c r="A368" s="34"/>
      <c r="B368" s="2"/>
      <c r="D368"/>
      <c r="E368"/>
      <c r="F368"/>
      <c r="G368" s="41"/>
      <c r="H368" s="68"/>
      <c r="I368" s="41"/>
      <c r="J368"/>
    </row>
    <row r="369" spans="1:10" s="58" customFormat="1">
      <c r="A369" s="34"/>
      <c r="B369" s="2"/>
      <c r="D369"/>
      <c r="E369"/>
      <c r="F369"/>
      <c r="G369" s="41"/>
      <c r="H369" s="68"/>
      <c r="I369" s="41"/>
      <c r="J369"/>
    </row>
    <row r="370" spans="1:10" s="58" customFormat="1">
      <c r="A370" s="34"/>
      <c r="B370" s="2"/>
      <c r="D370"/>
      <c r="E370"/>
      <c r="F370"/>
      <c r="G370" s="41"/>
      <c r="H370" s="68"/>
      <c r="I370" s="41"/>
      <c r="J370"/>
    </row>
    <row r="371" spans="1:10" s="58" customFormat="1">
      <c r="A371" s="34"/>
      <c r="B371" s="2"/>
      <c r="D371"/>
      <c r="E371"/>
      <c r="F371"/>
      <c r="G371" s="41"/>
      <c r="H371" s="68"/>
      <c r="I371" s="41"/>
      <c r="J371"/>
    </row>
    <row r="372" spans="1:10" s="58" customFormat="1">
      <c r="A372" s="34"/>
      <c r="B372" s="2"/>
      <c r="D372"/>
      <c r="E372"/>
      <c r="F372"/>
      <c r="G372" s="41"/>
      <c r="H372" s="68"/>
      <c r="I372" s="41"/>
      <c r="J372"/>
    </row>
    <row r="373" spans="1:10" s="58" customFormat="1">
      <c r="A373" s="34"/>
      <c r="B373" s="2"/>
      <c r="D373"/>
      <c r="E373"/>
      <c r="F373"/>
      <c r="G373" s="41"/>
      <c r="H373" s="68"/>
      <c r="I373" s="41"/>
      <c r="J373"/>
    </row>
    <row r="374" spans="1:10" s="58" customFormat="1">
      <c r="A374" s="34"/>
      <c r="B374" s="2"/>
      <c r="D374"/>
      <c r="E374"/>
      <c r="F374"/>
      <c r="G374" s="41"/>
      <c r="H374" s="68"/>
      <c r="I374" s="41"/>
      <c r="J374"/>
    </row>
    <row r="375" spans="1:10" s="58" customFormat="1">
      <c r="A375" s="34"/>
      <c r="B375" s="2"/>
      <c r="D375"/>
      <c r="E375"/>
      <c r="F375"/>
      <c r="G375" s="41"/>
      <c r="H375" s="68"/>
      <c r="I375" s="41"/>
      <c r="J375"/>
    </row>
    <row r="376" spans="1:10" s="58" customFormat="1">
      <c r="A376" s="34"/>
      <c r="B376" s="2"/>
      <c r="D376"/>
      <c r="E376"/>
      <c r="F376"/>
      <c r="G376" s="41"/>
      <c r="H376" s="68"/>
      <c r="I376" s="41"/>
      <c r="J376"/>
    </row>
    <row r="377" spans="1:10" s="58" customFormat="1">
      <c r="A377" s="34"/>
      <c r="B377" s="2"/>
      <c r="D377"/>
      <c r="E377"/>
      <c r="F377"/>
      <c r="G377" s="41"/>
      <c r="H377" s="68"/>
      <c r="I377" s="41"/>
      <c r="J377"/>
    </row>
    <row r="378" spans="1:10" s="58" customFormat="1">
      <c r="A378" s="34"/>
      <c r="B378" s="2"/>
      <c r="D378"/>
      <c r="E378"/>
      <c r="F378"/>
      <c r="G378" s="41"/>
      <c r="H378" s="68"/>
      <c r="I378" s="41"/>
      <c r="J378"/>
    </row>
    <row r="379" spans="1:10" s="58" customFormat="1">
      <c r="A379" s="34"/>
      <c r="B379" s="2"/>
      <c r="D379"/>
      <c r="E379"/>
      <c r="F379"/>
      <c r="G379" s="41"/>
      <c r="H379" s="68"/>
      <c r="I379" s="41"/>
      <c r="J379"/>
    </row>
    <row r="380" spans="1:10" s="58" customFormat="1">
      <c r="A380" s="34"/>
      <c r="B380" s="2"/>
      <c r="D380"/>
      <c r="E380"/>
      <c r="F380"/>
      <c r="G380" s="41"/>
      <c r="H380" s="68"/>
      <c r="I380" s="41"/>
      <c r="J380"/>
    </row>
    <row r="381" spans="1:10" s="58" customFormat="1">
      <c r="A381" s="34"/>
      <c r="B381" s="2"/>
      <c r="D381"/>
      <c r="E381"/>
      <c r="F381"/>
      <c r="G381" s="41"/>
      <c r="H381" s="68"/>
      <c r="I381" s="41"/>
      <c r="J381"/>
    </row>
    <row r="382" spans="1:10" s="58" customFormat="1">
      <c r="A382" s="34"/>
      <c r="B382" s="2"/>
      <c r="D382"/>
      <c r="E382"/>
      <c r="F382"/>
      <c r="G382" s="41"/>
      <c r="H382" s="68"/>
      <c r="I382" s="41"/>
      <c r="J382"/>
    </row>
    <row r="383" spans="1:10" s="58" customFormat="1">
      <c r="A383" s="34"/>
      <c r="B383" s="2"/>
      <c r="D383"/>
      <c r="E383"/>
      <c r="F383"/>
      <c r="G383" s="41"/>
      <c r="H383" s="68"/>
      <c r="I383" s="41"/>
      <c r="J383"/>
    </row>
    <row r="384" spans="1:10" s="58" customFormat="1">
      <c r="A384" s="34"/>
      <c r="B384" s="2"/>
      <c r="D384"/>
      <c r="E384"/>
      <c r="F384"/>
      <c r="G384" s="41"/>
      <c r="H384" s="68"/>
      <c r="I384" s="41"/>
      <c r="J384"/>
    </row>
    <row r="385" spans="1:10" s="58" customFormat="1">
      <c r="A385" s="34"/>
      <c r="B385" s="2"/>
      <c r="D385"/>
      <c r="E385"/>
      <c r="F385"/>
      <c r="G385" s="41"/>
      <c r="H385" s="68"/>
      <c r="I385" s="41"/>
      <c r="J385"/>
    </row>
    <row r="386" spans="1:10" s="58" customFormat="1">
      <c r="A386" s="34"/>
      <c r="B386" s="2"/>
      <c r="D386"/>
      <c r="E386"/>
      <c r="F386"/>
      <c r="G386" s="41"/>
      <c r="H386" s="68"/>
      <c r="I386" s="41"/>
      <c r="J386"/>
    </row>
    <row r="387" spans="1:10" s="58" customFormat="1">
      <c r="A387" s="34"/>
      <c r="B387" s="2"/>
      <c r="D387"/>
      <c r="E387"/>
      <c r="F387"/>
      <c r="G387" s="41"/>
      <c r="H387" s="68"/>
      <c r="I387" s="41"/>
      <c r="J387"/>
    </row>
    <row r="388" spans="1:10" s="58" customFormat="1">
      <c r="A388" s="34"/>
      <c r="B388" s="2"/>
      <c r="D388"/>
      <c r="E388"/>
      <c r="F388"/>
      <c r="G388" s="41"/>
      <c r="H388" s="68"/>
      <c r="I388" s="41"/>
      <c r="J388"/>
    </row>
    <row r="389" spans="1:10" s="58" customFormat="1">
      <c r="A389" s="34"/>
      <c r="B389" s="2"/>
      <c r="D389"/>
      <c r="E389"/>
      <c r="F389"/>
      <c r="G389" s="41"/>
      <c r="H389" s="68"/>
      <c r="I389" s="41"/>
      <c r="J389"/>
    </row>
    <row r="390" spans="1:10" s="58" customFormat="1">
      <c r="A390" s="34"/>
      <c r="B390" s="2"/>
      <c r="D390"/>
      <c r="E390"/>
      <c r="F390"/>
      <c r="G390" s="41"/>
      <c r="H390" s="68"/>
      <c r="I390" s="41"/>
      <c r="J390"/>
    </row>
    <row r="391" spans="1:10" s="58" customFormat="1">
      <c r="A391" s="34"/>
      <c r="B391" s="2"/>
      <c r="D391"/>
      <c r="E391"/>
      <c r="F391"/>
      <c r="G391" s="41"/>
      <c r="H391" s="68"/>
      <c r="I391" s="41"/>
      <c r="J391"/>
    </row>
    <row r="392" spans="1:10" s="58" customFormat="1">
      <c r="A392" s="34"/>
      <c r="B392" s="2"/>
      <c r="D392"/>
      <c r="E392"/>
      <c r="F392"/>
      <c r="G392" s="41"/>
      <c r="H392" s="68"/>
      <c r="I392" s="41"/>
      <c r="J392"/>
    </row>
    <row r="393" spans="1:10" s="58" customFormat="1">
      <c r="A393" s="34"/>
      <c r="B393" s="2"/>
      <c r="D393"/>
      <c r="E393"/>
      <c r="F393"/>
      <c r="G393" s="41"/>
      <c r="H393" s="68"/>
      <c r="I393" s="41"/>
      <c r="J393"/>
    </row>
    <row r="394" spans="1:10" s="58" customFormat="1">
      <c r="A394" s="34"/>
      <c r="B394" s="2"/>
      <c r="D394"/>
      <c r="E394"/>
      <c r="F394"/>
      <c r="G394" s="41"/>
      <c r="H394" s="68"/>
      <c r="I394" s="41"/>
      <c r="J394"/>
    </row>
    <row r="395" spans="1:10" s="58" customFormat="1">
      <c r="A395" s="34"/>
      <c r="B395" s="2"/>
      <c r="D395"/>
      <c r="E395"/>
      <c r="F395"/>
      <c r="G395" s="41"/>
      <c r="H395" s="68"/>
      <c r="I395" s="41"/>
      <c r="J395"/>
    </row>
    <row r="396" spans="1:10" s="58" customFormat="1">
      <c r="A396" s="34"/>
      <c r="B396" s="2"/>
      <c r="D396"/>
      <c r="E396"/>
      <c r="F396"/>
      <c r="G396" s="41"/>
      <c r="H396" s="68"/>
      <c r="I396" s="41"/>
      <c r="J396"/>
    </row>
    <row r="397" spans="1:10" s="58" customFormat="1">
      <c r="A397" s="34"/>
      <c r="B397" s="2"/>
      <c r="D397"/>
      <c r="E397"/>
      <c r="F397"/>
      <c r="G397" s="41"/>
      <c r="H397" s="68"/>
      <c r="I397" s="41"/>
      <c r="J397"/>
    </row>
    <row r="398" spans="1:10" s="58" customFormat="1">
      <c r="A398" s="34"/>
      <c r="B398" s="2"/>
      <c r="D398"/>
      <c r="E398"/>
      <c r="F398"/>
      <c r="G398" s="41"/>
      <c r="H398" s="68"/>
      <c r="I398" s="41"/>
      <c r="J398"/>
    </row>
    <row r="399" spans="1:10" s="58" customFormat="1">
      <c r="A399" s="34"/>
      <c r="B399" s="2"/>
      <c r="D399"/>
      <c r="E399"/>
      <c r="F399"/>
      <c r="G399" s="41"/>
      <c r="H399" s="68"/>
      <c r="I399" s="41"/>
      <c r="J399"/>
    </row>
    <row r="400" spans="1:10" s="58" customFormat="1">
      <c r="A400" s="34"/>
      <c r="B400" s="2"/>
      <c r="D400"/>
      <c r="E400"/>
      <c r="F400"/>
      <c r="G400" s="41"/>
      <c r="H400" s="68"/>
      <c r="I400" s="41"/>
      <c r="J400"/>
    </row>
    <row r="401" spans="1:10" s="58" customFormat="1">
      <c r="A401" s="34"/>
      <c r="B401" s="2"/>
      <c r="D401"/>
      <c r="E401"/>
      <c r="F401"/>
      <c r="G401" s="41"/>
      <c r="H401" s="68"/>
      <c r="I401" s="41"/>
      <c r="J401"/>
    </row>
    <row r="402" spans="1:10" s="58" customFormat="1">
      <c r="A402" s="34"/>
      <c r="B402" s="2"/>
      <c r="D402"/>
      <c r="E402"/>
      <c r="F402"/>
      <c r="G402" s="41"/>
      <c r="H402" s="68"/>
      <c r="I402" s="41"/>
      <c r="J402"/>
    </row>
    <row r="403" spans="1:10" s="58" customFormat="1">
      <c r="A403" s="34"/>
      <c r="B403" s="2"/>
      <c r="D403"/>
      <c r="E403"/>
      <c r="F403"/>
      <c r="G403" s="41"/>
      <c r="H403" s="68"/>
      <c r="I403" s="41"/>
      <c r="J403"/>
    </row>
    <row r="404" spans="1:10" s="58" customFormat="1">
      <c r="A404" s="34"/>
      <c r="B404" s="2"/>
      <c r="D404"/>
      <c r="E404"/>
      <c r="F404"/>
      <c r="G404" s="41"/>
      <c r="H404" s="68"/>
      <c r="I404" s="41"/>
      <c r="J404"/>
    </row>
    <row r="405" spans="1:10" s="58" customFormat="1">
      <c r="A405" s="34"/>
      <c r="B405" s="2"/>
      <c r="D405"/>
      <c r="E405"/>
      <c r="F405"/>
      <c r="G405" s="41"/>
      <c r="H405" s="68"/>
      <c r="I405" s="41"/>
      <c r="J405"/>
    </row>
    <row r="406" spans="1:10" s="58" customFormat="1">
      <c r="A406" s="34"/>
      <c r="B406" s="2"/>
      <c r="D406"/>
      <c r="E406"/>
      <c r="F406"/>
      <c r="G406" s="41"/>
      <c r="H406" s="68"/>
      <c r="I406" s="41"/>
      <c r="J406"/>
    </row>
    <row r="407" spans="1:10" s="58" customFormat="1">
      <c r="A407" s="34"/>
      <c r="B407" s="2"/>
      <c r="D407"/>
      <c r="E407"/>
      <c r="F407"/>
      <c r="G407" s="41"/>
      <c r="H407" s="68"/>
      <c r="I407" s="41"/>
      <c r="J407"/>
    </row>
    <row r="408" spans="1:10" s="58" customFormat="1">
      <c r="A408" s="34"/>
      <c r="B408" s="2"/>
      <c r="D408"/>
      <c r="E408"/>
      <c r="F408"/>
      <c r="G408" s="41"/>
      <c r="H408" s="68"/>
      <c r="I408" s="41"/>
      <c r="J408"/>
    </row>
    <row r="409" spans="1:10" s="58" customFormat="1">
      <c r="A409" s="34"/>
      <c r="B409" s="2"/>
      <c r="D409"/>
      <c r="E409"/>
      <c r="F409"/>
      <c r="G409" s="41"/>
      <c r="H409" s="68"/>
      <c r="I409" s="41"/>
      <c r="J409"/>
    </row>
    <row r="410" spans="1:10" s="58" customFormat="1">
      <c r="A410" s="34"/>
      <c r="B410" s="2"/>
      <c r="D410"/>
      <c r="E410"/>
      <c r="F410"/>
      <c r="G410" s="41"/>
      <c r="H410" s="68"/>
      <c r="I410" s="41"/>
      <c r="J410"/>
    </row>
    <row r="411" spans="1:10" s="58" customFormat="1">
      <c r="A411" s="34"/>
      <c r="B411" s="2"/>
      <c r="D411"/>
      <c r="E411"/>
      <c r="F411"/>
      <c r="G411" s="41"/>
      <c r="H411" s="68"/>
      <c r="I411" s="41"/>
      <c r="J411"/>
    </row>
    <row r="412" spans="1:10" s="58" customFormat="1">
      <c r="A412" s="34"/>
      <c r="B412" s="2"/>
      <c r="D412"/>
      <c r="E412"/>
      <c r="F412"/>
      <c r="G412" s="41"/>
      <c r="H412" s="68"/>
      <c r="I412" s="41"/>
      <c r="J412"/>
    </row>
    <row r="413" spans="1:10" s="58" customFormat="1">
      <c r="A413" s="34"/>
      <c r="B413" s="2"/>
      <c r="D413"/>
      <c r="E413"/>
      <c r="F413"/>
      <c r="G413" s="41"/>
      <c r="H413" s="68"/>
      <c r="I413" s="41"/>
      <c r="J413"/>
    </row>
    <row r="414" spans="1:10" s="58" customFormat="1">
      <c r="A414" s="34"/>
      <c r="B414" s="2"/>
      <c r="D414"/>
      <c r="E414"/>
      <c r="F414"/>
      <c r="G414" s="41"/>
      <c r="H414" s="68"/>
      <c r="I414" s="41"/>
      <c r="J414"/>
    </row>
    <row r="415" spans="1:10" s="58" customFormat="1">
      <c r="A415" s="34"/>
      <c r="B415" s="2"/>
      <c r="D415"/>
      <c r="E415"/>
      <c r="F415"/>
      <c r="G415" s="41"/>
      <c r="H415" s="68"/>
      <c r="I415" s="41"/>
      <c r="J415"/>
    </row>
    <row r="416" spans="1:10" s="58" customFormat="1">
      <c r="A416" s="34"/>
      <c r="B416" s="2"/>
      <c r="D416"/>
      <c r="E416"/>
      <c r="F416"/>
      <c r="G416" s="41"/>
      <c r="H416" s="68"/>
      <c r="I416" s="41"/>
      <c r="J416"/>
    </row>
    <row r="417" spans="1:10" s="58" customFormat="1">
      <c r="A417" s="34"/>
      <c r="B417" s="2"/>
      <c r="D417"/>
      <c r="E417"/>
      <c r="F417"/>
      <c r="G417" s="41"/>
      <c r="H417" s="68"/>
      <c r="I417" s="41"/>
      <c r="J417"/>
    </row>
    <row r="418" spans="1:10" s="58" customFormat="1">
      <c r="A418" s="34"/>
      <c r="B418" s="2"/>
      <c r="D418"/>
      <c r="E418"/>
      <c r="F418"/>
      <c r="G418" s="41"/>
      <c r="H418" s="68"/>
      <c r="I418" s="41"/>
      <c r="J418"/>
    </row>
    <row r="419" spans="1:10" s="58" customFormat="1">
      <c r="A419" s="34"/>
      <c r="B419" s="2"/>
      <c r="D419"/>
      <c r="E419"/>
      <c r="F419"/>
      <c r="G419" s="41"/>
      <c r="H419" s="68"/>
      <c r="I419" s="41"/>
      <c r="J419"/>
    </row>
    <row r="420" spans="1:10" s="58" customFormat="1">
      <c r="A420" s="34"/>
      <c r="B420" s="2"/>
      <c r="D420"/>
      <c r="E420"/>
      <c r="F420"/>
      <c r="G420" s="41"/>
      <c r="H420" s="68"/>
      <c r="I420" s="41"/>
      <c r="J420"/>
    </row>
    <row r="421" spans="1:10" s="58" customFormat="1">
      <c r="A421" s="34"/>
      <c r="B421" s="2"/>
      <c r="D421"/>
      <c r="E421"/>
      <c r="F421"/>
      <c r="G421" s="41"/>
      <c r="H421" s="68"/>
      <c r="I421" s="41"/>
      <c r="J421"/>
    </row>
    <row r="422" spans="1:10" s="58" customFormat="1">
      <c r="A422" s="34"/>
      <c r="B422" s="2"/>
      <c r="D422"/>
      <c r="E422"/>
      <c r="F422"/>
      <c r="G422" s="41"/>
      <c r="H422" s="68"/>
      <c r="I422" s="41"/>
      <c r="J422"/>
    </row>
    <row r="423" spans="1:10" s="58" customFormat="1">
      <c r="A423" s="34"/>
      <c r="B423" s="2"/>
      <c r="D423"/>
      <c r="E423"/>
      <c r="F423"/>
      <c r="G423" s="41"/>
      <c r="H423" s="68"/>
      <c r="I423" s="41"/>
      <c r="J423"/>
    </row>
    <row r="424" spans="1:10" s="58" customFormat="1">
      <c r="A424" s="34"/>
      <c r="B424" s="2"/>
      <c r="D424"/>
      <c r="E424"/>
      <c r="F424"/>
      <c r="G424" s="41"/>
      <c r="H424" s="68"/>
      <c r="I424" s="41"/>
      <c r="J424"/>
    </row>
    <row r="425" spans="1:10" s="58" customFormat="1">
      <c r="A425" s="34"/>
      <c r="B425" s="2"/>
      <c r="D425"/>
      <c r="E425"/>
      <c r="F425"/>
      <c r="G425" s="41"/>
      <c r="H425" s="68"/>
      <c r="I425" s="41"/>
      <c r="J425"/>
    </row>
    <row r="426" spans="1:10" s="58" customFormat="1">
      <c r="A426" s="34"/>
      <c r="B426" s="2"/>
      <c r="D426"/>
      <c r="E426"/>
      <c r="F426"/>
      <c r="G426" s="41"/>
      <c r="H426" s="68"/>
      <c r="I426" s="41"/>
      <c r="J426"/>
    </row>
    <row r="427" spans="1:10" s="58" customFormat="1">
      <c r="A427" s="34"/>
      <c r="B427" s="2"/>
      <c r="D427"/>
      <c r="E427"/>
      <c r="F427"/>
      <c r="G427" s="41"/>
      <c r="H427" s="68"/>
      <c r="I427" s="41"/>
      <c r="J427"/>
    </row>
    <row r="428" spans="1:10" s="58" customFormat="1">
      <c r="A428" s="34"/>
      <c r="B428" s="2"/>
      <c r="D428"/>
      <c r="E428"/>
      <c r="F428"/>
      <c r="G428" s="41"/>
      <c r="H428" s="68"/>
      <c r="I428" s="41"/>
      <c r="J428"/>
    </row>
    <row r="429" spans="1:10" s="58" customFormat="1">
      <c r="A429" s="34"/>
      <c r="B429" s="2"/>
      <c r="D429"/>
      <c r="E429"/>
      <c r="F429"/>
      <c r="G429" s="41"/>
      <c r="H429" s="68"/>
      <c r="I429" s="41"/>
      <c r="J429"/>
    </row>
    <row r="430" spans="1:10" s="58" customFormat="1">
      <c r="A430" s="34"/>
      <c r="B430" s="2"/>
      <c r="D430"/>
      <c r="E430"/>
      <c r="F430"/>
      <c r="G430" s="41"/>
      <c r="H430" s="68"/>
      <c r="I430" s="41"/>
      <c r="J430"/>
    </row>
    <row r="431" spans="1:10" s="58" customFormat="1">
      <c r="A431" s="34"/>
      <c r="B431" s="2"/>
      <c r="D431"/>
      <c r="E431"/>
      <c r="F431"/>
      <c r="G431" s="41"/>
      <c r="H431" s="68"/>
      <c r="I431" s="41"/>
      <c r="J431"/>
    </row>
    <row r="432" spans="1:10" s="58" customFormat="1">
      <c r="A432" s="34"/>
      <c r="B432" s="2"/>
      <c r="D432"/>
      <c r="E432"/>
      <c r="F432"/>
      <c r="G432" s="41"/>
      <c r="H432" s="68"/>
      <c r="I432" s="41"/>
      <c r="J432"/>
    </row>
    <row r="433" spans="1:10" s="58" customFormat="1">
      <c r="A433" s="34"/>
      <c r="B433" s="2"/>
      <c r="D433"/>
      <c r="E433"/>
      <c r="F433"/>
      <c r="G433" s="41"/>
      <c r="H433" s="68"/>
      <c r="I433" s="41"/>
      <c r="J433"/>
    </row>
    <row r="434" spans="1:10" s="58" customFormat="1">
      <c r="A434" s="34"/>
      <c r="B434" s="2"/>
      <c r="D434"/>
      <c r="E434"/>
      <c r="F434"/>
      <c r="G434" s="41"/>
      <c r="H434" s="68"/>
      <c r="I434" s="41"/>
      <c r="J434"/>
    </row>
    <row r="435" spans="1:10" s="58" customFormat="1">
      <c r="A435" s="34"/>
      <c r="B435" s="2"/>
      <c r="D435"/>
      <c r="E435"/>
      <c r="F435"/>
      <c r="G435" s="41"/>
      <c r="H435" s="68"/>
      <c r="I435" s="41"/>
      <c r="J435"/>
    </row>
    <row r="436" spans="1:10" s="58" customFormat="1">
      <c r="A436" s="34"/>
      <c r="B436" s="2"/>
      <c r="D436"/>
      <c r="E436"/>
      <c r="F436"/>
      <c r="G436" s="41"/>
      <c r="H436" s="68"/>
      <c r="I436" s="41"/>
      <c r="J436"/>
    </row>
    <row r="437" spans="1:10" s="58" customFormat="1">
      <c r="A437" s="34"/>
      <c r="B437" s="2"/>
      <c r="D437"/>
      <c r="E437"/>
      <c r="F437"/>
      <c r="G437" s="41"/>
      <c r="H437" s="68"/>
      <c r="I437" s="41"/>
      <c r="J437"/>
    </row>
    <row r="438" spans="1:10" s="58" customFormat="1">
      <c r="A438" s="34"/>
      <c r="B438" s="2"/>
      <c r="D438"/>
      <c r="E438"/>
      <c r="F438"/>
      <c r="G438" s="41"/>
      <c r="H438" s="68"/>
      <c r="I438" s="41"/>
      <c r="J438"/>
    </row>
    <row r="439" spans="1:10" s="58" customFormat="1">
      <c r="A439" s="34"/>
      <c r="B439" s="2"/>
      <c r="D439"/>
      <c r="E439"/>
      <c r="F439"/>
      <c r="G439" s="41"/>
      <c r="H439" s="68"/>
      <c r="I439" s="41"/>
      <c r="J439"/>
    </row>
    <row r="440" spans="1:10" s="58" customFormat="1">
      <c r="A440" s="34"/>
      <c r="B440" s="2"/>
      <c r="D440"/>
      <c r="E440"/>
      <c r="F440"/>
      <c r="G440" s="41"/>
      <c r="H440" s="68"/>
      <c r="I440" s="41"/>
      <c r="J440"/>
    </row>
    <row r="441" spans="1:10" s="58" customFormat="1">
      <c r="A441" s="34"/>
      <c r="B441" s="2"/>
      <c r="D441"/>
      <c r="E441"/>
      <c r="F441"/>
      <c r="G441" s="41"/>
      <c r="H441" s="68"/>
      <c r="I441" s="41"/>
      <c r="J441"/>
    </row>
    <row r="442" spans="1:10" s="58" customFormat="1">
      <c r="A442" s="34"/>
      <c r="B442" s="2"/>
      <c r="D442"/>
      <c r="E442"/>
      <c r="F442"/>
      <c r="G442" s="41"/>
      <c r="H442" s="68"/>
      <c r="I442" s="41"/>
      <c r="J442"/>
    </row>
    <row r="443" spans="1:10" s="58" customFormat="1">
      <c r="A443" s="34"/>
      <c r="B443" s="2"/>
      <c r="D443"/>
      <c r="E443"/>
      <c r="F443"/>
      <c r="G443" s="41"/>
      <c r="H443" s="68"/>
      <c r="I443" s="41"/>
      <c r="J443"/>
    </row>
    <row r="444" spans="1:10" s="58" customFormat="1">
      <c r="A444" s="34"/>
      <c r="B444" s="2"/>
      <c r="D444"/>
      <c r="E444"/>
      <c r="F444"/>
      <c r="G444" s="41"/>
      <c r="H444" s="68"/>
      <c r="I444" s="41"/>
      <c r="J444"/>
    </row>
    <row r="445" spans="1:10" s="58" customFormat="1">
      <c r="A445" s="34"/>
      <c r="B445" s="2"/>
      <c r="D445"/>
      <c r="E445"/>
      <c r="F445"/>
      <c r="G445" s="41"/>
      <c r="H445" s="68"/>
      <c r="I445" s="41"/>
      <c r="J445"/>
    </row>
    <row r="446" spans="1:10" s="58" customFormat="1">
      <c r="A446" s="34"/>
      <c r="B446" s="2"/>
      <c r="D446"/>
      <c r="E446"/>
      <c r="F446"/>
      <c r="G446" s="41"/>
      <c r="H446" s="68"/>
      <c r="I446" s="41"/>
      <c r="J446"/>
    </row>
    <row r="447" spans="1:10" s="58" customFormat="1">
      <c r="A447" s="34"/>
      <c r="B447" s="2"/>
      <c r="D447"/>
      <c r="E447"/>
      <c r="F447"/>
      <c r="G447" s="41"/>
      <c r="H447" s="68"/>
      <c r="I447" s="41"/>
      <c r="J447"/>
    </row>
    <row r="448" spans="1:10" s="58" customFormat="1">
      <c r="A448" s="34"/>
      <c r="B448" s="2"/>
      <c r="D448"/>
      <c r="E448"/>
      <c r="F448"/>
      <c r="G448" s="41"/>
      <c r="H448" s="68"/>
      <c r="I448" s="41"/>
      <c r="J448"/>
    </row>
    <row r="449" spans="1:10" s="58" customFormat="1">
      <c r="A449" s="34"/>
      <c r="B449" s="2"/>
      <c r="D449"/>
      <c r="E449"/>
      <c r="F449"/>
      <c r="G449" s="41"/>
      <c r="H449" s="68"/>
      <c r="I449" s="41"/>
      <c r="J449"/>
    </row>
    <row r="450" spans="1:10" s="58" customFormat="1">
      <c r="A450" s="34"/>
      <c r="B450" s="2"/>
      <c r="D450"/>
      <c r="E450"/>
      <c r="F450"/>
      <c r="G450" s="41"/>
      <c r="H450" s="68"/>
      <c r="I450" s="41"/>
      <c r="J450"/>
    </row>
    <row r="451" spans="1:10" s="58" customFormat="1">
      <c r="A451" s="34"/>
      <c r="B451" s="2"/>
      <c r="D451"/>
      <c r="E451"/>
      <c r="F451"/>
      <c r="G451" s="41"/>
      <c r="H451" s="68"/>
      <c r="I451" s="41"/>
      <c r="J451"/>
    </row>
    <row r="452" spans="1:10" s="58" customFormat="1">
      <c r="A452" s="34"/>
      <c r="B452" s="2"/>
      <c r="D452"/>
      <c r="E452"/>
      <c r="F452"/>
      <c r="G452" s="41"/>
      <c r="H452" s="68"/>
      <c r="I452" s="41"/>
      <c r="J452"/>
    </row>
    <row r="453" spans="1:10" s="58" customFormat="1">
      <c r="A453" s="34"/>
      <c r="B453" s="2"/>
      <c r="D453"/>
      <c r="E453"/>
      <c r="F453"/>
      <c r="G453" s="41"/>
      <c r="H453" s="68"/>
      <c r="I453" s="41"/>
      <c r="J453"/>
    </row>
    <row r="454" spans="1:10" s="58" customFormat="1">
      <c r="A454" s="34"/>
      <c r="B454" s="2"/>
      <c r="D454"/>
      <c r="E454"/>
      <c r="F454"/>
      <c r="G454" s="41"/>
      <c r="H454" s="68"/>
      <c r="I454" s="41"/>
      <c r="J454"/>
    </row>
    <row r="455" spans="1:10" s="58" customFormat="1">
      <c r="A455" s="34"/>
      <c r="B455" s="2"/>
      <c r="D455"/>
      <c r="E455"/>
      <c r="F455"/>
      <c r="G455" s="41"/>
      <c r="H455" s="68"/>
      <c r="I455" s="41"/>
      <c r="J455"/>
    </row>
    <row r="456" spans="1:10" s="58" customFormat="1">
      <c r="A456" s="34"/>
      <c r="B456" s="2"/>
      <c r="D456"/>
      <c r="E456"/>
      <c r="F456"/>
      <c r="G456" s="41"/>
      <c r="H456" s="68"/>
      <c r="I456" s="41"/>
      <c r="J456"/>
    </row>
    <row r="457" spans="1:10" s="58" customFormat="1">
      <c r="A457" s="34"/>
      <c r="B457" s="2"/>
      <c r="D457"/>
      <c r="E457"/>
      <c r="F457"/>
      <c r="G457" s="41"/>
      <c r="H457" s="68"/>
      <c r="I457" s="41"/>
      <c r="J457"/>
    </row>
    <row r="458" spans="1:10" s="58" customFormat="1">
      <c r="A458" s="34"/>
      <c r="B458" s="2"/>
      <c r="D458"/>
      <c r="E458"/>
      <c r="F458"/>
      <c r="G458" s="41"/>
      <c r="H458" s="68"/>
      <c r="I458" s="41"/>
      <c r="J458"/>
    </row>
    <row r="459" spans="1:10" s="58" customFormat="1">
      <c r="A459" s="34"/>
      <c r="B459" s="2"/>
      <c r="D459"/>
      <c r="E459"/>
      <c r="F459"/>
      <c r="G459" s="41"/>
      <c r="H459" s="68"/>
      <c r="I459" s="41"/>
      <c r="J459"/>
    </row>
    <row r="460" spans="1:10" s="58" customFormat="1">
      <c r="A460" s="34"/>
      <c r="B460" s="2"/>
      <c r="D460"/>
      <c r="E460"/>
      <c r="F460"/>
      <c r="G460" s="41"/>
      <c r="H460" s="68"/>
      <c r="I460" s="41"/>
      <c r="J460"/>
    </row>
    <row r="461" spans="1:10" s="58" customFormat="1">
      <c r="A461" s="34"/>
      <c r="B461" s="2"/>
      <c r="D461"/>
      <c r="E461"/>
      <c r="F461"/>
      <c r="G461" s="41"/>
      <c r="H461" s="68"/>
      <c r="I461" s="41"/>
      <c r="J461"/>
    </row>
    <row r="462" spans="1:10" s="58" customFormat="1">
      <c r="A462" s="34"/>
      <c r="B462" s="2"/>
      <c r="D462"/>
      <c r="E462"/>
      <c r="F462"/>
      <c r="G462" s="41"/>
      <c r="H462" s="68"/>
      <c r="I462" s="41"/>
      <c r="J462"/>
    </row>
    <row r="463" spans="1:10" s="58" customFormat="1">
      <c r="A463" s="34"/>
      <c r="B463" s="2"/>
      <c r="D463"/>
      <c r="E463"/>
      <c r="F463"/>
      <c r="G463" s="41"/>
      <c r="H463" s="68"/>
      <c r="I463" s="41"/>
      <c r="J463"/>
    </row>
    <row r="464" spans="1:10" s="58" customFormat="1">
      <c r="A464" s="34"/>
      <c r="B464" s="2"/>
      <c r="D464"/>
      <c r="E464"/>
      <c r="F464"/>
      <c r="G464" s="41"/>
      <c r="H464" s="68"/>
      <c r="I464" s="41"/>
      <c r="J464"/>
    </row>
    <row r="465" spans="1:10" s="58" customFormat="1">
      <c r="A465" s="34"/>
      <c r="B465" s="2"/>
      <c r="D465"/>
      <c r="E465"/>
      <c r="F465"/>
      <c r="G465" s="41"/>
      <c r="H465" s="68"/>
      <c r="I465" s="41"/>
      <c r="J465"/>
    </row>
    <row r="466" spans="1:10" s="58" customFormat="1">
      <c r="A466" s="34"/>
      <c r="B466" s="2"/>
      <c r="D466"/>
      <c r="E466"/>
      <c r="F466"/>
      <c r="G466" s="41"/>
      <c r="H466" s="68"/>
      <c r="I466" s="41"/>
      <c r="J466"/>
    </row>
    <row r="467" spans="1:10" s="58" customFormat="1">
      <c r="A467" s="34"/>
      <c r="B467" s="2"/>
      <c r="D467"/>
      <c r="E467"/>
      <c r="F467"/>
      <c r="G467" s="41"/>
      <c r="H467" s="68"/>
      <c r="I467" s="41"/>
      <c r="J467"/>
    </row>
    <row r="468" spans="1:10" s="58" customFormat="1">
      <c r="A468" s="34"/>
      <c r="B468" s="2"/>
      <c r="D468"/>
      <c r="E468"/>
      <c r="F468"/>
      <c r="G468" s="41"/>
      <c r="H468" s="68"/>
      <c r="I468" s="41"/>
      <c r="J468"/>
    </row>
    <row r="469" spans="1:10" s="58" customFormat="1">
      <c r="A469" s="34"/>
      <c r="B469" s="2"/>
      <c r="D469"/>
      <c r="E469"/>
      <c r="F469"/>
      <c r="G469" s="41"/>
      <c r="H469" s="68"/>
      <c r="I469" s="41"/>
      <c r="J469"/>
    </row>
    <row r="470" spans="1:10" s="58" customFormat="1">
      <c r="A470" s="34"/>
      <c r="B470" s="2"/>
      <c r="D470"/>
      <c r="E470"/>
      <c r="F470"/>
      <c r="G470" s="41"/>
      <c r="H470" s="68"/>
      <c r="I470" s="41"/>
      <c r="J470"/>
    </row>
    <row r="471" spans="1:10" s="58" customFormat="1">
      <c r="A471" s="34"/>
      <c r="B471" s="2"/>
      <c r="D471"/>
      <c r="E471"/>
      <c r="F471"/>
      <c r="G471" s="41"/>
      <c r="H471" s="68"/>
      <c r="I471" s="41"/>
      <c r="J471"/>
    </row>
    <row r="472" spans="1:10" s="58" customFormat="1">
      <c r="A472" s="34"/>
      <c r="B472" s="2"/>
      <c r="D472"/>
      <c r="E472"/>
      <c r="F472"/>
      <c r="G472" s="41"/>
      <c r="H472" s="68"/>
      <c r="I472" s="41"/>
      <c r="J472"/>
    </row>
    <row r="473" spans="1:10" s="58" customFormat="1">
      <c r="A473" s="34"/>
      <c r="B473" s="2"/>
      <c r="D473"/>
      <c r="E473"/>
      <c r="F473"/>
      <c r="G473" s="41"/>
      <c r="H473" s="68"/>
      <c r="I473" s="41"/>
      <c r="J473"/>
    </row>
    <row r="474" spans="1:10" s="58" customFormat="1">
      <c r="A474" s="34"/>
      <c r="B474" s="2"/>
      <c r="D474"/>
      <c r="E474"/>
      <c r="F474"/>
      <c r="G474" s="41"/>
      <c r="H474" s="68"/>
      <c r="I474" s="41"/>
      <c r="J474"/>
    </row>
    <row r="475" spans="1:10" s="58" customFormat="1">
      <c r="A475" s="34"/>
      <c r="B475" s="2"/>
      <c r="D475"/>
      <c r="E475"/>
      <c r="F475"/>
      <c r="G475" s="41"/>
      <c r="H475" s="68"/>
      <c r="I475" s="41"/>
      <c r="J475"/>
    </row>
    <row r="476" spans="1:10" s="58" customFormat="1">
      <c r="A476" s="34"/>
      <c r="B476" s="2"/>
      <c r="D476"/>
      <c r="E476"/>
      <c r="F476"/>
      <c r="G476" s="41"/>
      <c r="H476" s="68"/>
      <c r="I476" s="41"/>
      <c r="J476"/>
    </row>
    <row r="477" spans="1:10" s="58" customFormat="1">
      <c r="A477" s="34"/>
      <c r="B477" s="2"/>
      <c r="D477"/>
      <c r="E477"/>
      <c r="F477"/>
      <c r="G477" s="41"/>
      <c r="H477" s="68"/>
      <c r="I477" s="41"/>
      <c r="J477"/>
    </row>
    <row r="478" spans="1:10" s="58" customFormat="1">
      <c r="A478" s="34"/>
      <c r="B478" s="2"/>
      <c r="D478"/>
      <c r="E478"/>
      <c r="F478"/>
      <c r="G478" s="41"/>
      <c r="H478" s="68"/>
      <c r="I478" s="41"/>
      <c r="J478"/>
    </row>
    <row r="479" spans="1:10" s="58" customFormat="1">
      <c r="A479" s="34"/>
      <c r="B479" s="2"/>
      <c r="D479"/>
      <c r="E479"/>
      <c r="F479"/>
      <c r="G479" s="41"/>
      <c r="H479" s="68"/>
      <c r="I479" s="41"/>
      <c r="J479"/>
    </row>
    <row r="480" spans="1:10" s="58" customFormat="1">
      <c r="A480" s="34"/>
      <c r="B480" s="2"/>
      <c r="D480"/>
      <c r="E480"/>
      <c r="F480"/>
      <c r="G480" s="41"/>
      <c r="H480" s="68"/>
      <c r="I480" s="41"/>
      <c r="J480"/>
    </row>
    <row r="481" spans="1:10" s="58" customFormat="1">
      <c r="A481" s="34"/>
      <c r="B481" s="2"/>
      <c r="D481"/>
      <c r="E481"/>
      <c r="F481"/>
      <c r="G481" s="41"/>
      <c r="H481" s="68"/>
      <c r="I481" s="41"/>
      <c r="J481"/>
    </row>
    <row r="482" spans="1:10" s="58" customFormat="1">
      <c r="A482" s="34"/>
      <c r="B482" s="2"/>
      <c r="D482"/>
      <c r="E482"/>
      <c r="F482"/>
      <c r="G482" s="41"/>
      <c r="H482" s="68"/>
      <c r="I482" s="41"/>
      <c r="J482"/>
    </row>
    <row r="483" spans="1:10" s="58" customFormat="1">
      <c r="A483" s="34"/>
      <c r="B483" s="2"/>
      <c r="D483"/>
      <c r="E483"/>
      <c r="F483"/>
      <c r="G483" s="41"/>
      <c r="H483" s="68"/>
      <c r="I483" s="41"/>
      <c r="J483"/>
    </row>
    <row r="484" spans="1:10" s="58" customFormat="1">
      <c r="A484" s="34"/>
      <c r="B484" s="2"/>
      <c r="D484"/>
      <c r="E484"/>
      <c r="F484"/>
      <c r="G484" s="41"/>
      <c r="H484" s="68"/>
      <c r="I484" s="41"/>
      <c r="J484"/>
    </row>
    <row r="485" spans="1:10" s="58" customFormat="1">
      <c r="A485" s="34"/>
      <c r="B485" s="2"/>
      <c r="D485"/>
      <c r="E485"/>
      <c r="F485"/>
      <c r="G485" s="41"/>
      <c r="H485" s="68"/>
      <c r="I485" s="41"/>
      <c r="J485"/>
    </row>
    <row r="486" spans="1:10" s="58" customFormat="1">
      <c r="A486" s="34"/>
      <c r="B486" s="2"/>
      <c r="D486"/>
      <c r="E486"/>
      <c r="F486"/>
      <c r="G486" s="41"/>
      <c r="H486" s="68"/>
      <c r="I486" s="41"/>
      <c r="J486"/>
    </row>
    <row r="487" spans="1:10" s="58" customFormat="1">
      <c r="A487" s="34"/>
      <c r="B487" s="2"/>
      <c r="D487"/>
      <c r="E487"/>
      <c r="F487"/>
      <c r="G487" s="41"/>
      <c r="H487" s="68"/>
      <c r="I487" s="41"/>
      <c r="J487"/>
    </row>
    <row r="488" spans="1:10" s="58" customFormat="1">
      <c r="A488" s="34"/>
      <c r="B488" s="2"/>
      <c r="D488"/>
      <c r="E488"/>
      <c r="F488"/>
      <c r="G488" s="41"/>
      <c r="H488" s="68"/>
      <c r="I488" s="41"/>
      <c r="J488"/>
    </row>
    <row r="489" spans="1:10" s="58" customFormat="1">
      <c r="A489" s="34"/>
      <c r="B489" s="2"/>
      <c r="D489"/>
      <c r="E489"/>
      <c r="F489"/>
      <c r="G489" s="41"/>
      <c r="H489" s="68"/>
      <c r="I489" s="41"/>
      <c r="J489"/>
    </row>
    <row r="490" spans="1:10" s="58" customFormat="1">
      <c r="A490" s="34"/>
      <c r="B490" s="2"/>
      <c r="D490"/>
      <c r="E490"/>
      <c r="F490"/>
      <c r="G490" s="41"/>
      <c r="H490" s="68"/>
      <c r="I490" s="41"/>
      <c r="J490"/>
    </row>
    <row r="491" spans="1:10" s="58" customFormat="1">
      <c r="A491" s="34"/>
      <c r="B491" s="2"/>
      <c r="D491"/>
      <c r="E491"/>
      <c r="F491"/>
      <c r="G491" s="41"/>
      <c r="H491" s="68"/>
      <c r="I491" s="41"/>
      <c r="J491"/>
    </row>
    <row r="492" spans="1:10" s="58" customFormat="1">
      <c r="A492" s="34"/>
      <c r="B492" s="2"/>
      <c r="D492"/>
      <c r="E492"/>
      <c r="F492"/>
      <c r="G492" s="41"/>
      <c r="H492" s="68"/>
      <c r="I492" s="41"/>
      <c r="J492"/>
    </row>
    <row r="493" spans="1:10" s="58" customFormat="1">
      <c r="A493" s="34"/>
      <c r="B493" s="2"/>
      <c r="D493"/>
      <c r="E493"/>
      <c r="F493"/>
      <c r="G493" s="41"/>
      <c r="H493" s="68"/>
      <c r="I493" s="41"/>
      <c r="J493"/>
    </row>
    <row r="494" spans="1:10" s="58" customFormat="1">
      <c r="A494" s="34"/>
      <c r="B494" s="2"/>
      <c r="D494"/>
      <c r="E494"/>
      <c r="F494"/>
      <c r="G494" s="41"/>
      <c r="H494" s="68"/>
      <c r="I494" s="41"/>
      <c r="J494"/>
    </row>
    <row r="495" spans="1:10" s="58" customFormat="1">
      <c r="A495" s="34"/>
      <c r="B495" s="2"/>
      <c r="D495"/>
      <c r="E495"/>
      <c r="F495"/>
      <c r="G495" s="41"/>
      <c r="H495" s="68"/>
      <c r="I495" s="41"/>
      <c r="J495"/>
    </row>
    <row r="496" spans="1:10" s="58" customFormat="1">
      <c r="A496" s="34"/>
      <c r="B496" s="2"/>
      <c r="D496"/>
      <c r="E496"/>
      <c r="F496"/>
      <c r="G496" s="41"/>
      <c r="H496" s="68"/>
      <c r="I496" s="41"/>
      <c r="J496"/>
    </row>
    <row r="497" spans="1:10" s="58" customFormat="1">
      <c r="A497" s="34"/>
      <c r="B497" s="2"/>
      <c r="D497"/>
      <c r="E497"/>
      <c r="F497"/>
      <c r="G497" s="41"/>
      <c r="H497" s="68"/>
      <c r="I497" s="41"/>
      <c r="J497"/>
    </row>
    <row r="498" spans="1:10" s="58" customFormat="1">
      <c r="A498" s="34"/>
      <c r="B498" s="2"/>
      <c r="D498"/>
      <c r="E498"/>
      <c r="F498"/>
      <c r="G498" s="41"/>
      <c r="H498" s="68"/>
      <c r="I498" s="41"/>
      <c r="J498"/>
    </row>
    <row r="499" spans="1:10" s="58" customFormat="1">
      <c r="A499" s="34"/>
      <c r="B499" s="2"/>
      <c r="D499"/>
      <c r="E499"/>
      <c r="F499"/>
      <c r="G499" s="41"/>
      <c r="H499" s="68"/>
      <c r="I499" s="41"/>
      <c r="J499"/>
    </row>
    <row r="500" spans="1:10" s="58" customFormat="1">
      <c r="A500" s="34"/>
      <c r="B500" s="2"/>
      <c r="D500"/>
      <c r="E500"/>
      <c r="F500"/>
      <c r="G500" s="41"/>
      <c r="H500" s="68"/>
      <c r="I500" s="41"/>
      <c r="J500"/>
    </row>
    <row r="501" spans="1:10" s="58" customFormat="1">
      <c r="A501" s="34"/>
      <c r="B501" s="2"/>
      <c r="D501"/>
      <c r="E501"/>
      <c r="F501"/>
      <c r="G501" s="41"/>
      <c r="H501" s="68"/>
      <c r="I501" s="41"/>
      <c r="J501"/>
    </row>
    <row r="502" spans="1:10" s="58" customFormat="1">
      <c r="A502" s="34"/>
      <c r="B502" s="2"/>
      <c r="D502"/>
      <c r="E502"/>
      <c r="F502"/>
      <c r="G502" s="41"/>
      <c r="H502" s="68"/>
      <c r="I502" s="41"/>
      <c r="J502"/>
    </row>
    <row r="503" spans="1:10" s="58" customFormat="1">
      <c r="A503" s="34"/>
      <c r="B503" s="2"/>
      <c r="D503"/>
      <c r="E503"/>
      <c r="F503"/>
      <c r="G503" s="41"/>
      <c r="H503" s="68"/>
      <c r="I503" s="41"/>
      <c r="J503"/>
    </row>
    <row r="504" spans="1:10" s="58" customFormat="1">
      <c r="A504" s="34"/>
      <c r="B504" s="2"/>
      <c r="D504"/>
      <c r="E504"/>
      <c r="F504"/>
      <c r="G504" s="41"/>
      <c r="H504" s="68"/>
      <c r="I504" s="41"/>
      <c r="J504"/>
    </row>
    <row r="505" spans="1:10" s="58" customFormat="1">
      <c r="A505" s="34"/>
      <c r="B505" s="2"/>
      <c r="D505"/>
      <c r="E505"/>
      <c r="F505"/>
      <c r="G505" s="41"/>
      <c r="H505" s="68"/>
      <c r="I505" s="41"/>
      <c r="J505"/>
    </row>
    <row r="506" spans="1:10" s="58" customFormat="1">
      <c r="A506" s="34"/>
      <c r="B506" s="2"/>
      <c r="D506"/>
      <c r="E506"/>
      <c r="F506"/>
      <c r="G506" s="41"/>
      <c r="H506" s="68"/>
      <c r="I506" s="41"/>
      <c r="J506"/>
    </row>
    <row r="507" spans="1:10" s="58" customFormat="1">
      <c r="A507" s="34"/>
      <c r="B507" s="2"/>
      <c r="D507"/>
      <c r="E507"/>
      <c r="F507"/>
      <c r="G507" s="41"/>
      <c r="H507" s="68"/>
      <c r="I507" s="41"/>
      <c r="J507"/>
    </row>
    <row r="508" spans="1:10" s="58" customFormat="1">
      <c r="A508" s="34"/>
      <c r="B508" s="2"/>
      <c r="D508"/>
      <c r="E508"/>
      <c r="F508"/>
      <c r="G508" s="41"/>
      <c r="H508" s="68"/>
      <c r="I508" s="41"/>
      <c r="J508"/>
    </row>
    <row r="509" spans="1:10" s="58" customFormat="1">
      <c r="A509" s="34"/>
      <c r="B509" s="2"/>
      <c r="D509"/>
      <c r="E509"/>
      <c r="F509"/>
      <c r="G509" s="41"/>
      <c r="H509" s="68"/>
      <c r="I509" s="41"/>
      <c r="J509"/>
    </row>
    <row r="510" spans="1:10" s="58" customFormat="1">
      <c r="A510" s="34"/>
      <c r="B510" s="2"/>
      <c r="D510"/>
      <c r="E510"/>
      <c r="F510"/>
      <c r="G510" s="41"/>
      <c r="H510" s="68"/>
      <c r="I510" s="41"/>
      <c r="J510"/>
    </row>
    <row r="511" spans="1:10" s="58" customFormat="1">
      <c r="A511" s="34"/>
      <c r="B511" s="2"/>
      <c r="D511"/>
      <c r="E511"/>
      <c r="F511"/>
      <c r="G511" s="41"/>
      <c r="H511" s="68"/>
      <c r="I511" s="41"/>
      <c r="J511"/>
    </row>
    <row r="512" spans="1:10" s="58" customFormat="1">
      <c r="A512" s="34"/>
      <c r="B512" s="2"/>
      <c r="D512"/>
      <c r="E512"/>
      <c r="F512"/>
      <c r="G512" s="41"/>
      <c r="H512" s="68"/>
      <c r="I512" s="41"/>
      <c r="J512"/>
    </row>
    <row r="513" spans="1:10" s="58" customFormat="1">
      <c r="A513" s="34"/>
      <c r="B513" s="2"/>
      <c r="D513"/>
      <c r="E513"/>
      <c r="F513"/>
      <c r="G513" s="41"/>
      <c r="H513" s="68"/>
      <c r="I513" s="41"/>
      <c r="J513"/>
    </row>
    <row r="514" spans="1:10" s="58" customFormat="1">
      <c r="A514" s="34"/>
      <c r="B514" s="2"/>
      <c r="D514"/>
      <c r="E514"/>
      <c r="F514"/>
      <c r="G514" s="41"/>
      <c r="H514" s="68"/>
      <c r="I514" s="41"/>
      <c r="J514"/>
    </row>
    <row r="515" spans="1:10" s="58" customFormat="1">
      <c r="A515" s="34"/>
      <c r="B515" s="2"/>
      <c r="D515"/>
      <c r="E515"/>
      <c r="F515"/>
      <c r="G515" s="41"/>
      <c r="H515" s="68"/>
      <c r="I515" s="41"/>
      <c r="J515"/>
    </row>
    <row r="516" spans="1:10" s="58" customFormat="1">
      <c r="A516" s="34"/>
      <c r="B516" s="2"/>
      <c r="D516"/>
      <c r="E516"/>
      <c r="F516"/>
      <c r="G516" s="41"/>
      <c r="H516" s="68"/>
      <c r="I516" s="41"/>
      <c r="J516"/>
    </row>
    <row r="517" spans="1:10" s="58" customFormat="1">
      <c r="A517" s="34"/>
      <c r="B517" s="2"/>
      <c r="D517"/>
      <c r="E517"/>
      <c r="F517"/>
      <c r="G517" s="41"/>
      <c r="H517" s="68"/>
      <c r="I517" s="41"/>
      <c r="J517"/>
    </row>
    <row r="518" spans="1:10" s="58" customFormat="1">
      <c r="A518" s="34"/>
      <c r="B518" s="2"/>
      <c r="D518"/>
      <c r="E518"/>
      <c r="F518"/>
      <c r="G518" s="41"/>
      <c r="H518" s="68"/>
      <c r="I518" s="41"/>
      <c r="J518"/>
    </row>
    <row r="519" spans="1:10" s="58" customFormat="1">
      <c r="A519" s="34"/>
      <c r="B519" s="2"/>
      <c r="D519"/>
      <c r="E519"/>
      <c r="F519"/>
      <c r="G519" s="41"/>
      <c r="H519" s="68"/>
      <c r="I519" s="41"/>
      <c r="J519"/>
    </row>
    <row r="520" spans="1:10" s="58" customFormat="1">
      <c r="A520" s="34"/>
      <c r="B520" s="2"/>
      <c r="D520"/>
      <c r="E520"/>
      <c r="F520"/>
      <c r="G520" s="41"/>
      <c r="H520" s="68"/>
      <c r="I520" s="41"/>
      <c r="J520"/>
    </row>
    <row r="521" spans="1:10" s="58" customFormat="1">
      <c r="A521" s="34"/>
      <c r="B521" s="2"/>
      <c r="D521"/>
      <c r="E521"/>
      <c r="F521"/>
      <c r="G521" s="41"/>
      <c r="H521" s="68"/>
      <c r="I521" s="41"/>
      <c r="J521"/>
    </row>
    <row r="522" spans="1:10" s="58" customFormat="1">
      <c r="A522" s="34"/>
      <c r="B522" s="2"/>
      <c r="D522"/>
      <c r="E522"/>
      <c r="F522"/>
      <c r="G522" s="41"/>
      <c r="H522" s="68"/>
      <c r="I522" s="41"/>
      <c r="J522"/>
    </row>
    <row r="523" spans="1:10" s="58" customFormat="1">
      <c r="A523" s="34"/>
      <c r="B523" s="2"/>
      <c r="D523"/>
      <c r="E523"/>
      <c r="F523"/>
      <c r="G523" s="41"/>
      <c r="H523" s="68"/>
      <c r="I523" s="41"/>
      <c r="J523"/>
    </row>
    <row r="524" spans="1:10" s="58" customFormat="1">
      <c r="A524" s="34"/>
      <c r="B524" s="2"/>
      <c r="D524"/>
      <c r="E524"/>
      <c r="F524"/>
      <c r="G524" s="41"/>
      <c r="H524" s="68"/>
      <c r="I524" s="41"/>
      <c r="J524"/>
    </row>
    <row r="525" spans="1:10" s="58" customFormat="1">
      <c r="A525" s="34"/>
      <c r="B525" s="2"/>
      <c r="D525"/>
      <c r="E525"/>
      <c r="F525"/>
      <c r="G525" s="41"/>
      <c r="H525" s="68"/>
      <c r="I525" s="41"/>
      <c r="J525"/>
    </row>
    <row r="526" spans="1:10" s="58" customFormat="1">
      <c r="A526" s="34"/>
      <c r="B526" s="2"/>
      <c r="D526"/>
      <c r="E526"/>
      <c r="F526"/>
      <c r="G526" s="41"/>
      <c r="H526" s="68"/>
      <c r="I526" s="41"/>
      <c r="J526"/>
    </row>
    <row r="527" spans="1:10" s="58" customFormat="1">
      <c r="A527" s="34"/>
      <c r="B527" s="2"/>
      <c r="D527"/>
      <c r="E527"/>
      <c r="F527"/>
      <c r="G527" s="41"/>
      <c r="H527" s="68"/>
      <c r="I527" s="41"/>
      <c r="J527"/>
    </row>
    <row r="528" spans="1:10" s="58" customFormat="1">
      <c r="A528" s="34"/>
      <c r="B528" s="2"/>
      <c r="D528"/>
      <c r="E528"/>
      <c r="F528"/>
      <c r="G528" s="41"/>
      <c r="H528" s="68"/>
      <c r="I528" s="41"/>
      <c r="J528"/>
    </row>
    <row r="529" spans="1:10" s="58" customFormat="1">
      <c r="A529" s="34"/>
      <c r="B529" s="2"/>
      <c r="D529"/>
      <c r="E529"/>
      <c r="F529"/>
      <c r="G529" s="41"/>
      <c r="H529" s="68"/>
      <c r="I529" s="41"/>
      <c r="J529"/>
    </row>
    <row r="530" spans="1:10" s="58" customFormat="1">
      <c r="A530" s="34"/>
      <c r="B530" s="2"/>
      <c r="D530"/>
      <c r="E530"/>
      <c r="F530"/>
      <c r="G530" s="41"/>
      <c r="H530" s="68"/>
      <c r="I530" s="41"/>
      <c r="J530"/>
    </row>
    <row r="531" spans="1:10" s="58" customFormat="1">
      <c r="A531" s="34"/>
      <c r="B531" s="2"/>
      <c r="D531"/>
      <c r="E531"/>
      <c r="F531"/>
      <c r="G531" s="41"/>
      <c r="H531" s="68"/>
      <c r="I531" s="41"/>
      <c r="J531"/>
    </row>
    <row r="532" spans="1:10" s="58" customFormat="1">
      <c r="A532" s="34"/>
      <c r="B532" s="2"/>
      <c r="D532"/>
      <c r="E532"/>
      <c r="F532"/>
      <c r="G532" s="41"/>
      <c r="H532" s="68"/>
      <c r="I532" s="41"/>
      <c r="J532"/>
    </row>
    <row r="533" spans="1:10" s="58" customFormat="1">
      <c r="A533" s="34"/>
      <c r="B533" s="2"/>
      <c r="D533"/>
      <c r="E533"/>
      <c r="F533"/>
      <c r="G533" s="41"/>
      <c r="H533" s="68"/>
      <c r="I533" s="41"/>
      <c r="J533"/>
    </row>
    <row r="534" spans="1:10" s="58" customFormat="1">
      <c r="A534" s="34"/>
      <c r="B534" s="2"/>
      <c r="D534"/>
      <c r="E534"/>
      <c r="F534"/>
      <c r="G534" s="41"/>
      <c r="H534" s="68"/>
      <c r="I534" s="41"/>
      <c r="J534"/>
    </row>
    <row r="535" spans="1:10" s="58" customFormat="1">
      <c r="A535" s="34"/>
      <c r="B535" s="2"/>
      <c r="D535"/>
      <c r="E535"/>
      <c r="F535"/>
      <c r="G535" s="41"/>
      <c r="H535" s="68"/>
      <c r="I535" s="41"/>
      <c r="J535"/>
    </row>
    <row r="536" spans="1:10" s="58" customFormat="1">
      <c r="A536" s="34"/>
      <c r="B536" s="2"/>
      <c r="D536"/>
      <c r="E536"/>
      <c r="F536"/>
      <c r="G536" s="41"/>
      <c r="H536" s="68"/>
      <c r="I536" s="41"/>
      <c r="J536"/>
    </row>
    <row r="537" spans="1:10" s="58" customFormat="1">
      <c r="A537" s="34"/>
      <c r="B537" s="2"/>
      <c r="D537"/>
      <c r="E537"/>
      <c r="F537"/>
      <c r="G537" s="41"/>
      <c r="H537" s="68"/>
      <c r="I537" s="41"/>
      <c r="J537"/>
    </row>
    <row r="538" spans="1:10" s="58" customFormat="1">
      <c r="A538" s="34"/>
      <c r="B538" s="2"/>
      <c r="D538"/>
      <c r="E538"/>
      <c r="F538"/>
      <c r="G538" s="41"/>
      <c r="H538" s="68"/>
      <c r="I538" s="41"/>
      <c r="J538"/>
    </row>
    <row r="539" spans="1:10" s="58" customFormat="1">
      <c r="A539" s="34"/>
      <c r="B539" s="2"/>
      <c r="D539"/>
      <c r="E539"/>
      <c r="F539"/>
      <c r="G539" s="41"/>
      <c r="H539" s="68"/>
      <c r="I539" s="41"/>
      <c r="J539"/>
    </row>
    <row r="540" spans="1:10" s="58" customFormat="1">
      <c r="A540" s="34"/>
      <c r="B540" s="2"/>
      <c r="D540"/>
      <c r="E540"/>
      <c r="F540"/>
      <c r="G540" s="41"/>
      <c r="H540" s="68"/>
      <c r="I540" s="41"/>
      <c r="J540"/>
    </row>
    <row r="541" spans="1:10" s="58" customFormat="1">
      <c r="A541" s="34"/>
      <c r="B541" s="2"/>
      <c r="D541"/>
      <c r="E541"/>
      <c r="F541"/>
      <c r="G541" s="41"/>
      <c r="H541" s="68"/>
      <c r="I541" s="41"/>
      <c r="J541"/>
    </row>
    <row r="542" spans="1:10" s="58" customFormat="1">
      <c r="A542" s="34"/>
      <c r="B542" s="2"/>
      <c r="D542"/>
      <c r="E542"/>
      <c r="F542"/>
      <c r="G542" s="41"/>
      <c r="H542" s="68"/>
      <c r="I542" s="41"/>
      <c r="J542"/>
    </row>
    <row r="543" spans="1:10" s="58" customFormat="1">
      <c r="A543" s="34"/>
      <c r="B543" s="2"/>
      <c r="D543"/>
      <c r="E543"/>
      <c r="F543"/>
      <c r="G543" s="41"/>
      <c r="H543" s="68"/>
      <c r="I543" s="41"/>
      <c r="J543"/>
    </row>
    <row r="544" spans="1:10" s="58" customFormat="1">
      <c r="A544" s="34"/>
      <c r="B544" s="2"/>
      <c r="D544"/>
      <c r="E544"/>
      <c r="F544"/>
      <c r="G544" s="41"/>
      <c r="H544" s="68"/>
      <c r="I544" s="41"/>
      <c r="J544"/>
    </row>
    <row r="545" spans="1:10" s="58" customFormat="1">
      <c r="A545" s="34"/>
      <c r="B545" s="2"/>
      <c r="D545"/>
      <c r="E545"/>
      <c r="F545"/>
      <c r="G545" s="41"/>
      <c r="H545" s="68"/>
      <c r="I545" s="41"/>
      <c r="J545"/>
    </row>
    <row r="546" spans="1:10" s="58" customFormat="1">
      <c r="A546" s="34"/>
      <c r="B546" s="2"/>
      <c r="D546"/>
      <c r="E546"/>
      <c r="F546"/>
      <c r="G546" s="41"/>
      <c r="H546" s="68"/>
      <c r="I546" s="41"/>
      <c r="J546"/>
    </row>
    <row r="547" spans="1:10" s="58" customFormat="1">
      <c r="A547" s="34"/>
      <c r="B547" s="2"/>
      <c r="D547"/>
      <c r="E547"/>
      <c r="F547"/>
      <c r="G547" s="41"/>
      <c r="H547" s="68"/>
      <c r="I547" s="41"/>
      <c r="J547"/>
    </row>
    <row r="548" spans="1:10" s="58" customFormat="1">
      <c r="A548" s="34"/>
      <c r="B548" s="2"/>
      <c r="D548"/>
      <c r="E548"/>
      <c r="F548"/>
      <c r="G548" s="41"/>
      <c r="H548" s="68"/>
      <c r="I548" s="41"/>
      <c r="J548"/>
    </row>
    <row r="549" spans="1:10" s="58" customFormat="1">
      <c r="A549" s="34"/>
      <c r="B549" s="2"/>
      <c r="D549"/>
      <c r="E549"/>
      <c r="F549"/>
      <c r="G549" s="41"/>
      <c r="H549" s="68"/>
      <c r="I549" s="41"/>
      <c r="J549"/>
    </row>
    <row r="550" spans="1:10" s="58" customFormat="1">
      <c r="A550" s="34"/>
      <c r="B550" s="2"/>
      <c r="D550"/>
      <c r="E550"/>
      <c r="F550"/>
      <c r="G550" s="41"/>
      <c r="H550" s="68"/>
      <c r="I550" s="41"/>
      <c r="J550"/>
    </row>
    <row r="551" spans="1:10" s="58" customFormat="1">
      <c r="A551" s="34"/>
      <c r="B551" s="2"/>
      <c r="D551"/>
      <c r="E551"/>
      <c r="F551"/>
      <c r="G551" s="41"/>
      <c r="H551" s="68"/>
      <c r="I551" s="41"/>
      <c r="J551"/>
    </row>
    <row r="552" spans="1:10" s="58" customFormat="1">
      <c r="A552" s="34"/>
      <c r="B552" s="2"/>
      <c r="D552"/>
      <c r="E552"/>
      <c r="F552"/>
      <c r="G552" s="41"/>
      <c r="H552" s="68"/>
      <c r="I552" s="41"/>
      <c r="J552"/>
    </row>
    <row r="553" spans="1:10" s="58" customFormat="1">
      <c r="A553" s="34"/>
      <c r="B553" s="2"/>
      <c r="D553"/>
      <c r="E553"/>
      <c r="F553"/>
      <c r="G553" s="41"/>
      <c r="H553" s="68"/>
      <c r="I553" s="41"/>
      <c r="J553"/>
    </row>
    <row r="554" spans="1:10" s="58" customFormat="1">
      <c r="A554" s="34"/>
      <c r="B554" s="2"/>
      <c r="D554"/>
      <c r="E554"/>
      <c r="F554"/>
      <c r="G554" s="41"/>
      <c r="H554" s="68"/>
      <c r="I554" s="41"/>
      <c r="J554"/>
    </row>
    <row r="555" spans="1:10" s="58" customFormat="1">
      <c r="A555" s="34"/>
      <c r="B555" s="2"/>
      <c r="D555"/>
      <c r="E555"/>
      <c r="F555"/>
      <c r="G555" s="41"/>
      <c r="H555" s="68"/>
      <c r="I555" s="41"/>
      <c r="J555"/>
    </row>
    <row r="556" spans="1:10" s="58" customFormat="1">
      <c r="A556" s="34"/>
      <c r="B556" s="2"/>
      <c r="D556"/>
      <c r="E556"/>
      <c r="F556"/>
      <c r="G556" s="41"/>
      <c r="H556" s="68"/>
      <c r="I556" s="41"/>
      <c r="J556"/>
    </row>
    <row r="557" spans="1:10" s="58" customFormat="1">
      <c r="A557" s="34"/>
      <c r="B557" s="2"/>
      <c r="D557"/>
      <c r="E557"/>
      <c r="F557"/>
      <c r="G557" s="41"/>
      <c r="H557" s="68"/>
      <c r="I557" s="41"/>
      <c r="J557"/>
    </row>
    <row r="558" spans="1:10" s="58" customFormat="1">
      <c r="A558" s="34"/>
      <c r="B558" s="2"/>
      <c r="D558"/>
      <c r="E558"/>
      <c r="F558"/>
      <c r="G558" s="41"/>
      <c r="H558" s="68"/>
      <c r="I558" s="41"/>
      <c r="J558"/>
    </row>
    <row r="559" spans="1:10" s="58" customFormat="1">
      <c r="A559" s="34"/>
      <c r="B559" s="2"/>
      <c r="D559"/>
      <c r="E559"/>
      <c r="F559"/>
      <c r="G559" s="41"/>
      <c r="H559" s="68"/>
      <c r="I559" s="41"/>
      <c r="J559"/>
    </row>
    <row r="560" spans="1:10" s="58" customFormat="1">
      <c r="A560" s="34"/>
      <c r="B560" s="2"/>
      <c r="D560"/>
      <c r="E560"/>
      <c r="F560"/>
      <c r="G560" s="41"/>
      <c r="H560" s="68"/>
      <c r="I560" s="41"/>
      <c r="J560"/>
    </row>
    <row r="561" spans="1:10" s="58" customFormat="1">
      <c r="A561" s="34"/>
      <c r="B561" s="2"/>
      <c r="D561"/>
      <c r="E561"/>
      <c r="F561"/>
      <c r="G561" s="41"/>
      <c r="H561" s="68"/>
      <c r="I561" s="41"/>
      <c r="J561"/>
    </row>
    <row r="562" spans="1:10" s="58" customFormat="1">
      <c r="A562" s="34"/>
      <c r="B562" s="2"/>
      <c r="D562"/>
      <c r="E562"/>
      <c r="F562"/>
      <c r="G562" s="41"/>
      <c r="H562" s="68"/>
      <c r="I562" s="41"/>
      <c r="J562"/>
    </row>
    <row r="563" spans="1:10" s="58" customFormat="1">
      <c r="A563" s="34"/>
      <c r="B563" s="2"/>
      <c r="D563"/>
      <c r="E563"/>
      <c r="F563"/>
      <c r="G563" s="41"/>
      <c r="H563" s="68"/>
      <c r="I563" s="41"/>
      <c r="J563"/>
    </row>
    <row r="564" spans="1:10" s="58" customFormat="1">
      <c r="A564" s="34"/>
      <c r="B564" s="2"/>
      <c r="D564"/>
      <c r="E564"/>
      <c r="F564"/>
      <c r="G564" s="41"/>
      <c r="H564" s="68"/>
      <c r="I564" s="41"/>
      <c r="J564"/>
    </row>
    <row r="565" spans="1:10" s="58" customFormat="1">
      <c r="A565" s="34"/>
      <c r="B565" s="2"/>
      <c r="D565"/>
      <c r="E565"/>
      <c r="F565"/>
      <c r="G565" s="41"/>
      <c r="H565" s="68"/>
      <c r="I565" s="41"/>
      <c r="J565"/>
    </row>
    <row r="566" spans="1:10" s="58" customFormat="1">
      <c r="A566" s="34"/>
      <c r="B566" s="2"/>
      <c r="D566"/>
      <c r="E566"/>
      <c r="F566"/>
      <c r="G566" s="41"/>
      <c r="H566" s="68"/>
      <c r="I566" s="41"/>
      <c r="J566"/>
    </row>
    <row r="567" spans="1:10" s="58" customFormat="1">
      <c r="A567" s="34"/>
      <c r="B567" s="2"/>
      <c r="D567"/>
      <c r="E567"/>
      <c r="F567"/>
      <c r="G567" s="41"/>
      <c r="H567" s="68"/>
      <c r="I567" s="41"/>
      <c r="J567"/>
    </row>
    <row r="568" spans="1:10" s="58" customFormat="1">
      <c r="A568" s="34"/>
      <c r="B568" s="2"/>
      <c r="D568"/>
      <c r="E568"/>
      <c r="F568"/>
      <c r="G568" s="41"/>
      <c r="H568" s="68"/>
      <c r="I568" s="41"/>
      <c r="J568"/>
    </row>
    <row r="569" spans="1:10" s="58" customFormat="1">
      <c r="A569" s="34"/>
      <c r="B569" s="2"/>
      <c r="D569"/>
      <c r="E569"/>
      <c r="F569"/>
      <c r="G569" s="41"/>
      <c r="H569" s="68"/>
      <c r="I569" s="41"/>
      <c r="J569"/>
    </row>
    <row r="570" spans="1:10" s="58" customFormat="1">
      <c r="A570" s="34"/>
      <c r="B570" s="2"/>
      <c r="D570"/>
      <c r="E570"/>
      <c r="F570"/>
      <c r="G570" s="41"/>
      <c r="H570" s="68"/>
      <c r="I570" s="41"/>
      <c r="J570"/>
    </row>
    <row r="571" spans="1:10" s="58" customFormat="1">
      <c r="A571" s="34"/>
      <c r="B571" s="2"/>
      <c r="D571"/>
      <c r="E571"/>
      <c r="F571"/>
      <c r="G571" s="41"/>
      <c r="H571" s="68"/>
      <c r="I571" s="41"/>
      <c r="J571"/>
    </row>
    <row r="572" spans="1:10" s="58" customFormat="1">
      <c r="A572" s="34"/>
      <c r="B572" s="2"/>
      <c r="D572"/>
      <c r="E572"/>
      <c r="F572"/>
      <c r="G572" s="41"/>
      <c r="H572" s="68"/>
      <c r="I572" s="41"/>
      <c r="J572"/>
    </row>
    <row r="573" spans="1:10" s="58" customFormat="1">
      <c r="A573" s="34"/>
      <c r="B573" s="2"/>
      <c r="D573"/>
      <c r="E573"/>
      <c r="F573"/>
      <c r="G573" s="41"/>
      <c r="H573" s="68"/>
      <c r="I573" s="41"/>
      <c r="J573"/>
    </row>
    <row r="574" spans="1:10" s="58" customFormat="1">
      <c r="A574" s="34"/>
      <c r="B574" s="2"/>
      <c r="D574"/>
      <c r="E574"/>
      <c r="F574"/>
      <c r="G574" s="41"/>
      <c r="H574" s="68"/>
      <c r="I574" s="41"/>
      <c r="J574"/>
    </row>
    <row r="575" spans="1:10" s="58" customFormat="1">
      <c r="A575" s="34"/>
      <c r="B575" s="2"/>
      <c r="D575"/>
      <c r="E575"/>
      <c r="F575"/>
      <c r="G575" s="41"/>
      <c r="H575" s="68"/>
      <c r="I575" s="41"/>
      <c r="J575"/>
    </row>
    <row r="576" spans="1:10" s="58" customFormat="1">
      <c r="A576" s="34"/>
      <c r="B576" s="2"/>
      <c r="D576"/>
      <c r="E576"/>
      <c r="F576"/>
      <c r="G576" s="41"/>
      <c r="H576" s="68"/>
      <c r="I576" s="41"/>
      <c r="J576"/>
    </row>
    <row r="577" spans="1:10" s="58" customFormat="1">
      <c r="A577" s="34"/>
      <c r="B577" s="2"/>
      <c r="D577"/>
      <c r="E577"/>
      <c r="F577"/>
      <c r="G577" s="41"/>
      <c r="H577" s="68"/>
      <c r="I577" s="41"/>
      <c r="J577"/>
    </row>
    <row r="578" spans="1:10" s="58" customFormat="1">
      <c r="A578" s="34"/>
      <c r="B578" s="2"/>
      <c r="D578"/>
      <c r="E578"/>
      <c r="F578"/>
      <c r="G578" s="41"/>
      <c r="H578" s="68"/>
      <c r="I578" s="41"/>
      <c r="J578"/>
    </row>
    <row r="579" spans="1:10" s="58" customFormat="1">
      <c r="A579" s="34"/>
      <c r="B579" s="2"/>
      <c r="D579"/>
      <c r="E579"/>
      <c r="F579"/>
      <c r="G579" s="41"/>
      <c r="H579" s="68"/>
      <c r="I579" s="41"/>
      <c r="J579"/>
    </row>
    <row r="580" spans="1:10" s="58" customFormat="1">
      <c r="A580" s="34"/>
      <c r="B580" s="2"/>
      <c r="D580"/>
      <c r="E580"/>
      <c r="F580"/>
      <c r="G580" s="41"/>
      <c r="H580" s="68"/>
      <c r="I580" s="41"/>
      <c r="J580"/>
    </row>
    <row r="581" spans="1:10" s="58" customFormat="1">
      <c r="A581" s="34"/>
      <c r="B581" s="2"/>
      <c r="D581"/>
      <c r="E581"/>
      <c r="F581"/>
      <c r="G581" s="41"/>
      <c r="H581" s="68"/>
      <c r="I581" s="41"/>
      <c r="J581"/>
    </row>
    <row r="582" spans="1:10" s="58" customFormat="1">
      <c r="A582" s="34"/>
      <c r="B582" s="2"/>
      <c r="D582"/>
      <c r="E582"/>
      <c r="F582"/>
      <c r="G582" s="41"/>
      <c r="H582" s="68"/>
      <c r="I582" s="41"/>
      <c r="J582"/>
    </row>
    <row r="583" spans="1:10" s="58" customFormat="1">
      <c r="A583" s="34"/>
      <c r="B583" s="2"/>
      <c r="D583"/>
      <c r="E583"/>
      <c r="F583"/>
      <c r="G583" s="41"/>
      <c r="H583" s="68"/>
      <c r="I583" s="41"/>
      <c r="J583"/>
    </row>
    <row r="584" spans="1:10" s="58" customFormat="1">
      <c r="A584" s="34"/>
      <c r="B584" s="2"/>
      <c r="D584"/>
      <c r="E584"/>
      <c r="F584"/>
      <c r="G584" s="41"/>
      <c r="H584" s="68"/>
      <c r="I584" s="41"/>
      <c r="J584"/>
    </row>
    <row r="585" spans="1:10" s="58" customFormat="1">
      <c r="A585" s="34"/>
      <c r="B585" s="2"/>
      <c r="D585"/>
      <c r="E585"/>
      <c r="F585"/>
      <c r="G585" s="41"/>
      <c r="H585" s="68"/>
      <c r="I585" s="41"/>
      <c r="J585"/>
    </row>
    <row r="586" spans="1:10" s="58" customFormat="1">
      <c r="A586" s="34"/>
      <c r="B586" s="2"/>
      <c r="D586"/>
      <c r="E586"/>
      <c r="F586"/>
      <c r="G586" s="41"/>
      <c r="H586" s="68"/>
      <c r="I586" s="41"/>
      <c r="J586"/>
    </row>
    <row r="587" spans="1:10" s="58" customFormat="1">
      <c r="A587" s="34"/>
      <c r="B587" s="2"/>
      <c r="D587"/>
      <c r="E587"/>
      <c r="F587"/>
      <c r="G587" s="41"/>
      <c r="H587" s="68"/>
      <c r="I587" s="41"/>
      <c r="J587"/>
    </row>
    <row r="588" spans="1:10" s="58" customFormat="1">
      <c r="A588" s="34"/>
      <c r="B588" s="2"/>
      <c r="D588"/>
      <c r="E588"/>
      <c r="F588"/>
      <c r="G588" s="41"/>
      <c r="H588" s="68"/>
      <c r="I588" s="41"/>
      <c r="J588"/>
    </row>
    <row r="589" spans="1:10" s="58" customFormat="1">
      <c r="A589" s="34"/>
      <c r="B589" s="2"/>
      <c r="D589"/>
      <c r="E589"/>
      <c r="F589"/>
      <c r="G589" s="41"/>
      <c r="H589" s="68"/>
      <c r="I589" s="41"/>
      <c r="J589"/>
    </row>
    <row r="590" spans="1:10" s="58" customFormat="1">
      <c r="A590" s="34"/>
      <c r="B590" s="2"/>
      <c r="D590"/>
      <c r="E590"/>
      <c r="F590"/>
      <c r="G590" s="41"/>
      <c r="H590" s="68"/>
      <c r="I590" s="41"/>
      <c r="J590"/>
    </row>
    <row r="591" spans="1:10" s="58" customFormat="1">
      <c r="A591" s="34"/>
      <c r="B591" s="2"/>
      <c r="D591"/>
      <c r="E591"/>
      <c r="F591"/>
      <c r="G591" s="41"/>
      <c r="H591" s="68"/>
      <c r="I591" s="41"/>
      <c r="J591"/>
    </row>
    <row r="592" spans="1:10" s="58" customFormat="1">
      <c r="A592" s="34"/>
      <c r="B592" s="2"/>
      <c r="D592"/>
      <c r="E592"/>
      <c r="F592"/>
      <c r="G592" s="41"/>
      <c r="H592" s="68"/>
      <c r="I592" s="41"/>
      <c r="J592"/>
    </row>
    <row r="593" spans="1:10" s="58" customFormat="1">
      <c r="A593" s="34"/>
      <c r="B593" s="2"/>
      <c r="D593"/>
      <c r="E593"/>
      <c r="F593"/>
      <c r="G593" s="41"/>
      <c r="H593" s="68"/>
      <c r="I593" s="41"/>
      <c r="J593"/>
    </row>
    <row r="594" spans="1:10" s="58" customFormat="1">
      <c r="A594" s="34"/>
      <c r="B594" s="2"/>
      <c r="D594"/>
      <c r="E594"/>
      <c r="F594"/>
      <c r="G594" s="41"/>
      <c r="H594" s="68"/>
      <c r="I594" s="41"/>
      <c r="J594"/>
    </row>
    <row r="595" spans="1:10" s="58" customFormat="1">
      <c r="A595" s="34"/>
      <c r="B595" s="2"/>
      <c r="D595"/>
      <c r="E595"/>
      <c r="F595"/>
      <c r="G595" s="41"/>
      <c r="H595" s="68"/>
      <c r="I595" s="41"/>
      <c r="J595"/>
    </row>
    <row r="596" spans="1:10" s="58" customFormat="1">
      <c r="A596" s="34"/>
      <c r="B596" s="2"/>
      <c r="D596"/>
      <c r="E596"/>
      <c r="F596"/>
      <c r="G596" s="41"/>
      <c r="H596" s="68"/>
      <c r="I596" s="41"/>
      <c r="J596"/>
    </row>
    <row r="597" spans="1:10" s="58" customFormat="1">
      <c r="A597" s="34"/>
      <c r="B597" s="2"/>
      <c r="D597"/>
      <c r="E597"/>
      <c r="F597"/>
      <c r="G597" s="41"/>
      <c r="H597" s="68"/>
      <c r="I597" s="41"/>
      <c r="J597"/>
    </row>
    <row r="598" spans="1:10" s="58" customFormat="1">
      <c r="A598" s="34"/>
      <c r="B598" s="2"/>
      <c r="D598"/>
      <c r="E598"/>
      <c r="F598"/>
      <c r="G598" s="41"/>
      <c r="H598" s="68"/>
      <c r="I598" s="41"/>
      <c r="J598"/>
    </row>
    <row r="599" spans="1:10" s="58" customFormat="1">
      <c r="A599" s="34"/>
      <c r="B599" s="2"/>
      <c r="D599"/>
      <c r="E599"/>
      <c r="F599"/>
      <c r="G599" s="41"/>
      <c r="H599" s="68"/>
      <c r="I599" s="41"/>
      <c r="J599"/>
    </row>
    <row r="600" spans="1:10" s="58" customFormat="1">
      <c r="A600" s="34"/>
      <c r="B600" s="2"/>
      <c r="D600"/>
      <c r="E600"/>
      <c r="F600"/>
      <c r="G600" s="41"/>
      <c r="H600" s="68"/>
      <c r="I600" s="41"/>
      <c r="J600"/>
    </row>
    <row r="601" spans="1:10" s="58" customFormat="1">
      <c r="A601" s="34"/>
      <c r="B601" s="2"/>
      <c r="D601"/>
      <c r="E601"/>
      <c r="F601"/>
      <c r="G601" s="41"/>
      <c r="H601" s="68"/>
      <c r="I601" s="41"/>
      <c r="J601"/>
    </row>
    <row r="602" spans="1:10" s="58" customFormat="1">
      <c r="A602" s="34"/>
      <c r="B602" s="2"/>
      <c r="D602"/>
      <c r="E602"/>
      <c r="F602"/>
      <c r="G602" s="41"/>
      <c r="H602" s="68"/>
      <c r="I602" s="41"/>
      <c r="J602"/>
    </row>
    <row r="603" spans="1:10" s="58" customFormat="1">
      <c r="A603" s="34"/>
      <c r="B603" s="2"/>
      <c r="D603"/>
      <c r="E603"/>
      <c r="F603"/>
      <c r="G603" s="41"/>
      <c r="H603" s="68"/>
      <c r="I603" s="41"/>
      <c r="J603"/>
    </row>
    <row r="604" spans="1:10" s="58" customFormat="1">
      <c r="A604" s="34"/>
      <c r="B604" s="2"/>
      <c r="D604"/>
      <c r="E604"/>
      <c r="F604"/>
      <c r="G604" s="41"/>
      <c r="H604" s="68"/>
      <c r="I604" s="41"/>
      <c r="J604"/>
    </row>
    <row r="605" spans="1:10" s="58" customFormat="1">
      <c r="A605" s="34"/>
      <c r="B605" s="2"/>
      <c r="D605"/>
      <c r="E605"/>
      <c r="F605"/>
      <c r="G605" s="41"/>
      <c r="H605" s="68"/>
      <c r="I605" s="41"/>
      <c r="J605"/>
    </row>
    <row r="606" spans="1:10" s="58" customFormat="1">
      <c r="A606" s="34"/>
      <c r="B606" s="2"/>
      <c r="D606"/>
      <c r="E606"/>
      <c r="F606"/>
      <c r="G606" s="41"/>
      <c r="H606" s="68"/>
      <c r="I606" s="41"/>
      <c r="J606"/>
    </row>
    <row r="607" spans="1:10" s="58" customFormat="1">
      <c r="A607" s="34"/>
      <c r="B607" s="2"/>
      <c r="D607"/>
      <c r="E607"/>
      <c r="F607"/>
      <c r="G607" s="41"/>
      <c r="H607" s="68"/>
      <c r="I607" s="41"/>
      <c r="J607"/>
    </row>
    <row r="608" spans="1:10" s="58" customFormat="1">
      <c r="A608" s="34"/>
      <c r="B608" s="2"/>
      <c r="D608"/>
      <c r="E608"/>
      <c r="F608"/>
      <c r="G608" s="41"/>
      <c r="H608" s="68"/>
      <c r="I608" s="41"/>
      <c r="J608"/>
    </row>
    <row r="609" spans="1:10" s="58" customFormat="1">
      <c r="A609" s="34"/>
      <c r="B609" s="2"/>
      <c r="D609"/>
      <c r="E609"/>
      <c r="F609"/>
      <c r="G609" s="41"/>
      <c r="H609" s="68"/>
      <c r="I609" s="41"/>
      <c r="J609"/>
    </row>
    <row r="610" spans="1:10" s="58" customFormat="1">
      <c r="A610" s="34"/>
      <c r="B610" s="2"/>
      <c r="D610"/>
      <c r="E610"/>
      <c r="F610"/>
      <c r="G610" s="41"/>
      <c r="H610" s="68"/>
      <c r="I610" s="41"/>
      <c r="J610"/>
    </row>
    <row r="611" spans="1:10" s="58" customFormat="1">
      <c r="A611" s="34"/>
      <c r="B611" s="2"/>
      <c r="D611"/>
      <c r="E611"/>
      <c r="F611"/>
      <c r="G611" s="41"/>
      <c r="H611" s="68"/>
      <c r="I611" s="41"/>
      <c r="J611"/>
    </row>
    <row r="612" spans="1:10" s="58" customFormat="1">
      <c r="A612" s="34"/>
      <c r="B612" s="2"/>
      <c r="D612"/>
      <c r="E612"/>
      <c r="F612"/>
      <c r="G612" s="41"/>
      <c r="H612" s="68"/>
      <c r="I612" s="41"/>
      <c r="J612"/>
    </row>
    <row r="613" spans="1:10" s="58" customFormat="1">
      <c r="A613" s="34"/>
      <c r="B613" s="2"/>
      <c r="D613"/>
      <c r="E613"/>
      <c r="F613"/>
      <c r="G613" s="41"/>
      <c r="H613" s="68"/>
      <c r="I613" s="41"/>
      <c r="J613"/>
    </row>
    <row r="614" spans="1:10" s="58" customFormat="1">
      <c r="A614" s="34"/>
      <c r="B614" s="2"/>
      <c r="D614"/>
      <c r="E614"/>
      <c r="F614"/>
      <c r="G614" s="41"/>
      <c r="H614" s="68"/>
      <c r="I614" s="41"/>
      <c r="J614"/>
    </row>
    <row r="615" spans="1:10" s="58" customFormat="1">
      <c r="A615" s="34"/>
      <c r="B615" s="2"/>
      <c r="D615"/>
      <c r="E615"/>
      <c r="F615"/>
      <c r="G615" s="41"/>
      <c r="H615" s="68"/>
      <c r="I615" s="41"/>
      <c r="J615"/>
    </row>
    <row r="616" spans="1:10" s="58" customFormat="1">
      <c r="A616" s="34"/>
      <c r="B616" s="2"/>
      <c r="D616"/>
      <c r="E616"/>
      <c r="F616"/>
      <c r="G616" s="41"/>
      <c r="H616" s="68"/>
      <c r="I616" s="41"/>
      <c r="J616"/>
    </row>
    <row r="617" spans="1:10" s="58" customFormat="1">
      <c r="A617" s="34"/>
      <c r="B617" s="2"/>
      <c r="D617"/>
      <c r="E617"/>
      <c r="F617"/>
      <c r="G617" s="41"/>
      <c r="H617" s="68"/>
      <c r="I617" s="41"/>
      <c r="J617"/>
    </row>
    <row r="618" spans="1:10" s="58" customFormat="1">
      <c r="A618" s="34"/>
      <c r="B618" s="2"/>
      <c r="D618"/>
      <c r="E618"/>
      <c r="F618"/>
      <c r="G618" s="41"/>
      <c r="H618" s="68"/>
      <c r="I618" s="41"/>
      <c r="J618"/>
    </row>
    <row r="619" spans="1:10" s="58" customFormat="1">
      <c r="A619" s="34"/>
      <c r="B619" s="2"/>
      <c r="D619"/>
      <c r="E619"/>
      <c r="F619"/>
      <c r="G619" s="41"/>
      <c r="H619" s="68"/>
      <c r="I619" s="41"/>
      <c r="J619"/>
    </row>
    <row r="620" spans="1:10" s="58" customFormat="1">
      <c r="A620" s="34"/>
      <c r="B620" s="2"/>
      <c r="D620"/>
      <c r="E620"/>
      <c r="F620"/>
      <c r="G620" s="41"/>
      <c r="H620" s="68"/>
      <c r="I620" s="41"/>
      <c r="J620"/>
    </row>
    <row r="621" spans="1:10" s="58" customFormat="1">
      <c r="A621" s="34"/>
      <c r="B621" s="2"/>
      <c r="D621"/>
      <c r="E621"/>
      <c r="F621"/>
      <c r="G621" s="41"/>
      <c r="H621" s="68"/>
      <c r="I621" s="41"/>
      <c r="J621"/>
    </row>
    <row r="622" spans="1:10" s="58" customFormat="1">
      <c r="A622" s="34"/>
      <c r="B622" s="2"/>
      <c r="D622"/>
      <c r="E622"/>
      <c r="F622"/>
      <c r="G622" s="41"/>
      <c r="H622" s="68"/>
      <c r="I622" s="41"/>
      <c r="J622"/>
    </row>
    <row r="623" spans="1:10" s="58" customFormat="1">
      <c r="A623" s="34"/>
      <c r="B623" s="2"/>
      <c r="D623"/>
      <c r="E623"/>
      <c r="F623"/>
      <c r="G623" s="41"/>
      <c r="H623" s="68"/>
      <c r="I623" s="41"/>
      <c r="J623"/>
    </row>
    <row r="624" spans="1:10" s="58" customFormat="1">
      <c r="A624" s="34"/>
      <c r="B624" s="2"/>
      <c r="D624"/>
      <c r="E624"/>
      <c r="F624"/>
      <c r="G624" s="41"/>
      <c r="H624" s="68"/>
      <c r="I624" s="41"/>
      <c r="J624"/>
    </row>
    <row r="625" spans="1:10" s="58" customFormat="1">
      <c r="A625" s="34"/>
      <c r="B625" s="2"/>
      <c r="D625"/>
      <c r="E625"/>
      <c r="F625"/>
      <c r="G625" s="41"/>
      <c r="H625" s="68"/>
      <c r="I625" s="41"/>
      <c r="J625"/>
    </row>
    <row r="626" spans="1:10" s="58" customFormat="1">
      <c r="A626" s="34"/>
      <c r="B626" s="2"/>
      <c r="D626"/>
      <c r="E626"/>
      <c r="F626"/>
      <c r="G626" s="41"/>
      <c r="H626" s="68"/>
      <c r="I626" s="41"/>
      <c r="J626"/>
    </row>
    <row r="627" spans="1:10" s="58" customFormat="1">
      <c r="A627" s="34"/>
      <c r="B627" s="2"/>
      <c r="D627"/>
      <c r="E627"/>
      <c r="F627"/>
      <c r="G627" s="41"/>
      <c r="H627" s="68"/>
      <c r="I627" s="41"/>
      <c r="J627"/>
    </row>
    <row r="628" spans="1:10" s="58" customFormat="1">
      <c r="A628" s="34"/>
      <c r="B628" s="2"/>
      <c r="D628"/>
      <c r="E628"/>
      <c r="F628"/>
      <c r="G628" s="41"/>
      <c r="H628" s="68"/>
      <c r="I628" s="41"/>
      <c r="J628"/>
    </row>
    <row r="629" spans="1:10" s="58" customFormat="1">
      <c r="A629" s="34"/>
      <c r="B629" s="2"/>
      <c r="D629"/>
      <c r="E629"/>
      <c r="F629"/>
      <c r="G629" s="41"/>
      <c r="H629" s="68"/>
      <c r="I629" s="41"/>
      <c r="J629"/>
    </row>
    <row r="630" spans="1:10" s="58" customFormat="1">
      <c r="A630" s="34"/>
      <c r="B630" s="2"/>
      <c r="D630"/>
      <c r="E630"/>
      <c r="F630"/>
      <c r="G630" s="41"/>
      <c r="H630" s="68"/>
      <c r="I630" s="41"/>
      <c r="J630"/>
    </row>
    <row r="631" spans="1:10" s="34" customFormat="1">
      <c r="B631" s="2"/>
      <c r="C631" s="58"/>
      <c r="D631"/>
      <c r="E631"/>
      <c r="F631"/>
      <c r="G631" s="41"/>
      <c r="H631" s="68"/>
      <c r="I631" s="41"/>
      <c r="J631"/>
    </row>
    <row r="632" spans="1:10" s="34" customFormat="1">
      <c r="B632" s="2"/>
      <c r="C632" s="58"/>
      <c r="D632"/>
      <c r="E632"/>
      <c r="F632"/>
      <c r="G632" s="41"/>
      <c r="H632" s="68"/>
      <c r="I632" s="41"/>
      <c r="J632"/>
    </row>
    <row r="633" spans="1:10" s="34" customFormat="1">
      <c r="B633" s="2"/>
      <c r="C633" s="58"/>
      <c r="D633"/>
      <c r="E633"/>
      <c r="F633"/>
      <c r="G633" s="41"/>
      <c r="H633" s="68"/>
      <c r="I633" s="41"/>
      <c r="J633"/>
    </row>
    <row r="634" spans="1:10" s="34" customFormat="1">
      <c r="B634" s="2"/>
      <c r="C634" s="58"/>
      <c r="D634"/>
      <c r="E634"/>
      <c r="F634"/>
      <c r="G634" s="41"/>
      <c r="H634" s="68"/>
      <c r="I634" s="41"/>
      <c r="J634"/>
    </row>
  </sheetData>
  <sheetProtection sheet="1" objects="1" scenarios="1"/>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A21" sqref="A21"/>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49"/>
      <c r="D1" s="449"/>
      <c r="E1" s="449"/>
      <c r="F1" s="449"/>
      <c r="G1" s="449"/>
      <c r="I1" s="449"/>
      <c r="J1" s="449"/>
    </row>
    <row r="2" spans="1:10">
      <c r="A2" s="447" t="s">
        <v>582</v>
      </c>
      <c r="D2" s="388" t="str">
        <f t="shared" ref="D2:D29" si="0">IF(AND(G2&gt;0,ISNUMBER(G2)),ROW(),"")</f>
        <v/>
      </c>
      <c r="E2" s="388" t="str">
        <f>Produtividade!C193</f>
        <v>2.1 - Áreas internas</v>
      </c>
      <c r="F2" s="388"/>
      <c r="G2" s="395" t="str">
        <f>IFERROR(INDEX(Produtividade!L:L,MATCH(E2,Produtividade!C:C,0)),"")</f>
        <v>Área contratada</v>
      </c>
      <c r="I2" s="388" t="str">
        <f>IFERROR(SMALL(D:D,ROW()-1),"")</f>
        <v/>
      </c>
      <c r="J2" s="388" t="str">
        <f t="shared" ref="J2:J19" si="1">IF($I2="","",INDEX(E:E,MATCH($I2,$D:$D,0)))</f>
        <v/>
      </c>
    </row>
    <row r="3" spans="1:10">
      <c r="A3" s="447" t="s">
        <v>583</v>
      </c>
      <c r="D3" s="388" t="str">
        <f t="shared" si="0"/>
        <v/>
      </c>
      <c r="E3" s="388" t="str">
        <f>Produtividade!C194</f>
        <v>Pisos acarpetados</v>
      </c>
      <c r="F3" s="388" t="s">
        <v>354</v>
      </c>
      <c r="G3" s="395">
        <f>IFERROR(INDEX(Produtividade!L:L,MATCH(E3,Produtividade!C:C,0)),"")</f>
        <v>0</v>
      </c>
      <c r="I3" s="388" t="str">
        <f t="shared" ref="I3:I19" si="2">IFERROR(SMALL(D:D,ROW()-1),"")</f>
        <v/>
      </c>
      <c r="J3" s="388" t="str">
        <f t="shared" si="1"/>
        <v/>
      </c>
    </row>
    <row r="4" spans="1:10">
      <c r="A4" s="447" t="s">
        <v>584</v>
      </c>
      <c r="D4" s="388" t="str">
        <f t="shared" si="0"/>
        <v/>
      </c>
      <c r="E4" s="388" t="str">
        <f>Produtividade!C195</f>
        <v>Pisos Frios</v>
      </c>
      <c r="F4" s="388" t="s">
        <v>354</v>
      </c>
      <c r="G4" s="395">
        <f>IFERROR(INDEX(Produtividade!L:L,MATCH(E4,Produtividade!C:C,0)),"")</f>
        <v>0</v>
      </c>
      <c r="I4" s="388" t="str">
        <f t="shared" si="2"/>
        <v/>
      </c>
      <c r="J4" s="388" t="str">
        <f t="shared" si="1"/>
        <v/>
      </c>
    </row>
    <row r="5" spans="1:10">
      <c r="A5" s="447" t="s">
        <v>585</v>
      </c>
      <c r="D5" s="388" t="str">
        <f t="shared" si="0"/>
        <v/>
      </c>
      <c r="E5" s="388" t="str">
        <f>Produtividade!C196</f>
        <v>Laboratoriais</v>
      </c>
      <c r="F5" s="388" t="s">
        <v>354</v>
      </c>
      <c r="G5" s="395">
        <f>IFERROR(INDEX(Produtividade!L:L,MATCH(E5,Produtividade!C:C,0)),"")</f>
        <v>0</v>
      </c>
      <c r="I5" s="388" t="str">
        <f t="shared" si="2"/>
        <v/>
      </c>
      <c r="J5" s="388" t="str">
        <f t="shared" si="1"/>
        <v/>
      </c>
    </row>
    <row r="6" spans="1:10">
      <c r="A6" s="447" t="s">
        <v>586</v>
      </c>
      <c r="D6" s="388" t="str">
        <f t="shared" si="0"/>
        <v/>
      </c>
      <c r="E6" s="388" t="str">
        <f>Produtividade!C197</f>
        <v>Almoxarifados/galpões</v>
      </c>
      <c r="F6" s="388" t="s">
        <v>354</v>
      </c>
      <c r="G6" s="395">
        <f>IFERROR(INDEX(Produtividade!L:L,MATCH(E6,Produtividade!C:C,0)),"")</f>
        <v>0</v>
      </c>
      <c r="I6" s="388" t="str">
        <f t="shared" si="2"/>
        <v/>
      </c>
      <c r="J6" s="388" t="str">
        <f t="shared" si="1"/>
        <v/>
      </c>
    </row>
    <row r="7" spans="1:10">
      <c r="A7" s="447" t="s">
        <v>587</v>
      </c>
      <c r="D7" s="388" t="str">
        <f t="shared" si="0"/>
        <v/>
      </c>
      <c r="E7" s="388" t="str">
        <f>Produtividade!C198</f>
        <v>Oficinas</v>
      </c>
      <c r="F7" s="388" t="s">
        <v>354</v>
      </c>
      <c r="G7" s="395">
        <f>IFERROR(INDEX(Produtividade!L:L,MATCH(E7,Produtividade!C:C,0)),"")</f>
        <v>0</v>
      </c>
      <c r="I7" s="388" t="str">
        <f t="shared" si="2"/>
        <v/>
      </c>
      <c r="J7" s="388" t="str">
        <f t="shared" si="1"/>
        <v/>
      </c>
    </row>
    <row r="8" spans="1:10">
      <c r="A8" s="447" t="s">
        <v>588</v>
      </c>
      <c r="D8" s="388" t="str">
        <f t="shared" si="0"/>
        <v/>
      </c>
      <c r="E8" s="388" t="str">
        <f>Produtividade!C199</f>
        <v>Áreas com espaços livres - saguão, hall e salão</v>
      </c>
      <c r="F8" s="388" t="s">
        <v>354</v>
      </c>
      <c r="G8" s="395">
        <f>IFERROR(INDEX(Produtividade!L:L,MATCH(E8,Produtividade!C:C,0)),"")</f>
        <v>0</v>
      </c>
      <c r="I8" s="388" t="str">
        <f t="shared" si="2"/>
        <v/>
      </c>
      <c r="J8" s="388" t="str">
        <f t="shared" si="1"/>
        <v/>
      </c>
    </row>
    <row r="9" spans="1:10">
      <c r="A9" s="447" t="s">
        <v>589</v>
      </c>
      <c r="D9" s="388" t="str">
        <f t="shared" si="0"/>
        <v/>
      </c>
      <c r="E9" s="388" t="str">
        <f>Produtividade!C200</f>
        <v>Banheiros</v>
      </c>
      <c r="F9" s="388" t="s">
        <v>354</v>
      </c>
      <c r="G9" s="395">
        <f>IFERROR(INDEX(Produtividade!L:L,MATCH(E9,Produtividade!C:C,0)),"")</f>
        <v>0</v>
      </c>
      <c r="I9" s="388" t="str">
        <f t="shared" si="2"/>
        <v/>
      </c>
      <c r="J9" s="388" t="str">
        <f t="shared" si="1"/>
        <v/>
      </c>
    </row>
    <row r="10" spans="1:10">
      <c r="A10" s="447" t="s">
        <v>590</v>
      </c>
      <c r="D10" s="388" t="str">
        <f t="shared" si="0"/>
        <v/>
      </c>
      <c r="E10" s="388">
        <f>Produtividade!C201</f>
        <v>0</v>
      </c>
      <c r="F10" s="388"/>
      <c r="G10" s="395" t="str">
        <f>IFERROR(INDEX(Produtividade!L:L,MATCH(E10,Produtividade!C:C,0)),"")</f>
        <v/>
      </c>
      <c r="I10" s="388" t="str">
        <f t="shared" si="2"/>
        <v/>
      </c>
      <c r="J10" s="388" t="str">
        <f t="shared" si="1"/>
        <v/>
      </c>
    </row>
    <row r="11" spans="1:10">
      <c r="A11" s="447" t="s">
        <v>591</v>
      </c>
      <c r="D11" s="388" t="str">
        <f t="shared" si="0"/>
        <v/>
      </c>
      <c r="E11" s="388" t="str">
        <f>Produtividade!C202</f>
        <v>2.2 - Áreas externas</v>
      </c>
      <c r="F11" s="388"/>
      <c r="G11" s="395">
        <f>IFERROR(INDEX(Produtividade!L:L,MATCH(E11,Produtividade!C:C,0)),"")</f>
        <v>0</v>
      </c>
      <c r="I11" s="388" t="str">
        <f t="shared" si="2"/>
        <v/>
      </c>
      <c r="J11" s="388" t="str">
        <f t="shared" si="1"/>
        <v/>
      </c>
    </row>
    <row r="12" spans="1:10">
      <c r="A12" s="447" t="s">
        <v>592</v>
      </c>
      <c r="D12" s="388" t="str">
        <f t="shared" si="0"/>
        <v/>
      </c>
      <c r="E12" s="388" t="str">
        <f>Produtividade!C203</f>
        <v>Pisos pavimentados adjacentes/contíguos às edificações</v>
      </c>
      <c r="F12" s="388" t="s">
        <v>355</v>
      </c>
      <c r="G12" s="395">
        <f>IFERROR(INDEX(Produtividade!L:L,MATCH(E12,Produtividade!C:C,0)),"")</f>
        <v>0</v>
      </c>
      <c r="I12" s="388" t="str">
        <f t="shared" si="2"/>
        <v/>
      </c>
      <c r="J12" s="388" t="str">
        <f t="shared" si="1"/>
        <v/>
      </c>
    </row>
    <row r="13" spans="1:10">
      <c r="A13" s="447" t="s">
        <v>593</v>
      </c>
      <c r="D13" s="388" t="str">
        <f t="shared" si="0"/>
        <v/>
      </c>
      <c r="E13" s="388" t="str">
        <f>Produtividade!C204</f>
        <v>Varrição de passeios e arruamentos</v>
      </c>
      <c r="F13" s="388" t="s">
        <v>355</v>
      </c>
      <c r="G13" s="395">
        <f>IFERROR(INDEX(Produtividade!L:L,MATCH(E13,Produtividade!C:C,0)),"")</f>
        <v>0</v>
      </c>
      <c r="I13" s="388" t="str">
        <f t="shared" si="2"/>
        <v/>
      </c>
      <c r="J13" s="388" t="str">
        <f t="shared" si="1"/>
        <v/>
      </c>
    </row>
    <row r="14" spans="1:10">
      <c r="A14" s="447" t="s">
        <v>594</v>
      </c>
      <c r="D14" s="388" t="str">
        <f t="shared" si="0"/>
        <v/>
      </c>
      <c r="E14" s="388" t="str">
        <f>Produtividade!C205</f>
        <v>Pátios e áreas verdes com alta frequência (semanal)</v>
      </c>
      <c r="F14" s="388" t="s">
        <v>355</v>
      </c>
      <c r="G14" s="395">
        <f>IFERROR(INDEX(Produtividade!L:L,MATCH(E14,Produtividade!C:C,0)),"")</f>
        <v>0</v>
      </c>
      <c r="I14" s="388" t="str">
        <f t="shared" si="2"/>
        <v/>
      </c>
      <c r="J14" s="388" t="str">
        <f t="shared" si="1"/>
        <v/>
      </c>
    </row>
    <row r="15" spans="1:10">
      <c r="A15" s="447" t="s">
        <v>595</v>
      </c>
      <c r="D15" s="388" t="str">
        <f t="shared" si="0"/>
        <v/>
      </c>
      <c r="E15" s="388" t="str">
        <f>Produtividade!C206</f>
        <v>Pátios e áreas verdes com média frequência (quinzenal)</v>
      </c>
      <c r="F15" s="388" t="s">
        <v>355</v>
      </c>
      <c r="G15" s="395">
        <f>IFERROR(INDEX(Produtividade!L:L,MATCH(E15,Produtividade!C:C,0)),"")</f>
        <v>0</v>
      </c>
      <c r="I15" s="388" t="str">
        <f t="shared" si="2"/>
        <v/>
      </c>
      <c r="J15" s="388" t="str">
        <f t="shared" si="1"/>
        <v/>
      </c>
    </row>
    <row r="16" spans="1:10">
      <c r="A16" s="447" t="s">
        <v>596</v>
      </c>
      <c r="D16" s="388" t="str">
        <f t="shared" si="0"/>
        <v/>
      </c>
      <c r="E16" s="388" t="str">
        <f>Produtividade!C207</f>
        <v>Pátios e áreas verdes com baixa frequência (mensal)</v>
      </c>
      <c r="F16" s="388" t="s">
        <v>355</v>
      </c>
      <c r="G16" s="395">
        <f>IFERROR(INDEX(Produtividade!L:L,MATCH(E16,Produtividade!C:C,0)),"")</f>
        <v>0</v>
      </c>
      <c r="I16" s="388" t="str">
        <f t="shared" si="2"/>
        <v/>
      </c>
      <c r="J16" s="388" t="str">
        <f t="shared" si="1"/>
        <v/>
      </c>
    </row>
    <row r="17" spans="1:10">
      <c r="A17" s="447" t="s">
        <v>597</v>
      </c>
      <c r="D17" s="388" t="str">
        <f t="shared" si="0"/>
        <v/>
      </c>
      <c r="E17" s="388" t="str">
        <f>Produtividade!C208</f>
        <v>Coleta de detritos em pátios e áreas verdes com frequência diária</v>
      </c>
      <c r="F17" s="388" t="s">
        <v>355</v>
      </c>
      <c r="G17" s="395">
        <f>IFERROR(INDEX(Produtividade!L:L,MATCH(E17,Produtividade!C:C,0)),"")</f>
        <v>0</v>
      </c>
      <c r="I17" s="388" t="str">
        <f t="shared" si="2"/>
        <v/>
      </c>
      <c r="J17" s="388" t="str">
        <f t="shared" si="1"/>
        <v/>
      </c>
    </row>
    <row r="18" spans="1:10">
      <c r="A18" s="447" t="s">
        <v>598</v>
      </c>
      <c r="D18" s="388" t="str">
        <f t="shared" si="0"/>
        <v/>
      </c>
      <c r="E18" s="388">
        <f>Produtividade!C209</f>
        <v>0</v>
      </c>
      <c r="F18" s="388"/>
      <c r="G18" s="395" t="str">
        <f>IFERROR(INDEX(Produtividade!L:L,MATCH(E18,Produtividade!C:C,0)),"")</f>
        <v/>
      </c>
      <c r="I18" s="388" t="str">
        <f t="shared" si="2"/>
        <v/>
      </c>
      <c r="J18" s="388" t="str">
        <f t="shared" si="1"/>
        <v/>
      </c>
    </row>
    <row r="19" spans="1:10">
      <c r="A19" s="447" t="s">
        <v>599</v>
      </c>
      <c r="D19" s="388" t="str">
        <f t="shared" si="0"/>
        <v/>
      </c>
      <c r="E19" s="388" t="str">
        <f>Produtividade!C210</f>
        <v>2.3 - Esquadrias externas</v>
      </c>
      <c r="F19" s="388"/>
      <c r="G19" s="395">
        <f>IFERROR(INDEX(Produtividade!L:L,MATCH(E19,Produtividade!C:C,0)),"")</f>
        <v>0</v>
      </c>
      <c r="I19" s="388" t="str">
        <f t="shared" si="2"/>
        <v/>
      </c>
      <c r="J19" s="388" t="str">
        <f t="shared" si="1"/>
        <v/>
      </c>
    </row>
    <row r="20" spans="1:10">
      <c r="A20" s="447" t="s">
        <v>600</v>
      </c>
      <c r="D20" s="388" t="str">
        <f t="shared" si="0"/>
        <v/>
      </c>
      <c r="E20" s="388" t="str">
        <f>Produtividade!C211</f>
        <v>Face externa com exposição a situação de risco (trimestral)</v>
      </c>
      <c r="F20" s="388" t="s">
        <v>382</v>
      </c>
      <c r="G20" s="395">
        <f>IFERROR(INDEX(Produtividade!L:L,MATCH(E20,Produtividade!C:C,0)),"")</f>
        <v>0</v>
      </c>
      <c r="I20" t="str">
        <f t="shared" ref="I20:I25" si="3">IFERROR(SMALL(D:D,ROW()-1),"")</f>
        <v/>
      </c>
      <c r="J20" t="str">
        <f t="shared" ref="J20:J25" si="4">IF($I20="","",INDEX(E:E,MATCH($I20,$D:$D,0)))</f>
        <v/>
      </c>
    </row>
    <row r="21" spans="1:10">
      <c r="A21" s="447" t="s">
        <v>601</v>
      </c>
      <c r="D21" s="388" t="str">
        <f t="shared" si="0"/>
        <v/>
      </c>
      <c r="E21" s="388" t="str">
        <f>Produtividade!C212</f>
        <v>Face externa - sem exposição a situação de risco (trimestral)</v>
      </c>
      <c r="F21" s="388" t="s">
        <v>382</v>
      </c>
      <c r="G21" s="395">
        <f>IFERROR(INDEX(Produtividade!L:L,MATCH(E21,Produtividade!C:C,0)),"")</f>
        <v>0</v>
      </c>
      <c r="I21" t="str">
        <f t="shared" si="3"/>
        <v/>
      </c>
      <c r="J21" t="str">
        <f t="shared" si="4"/>
        <v/>
      </c>
    </row>
    <row r="22" spans="1:10">
      <c r="A22" s="447" t="s">
        <v>609</v>
      </c>
      <c r="D22" s="388" t="str">
        <f t="shared" si="0"/>
        <v/>
      </c>
      <c r="E22" s="388" t="str">
        <f>Produtividade!C213</f>
        <v>Face interna - sem exposição a situação de risco (quinzenal)</v>
      </c>
      <c r="F22" s="388" t="s">
        <v>382</v>
      </c>
      <c r="G22" s="395">
        <f>IFERROR(INDEX(Produtividade!L:L,MATCH(E22,Produtividade!C:C,0)),"")</f>
        <v>0</v>
      </c>
      <c r="I22" t="str">
        <f t="shared" si="3"/>
        <v/>
      </c>
      <c r="J22" t="str">
        <f t="shared" si="4"/>
        <v/>
      </c>
    </row>
    <row r="23" spans="1:10">
      <c r="A23" s="447" t="s">
        <v>602</v>
      </c>
      <c r="D23" s="388" t="str">
        <f t="shared" si="0"/>
        <v/>
      </c>
      <c r="E23" s="388">
        <f>Produtividade!C214</f>
        <v>0</v>
      </c>
      <c r="F23" s="388"/>
      <c r="G23" s="395" t="str">
        <f>IFERROR(INDEX(Produtividade!L:L,MATCH(E23,Produtividade!C:C,0)),"")</f>
        <v/>
      </c>
      <c r="I23" t="str">
        <f t="shared" si="3"/>
        <v/>
      </c>
      <c r="J23" t="str">
        <f t="shared" si="4"/>
        <v/>
      </c>
    </row>
    <row r="24" spans="1:10">
      <c r="A24" s="447" t="s">
        <v>603</v>
      </c>
      <c r="D24" s="388" t="str">
        <f t="shared" si="0"/>
        <v/>
      </c>
      <c r="E24" s="388" t="str">
        <f>Produtividade!C215</f>
        <v>2.4 - Fachadas</v>
      </c>
      <c r="F24" s="388"/>
      <c r="G24" s="395">
        <f>IFERROR(INDEX(Produtividade!L:L,MATCH(E24,Produtividade!C:C,0)),"")</f>
        <v>0</v>
      </c>
      <c r="I24" t="str">
        <f t="shared" si="3"/>
        <v/>
      </c>
      <c r="J24" t="str">
        <f t="shared" si="4"/>
        <v/>
      </c>
    </row>
    <row r="25" spans="1:10">
      <c r="A25" s="447" t="s">
        <v>604</v>
      </c>
      <c r="D25" s="388" t="str">
        <f t="shared" si="0"/>
        <v/>
      </c>
      <c r="E25" s="388" t="str">
        <f>Produtividade!C216</f>
        <v>Fachadas Envidraçadas (trimestral)</v>
      </c>
      <c r="F25" s="388" t="s">
        <v>383</v>
      </c>
      <c r="G25" s="395">
        <f>IFERROR(INDEX(Produtividade!L:L,MATCH(E25,Produtividade!C:C,0)),"")</f>
        <v>0</v>
      </c>
      <c r="I25" t="str">
        <f t="shared" si="3"/>
        <v/>
      </c>
      <c r="J25" t="str">
        <f t="shared" si="4"/>
        <v/>
      </c>
    </row>
    <row r="26" spans="1:10">
      <c r="A26" s="447" t="s">
        <v>605</v>
      </c>
      <c r="D26" s="388" t="str">
        <f t="shared" si="0"/>
        <v/>
      </c>
      <c r="E26" s="388">
        <f>Produtividade!C217</f>
        <v>0</v>
      </c>
      <c r="F26" s="388"/>
      <c r="G26" s="395" t="str">
        <f>IFERROR(INDEX(Produtividade!L:L,MATCH(E26,Produtividade!C:C,0)),"")</f>
        <v/>
      </c>
      <c r="I26" t="str">
        <f>IFERROR(SMALL(D:D,ROW()-1),"")</f>
        <v/>
      </c>
      <c r="J26" t="str">
        <f>IF($I26="","",INDEX(E:E,MATCH($I26,$D:$D,0)))</f>
        <v/>
      </c>
    </row>
    <row r="27" spans="1:10">
      <c r="A27" s="447" t="s">
        <v>606</v>
      </c>
      <c r="D27" s="388" t="str">
        <f t="shared" si="0"/>
        <v/>
      </c>
      <c r="E27" s="388" t="str">
        <f>Produtividade!C218</f>
        <v>2.5 - Áreas Hospitalares</v>
      </c>
      <c r="F27" s="388"/>
      <c r="G27" s="395">
        <f>IFERROR(INDEX(Produtividade!L:L,MATCH(E27,Produtividade!C:C,0)),"")</f>
        <v>0</v>
      </c>
      <c r="I27" t="str">
        <f>IFERROR(SMALL(D:D,ROW()-1),"")</f>
        <v/>
      </c>
      <c r="J27" t="str">
        <f>IF($I27="","",INDEX(E:E,MATCH($I27,$D:$D,0)))</f>
        <v/>
      </c>
    </row>
    <row r="28" spans="1:10">
      <c r="A28" s="447" t="s">
        <v>607</v>
      </c>
      <c r="D28" s="388" t="str">
        <f t="shared" si="0"/>
        <v/>
      </c>
      <c r="E28" s="388" t="str">
        <f>Produtividade!C219</f>
        <v>Áreas Hospitalares e assemelhadas</v>
      </c>
      <c r="F28" s="388" t="s">
        <v>384</v>
      </c>
      <c r="G28" s="395">
        <f>IFERROR(INDEX(Produtividade!L:L,MATCH(E28,Produtividade!C:C,0)),"")</f>
        <v>0</v>
      </c>
      <c r="I28" t="str">
        <f>IFERROR(SMALL(D:D,ROW()-1),"")</f>
        <v/>
      </c>
      <c r="J28" t="str">
        <f>IF($I28="","",INDEX(E:E,MATCH($I28,$D:$D,0)))</f>
        <v/>
      </c>
    </row>
    <row r="29" spans="1:10">
      <c r="A29" s="447" t="s">
        <v>608</v>
      </c>
      <c r="D29" s="388" t="str">
        <f t="shared" si="0"/>
        <v/>
      </c>
      <c r="E29" s="388">
        <f>Produtividade!C220</f>
        <v>0</v>
      </c>
      <c r="F29" s="388"/>
      <c r="G29" s="395" t="str">
        <f>IFERROR(INDEX(Produtividade!L:L,MATCH(E29,Produtividade!C:C,0)),"")</f>
        <v/>
      </c>
      <c r="I29" t="str">
        <f>IFERROR(SMALL(D:D,ROW()-1),"")</f>
        <v/>
      </c>
      <c r="J29" t="str">
        <f>IF($I29="","",INDEX(E:E,MATCH($I29,$D:$D,0)))</f>
        <v/>
      </c>
    </row>
    <row r="30" spans="1:10">
      <c r="A30" s="447"/>
      <c r="G30"/>
    </row>
    <row r="31" spans="1:10">
      <c r="A31" s="447"/>
      <c r="G31"/>
    </row>
    <row r="32" spans="1:10">
      <c r="A32" s="447"/>
      <c r="G32"/>
    </row>
    <row r="33" spans="1:1">
      <c r="A33" s="447"/>
    </row>
    <row r="34" spans="1:1">
      <c r="A34" s="447"/>
    </row>
    <row r="35" spans="1:1">
      <c r="A35" s="447"/>
    </row>
    <row r="36" spans="1:1">
      <c r="A36" s="448"/>
    </row>
  </sheetData>
  <sheetProtection algorithmName="SHA-512" hashValue="2h2Z47eY6LcwiAz8+4MEgCLeT/2LdlcYIVBq78faj2me0nEskC6nSuOpAKjoxZr4B3HaR9D4CUHSl3o2Bu0tPA==" saltValue="TDVjbv9hfh5Oqhod+M7/lw==" spinCount="100000" sheet="1" objects="1" scenarios="1"/>
  <conditionalFormatting sqref="G2:G29">
    <cfRule type="expression" dxfId="0"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Hilda Caroline da Silva Simões</cp:lastModifiedBy>
  <cp:lastPrinted>2023-11-16T17:30:01Z</cp:lastPrinted>
  <dcterms:created xsi:type="dcterms:W3CDTF">2015-06-05T18:19:34Z</dcterms:created>
  <dcterms:modified xsi:type="dcterms:W3CDTF">2026-07-13T19:42:42Z</dcterms:modified>
</cp:coreProperties>
</file>