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EstaPasta_de_trabalho" defaultThemeVersion="124226"/>
  <xr:revisionPtr revIDLastSave="0" documentId="13_ncr:1_{6273F72D-95D2-4FCB-885D-0C1CB4E4FD62}" xr6:coauthVersionLast="47" xr6:coauthVersionMax="47" xr10:uidLastSave="{00000000-0000-0000-0000-000000000000}"/>
  <bookViews>
    <workbookView xWindow="28680" yWindow="-120" windowWidth="29040" windowHeight="15720" firstSheet="2" activeTab="2" xr2:uid="{00000000-000D-0000-FFFF-FFFF00000000}"/>
  </bookViews>
  <sheets>
    <sheet name="BASE EDITAL" sheetId="8" state="hidden" r:id="rId1"/>
    <sheet name="BASE FORMAÇÃO" sheetId="1" state="hidden" r:id="rId2"/>
    <sheet name="MAPA DE PREÇOS" sheetId="2" r:id="rId3"/>
    <sheet name="EDITAL" sheetId="11" r:id="rId4"/>
    <sheet name="CRONOGRAMA" sheetId="12" state="hidden" r:id="rId5"/>
    <sheet name="ABC" sheetId="10" state="hidden" r:id="rId6"/>
    <sheet name="METODOLOGIA" sheetId="9" state="hidden"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36" i="2" l="1"/>
  <c r="R15" i="2"/>
  <c r="Q36" i="2"/>
  <c r="Q15" i="2"/>
  <c r="P40" i="2" l="1"/>
  <c r="Q40" i="2"/>
  <c r="R40" i="2"/>
  <c r="S40" i="2"/>
  <c r="T40" i="2"/>
  <c r="T42"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T41" i="2"/>
  <c r="U41" i="2"/>
  <c r="V41" i="2"/>
  <c r="W41" i="2"/>
  <c r="X41" i="2"/>
  <c r="Y41" i="2"/>
  <c r="Z41" i="2"/>
  <c r="AA41" i="2"/>
  <c r="AB41" i="2"/>
  <c r="AC41" i="2"/>
  <c r="AD41" i="2"/>
  <c r="AE41" i="2"/>
  <c r="AF41" i="2"/>
  <c r="AG41" i="2"/>
  <c r="AH41" i="2"/>
  <c r="AI41" i="2"/>
  <c r="J42" i="2"/>
  <c r="O43" i="2"/>
  <c r="U43" i="2"/>
  <c r="V43" i="2"/>
  <c r="W43" i="2"/>
  <c r="X43" i="2"/>
  <c r="Y43" i="2"/>
  <c r="Z43" i="2"/>
  <c r="AA43" i="2"/>
  <c r="AB43" i="2"/>
  <c r="AC43" i="2"/>
  <c r="AD43" i="2"/>
  <c r="AE43" i="2"/>
  <c r="AF43" i="2"/>
  <c r="AG43" i="2"/>
  <c r="AH43" i="2"/>
  <c r="AI43" i="2"/>
  <c r="O44" i="2"/>
  <c r="O45" i="2"/>
  <c r="U45" i="2"/>
  <c r="V45" i="2"/>
  <c r="W45" i="2"/>
  <c r="X45" i="2"/>
  <c r="Y45" i="2"/>
  <c r="Z45" i="2"/>
  <c r="AA45" i="2"/>
  <c r="AB45" i="2"/>
  <c r="AC45" i="2"/>
  <c r="AD45" i="2"/>
  <c r="AE45" i="2"/>
  <c r="AF45" i="2"/>
  <c r="AG45" i="2"/>
  <c r="AH45" i="2"/>
  <c r="AI45" i="2"/>
  <c r="O46" i="2"/>
  <c r="O47" i="2"/>
  <c r="U47" i="2"/>
  <c r="V47" i="2"/>
  <c r="W47" i="2"/>
  <c r="X47" i="2"/>
  <c r="Y47" i="2"/>
  <c r="Z47" i="2"/>
  <c r="AA47" i="2"/>
  <c r="AB47" i="2"/>
  <c r="AC47" i="2"/>
  <c r="AD47" i="2"/>
  <c r="AE47" i="2"/>
  <c r="AF47" i="2"/>
  <c r="AG47" i="2"/>
  <c r="AH47" i="2"/>
  <c r="AI47" i="2"/>
  <c r="O48" i="2"/>
  <c r="O49" i="2"/>
  <c r="U49" i="2"/>
  <c r="V49" i="2"/>
  <c r="W49" i="2"/>
  <c r="X49" i="2"/>
  <c r="Y49" i="2"/>
  <c r="Z49" i="2"/>
  <c r="AA49" i="2"/>
  <c r="AB49" i="2"/>
  <c r="AC49" i="2"/>
  <c r="AD49" i="2"/>
  <c r="AE49" i="2"/>
  <c r="AF49" i="2"/>
  <c r="AG49" i="2"/>
  <c r="AH49" i="2"/>
  <c r="AI49" i="2"/>
  <c r="O50" i="2"/>
  <c r="O51" i="2"/>
  <c r="U51" i="2"/>
  <c r="V51" i="2"/>
  <c r="W51" i="2"/>
  <c r="X51" i="2"/>
  <c r="Y51" i="2"/>
  <c r="Z51" i="2"/>
  <c r="AA51" i="2"/>
  <c r="AB51" i="2"/>
  <c r="AC51" i="2"/>
  <c r="AD51" i="2"/>
  <c r="AE51" i="2"/>
  <c r="AF51" i="2"/>
  <c r="AG51" i="2"/>
  <c r="AH51" i="2"/>
  <c r="AI51" i="2"/>
  <c r="O52" i="2"/>
  <c r="O53" i="2"/>
  <c r="U53" i="2"/>
  <c r="V53" i="2"/>
  <c r="W53" i="2"/>
  <c r="X53" i="2"/>
  <c r="Y53" i="2"/>
  <c r="Z53" i="2"/>
  <c r="AA53" i="2"/>
  <c r="AB53" i="2"/>
  <c r="AC53" i="2"/>
  <c r="AD53" i="2"/>
  <c r="AE53" i="2"/>
  <c r="AF53" i="2"/>
  <c r="AG53" i="2"/>
  <c r="AH53" i="2"/>
  <c r="AI53" i="2"/>
  <c r="O54" i="2"/>
  <c r="P61" i="2"/>
  <c r="Q61" i="2"/>
  <c r="R61" i="2"/>
  <c r="S61" i="2"/>
  <c r="T61" i="2"/>
  <c r="U61" i="2"/>
  <c r="V61" i="2"/>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E67" i="2" s="1"/>
  <c r="AE69" i="2" s="1"/>
  <c r="AE71" i="2" s="1"/>
  <c r="AE73" i="2" s="1"/>
  <c r="AE7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W62" i="2"/>
  <c r="X62" i="2"/>
  <c r="Y62" i="2"/>
  <c r="Z62" i="2"/>
  <c r="AA62" i="2"/>
  <c r="AB62" i="2"/>
  <c r="AC62" i="2"/>
  <c r="AD62" i="2"/>
  <c r="AE62" i="2"/>
  <c r="AF62" i="2"/>
  <c r="AG62" i="2"/>
  <c r="AH62" i="2"/>
  <c r="AI62" i="2"/>
  <c r="J63" i="2"/>
  <c r="O64" i="2"/>
  <c r="W64" i="2"/>
  <c r="X64" i="2"/>
  <c r="Y64" i="2"/>
  <c r="Z64" i="2"/>
  <c r="AA64" i="2"/>
  <c r="AB64" i="2"/>
  <c r="AC64" i="2"/>
  <c r="AD64" i="2"/>
  <c r="AE64" i="2"/>
  <c r="AF64" i="2"/>
  <c r="AG64" i="2"/>
  <c r="AH64" i="2"/>
  <c r="AI64" i="2"/>
  <c r="O65" i="2"/>
  <c r="O66" i="2"/>
  <c r="W66" i="2"/>
  <c r="X66" i="2"/>
  <c r="Y66" i="2"/>
  <c r="Z66" i="2"/>
  <c r="AA66" i="2"/>
  <c r="AB66" i="2"/>
  <c r="AC66" i="2"/>
  <c r="AD66" i="2"/>
  <c r="AE66" i="2"/>
  <c r="AF66" i="2"/>
  <c r="AG66" i="2"/>
  <c r="AH66" i="2"/>
  <c r="AI66" i="2"/>
  <c r="O67" i="2"/>
  <c r="O68" i="2"/>
  <c r="W68" i="2"/>
  <c r="X68" i="2"/>
  <c r="Y68" i="2"/>
  <c r="Z68" i="2"/>
  <c r="AA68" i="2"/>
  <c r="AB68" i="2"/>
  <c r="AC68" i="2"/>
  <c r="AD68" i="2"/>
  <c r="AE68" i="2"/>
  <c r="AF68" i="2"/>
  <c r="AG68" i="2"/>
  <c r="AH68" i="2"/>
  <c r="AI68" i="2"/>
  <c r="O69" i="2"/>
  <c r="O70" i="2"/>
  <c r="W70" i="2"/>
  <c r="X70" i="2"/>
  <c r="Y70" i="2"/>
  <c r="Z70" i="2"/>
  <c r="AA70" i="2"/>
  <c r="AB70" i="2"/>
  <c r="AC70" i="2"/>
  <c r="AD70" i="2"/>
  <c r="AE70" i="2"/>
  <c r="AF70" i="2"/>
  <c r="AG70" i="2"/>
  <c r="AH70" i="2"/>
  <c r="AI70" i="2"/>
  <c r="O71" i="2"/>
  <c r="O72" i="2"/>
  <c r="W72" i="2"/>
  <c r="X72" i="2"/>
  <c r="Y72" i="2"/>
  <c r="Z72" i="2"/>
  <c r="AA72" i="2"/>
  <c r="AB72" i="2"/>
  <c r="AC72" i="2"/>
  <c r="AD72" i="2"/>
  <c r="AE72" i="2"/>
  <c r="AF72" i="2"/>
  <c r="AG72" i="2"/>
  <c r="AH72" i="2"/>
  <c r="AI72" i="2"/>
  <c r="O73" i="2"/>
  <c r="O74" i="2"/>
  <c r="W74" i="2"/>
  <c r="X74" i="2"/>
  <c r="Y74" i="2"/>
  <c r="Z74" i="2"/>
  <c r="AA74" i="2"/>
  <c r="AB74" i="2"/>
  <c r="AC74" i="2"/>
  <c r="AD74" i="2"/>
  <c r="AE74" i="2"/>
  <c r="AF74" i="2"/>
  <c r="AG74" i="2"/>
  <c r="AH74" i="2"/>
  <c r="AI74" i="2"/>
  <c r="O75" i="2"/>
  <c r="P82" i="2"/>
  <c r="Q82" i="2"/>
  <c r="R82" i="2"/>
  <c r="S82" i="2"/>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T83" i="2"/>
  <c r="U83" i="2"/>
  <c r="V83" i="2"/>
  <c r="W83" i="2"/>
  <c r="X83" i="2"/>
  <c r="Y83" i="2"/>
  <c r="Z83" i="2"/>
  <c r="AA83" i="2"/>
  <c r="AB83" i="2"/>
  <c r="AC83" i="2"/>
  <c r="AD83" i="2"/>
  <c r="AE83" i="2"/>
  <c r="AF83" i="2"/>
  <c r="AG83" i="2"/>
  <c r="AH83" i="2"/>
  <c r="AI83" i="2"/>
  <c r="J84" i="2"/>
  <c r="O85" i="2"/>
  <c r="T85" i="2"/>
  <c r="U85" i="2"/>
  <c r="V85" i="2"/>
  <c r="W85" i="2"/>
  <c r="X85" i="2"/>
  <c r="Y85" i="2"/>
  <c r="Z85" i="2"/>
  <c r="AA85" i="2"/>
  <c r="AB85" i="2"/>
  <c r="AC85" i="2"/>
  <c r="AD85" i="2"/>
  <c r="AE85" i="2"/>
  <c r="AF85" i="2"/>
  <c r="AG85" i="2"/>
  <c r="AH85" i="2"/>
  <c r="AI85" i="2"/>
  <c r="O86" i="2"/>
  <c r="O87" i="2"/>
  <c r="T87" i="2"/>
  <c r="U87" i="2"/>
  <c r="V87" i="2"/>
  <c r="W87" i="2"/>
  <c r="X87" i="2"/>
  <c r="Y87" i="2"/>
  <c r="Z87" i="2"/>
  <c r="AA87" i="2"/>
  <c r="AB87" i="2"/>
  <c r="AC87" i="2"/>
  <c r="AD87" i="2"/>
  <c r="AE87" i="2"/>
  <c r="AF87" i="2"/>
  <c r="AG87" i="2"/>
  <c r="AH87" i="2"/>
  <c r="AI87" i="2"/>
  <c r="O88" i="2"/>
  <c r="O89" i="2"/>
  <c r="T89" i="2"/>
  <c r="U89" i="2"/>
  <c r="V89" i="2"/>
  <c r="W89" i="2"/>
  <c r="X89" i="2"/>
  <c r="Y89" i="2"/>
  <c r="Z89" i="2"/>
  <c r="AA89" i="2"/>
  <c r="AB89" i="2"/>
  <c r="AC89" i="2"/>
  <c r="AD89" i="2"/>
  <c r="AE89" i="2"/>
  <c r="AF89" i="2"/>
  <c r="AG89" i="2"/>
  <c r="AH89" i="2"/>
  <c r="AI89" i="2"/>
  <c r="O90" i="2"/>
  <c r="O91" i="2"/>
  <c r="T91" i="2"/>
  <c r="U91" i="2"/>
  <c r="V91" i="2"/>
  <c r="W91" i="2"/>
  <c r="X91" i="2"/>
  <c r="Y91" i="2"/>
  <c r="Z91" i="2"/>
  <c r="AA91" i="2"/>
  <c r="AB91" i="2"/>
  <c r="AC91" i="2"/>
  <c r="AD91" i="2"/>
  <c r="AE91" i="2"/>
  <c r="AF91" i="2"/>
  <c r="AG91" i="2"/>
  <c r="AH91" i="2"/>
  <c r="AI91" i="2"/>
  <c r="O92" i="2"/>
  <c r="O93" i="2"/>
  <c r="T93" i="2"/>
  <c r="U93" i="2"/>
  <c r="V93" i="2"/>
  <c r="W93" i="2"/>
  <c r="X93" i="2"/>
  <c r="Y93" i="2"/>
  <c r="Z93" i="2"/>
  <c r="AA93" i="2"/>
  <c r="AB93" i="2"/>
  <c r="AC93" i="2"/>
  <c r="AD93" i="2"/>
  <c r="AE93" i="2"/>
  <c r="AF93" i="2"/>
  <c r="AG93" i="2"/>
  <c r="AH93" i="2"/>
  <c r="AI93" i="2"/>
  <c r="O94" i="2"/>
  <c r="O95" i="2"/>
  <c r="T95" i="2"/>
  <c r="U95" i="2"/>
  <c r="V95" i="2"/>
  <c r="W95" i="2"/>
  <c r="X95" i="2"/>
  <c r="Y95" i="2"/>
  <c r="Z95" i="2"/>
  <c r="AA95" i="2"/>
  <c r="AB95" i="2"/>
  <c r="AC95" i="2"/>
  <c r="AD95" i="2"/>
  <c r="AE95" i="2"/>
  <c r="AF95" i="2"/>
  <c r="AG95" i="2"/>
  <c r="AH95" i="2"/>
  <c r="AI95" i="2"/>
  <c r="O96" i="2"/>
  <c r="P103" i="2"/>
  <c r="Q103" i="2"/>
  <c r="R103" i="2"/>
  <c r="S103" i="2"/>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T104" i="2"/>
  <c r="U104" i="2"/>
  <c r="V104" i="2"/>
  <c r="W104" i="2"/>
  <c r="X104" i="2"/>
  <c r="Y104" i="2"/>
  <c r="Z104" i="2"/>
  <c r="AA104" i="2"/>
  <c r="AB104" i="2"/>
  <c r="AC104" i="2"/>
  <c r="AD104" i="2"/>
  <c r="AE104" i="2"/>
  <c r="AF104" i="2"/>
  <c r="AG104" i="2"/>
  <c r="AH104" i="2"/>
  <c r="AI104" i="2"/>
  <c r="J105" i="2"/>
  <c r="O106" i="2"/>
  <c r="T106" i="2"/>
  <c r="U106" i="2"/>
  <c r="V106" i="2"/>
  <c r="W106" i="2"/>
  <c r="X106" i="2"/>
  <c r="Y106" i="2"/>
  <c r="Z106" i="2"/>
  <c r="AA106" i="2"/>
  <c r="AB106" i="2"/>
  <c r="AC106" i="2"/>
  <c r="AD106" i="2"/>
  <c r="AE106" i="2"/>
  <c r="AF106" i="2"/>
  <c r="AG106" i="2"/>
  <c r="AH106" i="2"/>
  <c r="AI106" i="2"/>
  <c r="O107" i="2"/>
  <c r="O108" i="2"/>
  <c r="T108" i="2"/>
  <c r="U108" i="2"/>
  <c r="V108" i="2"/>
  <c r="W108" i="2"/>
  <c r="X108" i="2"/>
  <c r="Y108" i="2"/>
  <c r="Z108" i="2"/>
  <c r="AA108" i="2"/>
  <c r="AB108" i="2"/>
  <c r="AC108" i="2"/>
  <c r="AD108" i="2"/>
  <c r="AE108" i="2"/>
  <c r="AF108" i="2"/>
  <c r="AG108" i="2"/>
  <c r="AH108" i="2"/>
  <c r="AI108" i="2"/>
  <c r="O109" i="2"/>
  <c r="O110" i="2"/>
  <c r="T110" i="2"/>
  <c r="U110" i="2"/>
  <c r="V110" i="2"/>
  <c r="W110" i="2"/>
  <c r="X110" i="2"/>
  <c r="Y110" i="2"/>
  <c r="Z110" i="2"/>
  <c r="AA110" i="2"/>
  <c r="AB110" i="2"/>
  <c r="AC110" i="2"/>
  <c r="AD110" i="2"/>
  <c r="AE110" i="2"/>
  <c r="AF110" i="2"/>
  <c r="AG110" i="2"/>
  <c r="AH110" i="2"/>
  <c r="AI110" i="2"/>
  <c r="O111" i="2"/>
  <c r="O112" i="2"/>
  <c r="T112" i="2"/>
  <c r="U112" i="2"/>
  <c r="V112" i="2"/>
  <c r="W112" i="2"/>
  <c r="X112" i="2"/>
  <c r="Y112" i="2"/>
  <c r="Z112" i="2"/>
  <c r="AA112" i="2"/>
  <c r="AB112" i="2"/>
  <c r="AC112" i="2"/>
  <c r="AD112" i="2"/>
  <c r="AE112" i="2"/>
  <c r="AF112" i="2"/>
  <c r="AG112" i="2"/>
  <c r="AH112" i="2"/>
  <c r="AI112" i="2"/>
  <c r="O113" i="2"/>
  <c r="O114" i="2"/>
  <c r="T114" i="2"/>
  <c r="U114" i="2"/>
  <c r="V114" i="2"/>
  <c r="W114" i="2"/>
  <c r="X114" i="2"/>
  <c r="Y114" i="2"/>
  <c r="Z114" i="2"/>
  <c r="AA114" i="2"/>
  <c r="AB114" i="2"/>
  <c r="AC114" i="2"/>
  <c r="AD114" i="2"/>
  <c r="AE114" i="2"/>
  <c r="AF114" i="2"/>
  <c r="AG114" i="2"/>
  <c r="AH114" i="2"/>
  <c r="AI114" i="2"/>
  <c r="O115" i="2"/>
  <c r="O116" i="2"/>
  <c r="T116" i="2"/>
  <c r="U116" i="2"/>
  <c r="V116" i="2"/>
  <c r="W116" i="2"/>
  <c r="X116" i="2"/>
  <c r="Y116" i="2"/>
  <c r="Z116" i="2"/>
  <c r="AA116" i="2"/>
  <c r="AB116" i="2"/>
  <c r="AC116" i="2"/>
  <c r="AD116" i="2"/>
  <c r="AE116" i="2"/>
  <c r="AF116" i="2"/>
  <c r="AG116" i="2"/>
  <c r="AH116" i="2"/>
  <c r="AI116" i="2"/>
  <c r="O117" i="2"/>
  <c r="P124" i="2"/>
  <c r="Q124" i="2"/>
  <c r="R124" i="2"/>
  <c r="S124" i="2"/>
  <c r="T124" i="2"/>
  <c r="U124" i="2"/>
  <c r="V124" i="2"/>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W125" i="2"/>
  <c r="X125" i="2"/>
  <c r="Y125" i="2"/>
  <c r="Z125" i="2"/>
  <c r="AA125" i="2"/>
  <c r="AB125" i="2"/>
  <c r="AC125" i="2"/>
  <c r="AD125" i="2"/>
  <c r="AE125" i="2"/>
  <c r="AF125" i="2"/>
  <c r="AG125" i="2"/>
  <c r="AH125" i="2"/>
  <c r="AI125" i="2"/>
  <c r="J126" i="2"/>
  <c r="O127" i="2"/>
  <c r="W127" i="2"/>
  <c r="X127" i="2"/>
  <c r="Y127" i="2"/>
  <c r="Z127" i="2"/>
  <c r="AA127" i="2"/>
  <c r="AB127" i="2"/>
  <c r="AC127" i="2"/>
  <c r="AD127" i="2"/>
  <c r="AE127" i="2"/>
  <c r="AF127" i="2"/>
  <c r="AG127" i="2"/>
  <c r="AH127" i="2"/>
  <c r="AI127" i="2"/>
  <c r="O128" i="2"/>
  <c r="O129" i="2"/>
  <c r="W129" i="2"/>
  <c r="X129" i="2"/>
  <c r="Y129" i="2"/>
  <c r="Z129" i="2"/>
  <c r="AA129" i="2"/>
  <c r="AB129" i="2"/>
  <c r="AC129" i="2"/>
  <c r="AD129" i="2"/>
  <c r="AE129" i="2"/>
  <c r="AF129" i="2"/>
  <c r="AG129" i="2"/>
  <c r="AH129" i="2"/>
  <c r="AI129" i="2"/>
  <c r="O130" i="2"/>
  <c r="O131" i="2"/>
  <c r="W131" i="2"/>
  <c r="X131" i="2"/>
  <c r="Y131" i="2"/>
  <c r="Z131" i="2"/>
  <c r="AA131" i="2"/>
  <c r="AB131" i="2"/>
  <c r="AC131" i="2"/>
  <c r="AD131" i="2"/>
  <c r="AE131" i="2"/>
  <c r="AF131" i="2"/>
  <c r="AG131" i="2"/>
  <c r="AH131" i="2"/>
  <c r="AI131" i="2"/>
  <c r="O132" i="2"/>
  <c r="O133" i="2"/>
  <c r="W133" i="2"/>
  <c r="X133" i="2"/>
  <c r="Y133" i="2"/>
  <c r="Z133" i="2"/>
  <c r="AA133" i="2"/>
  <c r="AB133" i="2"/>
  <c r="AC133" i="2"/>
  <c r="AD133" i="2"/>
  <c r="AE133" i="2"/>
  <c r="AF133" i="2"/>
  <c r="AG133" i="2"/>
  <c r="AH133" i="2"/>
  <c r="AI133" i="2"/>
  <c r="O134" i="2"/>
  <c r="O135" i="2"/>
  <c r="W135" i="2"/>
  <c r="X135" i="2"/>
  <c r="Y135" i="2"/>
  <c r="Z135" i="2"/>
  <c r="AA135" i="2"/>
  <c r="AB135" i="2"/>
  <c r="AC135" i="2"/>
  <c r="AD135" i="2"/>
  <c r="AE135" i="2"/>
  <c r="AF135" i="2"/>
  <c r="AG135" i="2"/>
  <c r="AH135" i="2"/>
  <c r="AI135" i="2"/>
  <c r="O136" i="2"/>
  <c r="O137" i="2"/>
  <c r="W137" i="2"/>
  <c r="X137" i="2"/>
  <c r="Y137" i="2"/>
  <c r="Z137" i="2"/>
  <c r="AA137" i="2"/>
  <c r="AB137" i="2"/>
  <c r="AC137" i="2"/>
  <c r="AD137" i="2"/>
  <c r="AE137" i="2"/>
  <c r="AF137" i="2"/>
  <c r="AG137" i="2"/>
  <c r="AH137" i="2"/>
  <c r="AI137" i="2"/>
  <c r="O138" i="2"/>
  <c r="P145" i="2"/>
  <c r="Q145" i="2"/>
  <c r="R145" i="2"/>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S146" i="2"/>
  <c r="T146" i="2"/>
  <c r="U146" i="2"/>
  <c r="V146" i="2"/>
  <c r="W146" i="2"/>
  <c r="X146" i="2"/>
  <c r="Y146" i="2"/>
  <c r="Z146" i="2"/>
  <c r="AA146" i="2"/>
  <c r="AB146" i="2"/>
  <c r="AC146" i="2"/>
  <c r="AD146" i="2"/>
  <c r="AE146" i="2"/>
  <c r="AF146" i="2"/>
  <c r="AG146" i="2"/>
  <c r="AH146" i="2"/>
  <c r="AI146" i="2"/>
  <c r="J147" i="2"/>
  <c r="O148" i="2"/>
  <c r="S148" i="2"/>
  <c r="T148" i="2"/>
  <c r="U148" i="2"/>
  <c r="V148" i="2"/>
  <c r="W148" i="2"/>
  <c r="X148" i="2"/>
  <c r="Y148" i="2"/>
  <c r="Z148" i="2"/>
  <c r="AA148" i="2"/>
  <c r="AB148" i="2"/>
  <c r="AC148" i="2"/>
  <c r="AD148" i="2"/>
  <c r="AE148" i="2"/>
  <c r="AF148" i="2"/>
  <c r="AG148" i="2"/>
  <c r="AH148" i="2"/>
  <c r="AI148" i="2"/>
  <c r="O149" i="2"/>
  <c r="O150" i="2"/>
  <c r="S150" i="2"/>
  <c r="T150" i="2"/>
  <c r="U150" i="2"/>
  <c r="V150" i="2"/>
  <c r="W150" i="2"/>
  <c r="X150" i="2"/>
  <c r="Y150" i="2"/>
  <c r="Z150" i="2"/>
  <c r="AA150" i="2"/>
  <c r="AB150" i="2"/>
  <c r="AC150" i="2"/>
  <c r="AD150" i="2"/>
  <c r="AE150" i="2"/>
  <c r="AF150" i="2"/>
  <c r="AG150" i="2"/>
  <c r="AH150" i="2"/>
  <c r="AI150" i="2"/>
  <c r="O151" i="2"/>
  <c r="O152" i="2"/>
  <c r="S152" i="2"/>
  <c r="T152" i="2"/>
  <c r="U152" i="2"/>
  <c r="V152" i="2"/>
  <c r="W152" i="2"/>
  <c r="X152" i="2"/>
  <c r="Y152" i="2"/>
  <c r="Z152" i="2"/>
  <c r="AA152" i="2"/>
  <c r="AB152" i="2"/>
  <c r="AC152" i="2"/>
  <c r="AD152" i="2"/>
  <c r="AE152" i="2"/>
  <c r="AF152" i="2"/>
  <c r="AG152" i="2"/>
  <c r="AH152" i="2"/>
  <c r="AI152" i="2"/>
  <c r="O153" i="2"/>
  <c r="O154" i="2"/>
  <c r="S154" i="2"/>
  <c r="T154" i="2"/>
  <c r="U154" i="2"/>
  <c r="V154" i="2"/>
  <c r="W154" i="2"/>
  <c r="X154" i="2"/>
  <c r="Y154" i="2"/>
  <c r="Z154" i="2"/>
  <c r="AA154" i="2"/>
  <c r="AB154" i="2"/>
  <c r="AC154" i="2"/>
  <c r="AD154" i="2"/>
  <c r="AE154" i="2"/>
  <c r="AF154" i="2"/>
  <c r="AG154" i="2"/>
  <c r="AH154" i="2"/>
  <c r="AI154" i="2"/>
  <c r="O155" i="2"/>
  <c r="O156" i="2"/>
  <c r="S156" i="2"/>
  <c r="T156" i="2"/>
  <c r="U156" i="2"/>
  <c r="V156" i="2"/>
  <c r="W156" i="2"/>
  <c r="X156" i="2"/>
  <c r="Y156" i="2"/>
  <c r="Z156" i="2"/>
  <c r="AA156" i="2"/>
  <c r="AB156" i="2"/>
  <c r="AC156" i="2"/>
  <c r="AD156" i="2"/>
  <c r="AE156" i="2"/>
  <c r="AF156" i="2"/>
  <c r="AG156" i="2"/>
  <c r="AH156" i="2"/>
  <c r="AI156" i="2"/>
  <c r="O157" i="2"/>
  <c r="O158" i="2"/>
  <c r="S158" i="2"/>
  <c r="T158" i="2"/>
  <c r="U158" i="2"/>
  <c r="V158" i="2"/>
  <c r="W158" i="2"/>
  <c r="X158" i="2"/>
  <c r="Y158" i="2"/>
  <c r="Z158" i="2"/>
  <c r="AA158" i="2"/>
  <c r="AB158" i="2"/>
  <c r="AC158" i="2"/>
  <c r="AD158" i="2"/>
  <c r="AE158" i="2"/>
  <c r="AF158" i="2"/>
  <c r="AG158" i="2"/>
  <c r="AH158" i="2"/>
  <c r="AI158" i="2"/>
  <c r="O159" i="2"/>
  <c r="P166" i="2"/>
  <c r="Q166" i="2"/>
  <c r="R166" i="2"/>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S167" i="2"/>
  <c r="T167" i="2"/>
  <c r="U167" i="2"/>
  <c r="V167" i="2"/>
  <c r="W167" i="2"/>
  <c r="X167" i="2"/>
  <c r="Y167" i="2"/>
  <c r="Z167" i="2"/>
  <c r="AA167" i="2"/>
  <c r="AB167" i="2"/>
  <c r="AC167" i="2"/>
  <c r="AD167" i="2"/>
  <c r="AE167" i="2"/>
  <c r="AF167" i="2"/>
  <c r="AG167" i="2"/>
  <c r="AH167" i="2"/>
  <c r="AI167" i="2"/>
  <c r="J168" i="2"/>
  <c r="O169" i="2"/>
  <c r="S169" i="2"/>
  <c r="T169" i="2"/>
  <c r="U169" i="2"/>
  <c r="V169" i="2"/>
  <c r="W169" i="2"/>
  <c r="X169" i="2"/>
  <c r="Y169" i="2"/>
  <c r="Z169" i="2"/>
  <c r="AA169" i="2"/>
  <c r="AB169" i="2"/>
  <c r="AC169" i="2"/>
  <c r="AD169" i="2"/>
  <c r="AE169" i="2"/>
  <c r="AF169" i="2"/>
  <c r="AG169" i="2"/>
  <c r="AH169" i="2"/>
  <c r="AI169" i="2"/>
  <c r="O170" i="2"/>
  <c r="O171" i="2"/>
  <c r="S171" i="2"/>
  <c r="T171" i="2"/>
  <c r="U171" i="2"/>
  <c r="V171" i="2"/>
  <c r="W171" i="2"/>
  <c r="X171" i="2"/>
  <c r="Y171" i="2"/>
  <c r="Z171" i="2"/>
  <c r="AA171" i="2"/>
  <c r="AB171" i="2"/>
  <c r="AC171" i="2"/>
  <c r="AD171" i="2"/>
  <c r="AE171" i="2"/>
  <c r="AF171" i="2"/>
  <c r="AG171" i="2"/>
  <c r="AH171" i="2"/>
  <c r="AI171" i="2"/>
  <c r="O172" i="2"/>
  <c r="O173" i="2"/>
  <c r="S173" i="2"/>
  <c r="T173" i="2"/>
  <c r="U173" i="2"/>
  <c r="V173" i="2"/>
  <c r="W173" i="2"/>
  <c r="X173" i="2"/>
  <c r="Y173" i="2"/>
  <c r="Z173" i="2"/>
  <c r="AA173" i="2"/>
  <c r="AB173" i="2"/>
  <c r="AC173" i="2"/>
  <c r="AD173" i="2"/>
  <c r="AE173" i="2"/>
  <c r="AF173" i="2"/>
  <c r="AG173" i="2"/>
  <c r="AH173" i="2"/>
  <c r="AI173" i="2"/>
  <c r="O174" i="2"/>
  <c r="O175" i="2"/>
  <c r="S175" i="2"/>
  <c r="T175" i="2"/>
  <c r="U175" i="2"/>
  <c r="V175" i="2"/>
  <c r="W175" i="2"/>
  <c r="X175" i="2"/>
  <c r="Y175" i="2"/>
  <c r="Z175" i="2"/>
  <c r="AA175" i="2"/>
  <c r="AB175" i="2"/>
  <c r="AC175" i="2"/>
  <c r="AD175" i="2"/>
  <c r="AE175" i="2"/>
  <c r="AF175" i="2"/>
  <c r="AG175" i="2"/>
  <c r="AH175" i="2"/>
  <c r="AI175" i="2"/>
  <c r="O176" i="2"/>
  <c r="O177" i="2"/>
  <c r="S177" i="2"/>
  <c r="T177" i="2"/>
  <c r="U177" i="2"/>
  <c r="V177" i="2"/>
  <c r="W177" i="2"/>
  <c r="X177" i="2"/>
  <c r="Y177" i="2"/>
  <c r="Z177" i="2"/>
  <c r="AA177" i="2"/>
  <c r="AB177" i="2"/>
  <c r="AC177" i="2"/>
  <c r="AD177" i="2"/>
  <c r="AE177" i="2"/>
  <c r="AF177" i="2"/>
  <c r="AG177" i="2"/>
  <c r="AH177" i="2"/>
  <c r="AI177" i="2"/>
  <c r="O178" i="2"/>
  <c r="O179" i="2"/>
  <c r="S179" i="2"/>
  <c r="T179" i="2"/>
  <c r="U179" i="2"/>
  <c r="V179" i="2"/>
  <c r="W179" i="2"/>
  <c r="X179" i="2"/>
  <c r="Y179" i="2"/>
  <c r="Z179" i="2"/>
  <c r="AA179" i="2"/>
  <c r="AB179" i="2"/>
  <c r="AC179" i="2"/>
  <c r="AD179" i="2"/>
  <c r="AE179" i="2"/>
  <c r="AF179" i="2"/>
  <c r="AG179" i="2"/>
  <c r="AH179" i="2"/>
  <c r="AI179" i="2"/>
  <c r="O180" i="2"/>
  <c r="P187" i="2"/>
  <c r="Q187" i="2"/>
  <c r="R187" i="2"/>
  <c r="S187" i="2"/>
  <c r="T187" i="2"/>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U188" i="2"/>
  <c r="V188" i="2"/>
  <c r="W188" i="2"/>
  <c r="X188" i="2"/>
  <c r="Y188" i="2"/>
  <c r="Z188" i="2"/>
  <c r="AA188" i="2"/>
  <c r="AB188" i="2"/>
  <c r="AC188" i="2"/>
  <c r="AD188" i="2"/>
  <c r="AE188" i="2"/>
  <c r="AF188" i="2"/>
  <c r="AG188" i="2"/>
  <c r="AH188" i="2"/>
  <c r="AI188" i="2"/>
  <c r="J189" i="2"/>
  <c r="O190" i="2"/>
  <c r="U190" i="2"/>
  <c r="V190" i="2"/>
  <c r="W190" i="2"/>
  <c r="X190" i="2"/>
  <c r="Y190" i="2"/>
  <c r="Z190" i="2"/>
  <c r="AA190" i="2"/>
  <c r="AB190" i="2"/>
  <c r="AC190" i="2"/>
  <c r="AD190" i="2"/>
  <c r="AE190" i="2"/>
  <c r="AF190" i="2"/>
  <c r="AG190" i="2"/>
  <c r="AH190" i="2"/>
  <c r="AI190" i="2"/>
  <c r="O191" i="2"/>
  <c r="O192" i="2"/>
  <c r="U192" i="2"/>
  <c r="V192" i="2"/>
  <c r="W192" i="2"/>
  <c r="X192" i="2"/>
  <c r="Y192" i="2"/>
  <c r="Z192" i="2"/>
  <c r="AA192" i="2"/>
  <c r="AB192" i="2"/>
  <c r="AC192" i="2"/>
  <c r="AD192" i="2"/>
  <c r="AE192" i="2"/>
  <c r="AF192" i="2"/>
  <c r="AG192" i="2"/>
  <c r="AH192" i="2"/>
  <c r="AI192" i="2"/>
  <c r="O193" i="2"/>
  <c r="O194" i="2"/>
  <c r="U194" i="2"/>
  <c r="V194" i="2"/>
  <c r="W194" i="2"/>
  <c r="X194" i="2"/>
  <c r="Y194" i="2"/>
  <c r="Z194" i="2"/>
  <c r="AA194" i="2"/>
  <c r="AB194" i="2"/>
  <c r="AC194" i="2"/>
  <c r="AD194" i="2"/>
  <c r="AE194" i="2"/>
  <c r="AF194" i="2"/>
  <c r="AG194" i="2"/>
  <c r="AH194" i="2"/>
  <c r="AI194" i="2"/>
  <c r="O195" i="2"/>
  <c r="O196" i="2"/>
  <c r="U196" i="2"/>
  <c r="V196" i="2"/>
  <c r="W196" i="2"/>
  <c r="X196" i="2"/>
  <c r="Y196" i="2"/>
  <c r="Z196" i="2"/>
  <c r="AA196" i="2"/>
  <c r="AB196" i="2"/>
  <c r="AC196" i="2"/>
  <c r="AD196" i="2"/>
  <c r="AE196" i="2"/>
  <c r="AF196" i="2"/>
  <c r="AG196" i="2"/>
  <c r="AH196" i="2"/>
  <c r="AI196" i="2"/>
  <c r="O197" i="2"/>
  <c r="O198" i="2"/>
  <c r="U198" i="2"/>
  <c r="V198" i="2"/>
  <c r="W198" i="2"/>
  <c r="X198" i="2"/>
  <c r="Y198" i="2"/>
  <c r="Z198" i="2"/>
  <c r="AA198" i="2"/>
  <c r="AB198" i="2"/>
  <c r="AC198" i="2"/>
  <c r="AD198" i="2"/>
  <c r="AE198" i="2"/>
  <c r="AF198" i="2"/>
  <c r="AG198" i="2"/>
  <c r="AH198" i="2"/>
  <c r="AI198" i="2"/>
  <c r="O199" i="2"/>
  <c r="O200" i="2"/>
  <c r="U200" i="2"/>
  <c r="V200" i="2"/>
  <c r="W200" i="2"/>
  <c r="X200" i="2"/>
  <c r="Y200" i="2"/>
  <c r="Z200" i="2"/>
  <c r="AA200" i="2"/>
  <c r="AB200" i="2"/>
  <c r="AC200" i="2"/>
  <c r="AD200" i="2"/>
  <c r="AE200" i="2"/>
  <c r="AF200" i="2"/>
  <c r="AG200" i="2"/>
  <c r="AH200" i="2"/>
  <c r="AI200" i="2"/>
  <c r="O201" i="2"/>
  <c r="P208" i="2"/>
  <c r="Q208" i="2"/>
  <c r="R208" i="2"/>
  <c r="S208" i="2"/>
  <c r="T208" i="2"/>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U209" i="2"/>
  <c r="V209" i="2"/>
  <c r="W209" i="2"/>
  <c r="X209" i="2"/>
  <c r="Y209" i="2"/>
  <c r="Z209" i="2"/>
  <c r="AA209" i="2"/>
  <c r="AB209" i="2"/>
  <c r="AC209" i="2"/>
  <c r="AD209" i="2"/>
  <c r="AE209" i="2"/>
  <c r="AF209" i="2"/>
  <c r="AG209" i="2"/>
  <c r="AH209" i="2"/>
  <c r="AI209" i="2"/>
  <c r="J210" i="2"/>
  <c r="O211" i="2"/>
  <c r="U211" i="2"/>
  <c r="V211" i="2"/>
  <c r="W211" i="2"/>
  <c r="X211" i="2"/>
  <c r="Y211" i="2"/>
  <c r="Z211" i="2"/>
  <c r="AA211" i="2"/>
  <c r="AB211" i="2"/>
  <c r="AC211" i="2"/>
  <c r="AD211" i="2"/>
  <c r="AE211" i="2"/>
  <c r="AF211" i="2"/>
  <c r="AG211" i="2"/>
  <c r="AH211" i="2"/>
  <c r="AI211" i="2"/>
  <c r="O212" i="2"/>
  <c r="O213" i="2"/>
  <c r="U213" i="2"/>
  <c r="V213" i="2"/>
  <c r="W213" i="2"/>
  <c r="X213" i="2"/>
  <c r="Y213" i="2"/>
  <c r="Z213" i="2"/>
  <c r="AA213" i="2"/>
  <c r="AB213" i="2"/>
  <c r="AC213" i="2"/>
  <c r="AD213" i="2"/>
  <c r="AE213" i="2"/>
  <c r="AF213" i="2"/>
  <c r="AG213" i="2"/>
  <c r="AH213" i="2"/>
  <c r="AI213" i="2"/>
  <c r="O214" i="2"/>
  <c r="O215" i="2"/>
  <c r="U215" i="2"/>
  <c r="V215" i="2"/>
  <c r="W215" i="2"/>
  <c r="X215" i="2"/>
  <c r="Y215" i="2"/>
  <c r="Z215" i="2"/>
  <c r="AA215" i="2"/>
  <c r="AB215" i="2"/>
  <c r="AC215" i="2"/>
  <c r="AD215" i="2"/>
  <c r="AE215" i="2"/>
  <c r="AF215" i="2"/>
  <c r="AG215" i="2"/>
  <c r="AH215" i="2"/>
  <c r="AI215" i="2"/>
  <c r="O216" i="2"/>
  <c r="O217" i="2"/>
  <c r="U217" i="2"/>
  <c r="V217" i="2"/>
  <c r="W217" i="2"/>
  <c r="X217" i="2"/>
  <c r="Y217" i="2"/>
  <c r="Z217" i="2"/>
  <c r="AA217" i="2"/>
  <c r="AB217" i="2"/>
  <c r="AC217" i="2"/>
  <c r="AD217" i="2"/>
  <c r="AE217" i="2"/>
  <c r="AF217" i="2"/>
  <c r="AG217" i="2"/>
  <c r="AH217" i="2"/>
  <c r="AI217" i="2"/>
  <c r="O218" i="2"/>
  <c r="O219" i="2"/>
  <c r="U219" i="2"/>
  <c r="V219" i="2"/>
  <c r="W219" i="2"/>
  <c r="X219" i="2"/>
  <c r="Y219" i="2"/>
  <c r="Z219" i="2"/>
  <c r="AA219" i="2"/>
  <c r="AB219" i="2"/>
  <c r="AC219" i="2"/>
  <c r="AD219" i="2"/>
  <c r="AE219" i="2"/>
  <c r="AF219" i="2"/>
  <c r="AG219" i="2"/>
  <c r="AH219" i="2"/>
  <c r="AI219" i="2"/>
  <c r="O220" i="2"/>
  <c r="O221" i="2"/>
  <c r="U221" i="2"/>
  <c r="V221" i="2"/>
  <c r="W221" i="2"/>
  <c r="X221" i="2"/>
  <c r="Y221" i="2"/>
  <c r="Z221" i="2"/>
  <c r="AA221" i="2"/>
  <c r="AB221" i="2"/>
  <c r="AC221" i="2"/>
  <c r="AD221" i="2"/>
  <c r="AE221" i="2"/>
  <c r="AF221" i="2"/>
  <c r="AG221" i="2"/>
  <c r="AH221" i="2"/>
  <c r="AI221" i="2"/>
  <c r="O222" i="2"/>
  <c r="P229" i="2"/>
  <c r="Q229" i="2"/>
  <c r="R229" i="2"/>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S230" i="2"/>
  <c r="T230" i="2"/>
  <c r="U230" i="2"/>
  <c r="V230" i="2"/>
  <c r="W230" i="2"/>
  <c r="X230" i="2"/>
  <c r="Y230" i="2"/>
  <c r="Z230" i="2"/>
  <c r="AA230" i="2"/>
  <c r="AB230" i="2"/>
  <c r="AC230" i="2"/>
  <c r="AD230" i="2"/>
  <c r="AE230" i="2"/>
  <c r="AF230" i="2"/>
  <c r="AG230" i="2"/>
  <c r="AH230" i="2"/>
  <c r="AI230" i="2"/>
  <c r="J231" i="2"/>
  <c r="O232" i="2"/>
  <c r="S232" i="2"/>
  <c r="T232" i="2"/>
  <c r="U232" i="2"/>
  <c r="V232" i="2"/>
  <c r="W232" i="2"/>
  <c r="X232" i="2"/>
  <c r="Y232" i="2"/>
  <c r="Z232" i="2"/>
  <c r="AA232" i="2"/>
  <c r="AB232" i="2"/>
  <c r="AC232" i="2"/>
  <c r="AD232" i="2"/>
  <c r="AE232" i="2"/>
  <c r="AF232" i="2"/>
  <c r="AG232" i="2"/>
  <c r="AH232" i="2"/>
  <c r="AI232" i="2"/>
  <c r="O233" i="2"/>
  <c r="O234" i="2"/>
  <c r="S234" i="2"/>
  <c r="T234" i="2"/>
  <c r="U234" i="2"/>
  <c r="V234" i="2"/>
  <c r="W234" i="2"/>
  <c r="X234" i="2"/>
  <c r="Y234" i="2"/>
  <c r="Z234" i="2"/>
  <c r="AA234" i="2"/>
  <c r="AB234" i="2"/>
  <c r="AC234" i="2"/>
  <c r="AD234" i="2"/>
  <c r="AE234" i="2"/>
  <c r="AF234" i="2"/>
  <c r="AG234" i="2"/>
  <c r="AH234" i="2"/>
  <c r="AI234" i="2"/>
  <c r="O235" i="2"/>
  <c r="O236" i="2"/>
  <c r="S236" i="2"/>
  <c r="T236" i="2"/>
  <c r="U236" i="2"/>
  <c r="V236" i="2"/>
  <c r="W236" i="2"/>
  <c r="X236" i="2"/>
  <c r="Y236" i="2"/>
  <c r="Z236" i="2"/>
  <c r="AA236" i="2"/>
  <c r="AB236" i="2"/>
  <c r="AC236" i="2"/>
  <c r="AD236" i="2"/>
  <c r="AE236" i="2"/>
  <c r="AF236" i="2"/>
  <c r="AG236" i="2"/>
  <c r="AH236" i="2"/>
  <c r="AI236" i="2"/>
  <c r="O237" i="2"/>
  <c r="O238" i="2"/>
  <c r="S238" i="2"/>
  <c r="T238" i="2"/>
  <c r="U238" i="2"/>
  <c r="V238" i="2"/>
  <c r="W238" i="2"/>
  <c r="X238" i="2"/>
  <c r="Y238" i="2"/>
  <c r="Z238" i="2"/>
  <c r="AA238" i="2"/>
  <c r="AB238" i="2"/>
  <c r="AC238" i="2"/>
  <c r="AD238" i="2"/>
  <c r="AE238" i="2"/>
  <c r="AF238" i="2"/>
  <c r="AG238" i="2"/>
  <c r="AH238" i="2"/>
  <c r="AI238" i="2"/>
  <c r="O239" i="2"/>
  <c r="O240" i="2"/>
  <c r="S240" i="2"/>
  <c r="T240" i="2"/>
  <c r="U240" i="2"/>
  <c r="V240" i="2"/>
  <c r="W240" i="2"/>
  <c r="X240" i="2"/>
  <c r="Y240" i="2"/>
  <c r="Z240" i="2"/>
  <c r="AA240" i="2"/>
  <c r="AB240" i="2"/>
  <c r="AC240" i="2"/>
  <c r="AD240" i="2"/>
  <c r="AE240" i="2"/>
  <c r="AF240" i="2"/>
  <c r="AG240" i="2"/>
  <c r="AH240" i="2"/>
  <c r="AI240" i="2"/>
  <c r="O241" i="2"/>
  <c r="O242" i="2"/>
  <c r="S242" i="2"/>
  <c r="T242" i="2"/>
  <c r="U242" i="2"/>
  <c r="V242" i="2"/>
  <c r="W242" i="2"/>
  <c r="X242" i="2"/>
  <c r="Y242" i="2"/>
  <c r="Z242" i="2"/>
  <c r="AA242" i="2"/>
  <c r="AB242" i="2"/>
  <c r="AC242" i="2"/>
  <c r="AD242" i="2"/>
  <c r="AE242" i="2"/>
  <c r="AF242" i="2"/>
  <c r="AG242" i="2"/>
  <c r="AH242" i="2"/>
  <c r="AI242" i="2"/>
  <c r="O243" i="2"/>
  <c r="P250" i="2"/>
  <c r="Q250" i="2"/>
  <c r="R250" i="2"/>
  <c r="S250" i="2"/>
  <c r="T250" i="2"/>
  <c r="U250" i="2"/>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V251" i="2"/>
  <c r="W251" i="2"/>
  <c r="X251" i="2"/>
  <c r="Y251" i="2"/>
  <c r="Z251" i="2"/>
  <c r="AA251" i="2"/>
  <c r="AB251" i="2"/>
  <c r="AC251" i="2"/>
  <c r="AD251" i="2"/>
  <c r="AE251" i="2"/>
  <c r="AF251" i="2"/>
  <c r="AG251" i="2"/>
  <c r="AH251" i="2"/>
  <c r="AI251" i="2"/>
  <c r="J252" i="2"/>
  <c r="O253" i="2"/>
  <c r="V253" i="2"/>
  <c r="W253" i="2"/>
  <c r="X253" i="2"/>
  <c r="Y253" i="2"/>
  <c r="Z253" i="2"/>
  <c r="AA253" i="2"/>
  <c r="AB253" i="2"/>
  <c r="AC253" i="2"/>
  <c r="AD253" i="2"/>
  <c r="AE253" i="2"/>
  <c r="AF253" i="2"/>
  <c r="AG253" i="2"/>
  <c r="AH253" i="2"/>
  <c r="AI253" i="2"/>
  <c r="O254" i="2"/>
  <c r="O255" i="2"/>
  <c r="V255" i="2"/>
  <c r="W255" i="2"/>
  <c r="X255" i="2"/>
  <c r="Y255" i="2"/>
  <c r="Z255" i="2"/>
  <c r="AA255" i="2"/>
  <c r="AB255" i="2"/>
  <c r="AC255" i="2"/>
  <c r="AD255" i="2"/>
  <c r="AE255" i="2"/>
  <c r="AF255" i="2"/>
  <c r="AG255" i="2"/>
  <c r="AH255" i="2"/>
  <c r="AI255" i="2"/>
  <c r="O256" i="2"/>
  <c r="O257" i="2"/>
  <c r="V257" i="2"/>
  <c r="W257" i="2"/>
  <c r="X257" i="2"/>
  <c r="Y257" i="2"/>
  <c r="Z257" i="2"/>
  <c r="AA257" i="2"/>
  <c r="AB257" i="2"/>
  <c r="AC257" i="2"/>
  <c r="AD257" i="2"/>
  <c r="AE257" i="2"/>
  <c r="AF257" i="2"/>
  <c r="AG257" i="2"/>
  <c r="AH257" i="2"/>
  <c r="AI257" i="2"/>
  <c r="O258" i="2"/>
  <c r="O259" i="2"/>
  <c r="V259" i="2"/>
  <c r="W259" i="2"/>
  <c r="X259" i="2"/>
  <c r="Y259" i="2"/>
  <c r="Z259" i="2"/>
  <c r="AA259" i="2"/>
  <c r="AB259" i="2"/>
  <c r="AC259" i="2"/>
  <c r="AD259" i="2"/>
  <c r="AE259" i="2"/>
  <c r="AF259" i="2"/>
  <c r="AG259" i="2"/>
  <c r="AH259" i="2"/>
  <c r="AI259" i="2"/>
  <c r="O260" i="2"/>
  <c r="O261" i="2"/>
  <c r="V261" i="2"/>
  <c r="W261" i="2"/>
  <c r="X261" i="2"/>
  <c r="Y261" i="2"/>
  <c r="Z261" i="2"/>
  <c r="AA261" i="2"/>
  <c r="AB261" i="2"/>
  <c r="AC261" i="2"/>
  <c r="AD261" i="2"/>
  <c r="AE261" i="2"/>
  <c r="AF261" i="2"/>
  <c r="AG261" i="2"/>
  <c r="AH261" i="2"/>
  <c r="AI261" i="2"/>
  <c r="O262" i="2"/>
  <c r="O263" i="2"/>
  <c r="V263" i="2"/>
  <c r="W263" i="2"/>
  <c r="X263" i="2"/>
  <c r="Y263" i="2"/>
  <c r="Z263" i="2"/>
  <c r="AA263" i="2"/>
  <c r="AB263" i="2"/>
  <c r="AC263" i="2"/>
  <c r="AD263" i="2"/>
  <c r="AE263" i="2"/>
  <c r="AF263" i="2"/>
  <c r="AG263" i="2"/>
  <c r="AH263" i="2"/>
  <c r="AI263" i="2"/>
  <c r="O264" i="2"/>
  <c r="P271" i="2"/>
  <c r="Q271" i="2"/>
  <c r="R271" i="2"/>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S272" i="2"/>
  <c r="T272" i="2"/>
  <c r="U272" i="2"/>
  <c r="V272" i="2"/>
  <c r="W272" i="2"/>
  <c r="X272" i="2"/>
  <c r="Y272" i="2"/>
  <c r="Z272" i="2"/>
  <c r="AA272" i="2"/>
  <c r="AB272" i="2"/>
  <c r="AC272" i="2"/>
  <c r="AD272" i="2"/>
  <c r="AE272" i="2"/>
  <c r="AF272" i="2"/>
  <c r="AG272" i="2"/>
  <c r="AH272" i="2"/>
  <c r="AI272" i="2"/>
  <c r="J273" i="2"/>
  <c r="O274" i="2"/>
  <c r="S274" i="2"/>
  <c r="T274" i="2"/>
  <c r="U274" i="2"/>
  <c r="V274" i="2"/>
  <c r="W274" i="2"/>
  <c r="X274" i="2"/>
  <c r="Y274" i="2"/>
  <c r="Z274" i="2"/>
  <c r="AA274" i="2"/>
  <c r="AB274" i="2"/>
  <c r="AC274" i="2"/>
  <c r="AD274" i="2"/>
  <c r="AE274" i="2"/>
  <c r="AF274" i="2"/>
  <c r="AG274" i="2"/>
  <c r="AH274" i="2"/>
  <c r="AI274" i="2"/>
  <c r="O275" i="2"/>
  <c r="O276" i="2"/>
  <c r="S276" i="2"/>
  <c r="T276" i="2"/>
  <c r="U276" i="2"/>
  <c r="V276" i="2"/>
  <c r="W276" i="2"/>
  <c r="X276" i="2"/>
  <c r="Y276" i="2"/>
  <c r="Z276" i="2"/>
  <c r="AA276" i="2"/>
  <c r="AB276" i="2"/>
  <c r="AC276" i="2"/>
  <c r="AD276" i="2"/>
  <c r="AE276" i="2"/>
  <c r="AF276" i="2"/>
  <c r="AG276" i="2"/>
  <c r="AH276" i="2"/>
  <c r="AI276" i="2"/>
  <c r="O277" i="2"/>
  <c r="O278" i="2"/>
  <c r="S278" i="2"/>
  <c r="T278" i="2"/>
  <c r="U278" i="2"/>
  <c r="V278" i="2"/>
  <c r="W278" i="2"/>
  <c r="X278" i="2"/>
  <c r="Y278" i="2"/>
  <c r="Z278" i="2"/>
  <c r="AA278" i="2"/>
  <c r="AB278" i="2"/>
  <c r="AC278" i="2"/>
  <c r="AD278" i="2"/>
  <c r="AE278" i="2"/>
  <c r="AF278" i="2"/>
  <c r="AG278" i="2"/>
  <c r="AH278" i="2"/>
  <c r="AI278" i="2"/>
  <c r="O279" i="2"/>
  <c r="O280" i="2"/>
  <c r="S280" i="2"/>
  <c r="T280" i="2"/>
  <c r="U280" i="2"/>
  <c r="V280" i="2"/>
  <c r="W280" i="2"/>
  <c r="X280" i="2"/>
  <c r="Y280" i="2"/>
  <c r="Z280" i="2"/>
  <c r="AA280" i="2"/>
  <c r="AB280" i="2"/>
  <c r="AC280" i="2"/>
  <c r="AD280" i="2"/>
  <c r="AE280" i="2"/>
  <c r="AF280" i="2"/>
  <c r="AG280" i="2"/>
  <c r="AH280" i="2"/>
  <c r="AI280" i="2"/>
  <c r="O281" i="2"/>
  <c r="O282" i="2"/>
  <c r="S282" i="2"/>
  <c r="T282" i="2"/>
  <c r="U282" i="2"/>
  <c r="V282" i="2"/>
  <c r="W282" i="2"/>
  <c r="X282" i="2"/>
  <c r="Y282" i="2"/>
  <c r="Z282" i="2"/>
  <c r="AA282" i="2"/>
  <c r="AB282" i="2"/>
  <c r="AC282" i="2"/>
  <c r="AD282" i="2"/>
  <c r="AE282" i="2"/>
  <c r="AF282" i="2"/>
  <c r="AG282" i="2"/>
  <c r="AH282" i="2"/>
  <c r="AI282" i="2"/>
  <c r="O283" i="2"/>
  <c r="O284" i="2"/>
  <c r="S284" i="2"/>
  <c r="T284" i="2"/>
  <c r="U284" i="2"/>
  <c r="V284" i="2"/>
  <c r="W284" i="2"/>
  <c r="X284" i="2"/>
  <c r="Y284" i="2"/>
  <c r="Z284" i="2"/>
  <c r="AA284" i="2"/>
  <c r="AB284" i="2"/>
  <c r="AC284" i="2"/>
  <c r="AD284" i="2"/>
  <c r="AE284" i="2"/>
  <c r="AF284" i="2"/>
  <c r="AG284" i="2"/>
  <c r="AH284" i="2"/>
  <c r="AI284" i="2"/>
  <c r="O285" i="2"/>
  <c r="P292" i="2"/>
  <c r="Q292" i="2"/>
  <c r="R292" i="2"/>
  <c r="S292" i="2"/>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T293" i="2"/>
  <c r="U293" i="2"/>
  <c r="V293" i="2"/>
  <c r="W293" i="2"/>
  <c r="X293" i="2"/>
  <c r="Y293" i="2"/>
  <c r="Z293" i="2"/>
  <c r="AA293" i="2"/>
  <c r="AB293" i="2"/>
  <c r="AC293" i="2"/>
  <c r="AD293" i="2"/>
  <c r="AE293" i="2"/>
  <c r="AF293" i="2"/>
  <c r="AG293" i="2"/>
  <c r="AH293" i="2"/>
  <c r="AI293" i="2"/>
  <c r="J294" i="2"/>
  <c r="O295" i="2"/>
  <c r="T295" i="2"/>
  <c r="U295" i="2"/>
  <c r="V295" i="2"/>
  <c r="W295" i="2"/>
  <c r="X295" i="2"/>
  <c r="Y295" i="2"/>
  <c r="Z295" i="2"/>
  <c r="AA295" i="2"/>
  <c r="AB295" i="2"/>
  <c r="AC295" i="2"/>
  <c r="AD295" i="2"/>
  <c r="AE295" i="2"/>
  <c r="AF295" i="2"/>
  <c r="AG295" i="2"/>
  <c r="AH295" i="2"/>
  <c r="AI295" i="2"/>
  <c r="O296" i="2"/>
  <c r="O297" i="2"/>
  <c r="T297" i="2"/>
  <c r="U297" i="2"/>
  <c r="V297" i="2"/>
  <c r="W297" i="2"/>
  <c r="X297" i="2"/>
  <c r="Y297" i="2"/>
  <c r="Z297" i="2"/>
  <c r="AA297" i="2"/>
  <c r="AB297" i="2"/>
  <c r="AC297" i="2"/>
  <c r="AD297" i="2"/>
  <c r="AE297" i="2"/>
  <c r="AF297" i="2"/>
  <c r="AG297" i="2"/>
  <c r="AH297" i="2"/>
  <c r="AI297" i="2"/>
  <c r="O298" i="2"/>
  <c r="O299" i="2"/>
  <c r="T299" i="2"/>
  <c r="U299" i="2"/>
  <c r="V299" i="2"/>
  <c r="W299" i="2"/>
  <c r="X299" i="2"/>
  <c r="Y299" i="2"/>
  <c r="Z299" i="2"/>
  <c r="AA299" i="2"/>
  <c r="AB299" i="2"/>
  <c r="AC299" i="2"/>
  <c r="AD299" i="2"/>
  <c r="AE299" i="2"/>
  <c r="AF299" i="2"/>
  <c r="AG299" i="2"/>
  <c r="AH299" i="2"/>
  <c r="AI299" i="2"/>
  <c r="O300" i="2"/>
  <c r="O301" i="2"/>
  <c r="T301" i="2"/>
  <c r="U301" i="2"/>
  <c r="V301" i="2"/>
  <c r="W301" i="2"/>
  <c r="X301" i="2"/>
  <c r="Y301" i="2"/>
  <c r="Z301" i="2"/>
  <c r="AA301" i="2"/>
  <c r="AB301" i="2"/>
  <c r="AC301" i="2"/>
  <c r="AD301" i="2"/>
  <c r="AE301" i="2"/>
  <c r="AF301" i="2"/>
  <c r="AG301" i="2"/>
  <c r="AH301" i="2"/>
  <c r="AI301" i="2"/>
  <c r="O302" i="2"/>
  <c r="O303" i="2"/>
  <c r="T303" i="2"/>
  <c r="U303" i="2"/>
  <c r="V303" i="2"/>
  <c r="W303" i="2"/>
  <c r="X303" i="2"/>
  <c r="Y303" i="2"/>
  <c r="Z303" i="2"/>
  <c r="AA303" i="2"/>
  <c r="AB303" i="2"/>
  <c r="AC303" i="2"/>
  <c r="AD303" i="2"/>
  <c r="AE303" i="2"/>
  <c r="AF303" i="2"/>
  <c r="AG303" i="2"/>
  <c r="AH303" i="2"/>
  <c r="AI303" i="2"/>
  <c r="O304" i="2"/>
  <c r="O305" i="2"/>
  <c r="T305" i="2"/>
  <c r="U305" i="2"/>
  <c r="V305" i="2"/>
  <c r="W305" i="2"/>
  <c r="X305" i="2"/>
  <c r="Y305" i="2"/>
  <c r="Z305" i="2"/>
  <c r="AA305" i="2"/>
  <c r="AB305" i="2"/>
  <c r="AC305" i="2"/>
  <c r="AD305" i="2"/>
  <c r="AE305" i="2"/>
  <c r="AF305" i="2"/>
  <c r="AG305" i="2"/>
  <c r="AH305" i="2"/>
  <c r="AI305" i="2"/>
  <c r="O306" i="2"/>
  <c r="P313" i="2"/>
  <c r="Q313" i="2"/>
  <c r="R313" i="2"/>
  <c r="S313" i="2"/>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T314" i="2"/>
  <c r="U314" i="2"/>
  <c r="V314" i="2"/>
  <c r="W314" i="2"/>
  <c r="X314" i="2"/>
  <c r="Y314" i="2"/>
  <c r="Z314" i="2"/>
  <c r="AA314" i="2"/>
  <c r="AB314" i="2"/>
  <c r="AC314" i="2"/>
  <c r="AD314" i="2"/>
  <c r="AE314" i="2"/>
  <c r="AF314" i="2"/>
  <c r="AG314" i="2"/>
  <c r="AH314" i="2"/>
  <c r="AI314" i="2"/>
  <c r="J315" i="2"/>
  <c r="O316" i="2"/>
  <c r="T316" i="2"/>
  <c r="U316" i="2"/>
  <c r="V316" i="2"/>
  <c r="W316" i="2"/>
  <c r="X316" i="2"/>
  <c r="Y316" i="2"/>
  <c r="Z316" i="2"/>
  <c r="AA316" i="2"/>
  <c r="AB316" i="2"/>
  <c r="AC316" i="2"/>
  <c r="AD316" i="2"/>
  <c r="AE316" i="2"/>
  <c r="AF316" i="2"/>
  <c r="AG316" i="2"/>
  <c r="AH316" i="2"/>
  <c r="AI316" i="2"/>
  <c r="O317" i="2"/>
  <c r="O318" i="2"/>
  <c r="T318" i="2"/>
  <c r="U318" i="2"/>
  <c r="V318" i="2"/>
  <c r="W318" i="2"/>
  <c r="X318" i="2"/>
  <c r="Y318" i="2"/>
  <c r="Z318" i="2"/>
  <c r="AA318" i="2"/>
  <c r="AB318" i="2"/>
  <c r="AC318" i="2"/>
  <c r="AD318" i="2"/>
  <c r="AE318" i="2"/>
  <c r="AF318" i="2"/>
  <c r="AG318" i="2"/>
  <c r="AH318" i="2"/>
  <c r="AI318" i="2"/>
  <c r="O319" i="2"/>
  <c r="O320" i="2"/>
  <c r="T320" i="2"/>
  <c r="U320" i="2"/>
  <c r="V320" i="2"/>
  <c r="W320" i="2"/>
  <c r="X320" i="2"/>
  <c r="Y320" i="2"/>
  <c r="Z320" i="2"/>
  <c r="AA320" i="2"/>
  <c r="AB320" i="2"/>
  <c r="AC320" i="2"/>
  <c r="AD320" i="2"/>
  <c r="AE320" i="2"/>
  <c r="AF320" i="2"/>
  <c r="AG320" i="2"/>
  <c r="AH320" i="2"/>
  <c r="AI320" i="2"/>
  <c r="O321" i="2"/>
  <c r="O322" i="2"/>
  <c r="T322" i="2"/>
  <c r="U322" i="2"/>
  <c r="V322" i="2"/>
  <c r="W322" i="2"/>
  <c r="X322" i="2"/>
  <c r="Y322" i="2"/>
  <c r="Z322" i="2"/>
  <c r="AA322" i="2"/>
  <c r="AB322" i="2"/>
  <c r="AC322" i="2"/>
  <c r="AD322" i="2"/>
  <c r="AE322" i="2"/>
  <c r="AF322" i="2"/>
  <c r="AG322" i="2"/>
  <c r="AH322" i="2"/>
  <c r="AI322" i="2"/>
  <c r="O323" i="2"/>
  <c r="O324" i="2"/>
  <c r="T324" i="2"/>
  <c r="U324" i="2"/>
  <c r="V324" i="2"/>
  <c r="W324" i="2"/>
  <c r="X324" i="2"/>
  <c r="Y324" i="2"/>
  <c r="Z324" i="2"/>
  <c r="AA324" i="2"/>
  <c r="AB324" i="2"/>
  <c r="AC324" i="2"/>
  <c r="AD324" i="2"/>
  <c r="AE324" i="2"/>
  <c r="AF324" i="2"/>
  <c r="AG324" i="2"/>
  <c r="AH324" i="2"/>
  <c r="AI324" i="2"/>
  <c r="O325" i="2"/>
  <c r="O326" i="2"/>
  <c r="T326" i="2"/>
  <c r="U326" i="2"/>
  <c r="V326" i="2"/>
  <c r="W326" i="2"/>
  <c r="X326" i="2"/>
  <c r="Y326" i="2"/>
  <c r="Z326" i="2"/>
  <c r="AA326" i="2"/>
  <c r="AB326" i="2"/>
  <c r="AC326" i="2"/>
  <c r="AD326" i="2"/>
  <c r="AE326" i="2"/>
  <c r="AF326" i="2"/>
  <c r="AG326" i="2"/>
  <c r="AH326" i="2"/>
  <c r="AI326" i="2"/>
  <c r="O327" i="2"/>
  <c r="P334" i="2"/>
  <c r="Q334" i="2"/>
  <c r="R334" i="2"/>
  <c r="S334" i="2"/>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T335" i="2"/>
  <c r="U335" i="2"/>
  <c r="V335" i="2"/>
  <c r="W335" i="2"/>
  <c r="X335" i="2"/>
  <c r="Y335" i="2"/>
  <c r="Z335" i="2"/>
  <c r="AA335" i="2"/>
  <c r="AB335" i="2"/>
  <c r="AC335" i="2"/>
  <c r="AD335" i="2"/>
  <c r="AE335" i="2"/>
  <c r="AF335" i="2"/>
  <c r="AG335" i="2"/>
  <c r="AH335" i="2"/>
  <c r="AI335" i="2"/>
  <c r="J336" i="2"/>
  <c r="O337" i="2"/>
  <c r="T337" i="2"/>
  <c r="U337" i="2"/>
  <c r="V337" i="2"/>
  <c r="W337" i="2"/>
  <c r="X337" i="2"/>
  <c r="Y337" i="2"/>
  <c r="Z337" i="2"/>
  <c r="AA337" i="2"/>
  <c r="AB337" i="2"/>
  <c r="AC337" i="2"/>
  <c r="AD337" i="2"/>
  <c r="AE337" i="2"/>
  <c r="AF337" i="2"/>
  <c r="AG337" i="2"/>
  <c r="AH337" i="2"/>
  <c r="AI337" i="2"/>
  <c r="O338" i="2"/>
  <c r="O339" i="2"/>
  <c r="T339" i="2"/>
  <c r="U339" i="2"/>
  <c r="V339" i="2"/>
  <c r="W339" i="2"/>
  <c r="X339" i="2"/>
  <c r="Y339" i="2"/>
  <c r="Z339" i="2"/>
  <c r="AA339" i="2"/>
  <c r="AB339" i="2"/>
  <c r="AC339" i="2"/>
  <c r="AD339" i="2"/>
  <c r="AE339" i="2"/>
  <c r="AF339" i="2"/>
  <c r="AG339" i="2"/>
  <c r="AH339" i="2"/>
  <c r="AI339" i="2"/>
  <c r="O340" i="2"/>
  <c r="O341" i="2"/>
  <c r="T341" i="2"/>
  <c r="U341" i="2"/>
  <c r="V341" i="2"/>
  <c r="W341" i="2"/>
  <c r="X341" i="2"/>
  <c r="Y341" i="2"/>
  <c r="Z341" i="2"/>
  <c r="AA341" i="2"/>
  <c r="AB341" i="2"/>
  <c r="AC341" i="2"/>
  <c r="AD341" i="2"/>
  <c r="AE341" i="2"/>
  <c r="AF341" i="2"/>
  <c r="AG341" i="2"/>
  <c r="AH341" i="2"/>
  <c r="AI341" i="2"/>
  <c r="O342" i="2"/>
  <c r="O343" i="2"/>
  <c r="T343" i="2"/>
  <c r="U343" i="2"/>
  <c r="V343" i="2"/>
  <c r="W343" i="2"/>
  <c r="X343" i="2"/>
  <c r="Y343" i="2"/>
  <c r="Z343" i="2"/>
  <c r="AA343" i="2"/>
  <c r="AB343" i="2"/>
  <c r="AC343" i="2"/>
  <c r="AD343" i="2"/>
  <c r="AE343" i="2"/>
  <c r="AF343" i="2"/>
  <c r="AG343" i="2"/>
  <c r="AH343" i="2"/>
  <c r="AI343" i="2"/>
  <c r="O344" i="2"/>
  <c r="O345" i="2"/>
  <c r="T345" i="2"/>
  <c r="U345" i="2"/>
  <c r="V345" i="2"/>
  <c r="W345" i="2"/>
  <c r="X345" i="2"/>
  <c r="Y345" i="2"/>
  <c r="Z345" i="2"/>
  <c r="AA345" i="2"/>
  <c r="AB345" i="2"/>
  <c r="AC345" i="2"/>
  <c r="AD345" i="2"/>
  <c r="AE345" i="2"/>
  <c r="AF345" i="2"/>
  <c r="AG345" i="2"/>
  <c r="AH345" i="2"/>
  <c r="AI345" i="2"/>
  <c r="O346" i="2"/>
  <c r="O347" i="2"/>
  <c r="T347" i="2"/>
  <c r="U347" i="2"/>
  <c r="V347" i="2"/>
  <c r="W347" i="2"/>
  <c r="X347" i="2"/>
  <c r="Y347" i="2"/>
  <c r="Z347" i="2"/>
  <c r="AA347" i="2"/>
  <c r="AB347" i="2"/>
  <c r="AC347" i="2"/>
  <c r="AD347" i="2"/>
  <c r="AE347" i="2"/>
  <c r="AF347" i="2"/>
  <c r="AG347" i="2"/>
  <c r="AH347" i="2"/>
  <c r="AI347" i="2"/>
  <c r="O348" i="2"/>
  <c r="P355" i="2"/>
  <c r="Q355" i="2"/>
  <c r="R355" i="2"/>
  <c r="S355" i="2"/>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T356" i="2"/>
  <c r="U356" i="2"/>
  <c r="V356" i="2"/>
  <c r="W356" i="2"/>
  <c r="X356" i="2"/>
  <c r="Y356" i="2"/>
  <c r="Z356" i="2"/>
  <c r="AA356" i="2"/>
  <c r="AB356" i="2"/>
  <c r="AC356" i="2"/>
  <c r="AD356" i="2"/>
  <c r="AE356" i="2"/>
  <c r="AF356" i="2"/>
  <c r="AG356" i="2"/>
  <c r="AH356" i="2"/>
  <c r="AI356" i="2"/>
  <c r="J357" i="2"/>
  <c r="O358" i="2"/>
  <c r="T358" i="2"/>
  <c r="U358" i="2"/>
  <c r="V358" i="2"/>
  <c r="W358" i="2"/>
  <c r="X358" i="2"/>
  <c r="Y358" i="2"/>
  <c r="Z358" i="2"/>
  <c r="AA358" i="2"/>
  <c r="AB358" i="2"/>
  <c r="AC358" i="2"/>
  <c r="AD358" i="2"/>
  <c r="AE358" i="2"/>
  <c r="AF358" i="2"/>
  <c r="AG358" i="2"/>
  <c r="AH358" i="2"/>
  <c r="AI358" i="2"/>
  <c r="O359" i="2"/>
  <c r="O360" i="2"/>
  <c r="T360" i="2"/>
  <c r="U360" i="2"/>
  <c r="V360" i="2"/>
  <c r="W360" i="2"/>
  <c r="X360" i="2"/>
  <c r="Y360" i="2"/>
  <c r="Z360" i="2"/>
  <c r="AA360" i="2"/>
  <c r="AB360" i="2"/>
  <c r="AC360" i="2"/>
  <c r="AD360" i="2"/>
  <c r="AE360" i="2"/>
  <c r="AF360" i="2"/>
  <c r="AG360" i="2"/>
  <c r="AH360" i="2"/>
  <c r="AI360" i="2"/>
  <c r="O361" i="2"/>
  <c r="O362" i="2"/>
  <c r="T362" i="2"/>
  <c r="U362" i="2"/>
  <c r="V362" i="2"/>
  <c r="W362" i="2"/>
  <c r="X362" i="2"/>
  <c r="Y362" i="2"/>
  <c r="Z362" i="2"/>
  <c r="AA362" i="2"/>
  <c r="AB362" i="2"/>
  <c r="AC362" i="2"/>
  <c r="AD362" i="2"/>
  <c r="AE362" i="2"/>
  <c r="AF362" i="2"/>
  <c r="AG362" i="2"/>
  <c r="AH362" i="2"/>
  <c r="AI362" i="2"/>
  <c r="O363" i="2"/>
  <c r="O364" i="2"/>
  <c r="T364" i="2"/>
  <c r="U364" i="2"/>
  <c r="V364" i="2"/>
  <c r="W364" i="2"/>
  <c r="X364" i="2"/>
  <c r="Y364" i="2"/>
  <c r="Z364" i="2"/>
  <c r="AA364" i="2"/>
  <c r="AB364" i="2"/>
  <c r="AC364" i="2"/>
  <c r="AD364" i="2"/>
  <c r="AE364" i="2"/>
  <c r="AF364" i="2"/>
  <c r="AG364" i="2"/>
  <c r="AH364" i="2"/>
  <c r="AI364" i="2"/>
  <c r="O365" i="2"/>
  <c r="O366" i="2"/>
  <c r="T366" i="2"/>
  <c r="U366" i="2"/>
  <c r="V366" i="2"/>
  <c r="W366" i="2"/>
  <c r="X366" i="2"/>
  <c r="Y366" i="2"/>
  <c r="Z366" i="2"/>
  <c r="AA366" i="2"/>
  <c r="AB366" i="2"/>
  <c r="AC366" i="2"/>
  <c r="AD366" i="2"/>
  <c r="AE366" i="2"/>
  <c r="AF366" i="2"/>
  <c r="AG366" i="2"/>
  <c r="AH366" i="2"/>
  <c r="AI366" i="2"/>
  <c r="O367" i="2"/>
  <c r="O368" i="2"/>
  <c r="T368" i="2"/>
  <c r="U368" i="2"/>
  <c r="V368" i="2"/>
  <c r="W368" i="2"/>
  <c r="X368" i="2"/>
  <c r="Y368" i="2"/>
  <c r="Z368" i="2"/>
  <c r="AA368" i="2"/>
  <c r="AB368" i="2"/>
  <c r="AC368" i="2"/>
  <c r="AD368" i="2"/>
  <c r="AE368" i="2"/>
  <c r="AF368" i="2"/>
  <c r="AG368" i="2"/>
  <c r="AH368" i="2"/>
  <c r="AI368" i="2"/>
  <c r="O369" i="2"/>
  <c r="P376" i="2"/>
  <c r="Q376" i="2"/>
  <c r="R376" i="2"/>
  <c r="S376" i="2"/>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T377" i="2"/>
  <c r="U377" i="2"/>
  <c r="V377" i="2"/>
  <c r="W377" i="2"/>
  <c r="X377" i="2"/>
  <c r="Y377" i="2"/>
  <c r="Z377" i="2"/>
  <c r="AA377" i="2"/>
  <c r="AB377" i="2"/>
  <c r="AC377" i="2"/>
  <c r="AD377" i="2"/>
  <c r="AE377" i="2"/>
  <c r="AF377" i="2"/>
  <c r="AG377" i="2"/>
  <c r="AH377" i="2"/>
  <c r="AI377" i="2"/>
  <c r="J378" i="2"/>
  <c r="O379" i="2"/>
  <c r="T379" i="2"/>
  <c r="U379" i="2"/>
  <c r="V379" i="2"/>
  <c r="W379" i="2"/>
  <c r="X379" i="2"/>
  <c r="Y379" i="2"/>
  <c r="Z379" i="2"/>
  <c r="AA379" i="2"/>
  <c r="AB379" i="2"/>
  <c r="AC379" i="2"/>
  <c r="AD379" i="2"/>
  <c r="AE379" i="2"/>
  <c r="AF379" i="2"/>
  <c r="AG379" i="2"/>
  <c r="AH379" i="2"/>
  <c r="AI379" i="2"/>
  <c r="O380" i="2"/>
  <c r="O381" i="2"/>
  <c r="T381" i="2"/>
  <c r="U381" i="2"/>
  <c r="V381" i="2"/>
  <c r="W381" i="2"/>
  <c r="X381" i="2"/>
  <c r="Y381" i="2"/>
  <c r="Z381" i="2"/>
  <c r="AA381" i="2"/>
  <c r="AB381" i="2"/>
  <c r="AC381" i="2"/>
  <c r="AD381" i="2"/>
  <c r="AE381" i="2"/>
  <c r="AF381" i="2"/>
  <c r="AG381" i="2"/>
  <c r="AH381" i="2"/>
  <c r="AI381" i="2"/>
  <c r="O382" i="2"/>
  <c r="O383" i="2"/>
  <c r="T383" i="2"/>
  <c r="U383" i="2"/>
  <c r="V383" i="2"/>
  <c r="W383" i="2"/>
  <c r="X383" i="2"/>
  <c r="Y383" i="2"/>
  <c r="Z383" i="2"/>
  <c r="AA383" i="2"/>
  <c r="AB383" i="2"/>
  <c r="AC383" i="2"/>
  <c r="AD383" i="2"/>
  <c r="AE383" i="2"/>
  <c r="AF383" i="2"/>
  <c r="AG383" i="2"/>
  <c r="AH383" i="2"/>
  <c r="AI383" i="2"/>
  <c r="O384" i="2"/>
  <c r="O385" i="2"/>
  <c r="T385" i="2"/>
  <c r="U385" i="2"/>
  <c r="V385" i="2"/>
  <c r="W385" i="2"/>
  <c r="X385" i="2"/>
  <c r="Y385" i="2"/>
  <c r="Z385" i="2"/>
  <c r="AA385" i="2"/>
  <c r="AB385" i="2"/>
  <c r="AC385" i="2"/>
  <c r="AD385" i="2"/>
  <c r="AE385" i="2"/>
  <c r="AF385" i="2"/>
  <c r="AG385" i="2"/>
  <c r="AH385" i="2"/>
  <c r="AI385" i="2"/>
  <c r="O386" i="2"/>
  <c r="O387" i="2"/>
  <c r="T387" i="2"/>
  <c r="U387" i="2"/>
  <c r="V387" i="2"/>
  <c r="W387" i="2"/>
  <c r="X387" i="2"/>
  <c r="Y387" i="2"/>
  <c r="Z387" i="2"/>
  <c r="AA387" i="2"/>
  <c r="AB387" i="2"/>
  <c r="AC387" i="2"/>
  <c r="AD387" i="2"/>
  <c r="AE387" i="2"/>
  <c r="AF387" i="2"/>
  <c r="AG387" i="2"/>
  <c r="AH387" i="2"/>
  <c r="AI387" i="2"/>
  <c r="O388" i="2"/>
  <c r="O389" i="2"/>
  <c r="T389" i="2"/>
  <c r="U389" i="2"/>
  <c r="V389" i="2"/>
  <c r="W389" i="2"/>
  <c r="X389" i="2"/>
  <c r="Y389" i="2"/>
  <c r="Z389" i="2"/>
  <c r="AA389" i="2"/>
  <c r="AB389" i="2"/>
  <c r="AC389" i="2"/>
  <c r="AD389" i="2"/>
  <c r="AE389" i="2"/>
  <c r="AF389" i="2"/>
  <c r="AG389" i="2"/>
  <c r="AH389" i="2"/>
  <c r="AI389" i="2"/>
  <c r="O390" i="2"/>
  <c r="P397" i="2"/>
  <c r="Q397" i="2"/>
  <c r="R397" i="2"/>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S398" i="2"/>
  <c r="T398" i="2"/>
  <c r="U398" i="2"/>
  <c r="V398" i="2"/>
  <c r="W398" i="2"/>
  <c r="X398" i="2"/>
  <c r="Y398" i="2"/>
  <c r="Z398" i="2"/>
  <c r="AA398" i="2"/>
  <c r="AB398" i="2"/>
  <c r="AC398" i="2"/>
  <c r="AD398" i="2"/>
  <c r="AE398" i="2"/>
  <c r="AF398" i="2"/>
  <c r="AG398" i="2"/>
  <c r="AH398" i="2"/>
  <c r="AI398" i="2"/>
  <c r="J399" i="2"/>
  <c r="O400" i="2"/>
  <c r="S400" i="2"/>
  <c r="T400" i="2"/>
  <c r="U400" i="2"/>
  <c r="V400" i="2"/>
  <c r="W400" i="2"/>
  <c r="X400" i="2"/>
  <c r="Y400" i="2"/>
  <c r="Z400" i="2"/>
  <c r="AA400" i="2"/>
  <c r="AB400" i="2"/>
  <c r="AC400" i="2"/>
  <c r="AD400" i="2"/>
  <c r="AE400" i="2"/>
  <c r="AF400" i="2"/>
  <c r="AG400" i="2"/>
  <c r="AH400" i="2"/>
  <c r="AI400" i="2"/>
  <c r="O401" i="2"/>
  <c r="O402" i="2"/>
  <c r="S402" i="2"/>
  <c r="T402" i="2"/>
  <c r="U402" i="2"/>
  <c r="V402" i="2"/>
  <c r="W402" i="2"/>
  <c r="X402" i="2"/>
  <c r="Y402" i="2"/>
  <c r="Z402" i="2"/>
  <c r="AA402" i="2"/>
  <c r="AB402" i="2"/>
  <c r="AC402" i="2"/>
  <c r="AD402" i="2"/>
  <c r="AE402" i="2"/>
  <c r="AF402" i="2"/>
  <c r="AG402" i="2"/>
  <c r="AH402" i="2"/>
  <c r="AI402" i="2"/>
  <c r="O403" i="2"/>
  <c r="O404" i="2"/>
  <c r="S404" i="2"/>
  <c r="T404" i="2"/>
  <c r="U404" i="2"/>
  <c r="V404" i="2"/>
  <c r="W404" i="2"/>
  <c r="X404" i="2"/>
  <c r="Y404" i="2"/>
  <c r="Z404" i="2"/>
  <c r="AA404" i="2"/>
  <c r="AB404" i="2"/>
  <c r="AC404" i="2"/>
  <c r="AD404" i="2"/>
  <c r="AE404" i="2"/>
  <c r="AF404" i="2"/>
  <c r="AG404" i="2"/>
  <c r="AH404" i="2"/>
  <c r="AI404" i="2"/>
  <c r="O405" i="2"/>
  <c r="O406" i="2"/>
  <c r="S406" i="2"/>
  <c r="T406" i="2"/>
  <c r="U406" i="2"/>
  <c r="V406" i="2"/>
  <c r="W406" i="2"/>
  <c r="X406" i="2"/>
  <c r="Y406" i="2"/>
  <c r="Z406" i="2"/>
  <c r="AA406" i="2"/>
  <c r="AB406" i="2"/>
  <c r="AC406" i="2"/>
  <c r="AD406" i="2"/>
  <c r="AE406" i="2"/>
  <c r="AF406" i="2"/>
  <c r="AG406" i="2"/>
  <c r="AH406" i="2"/>
  <c r="AI406" i="2"/>
  <c r="O407" i="2"/>
  <c r="O408" i="2"/>
  <c r="S408" i="2"/>
  <c r="T408" i="2"/>
  <c r="U408" i="2"/>
  <c r="V408" i="2"/>
  <c r="W408" i="2"/>
  <c r="X408" i="2"/>
  <c r="Y408" i="2"/>
  <c r="Z408" i="2"/>
  <c r="AA408" i="2"/>
  <c r="AB408" i="2"/>
  <c r="AC408" i="2"/>
  <c r="AD408" i="2"/>
  <c r="AE408" i="2"/>
  <c r="AF408" i="2"/>
  <c r="AG408" i="2"/>
  <c r="AH408" i="2"/>
  <c r="AI408" i="2"/>
  <c r="O409" i="2"/>
  <c r="O410" i="2"/>
  <c r="S410" i="2"/>
  <c r="T410" i="2"/>
  <c r="U410" i="2"/>
  <c r="V410" i="2"/>
  <c r="W410" i="2"/>
  <c r="X410" i="2"/>
  <c r="Y410" i="2"/>
  <c r="Z410" i="2"/>
  <c r="AA410" i="2"/>
  <c r="AB410" i="2"/>
  <c r="AC410" i="2"/>
  <c r="AD410" i="2"/>
  <c r="AE410" i="2"/>
  <c r="AF410" i="2"/>
  <c r="AG410" i="2"/>
  <c r="AH410" i="2"/>
  <c r="AI410" i="2"/>
  <c r="O411" i="2"/>
  <c r="P418" i="2"/>
  <c r="Q418" i="2"/>
  <c r="R418" i="2"/>
  <c r="S418" i="2"/>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T419" i="2"/>
  <c r="U419" i="2"/>
  <c r="V419" i="2"/>
  <c r="W419" i="2"/>
  <c r="X419" i="2"/>
  <c r="Y419" i="2"/>
  <c r="Z419" i="2"/>
  <c r="AA419" i="2"/>
  <c r="AB419" i="2"/>
  <c r="AC419" i="2"/>
  <c r="AD419" i="2"/>
  <c r="AE419" i="2"/>
  <c r="AF419" i="2"/>
  <c r="AG419" i="2"/>
  <c r="AH419" i="2"/>
  <c r="AI419" i="2"/>
  <c r="J420" i="2"/>
  <c r="O421" i="2"/>
  <c r="T421" i="2"/>
  <c r="U421" i="2"/>
  <c r="V421" i="2"/>
  <c r="W421" i="2"/>
  <c r="X421" i="2"/>
  <c r="Y421" i="2"/>
  <c r="Z421" i="2"/>
  <c r="AA421" i="2"/>
  <c r="AB421" i="2"/>
  <c r="AC421" i="2"/>
  <c r="AD421" i="2"/>
  <c r="AE421" i="2"/>
  <c r="AF421" i="2"/>
  <c r="AG421" i="2"/>
  <c r="AH421" i="2"/>
  <c r="AI421" i="2"/>
  <c r="O422" i="2"/>
  <c r="O423" i="2"/>
  <c r="T423" i="2"/>
  <c r="U423" i="2"/>
  <c r="V423" i="2"/>
  <c r="W423" i="2"/>
  <c r="X423" i="2"/>
  <c r="Y423" i="2"/>
  <c r="Z423" i="2"/>
  <c r="AA423" i="2"/>
  <c r="AB423" i="2"/>
  <c r="AC423" i="2"/>
  <c r="AD423" i="2"/>
  <c r="AE423" i="2"/>
  <c r="AF423" i="2"/>
  <c r="AG423" i="2"/>
  <c r="AH423" i="2"/>
  <c r="AI423" i="2"/>
  <c r="O424" i="2"/>
  <c r="O425" i="2"/>
  <c r="T425" i="2"/>
  <c r="U425" i="2"/>
  <c r="V425" i="2"/>
  <c r="W425" i="2"/>
  <c r="X425" i="2"/>
  <c r="Y425" i="2"/>
  <c r="Z425" i="2"/>
  <c r="AA425" i="2"/>
  <c r="AB425" i="2"/>
  <c r="AC425" i="2"/>
  <c r="AD425" i="2"/>
  <c r="AE425" i="2"/>
  <c r="AF425" i="2"/>
  <c r="AG425" i="2"/>
  <c r="AH425" i="2"/>
  <c r="AI425" i="2"/>
  <c r="O426" i="2"/>
  <c r="O427" i="2"/>
  <c r="T427" i="2"/>
  <c r="U427" i="2"/>
  <c r="V427" i="2"/>
  <c r="W427" i="2"/>
  <c r="X427" i="2"/>
  <c r="Y427" i="2"/>
  <c r="Z427" i="2"/>
  <c r="AA427" i="2"/>
  <c r="AB427" i="2"/>
  <c r="AC427" i="2"/>
  <c r="AD427" i="2"/>
  <c r="AE427" i="2"/>
  <c r="AF427" i="2"/>
  <c r="AG427" i="2"/>
  <c r="AH427" i="2"/>
  <c r="AI427" i="2"/>
  <c r="O428" i="2"/>
  <c r="O429" i="2"/>
  <c r="T429" i="2"/>
  <c r="U429" i="2"/>
  <c r="V429" i="2"/>
  <c r="W429" i="2"/>
  <c r="X429" i="2"/>
  <c r="Y429" i="2"/>
  <c r="Z429" i="2"/>
  <c r="AA429" i="2"/>
  <c r="AB429" i="2"/>
  <c r="AC429" i="2"/>
  <c r="AD429" i="2"/>
  <c r="AE429" i="2"/>
  <c r="AF429" i="2"/>
  <c r="AG429" i="2"/>
  <c r="AH429" i="2"/>
  <c r="AI429" i="2"/>
  <c r="O430" i="2"/>
  <c r="O431" i="2"/>
  <c r="T431" i="2"/>
  <c r="U431" i="2"/>
  <c r="V431" i="2"/>
  <c r="W431" i="2"/>
  <c r="X431" i="2"/>
  <c r="Y431" i="2"/>
  <c r="Z431" i="2"/>
  <c r="AA431" i="2"/>
  <c r="AB431" i="2"/>
  <c r="AC431" i="2"/>
  <c r="AD431" i="2"/>
  <c r="AE431" i="2"/>
  <c r="AF431" i="2"/>
  <c r="AG431" i="2"/>
  <c r="AH431" i="2"/>
  <c r="AI431" i="2"/>
  <c r="O432" i="2"/>
  <c r="P439" i="2"/>
  <c r="Q439" i="2"/>
  <c r="R439" i="2"/>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Q440" i="2"/>
  <c r="S440" i="2"/>
  <c r="T440" i="2"/>
  <c r="U440" i="2"/>
  <c r="V440" i="2"/>
  <c r="W440" i="2"/>
  <c r="X440" i="2"/>
  <c r="Y440" i="2"/>
  <c r="Z440" i="2"/>
  <c r="AA440" i="2"/>
  <c r="AB440" i="2"/>
  <c r="AC440" i="2"/>
  <c r="AD440" i="2"/>
  <c r="AE440" i="2"/>
  <c r="AF440" i="2"/>
  <c r="AG440" i="2"/>
  <c r="AH440" i="2"/>
  <c r="AI440" i="2"/>
  <c r="J441" i="2"/>
  <c r="O442" i="2"/>
  <c r="Q442" i="2"/>
  <c r="S442" i="2"/>
  <c r="T442" i="2"/>
  <c r="U442" i="2"/>
  <c r="V442" i="2"/>
  <c r="W442" i="2"/>
  <c r="X442" i="2"/>
  <c r="Y442" i="2"/>
  <c r="Z442" i="2"/>
  <c r="AA442" i="2"/>
  <c r="AB442" i="2"/>
  <c r="AC442" i="2"/>
  <c r="AD442" i="2"/>
  <c r="AE442" i="2"/>
  <c r="AF442" i="2"/>
  <c r="AG442" i="2"/>
  <c r="AH442" i="2"/>
  <c r="AI442" i="2"/>
  <c r="O443" i="2"/>
  <c r="O444" i="2"/>
  <c r="Q444" i="2"/>
  <c r="S444" i="2"/>
  <c r="T444" i="2"/>
  <c r="U444" i="2"/>
  <c r="V444" i="2"/>
  <c r="W444" i="2"/>
  <c r="X444" i="2"/>
  <c r="Y444" i="2"/>
  <c r="Z444" i="2"/>
  <c r="AA444" i="2"/>
  <c r="AB444" i="2"/>
  <c r="AC444" i="2"/>
  <c r="AD444" i="2"/>
  <c r="AE444" i="2"/>
  <c r="AF444" i="2"/>
  <c r="AG444" i="2"/>
  <c r="AH444" i="2"/>
  <c r="AI444" i="2"/>
  <c r="O445" i="2"/>
  <c r="O446" i="2"/>
  <c r="Q446" i="2"/>
  <c r="S446" i="2"/>
  <c r="T446" i="2"/>
  <c r="U446" i="2"/>
  <c r="V446" i="2"/>
  <c r="W446" i="2"/>
  <c r="X446" i="2"/>
  <c r="Y446" i="2"/>
  <c r="Z446" i="2"/>
  <c r="AA446" i="2"/>
  <c r="AB446" i="2"/>
  <c r="AC446" i="2"/>
  <c r="AD446" i="2"/>
  <c r="AE446" i="2"/>
  <c r="AF446" i="2"/>
  <c r="AG446" i="2"/>
  <c r="AH446" i="2"/>
  <c r="AI446" i="2"/>
  <c r="O447" i="2"/>
  <c r="O448" i="2"/>
  <c r="Q448" i="2"/>
  <c r="S448" i="2"/>
  <c r="T448" i="2"/>
  <c r="U448" i="2"/>
  <c r="V448" i="2"/>
  <c r="W448" i="2"/>
  <c r="X448" i="2"/>
  <c r="Y448" i="2"/>
  <c r="Z448" i="2"/>
  <c r="AA448" i="2"/>
  <c r="AB448" i="2"/>
  <c r="AC448" i="2"/>
  <c r="AD448" i="2"/>
  <c r="AE448" i="2"/>
  <c r="AF448" i="2"/>
  <c r="AG448" i="2"/>
  <c r="AH448" i="2"/>
  <c r="AI448" i="2"/>
  <c r="O449" i="2"/>
  <c r="O450" i="2"/>
  <c r="Q450" i="2"/>
  <c r="S450" i="2"/>
  <c r="T450" i="2"/>
  <c r="U450" i="2"/>
  <c r="V450" i="2"/>
  <c r="W450" i="2"/>
  <c r="X450" i="2"/>
  <c r="Y450" i="2"/>
  <c r="Z450" i="2"/>
  <c r="AA450" i="2"/>
  <c r="AB450" i="2"/>
  <c r="AC450" i="2"/>
  <c r="AD450" i="2"/>
  <c r="AE450" i="2"/>
  <c r="AF450" i="2"/>
  <c r="AG450" i="2"/>
  <c r="AH450" i="2"/>
  <c r="AI450" i="2"/>
  <c r="O451" i="2"/>
  <c r="O452" i="2"/>
  <c r="Q452" i="2"/>
  <c r="S452" i="2"/>
  <c r="T452" i="2"/>
  <c r="U452" i="2"/>
  <c r="V452" i="2"/>
  <c r="W452" i="2"/>
  <c r="X452" i="2"/>
  <c r="Y452" i="2"/>
  <c r="Z452" i="2"/>
  <c r="AA452" i="2"/>
  <c r="AB452" i="2"/>
  <c r="AC452" i="2"/>
  <c r="AD452" i="2"/>
  <c r="AE452" i="2"/>
  <c r="AF452" i="2"/>
  <c r="AG452" i="2"/>
  <c r="AH452" i="2"/>
  <c r="AI452" i="2"/>
  <c r="O453" i="2"/>
  <c r="P460" i="2"/>
  <c r="Q460" i="2"/>
  <c r="R460" i="2"/>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S461" i="2"/>
  <c r="T461" i="2"/>
  <c r="U461" i="2"/>
  <c r="V461" i="2"/>
  <c r="W461" i="2"/>
  <c r="X461" i="2"/>
  <c r="Y461" i="2"/>
  <c r="Z461" i="2"/>
  <c r="AA461" i="2"/>
  <c r="AB461" i="2"/>
  <c r="AC461" i="2"/>
  <c r="AD461" i="2"/>
  <c r="AE461" i="2"/>
  <c r="AF461" i="2"/>
  <c r="AG461" i="2"/>
  <c r="AH461" i="2"/>
  <c r="AI461" i="2"/>
  <c r="J462" i="2"/>
  <c r="O463" i="2"/>
  <c r="S463" i="2"/>
  <c r="T463" i="2"/>
  <c r="U463" i="2"/>
  <c r="V463" i="2"/>
  <c r="W463" i="2"/>
  <c r="X463" i="2"/>
  <c r="Y463" i="2"/>
  <c r="Z463" i="2"/>
  <c r="AA463" i="2"/>
  <c r="AB463" i="2"/>
  <c r="AC463" i="2"/>
  <c r="AD463" i="2"/>
  <c r="AE463" i="2"/>
  <c r="AF463" i="2"/>
  <c r="AG463" i="2"/>
  <c r="AH463" i="2"/>
  <c r="AI463" i="2"/>
  <c r="O464" i="2"/>
  <c r="O465" i="2"/>
  <c r="S465" i="2"/>
  <c r="T465" i="2"/>
  <c r="U465" i="2"/>
  <c r="V465" i="2"/>
  <c r="W465" i="2"/>
  <c r="X465" i="2"/>
  <c r="Y465" i="2"/>
  <c r="Z465" i="2"/>
  <c r="AA465" i="2"/>
  <c r="AB465" i="2"/>
  <c r="AC465" i="2"/>
  <c r="AD465" i="2"/>
  <c r="AE465" i="2"/>
  <c r="AF465" i="2"/>
  <c r="AG465" i="2"/>
  <c r="AH465" i="2"/>
  <c r="AI465" i="2"/>
  <c r="O466" i="2"/>
  <c r="O467" i="2"/>
  <c r="S467" i="2"/>
  <c r="T467" i="2"/>
  <c r="U467" i="2"/>
  <c r="V467" i="2"/>
  <c r="W467" i="2"/>
  <c r="X467" i="2"/>
  <c r="Y467" i="2"/>
  <c r="Z467" i="2"/>
  <c r="AA467" i="2"/>
  <c r="AB467" i="2"/>
  <c r="AC467" i="2"/>
  <c r="AD467" i="2"/>
  <c r="AE467" i="2"/>
  <c r="AF467" i="2"/>
  <c r="AG467" i="2"/>
  <c r="AH467" i="2"/>
  <c r="AI467" i="2"/>
  <c r="O468" i="2"/>
  <c r="O469" i="2"/>
  <c r="S469" i="2"/>
  <c r="T469" i="2"/>
  <c r="U469" i="2"/>
  <c r="V469" i="2"/>
  <c r="W469" i="2"/>
  <c r="X469" i="2"/>
  <c r="Y469" i="2"/>
  <c r="Z469" i="2"/>
  <c r="AA469" i="2"/>
  <c r="AB469" i="2"/>
  <c r="AC469" i="2"/>
  <c r="AD469" i="2"/>
  <c r="AE469" i="2"/>
  <c r="AF469" i="2"/>
  <c r="AG469" i="2"/>
  <c r="AH469" i="2"/>
  <c r="AI469" i="2"/>
  <c r="O470" i="2"/>
  <c r="O471" i="2"/>
  <c r="S471" i="2"/>
  <c r="T471" i="2"/>
  <c r="U471" i="2"/>
  <c r="V471" i="2"/>
  <c r="W471" i="2"/>
  <c r="X471" i="2"/>
  <c r="Y471" i="2"/>
  <c r="Z471" i="2"/>
  <c r="AA471" i="2"/>
  <c r="AB471" i="2"/>
  <c r="AC471" i="2"/>
  <c r="AD471" i="2"/>
  <c r="AE471" i="2"/>
  <c r="AF471" i="2"/>
  <c r="AG471" i="2"/>
  <c r="AH471" i="2"/>
  <c r="AI471" i="2"/>
  <c r="O472" i="2"/>
  <c r="O473" i="2"/>
  <c r="S473" i="2"/>
  <c r="T473" i="2"/>
  <c r="U473" i="2"/>
  <c r="V473" i="2"/>
  <c r="W473" i="2"/>
  <c r="X473" i="2"/>
  <c r="Y473" i="2"/>
  <c r="Z473" i="2"/>
  <c r="AA473" i="2"/>
  <c r="AB473" i="2"/>
  <c r="AC473" i="2"/>
  <c r="AD473" i="2"/>
  <c r="AE473" i="2"/>
  <c r="AF473" i="2"/>
  <c r="AG473" i="2"/>
  <c r="AH473" i="2"/>
  <c r="AI473" i="2"/>
  <c r="O474" i="2"/>
  <c r="P481" i="2"/>
  <c r="Q481" i="2"/>
  <c r="R481" i="2"/>
  <c r="S481" i="2"/>
  <c r="T481" i="2"/>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U482" i="2"/>
  <c r="V482" i="2"/>
  <c r="W482" i="2"/>
  <c r="X482" i="2"/>
  <c r="Y482" i="2"/>
  <c r="Z482" i="2"/>
  <c r="AA482" i="2"/>
  <c r="AB482" i="2"/>
  <c r="AC482" i="2"/>
  <c r="AD482" i="2"/>
  <c r="AE482" i="2"/>
  <c r="AF482" i="2"/>
  <c r="AG482" i="2"/>
  <c r="AH482" i="2"/>
  <c r="AI482" i="2"/>
  <c r="J483" i="2"/>
  <c r="O484" i="2"/>
  <c r="U484" i="2"/>
  <c r="V484" i="2"/>
  <c r="W484" i="2"/>
  <c r="X484" i="2"/>
  <c r="Y484" i="2"/>
  <c r="Z484" i="2"/>
  <c r="AA484" i="2"/>
  <c r="AB484" i="2"/>
  <c r="AC484" i="2"/>
  <c r="AD484" i="2"/>
  <c r="AE484" i="2"/>
  <c r="AF484" i="2"/>
  <c r="AG484" i="2"/>
  <c r="AH484" i="2"/>
  <c r="AI484" i="2"/>
  <c r="O485" i="2"/>
  <c r="O486" i="2"/>
  <c r="U486" i="2"/>
  <c r="V486" i="2"/>
  <c r="W486" i="2"/>
  <c r="X486" i="2"/>
  <c r="Y486" i="2"/>
  <c r="Z486" i="2"/>
  <c r="AA486" i="2"/>
  <c r="AB486" i="2"/>
  <c r="AC486" i="2"/>
  <c r="AD486" i="2"/>
  <c r="AE486" i="2"/>
  <c r="AF486" i="2"/>
  <c r="AG486" i="2"/>
  <c r="AH486" i="2"/>
  <c r="AI486" i="2"/>
  <c r="O487" i="2"/>
  <c r="O488" i="2"/>
  <c r="U488" i="2"/>
  <c r="V488" i="2"/>
  <c r="W488" i="2"/>
  <c r="X488" i="2"/>
  <c r="Y488" i="2"/>
  <c r="Z488" i="2"/>
  <c r="AA488" i="2"/>
  <c r="AB488" i="2"/>
  <c r="AC488" i="2"/>
  <c r="AD488" i="2"/>
  <c r="AE488" i="2"/>
  <c r="AF488" i="2"/>
  <c r="AG488" i="2"/>
  <c r="AH488" i="2"/>
  <c r="AI488" i="2"/>
  <c r="O489" i="2"/>
  <c r="O490" i="2"/>
  <c r="U490" i="2"/>
  <c r="V490" i="2"/>
  <c r="W490" i="2"/>
  <c r="X490" i="2"/>
  <c r="Y490" i="2"/>
  <c r="Z490" i="2"/>
  <c r="AA490" i="2"/>
  <c r="AB490" i="2"/>
  <c r="AC490" i="2"/>
  <c r="AD490" i="2"/>
  <c r="AE490" i="2"/>
  <c r="AF490" i="2"/>
  <c r="AG490" i="2"/>
  <c r="AH490" i="2"/>
  <c r="AI490" i="2"/>
  <c r="O491" i="2"/>
  <c r="O492" i="2"/>
  <c r="U492" i="2"/>
  <c r="V492" i="2"/>
  <c r="W492" i="2"/>
  <c r="X492" i="2"/>
  <c r="Y492" i="2"/>
  <c r="Z492" i="2"/>
  <c r="AA492" i="2"/>
  <c r="AB492" i="2"/>
  <c r="AC492" i="2"/>
  <c r="AD492" i="2"/>
  <c r="AE492" i="2"/>
  <c r="AF492" i="2"/>
  <c r="AG492" i="2"/>
  <c r="AH492" i="2"/>
  <c r="AI492" i="2"/>
  <c r="O493" i="2"/>
  <c r="O494" i="2"/>
  <c r="U494" i="2"/>
  <c r="V494" i="2"/>
  <c r="W494" i="2"/>
  <c r="X494" i="2"/>
  <c r="Y494" i="2"/>
  <c r="Z494" i="2"/>
  <c r="AA494" i="2"/>
  <c r="AB494" i="2"/>
  <c r="AC494" i="2"/>
  <c r="AD494" i="2"/>
  <c r="AE494" i="2"/>
  <c r="AF494" i="2"/>
  <c r="AG494" i="2"/>
  <c r="AH494" i="2"/>
  <c r="AI494" i="2"/>
  <c r="O495" i="2"/>
  <c r="P502" i="2"/>
  <c r="Q502" i="2"/>
  <c r="R502" i="2"/>
  <c r="S502" i="2"/>
  <c r="T502" i="2"/>
  <c r="U502" i="2"/>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V503" i="2"/>
  <c r="W503" i="2"/>
  <c r="X503" i="2"/>
  <c r="Y503" i="2"/>
  <c r="Z503" i="2"/>
  <c r="AA503" i="2"/>
  <c r="AB503" i="2"/>
  <c r="AC503" i="2"/>
  <c r="AD503" i="2"/>
  <c r="AE503" i="2"/>
  <c r="AF503" i="2"/>
  <c r="AG503" i="2"/>
  <c r="AH503" i="2"/>
  <c r="AI503" i="2"/>
  <c r="J504" i="2"/>
  <c r="O505" i="2"/>
  <c r="V505" i="2"/>
  <c r="W505" i="2"/>
  <c r="X505" i="2"/>
  <c r="Y505" i="2"/>
  <c r="Z505" i="2"/>
  <c r="AA505" i="2"/>
  <c r="AB505" i="2"/>
  <c r="AC505" i="2"/>
  <c r="AD505" i="2"/>
  <c r="AE505" i="2"/>
  <c r="AF505" i="2"/>
  <c r="AG505" i="2"/>
  <c r="AH505" i="2"/>
  <c r="AI505" i="2"/>
  <c r="O506" i="2"/>
  <c r="O507" i="2"/>
  <c r="V507" i="2"/>
  <c r="W507" i="2"/>
  <c r="X507" i="2"/>
  <c r="Y507" i="2"/>
  <c r="Z507" i="2"/>
  <c r="AA507" i="2"/>
  <c r="AB507" i="2"/>
  <c r="AC507" i="2"/>
  <c r="AD507" i="2"/>
  <c r="AE507" i="2"/>
  <c r="AF507" i="2"/>
  <c r="AG507" i="2"/>
  <c r="AH507" i="2"/>
  <c r="AI507" i="2"/>
  <c r="O508" i="2"/>
  <c r="O509" i="2"/>
  <c r="V509" i="2"/>
  <c r="W509" i="2"/>
  <c r="X509" i="2"/>
  <c r="Y509" i="2"/>
  <c r="Z509" i="2"/>
  <c r="AA509" i="2"/>
  <c r="AB509" i="2"/>
  <c r="AC509" i="2"/>
  <c r="AD509" i="2"/>
  <c r="AE509" i="2"/>
  <c r="AF509" i="2"/>
  <c r="AG509" i="2"/>
  <c r="AH509" i="2"/>
  <c r="AI509" i="2"/>
  <c r="O510" i="2"/>
  <c r="O511" i="2"/>
  <c r="V511" i="2"/>
  <c r="W511" i="2"/>
  <c r="X511" i="2"/>
  <c r="Y511" i="2"/>
  <c r="Z511" i="2"/>
  <c r="AA511" i="2"/>
  <c r="AB511" i="2"/>
  <c r="AC511" i="2"/>
  <c r="AD511" i="2"/>
  <c r="AE511" i="2"/>
  <c r="AF511" i="2"/>
  <c r="AG511" i="2"/>
  <c r="AH511" i="2"/>
  <c r="AI511" i="2"/>
  <c r="O512" i="2"/>
  <c r="O513" i="2"/>
  <c r="V513" i="2"/>
  <c r="W513" i="2"/>
  <c r="X513" i="2"/>
  <c r="Y513" i="2"/>
  <c r="Z513" i="2"/>
  <c r="AA513" i="2"/>
  <c r="AB513" i="2"/>
  <c r="AC513" i="2"/>
  <c r="AD513" i="2"/>
  <c r="AE513" i="2"/>
  <c r="AF513" i="2"/>
  <c r="AG513" i="2"/>
  <c r="AH513" i="2"/>
  <c r="AI513" i="2"/>
  <c r="O514" i="2"/>
  <c r="O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Q399" i="2" l="1"/>
  <c r="Q398" i="2" s="1"/>
  <c r="R378" i="2"/>
  <c r="R273" i="2"/>
  <c r="R272" i="2" s="1"/>
  <c r="R147" i="2"/>
  <c r="R146" i="2" s="1"/>
  <c r="R441" i="2"/>
  <c r="R440" i="2" s="1"/>
  <c r="R168" i="2"/>
  <c r="R167" i="2" s="1"/>
  <c r="Q441" i="2"/>
  <c r="S420" i="2"/>
  <c r="S419" i="2" s="1"/>
  <c r="R420" i="2"/>
  <c r="R419" i="2" s="1"/>
  <c r="Q420" i="2"/>
  <c r="Q419" i="2" s="1"/>
  <c r="S378" i="2"/>
  <c r="Q378" i="2"/>
  <c r="R377" i="2"/>
  <c r="S357" i="2"/>
  <c r="R357" i="2"/>
  <c r="R356" i="2" s="1"/>
  <c r="Q357" i="2"/>
  <c r="Q356" i="2" s="1"/>
  <c r="S315" i="2"/>
  <c r="S314" i="2" s="1"/>
  <c r="R315" i="2"/>
  <c r="R314" i="2" s="1"/>
  <c r="Q315" i="2"/>
  <c r="S294" i="2"/>
  <c r="S293" i="2" s="1"/>
  <c r="R294" i="2"/>
  <c r="R293" i="2" s="1"/>
  <c r="Q294" i="2"/>
  <c r="Q293" i="2" s="1"/>
  <c r="U252" i="2"/>
  <c r="U251" i="2" s="1"/>
  <c r="T252" i="2"/>
  <c r="T251" i="2" s="1"/>
  <c r="S252" i="2"/>
  <c r="S251" i="2" s="1"/>
  <c r="R252" i="2"/>
  <c r="R251" i="2" s="1"/>
  <c r="Q252" i="2"/>
  <c r="Q251" i="2" s="1"/>
  <c r="R231" i="2"/>
  <c r="R230" i="2" s="1"/>
  <c r="Q231" i="2"/>
  <c r="Q230" i="2" s="1"/>
  <c r="T210" i="2"/>
  <c r="T209" i="2" s="1"/>
  <c r="S210" i="2"/>
  <c r="S209" i="2" s="1"/>
  <c r="R210" i="2"/>
  <c r="R209" i="2" s="1"/>
  <c r="Q210" i="2"/>
  <c r="Q209" i="2" s="1"/>
  <c r="T189" i="2"/>
  <c r="T188" i="2" s="1"/>
  <c r="S189" i="2"/>
  <c r="S188" i="2" s="1"/>
  <c r="Q168" i="2"/>
  <c r="M177" i="2" s="1"/>
  <c r="Q147" i="2"/>
  <c r="Q146" i="2" s="1"/>
  <c r="Q462" i="2"/>
  <c r="Q461" i="2" s="1"/>
  <c r="R462" i="2"/>
  <c r="R461" i="2" s="1"/>
  <c r="T483" i="2"/>
  <c r="T482" i="2" s="1"/>
  <c r="S483" i="2"/>
  <c r="S482" i="2" s="1"/>
  <c r="R483" i="2"/>
  <c r="R482" i="2" s="1"/>
  <c r="Q483" i="2"/>
  <c r="Q482" i="2" s="1"/>
  <c r="U504" i="2"/>
  <c r="U503" i="2" s="1"/>
  <c r="T504" i="2"/>
  <c r="T503" i="2" s="1"/>
  <c r="Q504" i="2"/>
  <c r="Q503" i="2" s="1"/>
  <c r="S504" i="2"/>
  <c r="S503" i="2" s="1"/>
  <c r="R504" i="2"/>
  <c r="R503" i="2" s="1"/>
  <c r="P504" i="2"/>
  <c r="R399" i="2"/>
  <c r="R398" i="2" s="1"/>
  <c r="S336" i="2"/>
  <c r="S335" i="2" s="1"/>
  <c r="R336" i="2"/>
  <c r="R335" i="2" s="1"/>
  <c r="Q336" i="2"/>
  <c r="Q335" i="2" s="1"/>
  <c r="R189" i="2"/>
  <c r="R188" i="2" s="1"/>
  <c r="Q189" i="2"/>
  <c r="Q188" i="2" s="1"/>
  <c r="V126" i="2"/>
  <c r="V125" i="2" s="1"/>
  <c r="U126" i="2"/>
  <c r="U125" i="2" s="1"/>
  <c r="T126" i="2"/>
  <c r="T125" i="2" s="1"/>
  <c r="S126" i="2"/>
  <c r="S125" i="2" s="1"/>
  <c r="R126" i="2"/>
  <c r="R125" i="2" s="1"/>
  <c r="Q126" i="2"/>
  <c r="Q125" i="2" s="1"/>
  <c r="S105" i="2"/>
  <c r="S104" i="2" s="1"/>
  <c r="R105" i="2"/>
  <c r="Q105" i="2"/>
  <c r="Q104" i="2" s="1"/>
  <c r="S84" i="2"/>
  <c r="S83" i="2" s="1"/>
  <c r="R84" i="2"/>
  <c r="R83" i="2" s="1"/>
  <c r="Q84" i="2"/>
  <c r="Q83" i="2" s="1"/>
  <c r="R63" i="2"/>
  <c r="R62" i="2" s="1"/>
  <c r="U63" i="2"/>
  <c r="U62" i="2" s="1"/>
  <c r="V63" i="2"/>
  <c r="V62" i="2" s="1"/>
  <c r="T63" i="2"/>
  <c r="T62" i="2" s="1"/>
  <c r="S63" i="2"/>
  <c r="S62" i="2" s="1"/>
  <c r="Q63" i="2"/>
  <c r="Q62" i="2" s="1"/>
  <c r="S42" i="2"/>
  <c r="S41" i="2" s="1"/>
  <c r="R42" i="2"/>
  <c r="R41" i="2" s="1"/>
  <c r="Q42" i="2"/>
  <c r="Q41" i="2" s="1"/>
  <c r="P420" i="2"/>
  <c r="P419" i="2" s="1"/>
  <c r="P294" i="2"/>
  <c r="P293" i="2" s="1"/>
  <c r="P441" i="2"/>
  <c r="P440" i="2" s="1"/>
  <c r="P231" i="2"/>
  <c r="P230" i="2" s="1"/>
  <c r="P462" i="2"/>
  <c r="P461" i="2" s="1"/>
  <c r="P315" i="2"/>
  <c r="P314" i="2" s="1"/>
  <c r="Q273" i="2"/>
  <c r="Q272" i="2" s="1"/>
  <c r="P252" i="2"/>
  <c r="P251" i="2" s="1"/>
  <c r="P483" i="2"/>
  <c r="P482" i="2" s="1"/>
  <c r="P336" i="2"/>
  <c r="P84" i="2"/>
  <c r="P83" i="2" s="1"/>
  <c r="P105" i="2"/>
  <c r="P104" i="2" s="1"/>
  <c r="P42" i="2"/>
  <c r="P41" i="2" s="1"/>
  <c r="T44" i="2" s="1"/>
  <c r="T43" i="2" s="1"/>
  <c r="P357" i="2"/>
  <c r="P356" i="2" s="1"/>
  <c r="P126" i="2"/>
  <c r="P125" i="2" s="1"/>
  <c r="P63" i="2"/>
  <c r="P62" i="2" s="1"/>
  <c r="P147" i="2"/>
  <c r="P146" i="2" s="1"/>
  <c r="P378" i="2"/>
  <c r="P377" i="2" s="1"/>
  <c r="P168" i="2"/>
  <c r="P167" i="2" s="1"/>
  <c r="P399" i="2"/>
  <c r="P398" i="2" s="1"/>
  <c r="Q401" i="2" s="1"/>
  <c r="Q400" i="2" s="1"/>
  <c r="P189" i="2"/>
  <c r="P188" i="2" s="1"/>
  <c r="P210" i="2"/>
  <c r="P209" i="2" s="1"/>
  <c r="P273" i="2"/>
  <c r="P272" i="2" s="1"/>
  <c r="M1643" i="2"/>
  <c r="M1638" i="2" s="1"/>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P844" i="2" s="1"/>
  <c r="I1638" i="2"/>
  <c r="I1575" i="2"/>
  <c r="M1394" i="2"/>
  <c r="M1308" i="2"/>
  <c r="M1556" i="2"/>
  <c r="T443" i="2"/>
  <c r="T445" i="2" s="1"/>
  <c r="T447" i="2" s="1"/>
  <c r="T449" i="2" s="1"/>
  <c r="T451" i="2" s="1"/>
  <c r="T453" i="2" s="1"/>
  <c r="I1596" i="2"/>
  <c r="M1078" i="2"/>
  <c r="M1265" i="2"/>
  <c r="M1260" i="2" s="1"/>
  <c r="I1344" i="2"/>
  <c r="H777"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32" i="2"/>
  <c r="M527" i="2"/>
  <c r="H525" i="2"/>
  <c r="M593" i="2"/>
  <c r="M588" i="2" s="1"/>
  <c r="M572" i="2"/>
  <c r="M567" i="2" s="1"/>
  <c r="P527" i="2"/>
  <c r="I525" i="2"/>
  <c r="M530" i="2"/>
  <c r="M525" i="2" s="1"/>
  <c r="M450" i="2"/>
  <c r="S233" i="2"/>
  <c r="S235" i="2" s="1"/>
  <c r="S237" i="2" s="1"/>
  <c r="S239" i="2" s="1"/>
  <c r="S241" i="2" s="1"/>
  <c r="S243" i="2" s="1"/>
  <c r="W149" i="2"/>
  <c r="W151" i="2" s="1"/>
  <c r="W153" i="2" s="1"/>
  <c r="W155" i="2" s="1"/>
  <c r="W157" i="2" s="1"/>
  <c r="W159" i="2" s="1"/>
  <c r="V212" i="2"/>
  <c r="V214" i="2" s="1"/>
  <c r="V216" i="2" s="1"/>
  <c r="V218" i="2" s="1"/>
  <c r="V220" i="2" s="1"/>
  <c r="V222" i="2" s="1"/>
  <c r="M111" i="2"/>
  <c r="AA44" i="2"/>
  <c r="AA46" i="2" s="1"/>
  <c r="AA48" i="2" s="1"/>
  <c r="AA50" i="2" s="1"/>
  <c r="AA52" i="2" s="1"/>
  <c r="AA54" i="2" s="1"/>
  <c r="M23" i="13"/>
  <c r="M386" i="2" l="1"/>
  <c r="Q443" i="2"/>
  <c r="Q422" i="2"/>
  <c r="Q421" i="2" s="1"/>
  <c r="H378" i="2"/>
  <c r="M380" i="2"/>
  <c r="M384" i="2"/>
  <c r="M385" i="2"/>
  <c r="H168" i="2"/>
  <c r="M379" i="2"/>
  <c r="M176" i="2"/>
  <c r="M169" i="2"/>
  <c r="M175" i="2"/>
  <c r="M174" i="2"/>
  <c r="R275" i="2"/>
  <c r="R274" i="2" s="1"/>
  <c r="M442" i="2"/>
  <c r="M449" i="2"/>
  <c r="M447" i="2"/>
  <c r="R443" i="2"/>
  <c r="R442" i="2" s="1"/>
  <c r="M429" i="2"/>
  <c r="S422" i="2"/>
  <c r="S421" i="2" s="1"/>
  <c r="M428" i="2"/>
  <c r="M422" i="2"/>
  <c r="M421" i="2"/>
  <c r="H420" i="2"/>
  <c r="R422" i="2"/>
  <c r="R421" i="2" s="1"/>
  <c r="M425" i="2"/>
  <c r="M427" i="2"/>
  <c r="M426" i="2"/>
  <c r="P422" i="2"/>
  <c r="I420" i="2"/>
  <c r="Q377" i="2"/>
  <c r="Q380" i="2" s="1"/>
  <c r="M387" i="2"/>
  <c r="S377" i="2"/>
  <c r="M359" i="2"/>
  <c r="S356" i="2"/>
  <c r="S359" i="2" s="1"/>
  <c r="S358" i="2" s="1"/>
  <c r="M364" i="2"/>
  <c r="M363" i="2"/>
  <c r="H357" i="2"/>
  <c r="M366" i="2"/>
  <c r="M365" i="2"/>
  <c r="M358" i="2"/>
  <c r="M322" i="2"/>
  <c r="M317" i="2"/>
  <c r="Q314" i="2"/>
  <c r="P317" i="2" s="1"/>
  <c r="P316" i="2" s="1"/>
  <c r="M316" i="2"/>
  <c r="S317" i="2"/>
  <c r="S316" i="2" s="1"/>
  <c r="M321" i="2"/>
  <c r="H315" i="2"/>
  <c r="M324" i="2"/>
  <c r="M323" i="2"/>
  <c r="Q296" i="2"/>
  <c r="Q295" i="2" s="1"/>
  <c r="H294" i="2"/>
  <c r="S296" i="2"/>
  <c r="S295" i="2" s="1"/>
  <c r="M299" i="2"/>
  <c r="R296" i="2"/>
  <c r="R295" i="2" s="1"/>
  <c r="M303" i="2"/>
  <c r="M296" i="2"/>
  <c r="M300" i="2"/>
  <c r="M301" i="2"/>
  <c r="M295" i="2"/>
  <c r="M302" i="2"/>
  <c r="I294" i="2"/>
  <c r="P296" i="2"/>
  <c r="P295" i="2" s="1"/>
  <c r="Q254" i="2"/>
  <c r="Q253" i="2" s="1"/>
  <c r="U254" i="2"/>
  <c r="U253" i="2" s="1"/>
  <c r="T254" i="2"/>
  <c r="T253" i="2" s="1"/>
  <c r="M259" i="2"/>
  <c r="S254" i="2"/>
  <c r="S253" i="2" s="1"/>
  <c r="M254" i="2"/>
  <c r="M257" i="2"/>
  <c r="H252" i="2"/>
  <c r="R254" i="2"/>
  <c r="R253" i="2" s="1"/>
  <c r="M258" i="2"/>
  <c r="M261" i="2"/>
  <c r="M253" i="2"/>
  <c r="I252" i="2"/>
  <c r="M260" i="2"/>
  <c r="Q233" i="2"/>
  <c r="Q232" i="2" s="1"/>
  <c r="M233" i="2"/>
  <c r="M240" i="2"/>
  <c r="M239" i="2"/>
  <c r="R233" i="2"/>
  <c r="R232" i="2" s="1"/>
  <c r="M237" i="2"/>
  <c r="M238" i="2"/>
  <c r="M236" i="2"/>
  <c r="H231" i="2"/>
  <c r="P233" i="2"/>
  <c r="P232" i="2" s="1"/>
  <c r="I231" i="2"/>
  <c r="M232" i="2"/>
  <c r="Q212" i="2"/>
  <c r="Q211" i="2" s="1"/>
  <c r="M217" i="2"/>
  <c r="M215" i="2"/>
  <c r="T212" i="2"/>
  <c r="T211" i="2" s="1"/>
  <c r="S212" i="2"/>
  <c r="S211" i="2" s="1"/>
  <c r="M216" i="2"/>
  <c r="P212" i="2"/>
  <c r="P211" i="2" s="1"/>
  <c r="H210" i="2"/>
  <c r="M219" i="2"/>
  <c r="M212" i="2"/>
  <c r="R212" i="2"/>
  <c r="R211" i="2" s="1"/>
  <c r="I210" i="2"/>
  <c r="M218" i="2"/>
  <c r="M211" i="2"/>
  <c r="M198" i="2"/>
  <c r="M197" i="2"/>
  <c r="Q191" i="2"/>
  <c r="Q190" i="2" s="1"/>
  <c r="T191" i="2"/>
  <c r="T190" i="2" s="1"/>
  <c r="H441" i="2"/>
  <c r="M448" i="2"/>
  <c r="I441" i="2"/>
  <c r="M446" i="2"/>
  <c r="P443" i="2"/>
  <c r="P442" i="2" s="1"/>
  <c r="M443" i="2"/>
  <c r="H462" i="2"/>
  <c r="M170" i="2"/>
  <c r="Q167" i="2"/>
  <c r="M173" i="2" s="1"/>
  <c r="Q149" i="2"/>
  <c r="Q148" i="2" s="1"/>
  <c r="H147" i="2"/>
  <c r="M152" i="2"/>
  <c r="R149" i="2"/>
  <c r="R148" i="2" s="1"/>
  <c r="M153" i="2"/>
  <c r="M155" i="2"/>
  <c r="M156" i="2"/>
  <c r="M154" i="2"/>
  <c r="M149" i="2"/>
  <c r="P149" i="2"/>
  <c r="P148" i="2" s="1"/>
  <c r="I147" i="2"/>
  <c r="M148" i="2"/>
  <c r="M468" i="2"/>
  <c r="M470" i="2"/>
  <c r="Q464" i="2"/>
  <c r="Q463" i="2" s="1"/>
  <c r="R464" i="2"/>
  <c r="R463" i="2" s="1"/>
  <c r="M464" i="2"/>
  <c r="M469" i="2"/>
  <c r="M471" i="2"/>
  <c r="I462" i="2"/>
  <c r="M463" i="2"/>
  <c r="M467" i="2"/>
  <c r="P464" i="2"/>
  <c r="P463" i="2" s="1"/>
  <c r="T485" i="2"/>
  <c r="T484" i="2" s="1"/>
  <c r="M485" i="2"/>
  <c r="M489" i="2"/>
  <c r="M490" i="2"/>
  <c r="Q485" i="2"/>
  <c r="Q484" i="2" s="1"/>
  <c r="S485" i="2"/>
  <c r="S484" i="2" s="1"/>
  <c r="M488" i="2"/>
  <c r="R485" i="2"/>
  <c r="R484" i="2" s="1"/>
  <c r="M492" i="2"/>
  <c r="M491" i="2"/>
  <c r="I483" i="2"/>
  <c r="P485" i="2"/>
  <c r="P484" i="2" s="1"/>
  <c r="M484" i="2"/>
  <c r="H483" i="2"/>
  <c r="P503" i="2"/>
  <c r="P506" i="2" s="1"/>
  <c r="P505" i="2" s="1"/>
  <c r="H504" i="2"/>
  <c r="M510" i="2"/>
  <c r="M512" i="2"/>
  <c r="M506" i="2"/>
  <c r="M505" i="2"/>
  <c r="M511" i="2"/>
  <c r="M513" i="2"/>
  <c r="R401" i="2"/>
  <c r="R400" i="2" s="1"/>
  <c r="H399" i="2"/>
  <c r="M400" i="2"/>
  <c r="M408" i="2"/>
  <c r="M406" i="2"/>
  <c r="M404" i="2"/>
  <c r="M407" i="2"/>
  <c r="M405" i="2"/>
  <c r="M401" i="2"/>
  <c r="I399" i="2"/>
  <c r="P401" i="2"/>
  <c r="M344" i="2"/>
  <c r="M342" i="2"/>
  <c r="M345" i="2"/>
  <c r="M338" i="2"/>
  <c r="M343" i="2"/>
  <c r="H336" i="2"/>
  <c r="M337" i="2"/>
  <c r="M279" i="2"/>
  <c r="M275" i="2"/>
  <c r="M281" i="2"/>
  <c r="M280" i="2"/>
  <c r="M274" i="2"/>
  <c r="S191" i="2"/>
  <c r="S190" i="2" s="1"/>
  <c r="M195" i="2"/>
  <c r="R191" i="2"/>
  <c r="R190" i="2" s="1"/>
  <c r="M191" i="2"/>
  <c r="M196" i="2"/>
  <c r="M194" i="2"/>
  <c r="M190" i="2"/>
  <c r="I189" i="2"/>
  <c r="P191" i="2"/>
  <c r="P190" i="2" s="1"/>
  <c r="H189" i="2"/>
  <c r="V128" i="2"/>
  <c r="V127" i="2" s="1"/>
  <c r="Q128" i="2"/>
  <c r="Q127" i="2" s="1"/>
  <c r="U128" i="2"/>
  <c r="U127" i="2" s="1"/>
  <c r="M128" i="2"/>
  <c r="M133" i="2"/>
  <c r="T128" i="2"/>
  <c r="T127" i="2" s="1"/>
  <c r="M127" i="2"/>
  <c r="S128" i="2"/>
  <c r="S127" i="2" s="1"/>
  <c r="R128" i="2"/>
  <c r="R127" i="2" s="1"/>
  <c r="M131" i="2"/>
  <c r="M132" i="2"/>
  <c r="M134" i="2"/>
  <c r="I126" i="2"/>
  <c r="P128" i="2"/>
  <c r="M135" i="2"/>
  <c r="H126" i="2"/>
  <c r="M106" i="2"/>
  <c r="R104" i="2"/>
  <c r="M110" i="2" s="1"/>
  <c r="H105" i="2"/>
  <c r="M114" i="2"/>
  <c r="M112" i="2"/>
  <c r="M113" i="2"/>
  <c r="M107" i="2"/>
  <c r="Q86" i="2"/>
  <c r="Q85" i="2" s="1"/>
  <c r="S86" i="2"/>
  <c r="S85" i="2" s="1"/>
  <c r="M90" i="2"/>
  <c r="M85" i="2"/>
  <c r="M89" i="2"/>
  <c r="M93" i="2"/>
  <c r="M91" i="2"/>
  <c r="M86" i="2"/>
  <c r="R86" i="2"/>
  <c r="R85" i="2" s="1"/>
  <c r="M92" i="2"/>
  <c r="P86" i="2"/>
  <c r="P85" i="2" s="1"/>
  <c r="I84" i="2"/>
  <c r="H84" i="2"/>
  <c r="Q65" i="2"/>
  <c r="Q64" i="2" s="1"/>
  <c r="V65" i="2"/>
  <c r="V64" i="2" s="1"/>
  <c r="U65" i="2"/>
  <c r="U64" i="2" s="1"/>
  <c r="T65" i="2"/>
  <c r="T64" i="2" s="1"/>
  <c r="S65" i="2"/>
  <c r="S64" i="2" s="1"/>
  <c r="M71" i="2"/>
  <c r="I63" i="2"/>
  <c r="M69" i="2"/>
  <c r="M70" i="2"/>
  <c r="H63" i="2"/>
  <c r="M72" i="2"/>
  <c r="M68" i="2"/>
  <c r="R65" i="2"/>
  <c r="R64" i="2" s="1"/>
  <c r="M65" i="2"/>
  <c r="P65" i="2"/>
  <c r="P64" i="2" s="1"/>
  <c r="M64" i="2"/>
  <c r="M50" i="2"/>
  <c r="I42" i="2"/>
  <c r="M49" i="2"/>
  <c r="M44" i="2"/>
  <c r="Q44" i="2"/>
  <c r="Q43" i="2" s="1"/>
  <c r="M51" i="2"/>
  <c r="H42" i="2"/>
  <c r="M47" i="2"/>
  <c r="S44" i="2"/>
  <c r="S43" i="2" s="1"/>
  <c r="M43" i="2"/>
  <c r="R44" i="2"/>
  <c r="R43" i="2" s="1"/>
  <c r="M48" i="2"/>
  <c r="P44" i="2"/>
  <c r="P43" i="2" s="1"/>
  <c r="T46" i="2" s="1"/>
  <c r="T45" i="2" s="1"/>
  <c r="Q275" i="2"/>
  <c r="Q274" i="2" s="1"/>
  <c r="P254" i="2"/>
  <c r="P170" i="2"/>
  <c r="P169" i="2" s="1"/>
  <c r="P335" i="2"/>
  <c r="S338" i="2" s="1"/>
  <c r="S337" i="2" s="1"/>
  <c r="M278" i="2"/>
  <c r="H273" i="2"/>
  <c r="M282" i="2"/>
  <c r="I273" i="2"/>
  <c r="P275" i="2"/>
  <c r="P274" i="2" s="1"/>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I821" i="2"/>
  <c r="I1390" i="2"/>
  <c r="I548" i="2"/>
  <c r="I1936" i="2"/>
  <c r="I737" i="2"/>
  <c r="H1852" i="2"/>
  <c r="J1852" i="2" s="1"/>
  <c r="I1178" i="2"/>
  <c r="I1451" i="2"/>
  <c r="H1136" i="2"/>
  <c r="J1136" i="2" s="1"/>
  <c r="H569" i="2"/>
  <c r="J569" i="2" s="1"/>
  <c r="I1663" i="2"/>
  <c r="I1854" i="2"/>
  <c r="I787" i="2"/>
  <c r="I621" i="2"/>
  <c r="H1514" i="2"/>
  <c r="J1514" i="2" s="1"/>
  <c r="H1665" i="2"/>
  <c r="J1665" i="2" s="1"/>
  <c r="I1516" i="2"/>
  <c r="H1667" i="2"/>
  <c r="J1667" i="2" s="1"/>
  <c r="I2167" i="2"/>
  <c r="H1663" i="2"/>
  <c r="J1663" i="2" s="1"/>
  <c r="I863" i="2"/>
  <c r="H863" i="2"/>
  <c r="H926" i="2"/>
  <c r="J926" i="2" s="1"/>
  <c r="I1514" i="2"/>
  <c r="I550" i="2"/>
  <c r="I779" i="2"/>
  <c r="H1220" i="2"/>
  <c r="I1220" i="2"/>
  <c r="I569" i="2"/>
  <c r="H781" i="2"/>
  <c r="J781" i="2" s="1"/>
  <c r="I1598" i="2"/>
  <c r="H1854" i="2"/>
  <c r="J1854" i="2" s="1"/>
  <c r="H613" i="2"/>
  <c r="J613" i="2" s="1"/>
  <c r="P804" i="2"/>
  <c r="H802" i="2"/>
  <c r="J802" i="2" s="1"/>
  <c r="P1224" i="2"/>
  <c r="H1222" i="2"/>
  <c r="J1222" i="2" s="1"/>
  <c r="I1222" i="2"/>
  <c r="P1432" i="2"/>
  <c r="H1430" i="2"/>
  <c r="P1671" i="2"/>
  <c r="H1669" i="2"/>
  <c r="J1669" i="2" s="1"/>
  <c r="P1978" i="2"/>
  <c r="H1976" i="2"/>
  <c r="J590" i="2"/>
  <c r="M591" i="2"/>
  <c r="P598" i="2"/>
  <c r="H596" i="2"/>
  <c r="J596" i="2" s="1"/>
  <c r="I596" i="2"/>
  <c r="I617" i="2"/>
  <c r="I802" i="2"/>
  <c r="P867" i="2"/>
  <c r="H865" i="2"/>
  <c r="J865" i="2" s="1"/>
  <c r="I926" i="2"/>
  <c r="J947" i="2"/>
  <c r="M948" i="2"/>
  <c r="I1031" i="2"/>
  <c r="P1537" i="2"/>
  <c r="H1535" i="2"/>
  <c r="H1619" i="2"/>
  <c r="P1621" i="2"/>
  <c r="H1640" i="2"/>
  <c r="P1642" i="2"/>
  <c r="P1860" i="2"/>
  <c r="H1858" i="2"/>
  <c r="J1858" i="2" s="1"/>
  <c r="I615" i="2"/>
  <c r="I800" i="2"/>
  <c r="P1054" i="2"/>
  <c r="H1052"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P1075" i="2"/>
  <c r="H1073" i="2"/>
  <c r="I1073" i="2"/>
  <c r="P1306" i="2"/>
  <c r="H1304" i="2"/>
  <c r="I1789" i="2"/>
  <c r="H1789" i="2"/>
  <c r="J1789" i="2" s="1"/>
  <c r="P1791" i="2"/>
  <c r="P1999" i="2"/>
  <c r="H1997" i="2"/>
  <c r="P2083" i="2"/>
  <c r="H2081" i="2"/>
  <c r="H617" i="2"/>
  <c r="J617" i="2" s="1"/>
  <c r="H1157" i="2"/>
  <c r="P1159" i="2"/>
  <c r="P1356" i="2"/>
  <c r="H1262" i="2"/>
  <c r="H1367" i="2"/>
  <c r="P1369" i="2"/>
  <c r="H1409" i="2"/>
  <c r="P1411" i="2"/>
  <c r="P2024" i="2"/>
  <c r="H2022" i="2"/>
  <c r="J2022" i="2" s="1"/>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697" i="2"/>
  <c r="H695" i="2"/>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I695"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Q445" i="2" l="1"/>
  <c r="I357" i="2"/>
  <c r="S380" i="2"/>
  <c r="P107" i="2"/>
  <c r="P106" i="2" s="1"/>
  <c r="M320" i="2"/>
  <c r="R317" i="2"/>
  <c r="R316" i="2" s="1"/>
  <c r="I105" i="2"/>
  <c r="P359" i="2"/>
  <c r="P358" i="2" s="1"/>
  <c r="P445" i="2"/>
  <c r="P444" i="2" s="1"/>
  <c r="I443" i="2"/>
  <c r="H443" i="2"/>
  <c r="J443" i="2" s="1"/>
  <c r="R445" i="2"/>
  <c r="R444" i="2" s="1"/>
  <c r="P421" i="2"/>
  <c r="P424" i="2" s="1"/>
  <c r="H422" i="2"/>
  <c r="J422" i="2" s="1"/>
  <c r="S379" i="2"/>
  <c r="I378" i="2"/>
  <c r="R380" i="2"/>
  <c r="P380" i="2"/>
  <c r="M383" i="2"/>
  <c r="Q379" i="2"/>
  <c r="M362" i="2"/>
  <c r="Q359" i="2"/>
  <c r="Q358" i="2" s="1"/>
  <c r="R359" i="2"/>
  <c r="R358" i="2" s="1"/>
  <c r="Q361" i="2" s="1"/>
  <c r="Q360" i="2" s="1"/>
  <c r="Q317" i="2"/>
  <c r="Q316" i="2" s="1"/>
  <c r="S319" i="2" s="1"/>
  <c r="S318" i="2" s="1"/>
  <c r="I315" i="2"/>
  <c r="I296" i="2"/>
  <c r="S298" i="2"/>
  <c r="S297" i="2" s="1"/>
  <c r="H296" i="2"/>
  <c r="J296" i="2" s="1"/>
  <c r="R298" i="2"/>
  <c r="R297" i="2" s="1"/>
  <c r="Q298" i="2"/>
  <c r="Q297" i="2" s="1"/>
  <c r="H254" i="2"/>
  <c r="J254" i="2" s="1"/>
  <c r="P253" i="2"/>
  <c r="R235" i="2"/>
  <c r="R234" i="2" s="1"/>
  <c r="Q235" i="2"/>
  <c r="Q234" i="2" s="1"/>
  <c r="H233" i="2"/>
  <c r="J233" i="2" s="1"/>
  <c r="I233" i="2"/>
  <c r="P235" i="2"/>
  <c r="P234" i="2" s="1"/>
  <c r="I212" i="2"/>
  <c r="T214" i="2"/>
  <c r="T213" i="2" s="1"/>
  <c r="H212" i="2"/>
  <c r="J212" i="2" s="1"/>
  <c r="P214" i="2"/>
  <c r="P213" i="2" s="1"/>
  <c r="S214" i="2"/>
  <c r="S213" i="2" s="1"/>
  <c r="R214" i="2"/>
  <c r="R213" i="2" s="1"/>
  <c r="Q214" i="2"/>
  <c r="Q213" i="2" s="1"/>
  <c r="T193" i="2"/>
  <c r="T192" i="2" s="1"/>
  <c r="Q170" i="2"/>
  <c r="I168" i="2"/>
  <c r="R170" i="2"/>
  <c r="Q151" i="2"/>
  <c r="Q150" i="2" s="1"/>
  <c r="R151" i="2"/>
  <c r="R150" i="2" s="1"/>
  <c r="H149" i="2"/>
  <c r="J149" i="2" s="1"/>
  <c r="I149" i="2"/>
  <c r="P151" i="2"/>
  <c r="P150" i="2" s="1"/>
  <c r="I464" i="2"/>
  <c r="H464" i="2"/>
  <c r="J464" i="2" s="1"/>
  <c r="R466" i="2"/>
  <c r="R465" i="2" s="1"/>
  <c r="P466" i="2"/>
  <c r="P465" i="2" s="1"/>
  <c r="Q466" i="2"/>
  <c r="Q465" i="2" s="1"/>
  <c r="Q487" i="2"/>
  <c r="Q486" i="2" s="1"/>
  <c r="T487" i="2"/>
  <c r="T486" i="2" s="1"/>
  <c r="H485" i="2"/>
  <c r="J485" i="2" s="1"/>
  <c r="S487" i="2"/>
  <c r="S486" i="2" s="1"/>
  <c r="R487" i="2"/>
  <c r="R486" i="2" s="1"/>
  <c r="P487" i="2"/>
  <c r="P486" i="2" s="1"/>
  <c r="I485" i="2"/>
  <c r="R506" i="2"/>
  <c r="R505" i="2" s="1"/>
  <c r="I504" i="2"/>
  <c r="T506" i="2"/>
  <c r="T505" i="2" s="1"/>
  <c r="M509" i="2"/>
  <c r="S506" i="2"/>
  <c r="S505" i="2" s="1"/>
  <c r="Q506" i="2"/>
  <c r="Q505" i="2" s="1"/>
  <c r="U506" i="2"/>
  <c r="U505" i="2" s="1"/>
  <c r="H401" i="2"/>
  <c r="J401" i="2" s="1"/>
  <c r="P400" i="2"/>
  <c r="Q403" i="2" s="1"/>
  <c r="Q402" i="2" s="1"/>
  <c r="Q338" i="2"/>
  <c r="Q337" i="2" s="1"/>
  <c r="R338" i="2"/>
  <c r="R337" i="2" s="1"/>
  <c r="H275" i="2"/>
  <c r="R277" i="2"/>
  <c r="R276" i="2" s="1"/>
  <c r="I191" i="2"/>
  <c r="P193" i="2"/>
  <c r="P192" i="2" s="1"/>
  <c r="S193" i="2"/>
  <c r="S192" i="2" s="1"/>
  <c r="R193" i="2"/>
  <c r="R192" i="2" s="1"/>
  <c r="H191" i="2"/>
  <c r="J191" i="2" s="1"/>
  <c r="Q193" i="2"/>
  <c r="H128" i="2"/>
  <c r="J128" i="2" s="1"/>
  <c r="P127" i="2"/>
  <c r="R107" i="2"/>
  <c r="R106" i="2" s="1"/>
  <c r="Q107" i="2"/>
  <c r="Q106" i="2" s="1"/>
  <c r="S107" i="2"/>
  <c r="S106" i="2" s="1"/>
  <c r="Q88" i="2"/>
  <c r="Q87" i="2" s="1"/>
  <c r="S88" i="2"/>
  <c r="S87" i="2" s="1"/>
  <c r="R88" i="2"/>
  <c r="R87" i="2" s="1"/>
  <c r="I86" i="2"/>
  <c r="P88" i="2"/>
  <c r="P87" i="2" s="1"/>
  <c r="H86" i="2"/>
  <c r="J86" i="2" s="1"/>
  <c r="V67" i="2"/>
  <c r="V66" i="2" s="1"/>
  <c r="I65" i="2"/>
  <c r="U67" i="2"/>
  <c r="U66" i="2" s="1"/>
  <c r="T67" i="2"/>
  <c r="T66" i="2" s="1"/>
  <c r="S67" i="2"/>
  <c r="S66" i="2" s="1"/>
  <c r="R67" i="2"/>
  <c r="R66" i="2" s="1"/>
  <c r="H65" i="2"/>
  <c r="J65" i="2" s="1"/>
  <c r="Q67" i="2"/>
  <c r="Q66" i="2" s="1"/>
  <c r="Q46" i="2"/>
  <c r="Q45" i="2" s="1"/>
  <c r="H44" i="2"/>
  <c r="S46" i="2"/>
  <c r="S45" i="2" s="1"/>
  <c r="P46" i="2"/>
  <c r="P45" i="2" s="1"/>
  <c r="T48" i="2" s="1"/>
  <c r="T47" i="2" s="1"/>
  <c r="I44" i="2"/>
  <c r="R46" i="2"/>
  <c r="R45" i="2" s="1"/>
  <c r="Q277" i="2"/>
  <c r="Q276" i="2" s="1"/>
  <c r="M341" i="2"/>
  <c r="I336" i="2"/>
  <c r="P338" i="2"/>
  <c r="I275" i="2"/>
  <c r="P277" i="2"/>
  <c r="P276" i="2" s="1"/>
  <c r="P298" i="2"/>
  <c r="P297" i="2" s="1"/>
  <c r="P300" i="2" s="1"/>
  <c r="P299" i="2" s="1"/>
  <c r="P67" i="2"/>
  <c r="P66" i="2" s="1"/>
  <c r="M822" i="2"/>
  <c r="M1137" i="2"/>
  <c r="M990" i="2"/>
  <c r="M927" i="2"/>
  <c r="M1032" i="2"/>
  <c r="M1851" i="2"/>
  <c r="M1935" i="2"/>
  <c r="M717" i="2"/>
  <c r="M864" i="2"/>
  <c r="M1830" i="2"/>
  <c r="M570" i="2"/>
  <c r="M1221" i="2"/>
  <c r="J863" i="2"/>
  <c r="M1515" i="2"/>
  <c r="J1220" i="2"/>
  <c r="P741" i="2"/>
  <c r="H739" i="2"/>
  <c r="J739" i="2" s="1"/>
  <c r="I739" i="2"/>
  <c r="J1430" i="2"/>
  <c r="M1431" i="2"/>
  <c r="J1325" i="2"/>
  <c r="M1326" i="2"/>
  <c r="J2123" i="2"/>
  <c r="M2124" i="2"/>
  <c r="J1871" i="2"/>
  <c r="M1872" i="2"/>
  <c r="J1682" i="2"/>
  <c r="M1683" i="2"/>
  <c r="P1144" i="2"/>
  <c r="H1142" i="2"/>
  <c r="J1142" i="2" s="1"/>
  <c r="I1142" i="2"/>
  <c r="H2125" i="2"/>
  <c r="J2125" i="2" s="1"/>
  <c r="P2127" i="2"/>
  <c r="I2125" i="2"/>
  <c r="P995" i="2"/>
  <c r="H993" i="2"/>
  <c r="J993" i="2" s="1"/>
  <c r="I993" i="2"/>
  <c r="J2060" i="2"/>
  <c r="M2061"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P1728" i="2"/>
  <c r="H1726" i="2"/>
  <c r="J1726" i="2" s="1"/>
  <c r="I1726"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J1724" i="2"/>
  <c r="M1725" i="2"/>
  <c r="J527" i="2"/>
  <c r="M528" i="2"/>
  <c r="J1913" i="2"/>
  <c r="M1914" i="2"/>
  <c r="M1158" i="2"/>
  <c r="J1157" i="2"/>
  <c r="M1305" i="2"/>
  <c r="J1304" i="2"/>
  <c r="J1787" i="2"/>
  <c r="M1788" i="2"/>
  <c r="M1095" i="2"/>
  <c r="J1094" i="2"/>
  <c r="H676" i="2"/>
  <c r="J676" i="2" s="1"/>
  <c r="P678" i="2"/>
  <c r="I676" i="2"/>
  <c r="H598" i="2"/>
  <c r="J598" i="2" s="1"/>
  <c r="P600" i="2"/>
  <c r="I598" i="2"/>
  <c r="J884" i="2"/>
  <c r="M885" i="2"/>
  <c r="H1224" i="2"/>
  <c r="P1226" i="2"/>
  <c r="I1224" i="2"/>
  <c r="P1308" i="2"/>
  <c r="H1306" i="2"/>
  <c r="J1306" i="2" s="1"/>
  <c r="I1306" i="2"/>
  <c r="M549" i="2"/>
  <c r="J548" i="2"/>
  <c r="P2106" i="2"/>
  <c r="H2104" i="2"/>
  <c r="J2104" i="2" s="1"/>
  <c r="I2104" i="2"/>
  <c r="J1451" i="2"/>
  <c r="M1452" i="2"/>
  <c r="P888" i="2"/>
  <c r="H886" i="2"/>
  <c r="J886" i="2" s="1"/>
  <c r="I886" i="2"/>
  <c r="J1661" i="2"/>
  <c r="M1662" i="2"/>
  <c r="J779" i="2"/>
  <c r="M780" i="2"/>
  <c r="P2043" i="2"/>
  <c r="H2041" i="2"/>
  <c r="J2041" i="2" s="1"/>
  <c r="I2041" i="2"/>
  <c r="P1560" i="2"/>
  <c r="H1558" i="2"/>
  <c r="J1558" i="2" s="1"/>
  <c r="I1558" i="2"/>
  <c r="J1472" i="2"/>
  <c r="M1473" i="2"/>
  <c r="P934" i="2"/>
  <c r="J1493" i="2"/>
  <c r="M1494" i="2"/>
  <c r="M2145" i="2"/>
  <c r="J2144" i="2"/>
  <c r="P953" i="2"/>
  <c r="H951" i="2"/>
  <c r="J951" i="2" s="1"/>
  <c r="I951" i="2"/>
  <c r="J2039" i="2"/>
  <c r="M2040" i="2"/>
  <c r="P1917" i="2"/>
  <c r="H1915" i="2"/>
  <c r="J1915" i="2" s="1"/>
  <c r="I1915" i="2"/>
  <c r="J1892" i="2"/>
  <c r="M1893" i="2"/>
  <c r="J905" i="2"/>
  <c r="M906" i="2"/>
  <c r="H1860" i="2"/>
  <c r="I1860"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1497" i="2"/>
  <c r="H1495" i="2"/>
  <c r="J1495" i="2" s="1"/>
  <c r="I1495" i="2"/>
  <c r="M696" i="2"/>
  <c r="J695" i="2"/>
  <c r="H2146" i="2"/>
  <c r="J2146" i="2" s="1"/>
  <c r="P2148" i="2"/>
  <c r="I2146" i="2"/>
  <c r="P1413" i="2"/>
  <c r="H1411" i="2"/>
  <c r="J1411" i="2" s="1"/>
  <c r="I1411" i="2"/>
  <c r="J1073" i="2"/>
  <c r="M1074" i="2"/>
  <c r="P1896" i="2"/>
  <c r="H1894" i="2"/>
  <c r="J1894" i="2" s="1"/>
  <c r="I1894" i="2"/>
  <c r="P909" i="2"/>
  <c r="H907" i="2"/>
  <c r="J907" i="2" s="1"/>
  <c r="I907" i="2"/>
  <c r="M1284" i="2"/>
  <c r="J1283" i="2"/>
  <c r="J1955" i="2"/>
  <c r="M1956" i="2"/>
  <c r="Q657" i="2"/>
  <c r="I655" i="2"/>
  <c r="H655" i="2"/>
  <c r="J655" i="2" s="1"/>
  <c r="P762" i="2"/>
  <c r="H760" i="2"/>
  <c r="J760" i="2" s="1"/>
  <c r="I760" i="2"/>
  <c r="P848" i="2"/>
  <c r="H846" i="2"/>
  <c r="J846" i="2" s="1"/>
  <c r="I846" i="2"/>
  <c r="P699" i="2"/>
  <c r="H697" i="2"/>
  <c r="J697" i="2" s="1"/>
  <c r="I697" i="2"/>
  <c r="J1409" i="2"/>
  <c r="M1410" i="2"/>
  <c r="P1077" i="2"/>
  <c r="H1075" i="2"/>
  <c r="J1075" i="2" s="1"/>
  <c r="I1075" i="2"/>
  <c r="J1703" i="2"/>
  <c r="M1704" i="2"/>
  <c r="P1644" i="2"/>
  <c r="H1642" i="2"/>
  <c r="J1642" i="2" s="1"/>
  <c r="I1642" i="2"/>
  <c r="P869" i="2"/>
  <c r="H867" i="2"/>
  <c r="I867" i="2"/>
  <c r="J275"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J2081" i="2"/>
  <c r="M2082" i="2"/>
  <c r="P1707" i="2"/>
  <c r="H1705" i="2"/>
  <c r="J1705" i="2" s="1"/>
  <c r="I1705" i="2"/>
  <c r="J1640" i="2"/>
  <c r="M1641" i="2"/>
  <c r="J1976" i="2"/>
  <c r="M1977" i="2"/>
  <c r="P1245" i="2"/>
  <c r="H1243" i="2"/>
  <c r="J1243" i="2" s="1"/>
  <c r="I1243" i="2"/>
  <c r="H2171" i="2"/>
  <c r="J2171" i="2" s="1"/>
  <c r="P2173" i="2"/>
  <c r="I2171" i="2"/>
  <c r="J1199" i="2"/>
  <c r="M1200" i="2"/>
  <c r="P1835" i="2"/>
  <c r="H1833" i="2"/>
  <c r="I1833" i="2"/>
  <c r="P2085" i="2"/>
  <c r="H2083" i="2"/>
  <c r="J2083" i="2" s="1"/>
  <c r="I2083" i="2"/>
  <c r="H1978" i="2"/>
  <c r="J1978" i="2" s="1"/>
  <c r="P1980" i="2"/>
  <c r="I1978" i="2"/>
  <c r="P1371" i="2"/>
  <c r="H1369" i="2"/>
  <c r="J1369" i="2" s="1"/>
  <c r="I1369" i="2"/>
  <c r="P1623" i="2"/>
  <c r="H1621" i="2"/>
  <c r="J1621" i="2" s="1"/>
  <c r="I1621" i="2"/>
  <c r="J737" i="2"/>
  <c r="M738" i="2"/>
  <c r="M1242" i="2"/>
  <c r="J1241" i="2"/>
  <c r="J1178" i="2"/>
  <c r="M1179" i="2"/>
  <c r="P1329" i="2"/>
  <c r="H1327" i="2"/>
  <c r="J1327" i="2" s="1"/>
  <c r="I1327" i="2"/>
  <c r="P1203" i="2"/>
  <c r="H1201" i="2"/>
  <c r="J1201" i="2" s="1"/>
  <c r="I1201" i="2"/>
  <c r="P1942" i="2"/>
  <c r="H1940" i="2"/>
  <c r="I1940" i="2"/>
  <c r="H1039" i="2"/>
  <c r="J1039" i="2" s="1"/>
  <c r="P1041" i="2"/>
  <c r="I1039" i="2"/>
  <c r="R932" i="2"/>
  <c r="R934" i="2" s="1"/>
  <c r="R936" i="2" s="1"/>
  <c r="I930" i="2"/>
  <c r="J1577" i="2"/>
  <c r="M1578" i="2"/>
  <c r="J1367" i="2"/>
  <c r="M1368" i="2"/>
  <c r="M1998" i="2"/>
  <c r="J1997" i="2"/>
  <c r="J1619" i="2"/>
  <c r="M1620" i="2"/>
  <c r="H789" i="2"/>
  <c r="J789" i="2" s="1"/>
  <c r="I789" i="2"/>
  <c r="P1182" i="2"/>
  <c r="H1180" i="2"/>
  <c r="J1180" i="2" s="1"/>
  <c r="I1180" i="2"/>
  <c r="P1814" i="2"/>
  <c r="H1812" i="2"/>
  <c r="J1812" i="2" s="1"/>
  <c r="I1812" i="2"/>
  <c r="P1581" i="2"/>
  <c r="H1579" i="2"/>
  <c r="J1579" i="2" s="1"/>
  <c r="I1579" i="2"/>
  <c r="J1262" i="2"/>
  <c r="M1263" i="2"/>
  <c r="H1999" i="2"/>
  <c r="J1999" i="2" s="1"/>
  <c r="P2001" i="2"/>
  <c r="I1999" i="2"/>
  <c r="M1053" i="2"/>
  <c r="J1052" i="2"/>
  <c r="J1535" i="2"/>
  <c r="M1536" i="2"/>
  <c r="J44" i="2"/>
  <c r="H1671" i="2"/>
  <c r="J1671" i="2" s="1"/>
  <c r="I1671" i="2"/>
  <c r="H8" i="2"/>
  <c r="U22" i="2"/>
  <c r="V22" i="2"/>
  <c r="W22" i="2"/>
  <c r="X22" i="2"/>
  <c r="Y22" i="2"/>
  <c r="Z22" i="2"/>
  <c r="AA22" i="2"/>
  <c r="AB22" i="2"/>
  <c r="AC22" i="2"/>
  <c r="AD22" i="2"/>
  <c r="AE22" i="2"/>
  <c r="AF22" i="2"/>
  <c r="AG22" i="2"/>
  <c r="AH22" i="2"/>
  <c r="AI22" i="2"/>
  <c r="U24" i="2"/>
  <c r="V24" i="2"/>
  <c r="W24" i="2"/>
  <c r="X24" i="2"/>
  <c r="Y24" i="2"/>
  <c r="Z24" i="2"/>
  <c r="AA24" i="2"/>
  <c r="AB24" i="2"/>
  <c r="AC24" i="2"/>
  <c r="AD24" i="2"/>
  <c r="AE24" i="2"/>
  <c r="AF24" i="2"/>
  <c r="AG24" i="2"/>
  <c r="AH24" i="2"/>
  <c r="AI24" i="2"/>
  <c r="U26" i="2"/>
  <c r="V26" i="2"/>
  <c r="W26" i="2"/>
  <c r="X26" i="2"/>
  <c r="Y26" i="2"/>
  <c r="Z26" i="2"/>
  <c r="AA26" i="2"/>
  <c r="AB26" i="2"/>
  <c r="AC26" i="2"/>
  <c r="AD26" i="2"/>
  <c r="AE26" i="2"/>
  <c r="AF26" i="2"/>
  <c r="AG26" i="2"/>
  <c r="AH26" i="2"/>
  <c r="AI26" i="2"/>
  <c r="U28" i="2"/>
  <c r="V28" i="2"/>
  <c r="W28" i="2"/>
  <c r="X28" i="2"/>
  <c r="Y28" i="2"/>
  <c r="Z28" i="2"/>
  <c r="AA28" i="2"/>
  <c r="AB28" i="2"/>
  <c r="AC28" i="2"/>
  <c r="AD28" i="2"/>
  <c r="AE28" i="2"/>
  <c r="AF28" i="2"/>
  <c r="AG28" i="2"/>
  <c r="AH28" i="2"/>
  <c r="AI28" i="2"/>
  <c r="U30" i="2"/>
  <c r="V30" i="2"/>
  <c r="W30" i="2"/>
  <c r="X30" i="2"/>
  <c r="Y30" i="2"/>
  <c r="Z30" i="2"/>
  <c r="AA30" i="2"/>
  <c r="AB30" i="2"/>
  <c r="AC30" i="2"/>
  <c r="AD30" i="2"/>
  <c r="AE30" i="2"/>
  <c r="AF30" i="2"/>
  <c r="AG30" i="2"/>
  <c r="AH30" i="2"/>
  <c r="AI30" i="2"/>
  <c r="U32" i="2"/>
  <c r="V32" i="2"/>
  <c r="W32" i="2"/>
  <c r="X32" i="2"/>
  <c r="Y32" i="2"/>
  <c r="Z32" i="2"/>
  <c r="AA32" i="2"/>
  <c r="AB32" i="2"/>
  <c r="AC32" i="2"/>
  <c r="AD32" i="2"/>
  <c r="AE32" i="2"/>
  <c r="AF32" i="2"/>
  <c r="AG32" i="2"/>
  <c r="AH32" i="2"/>
  <c r="AI32" i="2"/>
  <c r="H506" i="2" l="1"/>
  <c r="J506" i="2" s="1"/>
  <c r="P361" i="2"/>
  <c r="P360" i="2" s="1"/>
  <c r="H170" i="2"/>
  <c r="J170" i="2" s="1"/>
  <c r="P153" i="2"/>
  <c r="P152" i="2" s="1"/>
  <c r="H445" i="2"/>
  <c r="J445" i="2" s="1"/>
  <c r="Q447" i="2"/>
  <c r="P447" i="2"/>
  <c r="P446" i="2" s="1"/>
  <c r="I445" i="2"/>
  <c r="R447" i="2"/>
  <c r="R446" i="2" s="1"/>
  <c r="S424" i="2"/>
  <c r="S423" i="2" s="1"/>
  <c r="R424" i="2"/>
  <c r="R423" i="2" s="1"/>
  <c r="P423" i="2"/>
  <c r="I422" i="2"/>
  <c r="Q424" i="2"/>
  <c r="Q423" i="2" s="1"/>
  <c r="P379" i="2"/>
  <c r="H380" i="2"/>
  <c r="J380" i="2" s="1"/>
  <c r="R379" i="2"/>
  <c r="P382" i="2" s="1"/>
  <c r="I359" i="2"/>
  <c r="R361" i="2"/>
  <c r="R360" i="2" s="1"/>
  <c r="P363" i="2" s="1"/>
  <c r="P362" i="2" s="1"/>
  <c r="S361" i="2"/>
  <c r="S360" i="2" s="1"/>
  <c r="H359" i="2"/>
  <c r="J359" i="2" s="1"/>
  <c r="H317" i="2"/>
  <c r="J317" i="2" s="1"/>
  <c r="I317" i="2"/>
  <c r="P319" i="2"/>
  <c r="P318" i="2" s="1"/>
  <c r="R319" i="2"/>
  <c r="R318" i="2" s="1"/>
  <c r="Q319" i="2"/>
  <c r="Q318" i="2" s="1"/>
  <c r="I319" i="2" s="1"/>
  <c r="I298" i="2"/>
  <c r="H298" i="2"/>
  <c r="J298" i="2" s="1"/>
  <c r="S300" i="2"/>
  <c r="S299" i="2" s="1"/>
  <c r="R300" i="2"/>
  <c r="Q300" i="2"/>
  <c r="Q299" i="2" s="1"/>
  <c r="R256" i="2"/>
  <c r="R255" i="2" s="1"/>
  <c r="U256" i="2"/>
  <c r="U255" i="2" s="1"/>
  <c r="T256" i="2"/>
  <c r="T255" i="2" s="1"/>
  <c r="S256" i="2"/>
  <c r="S255" i="2" s="1"/>
  <c r="P256" i="2"/>
  <c r="Q256" i="2"/>
  <c r="Q255" i="2" s="1"/>
  <c r="I254" i="2"/>
  <c r="Q237" i="2"/>
  <c r="Q236" i="2" s="1"/>
  <c r="H235" i="2"/>
  <c r="J235" i="2" s="1"/>
  <c r="I235" i="2"/>
  <c r="P237" i="2"/>
  <c r="P236" i="2" s="1"/>
  <c r="R237" i="2"/>
  <c r="R236" i="2" s="1"/>
  <c r="P216" i="2"/>
  <c r="P215" i="2" s="1"/>
  <c r="R216" i="2"/>
  <c r="R215" i="2" s="1"/>
  <c r="T216" i="2"/>
  <c r="T215" i="2" s="1"/>
  <c r="I214" i="2"/>
  <c r="H214" i="2"/>
  <c r="J214" i="2" s="1"/>
  <c r="Q216" i="2"/>
  <c r="Q215" i="2" s="1"/>
  <c r="S216" i="2"/>
  <c r="S215" i="2" s="1"/>
  <c r="R169" i="2"/>
  <c r="Q169" i="2"/>
  <c r="H151" i="2"/>
  <c r="J151" i="2" s="1"/>
  <c r="Q153" i="2"/>
  <c r="Q152" i="2" s="1"/>
  <c r="I151" i="2"/>
  <c r="R153" i="2"/>
  <c r="R152" i="2" s="1"/>
  <c r="I466" i="2"/>
  <c r="H466" i="2"/>
  <c r="J466" i="2" s="1"/>
  <c r="P468" i="2"/>
  <c r="P467" i="2" s="1"/>
  <c r="R468" i="2"/>
  <c r="R467" i="2" s="1"/>
  <c r="Q468" i="2"/>
  <c r="Q467" i="2" s="1"/>
  <c r="Q489" i="2"/>
  <c r="Q488" i="2" s="1"/>
  <c r="T489" i="2"/>
  <c r="T488" i="2" s="1"/>
  <c r="S489" i="2"/>
  <c r="S488" i="2" s="1"/>
  <c r="H487" i="2"/>
  <c r="J487" i="2" s="1"/>
  <c r="P489" i="2"/>
  <c r="P488" i="2" s="1"/>
  <c r="I487" i="2"/>
  <c r="R489" i="2"/>
  <c r="R488" i="2" s="1"/>
  <c r="T508" i="2"/>
  <c r="T507" i="2" s="1"/>
  <c r="R508" i="2"/>
  <c r="R507" i="2" s="1"/>
  <c r="Q508" i="2"/>
  <c r="Q507" i="2" s="1"/>
  <c r="I506" i="2"/>
  <c r="P508" i="2"/>
  <c r="P507" i="2" s="1"/>
  <c r="U508" i="2"/>
  <c r="U507" i="2" s="1"/>
  <c r="S508" i="2"/>
  <c r="P403" i="2"/>
  <c r="P402" i="2" s="1"/>
  <c r="I401" i="2"/>
  <c r="R403" i="2"/>
  <c r="R402" i="2" s="1"/>
  <c r="I277" i="2"/>
  <c r="R279" i="2"/>
  <c r="R278" i="2" s="1"/>
  <c r="P279" i="2"/>
  <c r="P278" i="2" s="1"/>
  <c r="H277" i="2"/>
  <c r="J277" i="2" s="1"/>
  <c r="Q279" i="2"/>
  <c r="Q278" i="2" s="1"/>
  <c r="Q192" i="2"/>
  <c r="I193" i="2" s="1"/>
  <c r="H193" i="2"/>
  <c r="J193" i="2" s="1"/>
  <c r="P130" i="2"/>
  <c r="P129" i="2" s="1"/>
  <c r="V130" i="2"/>
  <c r="V129" i="2" s="1"/>
  <c r="U130" i="2"/>
  <c r="U129" i="2" s="1"/>
  <c r="T130" i="2"/>
  <c r="T129" i="2" s="1"/>
  <c r="I128" i="2"/>
  <c r="S130" i="2"/>
  <c r="S129" i="2" s="1"/>
  <c r="Q130" i="2"/>
  <c r="Q129" i="2" s="1"/>
  <c r="R130" i="2"/>
  <c r="R129" i="2" s="1"/>
  <c r="P109" i="2"/>
  <c r="P108" i="2" s="1"/>
  <c r="R109" i="2"/>
  <c r="R108" i="2" s="1"/>
  <c r="S109" i="2"/>
  <c r="S108" i="2" s="1"/>
  <c r="H107" i="2"/>
  <c r="J107" i="2" s="1"/>
  <c r="I107" i="2"/>
  <c r="Q109" i="2"/>
  <c r="S90" i="2"/>
  <c r="S89" i="2" s="1"/>
  <c r="I88" i="2"/>
  <c r="H88" i="2"/>
  <c r="J88" i="2" s="1"/>
  <c r="Q90" i="2"/>
  <c r="Q89" i="2" s="1"/>
  <c r="P90" i="2"/>
  <c r="P89" i="2" s="1"/>
  <c r="R90" i="2"/>
  <c r="R89" i="2" s="1"/>
  <c r="V69" i="2"/>
  <c r="V68" i="2" s="1"/>
  <c r="U69" i="2"/>
  <c r="U68" i="2" s="1"/>
  <c r="I67" i="2"/>
  <c r="T69" i="2"/>
  <c r="T68" i="2" s="1"/>
  <c r="S69" i="2"/>
  <c r="S68" i="2" s="1"/>
  <c r="R69" i="2"/>
  <c r="R68" i="2" s="1"/>
  <c r="P69" i="2"/>
  <c r="P68" i="2" s="1"/>
  <c r="H67" i="2"/>
  <c r="J67" i="2" s="1"/>
  <c r="Q69" i="2"/>
  <c r="Q68" i="2" s="1"/>
  <c r="H46" i="2"/>
  <c r="J46" i="2" s="1"/>
  <c r="S48" i="2"/>
  <c r="S47" i="2" s="1"/>
  <c r="I46" i="2"/>
  <c r="R48" i="2"/>
  <c r="R47" i="2" s="1"/>
  <c r="Q48" i="2"/>
  <c r="Q47" i="2" s="1"/>
  <c r="P48" i="2"/>
  <c r="H338" i="2"/>
  <c r="J338" i="2" s="1"/>
  <c r="P337"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519"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P1982" i="2"/>
  <c r="H1980" i="2"/>
  <c r="J1980" i="2" s="1"/>
  <c r="I1980" i="2"/>
  <c r="P2175" i="2"/>
  <c r="H2173" i="2"/>
  <c r="J2173" i="2" s="1"/>
  <c r="I2173" i="2"/>
  <c r="P640" i="2"/>
  <c r="H638" i="2"/>
  <c r="I638" i="2"/>
  <c r="J867" i="2"/>
  <c r="P764" i="2"/>
  <c r="H762" i="2"/>
  <c r="J762" i="2" s="1"/>
  <c r="I762" i="2"/>
  <c r="H909" i="2"/>
  <c r="J909" i="2" s="1"/>
  <c r="P911" i="2"/>
  <c r="I909" i="2"/>
  <c r="P1415" i="2"/>
  <c r="H1413" i="2"/>
  <c r="I1413"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1940" i="2"/>
  <c r="H1455" i="2"/>
  <c r="J1455" i="2" s="1"/>
  <c r="P1457" i="2"/>
  <c r="I1455" i="2"/>
  <c r="P871" i="2"/>
  <c r="H869" i="2"/>
  <c r="J869" i="2" s="1"/>
  <c r="I869" i="2"/>
  <c r="P1310" i="2"/>
  <c r="H1308" i="2"/>
  <c r="I1308" i="2"/>
  <c r="J1224" i="2"/>
  <c r="H1688" i="2"/>
  <c r="J1688" i="2" s="1"/>
  <c r="P1690" i="2"/>
  <c r="I1688" i="2"/>
  <c r="H1144" i="2"/>
  <c r="P1146" i="2"/>
  <c r="I1144" i="2"/>
  <c r="H1942" i="2"/>
  <c r="J1942" i="2" s="1"/>
  <c r="I1942" i="2"/>
  <c r="P1944" i="2"/>
  <c r="P1331" i="2"/>
  <c r="H1329" i="2"/>
  <c r="J1329" i="2" s="1"/>
  <c r="I1329" i="2"/>
  <c r="P1289" i="2"/>
  <c r="H1287" i="2"/>
  <c r="J1287" i="2" s="1"/>
  <c r="I1287" i="2"/>
  <c r="H2148" i="2"/>
  <c r="J2148" i="2" s="1"/>
  <c r="P2150" i="2"/>
  <c r="I2148" i="2"/>
  <c r="P808" i="2"/>
  <c r="H806" i="2"/>
  <c r="J806" i="2" s="1"/>
  <c r="I806" i="2"/>
  <c r="M166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I932" i="2"/>
  <c r="H1119" i="2"/>
  <c r="J1119" i="2" s="1"/>
  <c r="P1121" i="2"/>
  <c r="I1119" i="2"/>
  <c r="P1753" i="2"/>
  <c r="H1751" i="2"/>
  <c r="I1751" i="2"/>
  <c r="P1058" i="2"/>
  <c r="H1056" i="2"/>
  <c r="I1056" i="2"/>
  <c r="P2003" i="2"/>
  <c r="H2001" i="2"/>
  <c r="J2001" i="2" s="1"/>
  <c r="I2001" i="2"/>
  <c r="P1709" i="2"/>
  <c r="H1707" i="2"/>
  <c r="J1707" i="2" s="1"/>
  <c r="I1707" i="2"/>
  <c r="H932" i="2"/>
  <c r="H1770" i="2"/>
  <c r="J1770" i="2" s="1"/>
  <c r="P1772" i="2"/>
  <c r="I1770" i="2"/>
  <c r="P1730" i="2"/>
  <c r="H1728" i="2"/>
  <c r="I1728" i="2"/>
  <c r="P2028" i="2"/>
  <c r="H2026" i="2"/>
  <c r="J2026" i="2" s="1"/>
  <c r="I2026" i="2"/>
  <c r="P1816" i="2"/>
  <c r="H1814" i="2"/>
  <c r="J1814" i="2" s="1"/>
  <c r="I1814" i="2"/>
  <c r="P1184" i="2"/>
  <c r="H1182" i="2"/>
  <c r="J1182" i="2" s="1"/>
  <c r="I1182" i="2"/>
  <c r="H1394" i="2"/>
  <c r="P1396" i="2"/>
  <c r="I1394" i="2"/>
  <c r="P701" i="2"/>
  <c r="H699" i="2"/>
  <c r="J699" i="2" s="1"/>
  <c r="I699" i="2"/>
  <c r="P1604" i="2"/>
  <c r="H1602" i="2"/>
  <c r="J1602" i="2" s="1"/>
  <c r="I1602" i="2"/>
  <c r="H934" i="2"/>
  <c r="J934" i="2" s="1"/>
  <c r="P936" i="2"/>
  <c r="I934" i="2"/>
  <c r="P1562" i="2"/>
  <c r="H1560" i="2"/>
  <c r="I1560" i="2"/>
  <c r="H888" i="2"/>
  <c r="P890" i="2"/>
  <c r="I888" i="2"/>
  <c r="P680" i="2"/>
  <c r="H678" i="2"/>
  <c r="I678" i="2"/>
  <c r="P1478" i="2"/>
  <c r="H1476" i="2"/>
  <c r="J1476" i="2" s="1"/>
  <c r="I1476"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P1961" i="2"/>
  <c r="H1959" i="2"/>
  <c r="J1959" i="2" s="1"/>
  <c r="I1959" i="2"/>
  <c r="P850" i="2"/>
  <c r="H848" i="2"/>
  <c r="J848" i="2" s="1"/>
  <c r="I848" i="2"/>
  <c r="P1499" i="2"/>
  <c r="H1497" i="2"/>
  <c r="J1497" i="2" s="1"/>
  <c r="I1497" i="2"/>
  <c r="P1270" i="2"/>
  <c r="H1268" i="2"/>
  <c r="I1268" i="2"/>
  <c r="P556" i="2"/>
  <c r="H554" i="2"/>
  <c r="J554" i="2" s="1"/>
  <c r="I554" i="2"/>
  <c r="P955" i="2"/>
  <c r="H953" i="2"/>
  <c r="J953" i="2" s="1"/>
  <c r="I953" i="2"/>
  <c r="P2045" i="2"/>
  <c r="H2043" i="2"/>
  <c r="I2043"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M781" i="2"/>
  <c r="P577" i="2"/>
  <c r="H575" i="2"/>
  <c r="I575" i="2"/>
  <c r="H1875" i="2"/>
  <c r="J1875" i="2" s="1"/>
  <c r="P1877" i="2"/>
  <c r="I1875" i="2"/>
  <c r="Q1352" i="2"/>
  <c r="I1350" i="2"/>
  <c r="H1350" i="2"/>
  <c r="B15" i="2"/>
  <c r="Q363" i="2" l="1"/>
  <c r="Q362" i="2" s="1"/>
  <c r="I447" i="2"/>
  <c r="R363" i="2"/>
  <c r="R362" i="2" s="1"/>
  <c r="H447" i="2"/>
  <c r="I153" i="2"/>
  <c r="R321" i="2"/>
  <c r="R320" i="2" s="1"/>
  <c r="H319" i="2"/>
  <c r="J319" i="2" s="1"/>
  <c r="P321" i="2"/>
  <c r="P320" i="2" s="1"/>
  <c r="H153" i="2"/>
  <c r="J153" i="2" s="1"/>
  <c r="Q449" i="2"/>
  <c r="P449" i="2"/>
  <c r="P448" i="2" s="1"/>
  <c r="R449" i="2"/>
  <c r="P426" i="2"/>
  <c r="P425" i="2" s="1"/>
  <c r="S426" i="2"/>
  <c r="S425" i="2" s="1"/>
  <c r="R426" i="2"/>
  <c r="R425" i="2" s="1"/>
  <c r="Q426" i="2"/>
  <c r="Q425" i="2" s="1"/>
  <c r="H424" i="2"/>
  <c r="J424" i="2" s="1"/>
  <c r="I424" i="2"/>
  <c r="P381" i="2"/>
  <c r="R382" i="2"/>
  <c r="I380" i="2"/>
  <c r="S382" i="2"/>
  <c r="Q382" i="2"/>
  <c r="I361" i="2"/>
  <c r="H361" i="2"/>
  <c r="J361" i="2" s="1"/>
  <c r="S363" i="2"/>
  <c r="S362" i="2" s="1"/>
  <c r="I363" i="2" s="1"/>
  <c r="S321" i="2"/>
  <c r="S320" i="2" s="1"/>
  <c r="Q321" i="2"/>
  <c r="Q320" i="2" s="1"/>
  <c r="R299" i="2"/>
  <c r="I300" i="2" s="1"/>
  <c r="H300" i="2"/>
  <c r="P255" i="2"/>
  <c r="U258" i="2" s="1"/>
  <c r="U257" i="2" s="1"/>
  <c r="H256" i="2"/>
  <c r="J256" i="2" s="1"/>
  <c r="Q239" i="2"/>
  <c r="Q238" i="2" s="1"/>
  <c r="R239" i="2"/>
  <c r="H237" i="2"/>
  <c r="J237" i="2" s="1"/>
  <c r="P239" i="2"/>
  <c r="P238" i="2" s="1"/>
  <c r="I237" i="2"/>
  <c r="S218" i="2"/>
  <c r="S217" i="2" s="1"/>
  <c r="P218" i="2"/>
  <c r="P217" i="2" s="1"/>
  <c r="I216" i="2"/>
  <c r="H216" i="2"/>
  <c r="T218" i="2"/>
  <c r="T217" i="2" s="1"/>
  <c r="Q218" i="2"/>
  <c r="Q217" i="2" s="1"/>
  <c r="R218" i="2"/>
  <c r="R217" i="2" s="1"/>
  <c r="T195" i="2"/>
  <c r="T194" i="2" s="1"/>
  <c r="I170" i="2"/>
  <c r="P172" i="2"/>
  <c r="Q172" i="2"/>
  <c r="R172" i="2"/>
  <c r="P155" i="2"/>
  <c r="P154" i="2" s="1"/>
  <c r="R155" i="2"/>
  <c r="Q155" i="2"/>
  <c r="Q470" i="2"/>
  <c r="Q469" i="2" s="1"/>
  <c r="R470" i="2"/>
  <c r="R469" i="2" s="1"/>
  <c r="P470" i="2"/>
  <c r="P469" i="2" s="1"/>
  <c r="H468" i="2"/>
  <c r="J468" i="2" s="1"/>
  <c r="I468" i="2"/>
  <c r="T491" i="2"/>
  <c r="T490" i="2" s="1"/>
  <c r="S491" i="2"/>
  <c r="S490" i="2" s="1"/>
  <c r="Q491" i="2"/>
  <c r="Q490" i="2" s="1"/>
  <c r="H489" i="2"/>
  <c r="J489" i="2" s="1"/>
  <c r="P491" i="2"/>
  <c r="P490" i="2" s="1"/>
  <c r="I489" i="2"/>
  <c r="R491" i="2"/>
  <c r="R490" i="2" s="1"/>
  <c r="H508" i="2"/>
  <c r="J508" i="2" s="1"/>
  <c r="S507" i="2"/>
  <c r="U510" i="2" s="1"/>
  <c r="U509" i="2" s="1"/>
  <c r="Q405" i="2"/>
  <c r="Q404" i="2" s="1"/>
  <c r="I403" i="2"/>
  <c r="H403" i="2"/>
  <c r="J403" i="2" s="1"/>
  <c r="R405" i="2"/>
  <c r="R404" i="2" s="1"/>
  <c r="P405" i="2"/>
  <c r="P404" i="2" s="1"/>
  <c r="Q340" i="2"/>
  <c r="Q339" i="2" s="1"/>
  <c r="S340" i="2"/>
  <c r="S339" i="2" s="1"/>
  <c r="R340" i="2"/>
  <c r="R339" i="2" s="1"/>
  <c r="P281" i="2"/>
  <c r="P280" i="2" s="1"/>
  <c r="R281" i="2"/>
  <c r="R280" i="2" s="1"/>
  <c r="H279" i="2"/>
  <c r="J279" i="2" s="1"/>
  <c r="Q281" i="2"/>
  <c r="Q280" i="2" s="1"/>
  <c r="I279" i="2"/>
  <c r="R195" i="2"/>
  <c r="R194" i="2" s="1"/>
  <c r="P195" i="2"/>
  <c r="P194" i="2" s="1"/>
  <c r="S195" i="2"/>
  <c r="S194" i="2" s="1"/>
  <c r="Q195" i="2"/>
  <c r="Q194" i="2" s="1"/>
  <c r="V132" i="2"/>
  <c r="V131" i="2" s="1"/>
  <c r="U132" i="2"/>
  <c r="U131" i="2" s="1"/>
  <c r="T132" i="2"/>
  <c r="T131" i="2" s="1"/>
  <c r="Q132" i="2"/>
  <c r="Q131" i="2" s="1"/>
  <c r="P132" i="2"/>
  <c r="P131" i="2" s="1"/>
  <c r="I130" i="2"/>
  <c r="R132" i="2"/>
  <c r="R131" i="2" s="1"/>
  <c r="S132" i="2"/>
  <c r="S131" i="2" s="1"/>
  <c r="H130" i="2"/>
  <c r="J130" i="2" s="1"/>
  <c r="Q108" i="2"/>
  <c r="Q111" i="2" s="1"/>
  <c r="H109" i="2"/>
  <c r="J109" i="2" s="1"/>
  <c r="P92" i="2"/>
  <c r="P91" i="2" s="1"/>
  <c r="H90" i="2"/>
  <c r="I90" i="2"/>
  <c r="Q92" i="2"/>
  <c r="Q91" i="2" s="1"/>
  <c r="S92" i="2"/>
  <c r="S91" i="2" s="1"/>
  <c r="R92" i="2"/>
  <c r="R91" i="2" s="1"/>
  <c r="P71" i="2"/>
  <c r="P70" i="2" s="1"/>
  <c r="V71" i="2"/>
  <c r="V70" i="2" s="1"/>
  <c r="U71" i="2"/>
  <c r="U70" i="2" s="1"/>
  <c r="T71" i="2"/>
  <c r="T70" i="2" s="1"/>
  <c r="S71" i="2"/>
  <c r="S70" i="2" s="1"/>
  <c r="I69" i="2"/>
  <c r="H69" i="2"/>
  <c r="J69" i="2" s="1"/>
  <c r="R71" i="2"/>
  <c r="R70" i="2" s="1"/>
  <c r="Q71" i="2"/>
  <c r="H48" i="2"/>
  <c r="J48" i="2" s="1"/>
  <c r="P47" i="2"/>
  <c r="P340" i="2"/>
  <c r="I338" i="2"/>
  <c r="J90" i="2"/>
  <c r="AE601" i="2"/>
  <c r="AA601" i="2"/>
  <c r="T601" i="2"/>
  <c r="AD601" i="2"/>
  <c r="Z601" i="2"/>
  <c r="U601" i="2"/>
  <c r="AC601" i="2"/>
  <c r="AH601" i="2"/>
  <c r="Y601" i="2"/>
  <c r="AB601" i="2"/>
  <c r="AG601" i="2"/>
  <c r="AF601" i="2"/>
  <c r="V601" i="2"/>
  <c r="AA1042" i="2"/>
  <c r="J995"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H556" i="2"/>
  <c r="J556" i="2" s="1"/>
  <c r="P558" i="2"/>
  <c r="I556" i="2"/>
  <c r="P1921" i="2"/>
  <c r="H1919" i="2"/>
  <c r="J1919" i="2" s="1"/>
  <c r="I1919" i="2"/>
  <c r="H1205" i="2"/>
  <c r="J1205" i="2" s="1"/>
  <c r="P1207" i="2"/>
  <c r="I1205" i="2"/>
  <c r="J888" i="2"/>
  <c r="P1186" i="2"/>
  <c r="H1184" i="2"/>
  <c r="J1184" i="2" s="1"/>
  <c r="I1184" i="2"/>
  <c r="J1728" i="2"/>
  <c r="P1774" i="2"/>
  <c r="H1772" i="2"/>
  <c r="J1772" i="2" s="1"/>
  <c r="I1772" i="2"/>
  <c r="J1751" i="2"/>
  <c r="H1331" i="2"/>
  <c r="J1331" i="2" s="1"/>
  <c r="P1333" i="2"/>
  <c r="I1331" i="2"/>
  <c r="P1438" i="2"/>
  <c r="H1436" i="2"/>
  <c r="I1436" i="2"/>
  <c r="J1350" i="2"/>
  <c r="J531"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P283" i="2"/>
  <c r="P282" i="2" s="1"/>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J741" i="2"/>
  <c r="J827" i="2"/>
  <c r="H1079" i="2"/>
  <c r="J1079" i="2" s="1"/>
  <c r="P1081" i="2"/>
  <c r="I1079" i="2"/>
  <c r="J932" i="2"/>
  <c r="J1644" i="2"/>
  <c r="T1042" i="2"/>
  <c r="M586" i="2"/>
  <c r="P1230" i="2"/>
  <c r="H1228" i="2"/>
  <c r="I1228" i="2"/>
  <c r="J638" i="2"/>
  <c r="AC1042" i="2"/>
  <c r="P1165" i="2"/>
  <c r="H1163" i="2"/>
  <c r="J1163" i="2" s="1"/>
  <c r="I1163" i="2"/>
  <c r="P1879" i="2"/>
  <c r="H1877" i="2"/>
  <c r="J1877" i="2" s="1"/>
  <c r="I1877" i="2"/>
  <c r="J575" i="2"/>
  <c r="H829" i="2"/>
  <c r="J829" i="2" s="1"/>
  <c r="P831" i="2"/>
  <c r="I829" i="2"/>
  <c r="H936" i="2"/>
  <c r="J936" i="2" s="1"/>
  <c r="I936"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J1623" i="2"/>
  <c r="P1501" i="2"/>
  <c r="H1499" i="2"/>
  <c r="J1499" i="2" s="1"/>
  <c r="I1499" i="2"/>
  <c r="P1480" i="2"/>
  <c r="H1478" i="2"/>
  <c r="J1478" i="2" s="1"/>
  <c r="I1478" i="2"/>
  <c r="AD1042" i="2"/>
  <c r="H1709" i="2"/>
  <c r="J1709" i="2" s="1"/>
  <c r="P1711" i="2"/>
  <c r="I170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J1394" i="2"/>
  <c r="J300" i="2"/>
  <c r="V1042" i="2"/>
  <c r="J657" i="2"/>
  <c r="J216" i="2"/>
  <c r="J1539" i="2"/>
  <c r="P726" i="2"/>
  <c r="H724" i="2"/>
  <c r="J724" i="2" s="1"/>
  <c r="I724" i="2"/>
  <c r="H1524" i="2"/>
  <c r="J1524" i="2" s="1"/>
  <c r="I1524" i="2"/>
  <c r="H974" i="2"/>
  <c r="I974" i="2"/>
  <c r="P976" i="2"/>
  <c r="C15" i="2"/>
  <c r="E19" i="2" s="1"/>
  <c r="E2" i="2"/>
  <c r="V19" i="2"/>
  <c r="W19" i="2"/>
  <c r="X19" i="2"/>
  <c r="Y19" i="2"/>
  <c r="Z19" i="2"/>
  <c r="AA19" i="2"/>
  <c r="AB19" i="2"/>
  <c r="AC19" i="2"/>
  <c r="AD19" i="2"/>
  <c r="AE19" i="2"/>
  <c r="AF19" i="2"/>
  <c r="AG19" i="2"/>
  <c r="AH19" i="2"/>
  <c r="AI19" i="2"/>
  <c r="Q19" i="2"/>
  <c r="R19" i="2"/>
  <c r="S19" i="2"/>
  <c r="T19" i="2"/>
  <c r="U19" i="2"/>
  <c r="R302" i="2" l="1"/>
  <c r="R301" i="2" s="1"/>
  <c r="S323" i="2"/>
  <c r="S322" i="2" s="1"/>
  <c r="S365" i="2"/>
  <c r="S364" i="2" s="1"/>
  <c r="H449" i="2"/>
  <c r="J449" i="2" s="1"/>
  <c r="H363" i="2"/>
  <c r="J363" i="2" s="1"/>
  <c r="Q323" i="2"/>
  <c r="Q322" i="2" s="1"/>
  <c r="H321" i="2"/>
  <c r="J321" i="2" s="1"/>
  <c r="H71" i="2"/>
  <c r="J71" i="2" s="1"/>
  <c r="I321" i="2"/>
  <c r="I405" i="2"/>
  <c r="Q365" i="2"/>
  <c r="Q364" i="2" s="1"/>
  <c r="R448" i="2"/>
  <c r="S428" i="2"/>
  <c r="S427" i="2" s="1"/>
  <c r="Q428" i="2"/>
  <c r="Q427" i="2" s="1"/>
  <c r="H426" i="2"/>
  <c r="J426" i="2" s="1"/>
  <c r="R428" i="2"/>
  <c r="R427" i="2" s="1"/>
  <c r="I426" i="2"/>
  <c r="P428" i="2"/>
  <c r="Q381" i="2"/>
  <c r="S381" i="2"/>
  <c r="R381" i="2"/>
  <c r="H382" i="2"/>
  <c r="J382" i="2" s="1"/>
  <c r="R365" i="2"/>
  <c r="R364" i="2" s="1"/>
  <c r="P365" i="2"/>
  <c r="P364" i="2" s="1"/>
  <c r="I365" i="2" s="1"/>
  <c r="P323" i="2"/>
  <c r="P322" i="2" s="1"/>
  <c r="R323" i="2"/>
  <c r="R322" i="2" s="1"/>
  <c r="S302" i="2"/>
  <c r="S301" i="2" s="1"/>
  <c r="Q302" i="2"/>
  <c r="Q301" i="2" s="1"/>
  <c r="P302" i="2"/>
  <c r="P301" i="2" s="1"/>
  <c r="R258" i="2"/>
  <c r="R257" i="2" s="1"/>
  <c r="T258" i="2"/>
  <c r="T257" i="2" s="1"/>
  <c r="S258" i="2"/>
  <c r="S257" i="2" s="1"/>
  <c r="I256" i="2"/>
  <c r="P258" i="2"/>
  <c r="Q258" i="2"/>
  <c r="Q257" i="2" s="1"/>
  <c r="H239" i="2"/>
  <c r="J239" i="2" s="1"/>
  <c r="R238" i="2"/>
  <c r="Q241" i="2" s="1"/>
  <c r="Q240" i="2" s="1"/>
  <c r="T220" i="2"/>
  <c r="T219" i="2" s="1"/>
  <c r="Q220" i="2"/>
  <c r="Q219" i="2" s="1"/>
  <c r="P220" i="2"/>
  <c r="P219" i="2" s="1"/>
  <c r="H218" i="2"/>
  <c r="J218" i="2" s="1"/>
  <c r="I218" i="2"/>
  <c r="R220" i="2"/>
  <c r="R219" i="2" s="1"/>
  <c r="S220" i="2"/>
  <c r="S219" i="2" s="1"/>
  <c r="I195" i="2"/>
  <c r="T197" i="2"/>
  <c r="T196" i="2" s="1"/>
  <c r="R171" i="2"/>
  <c r="Q171" i="2"/>
  <c r="P171" i="2"/>
  <c r="R174" i="2" s="1"/>
  <c r="H172" i="2"/>
  <c r="J172" i="2" s="1"/>
  <c r="H155" i="2"/>
  <c r="J155" i="2" s="1"/>
  <c r="R154" i="2"/>
  <c r="Q154" i="2"/>
  <c r="R472" i="2"/>
  <c r="R471" i="2" s="1"/>
  <c r="Q472" i="2"/>
  <c r="Q471" i="2" s="1"/>
  <c r="P472" i="2"/>
  <c r="P471" i="2" s="1"/>
  <c r="I470" i="2"/>
  <c r="H470" i="2"/>
  <c r="J470" i="2" s="1"/>
  <c r="T493" i="2"/>
  <c r="T492" i="2" s="1"/>
  <c r="S493" i="2"/>
  <c r="S492" i="2" s="1"/>
  <c r="H491" i="2"/>
  <c r="J491" i="2" s="1"/>
  <c r="P493" i="2"/>
  <c r="P492" i="2" s="1"/>
  <c r="I491" i="2"/>
  <c r="Q493" i="2"/>
  <c r="Q492" i="2" s="1"/>
  <c r="R493" i="2"/>
  <c r="R492" i="2" s="1"/>
  <c r="R510" i="2"/>
  <c r="I508" i="2"/>
  <c r="P510" i="2"/>
  <c r="P509" i="2" s="1"/>
  <c r="T510" i="2"/>
  <c r="T509" i="2" s="1"/>
  <c r="S510" i="2"/>
  <c r="S509" i="2" s="1"/>
  <c r="Q510" i="2"/>
  <c r="R407" i="2"/>
  <c r="R406" i="2" s="1"/>
  <c r="P407" i="2"/>
  <c r="H405" i="2"/>
  <c r="J405" i="2" s="1"/>
  <c r="Q407" i="2"/>
  <c r="Q406" i="2" s="1"/>
  <c r="H281" i="2"/>
  <c r="J281" i="2" s="1"/>
  <c r="I281" i="2"/>
  <c r="R283" i="2"/>
  <c r="R282" i="2" s="1"/>
  <c r="Q283" i="2"/>
  <c r="Q282" i="2" s="1"/>
  <c r="S197" i="2"/>
  <c r="S196" i="2" s="1"/>
  <c r="R197" i="2"/>
  <c r="R196" i="2" s="1"/>
  <c r="P197" i="2"/>
  <c r="P196" i="2" s="1"/>
  <c r="H195" i="2"/>
  <c r="J195" i="2" s="1"/>
  <c r="Q197" i="2"/>
  <c r="V134" i="2"/>
  <c r="V133" i="2" s="1"/>
  <c r="U134" i="2"/>
  <c r="U133" i="2" s="1"/>
  <c r="H132" i="2"/>
  <c r="J132" i="2" s="1"/>
  <c r="I132" i="2"/>
  <c r="T134" i="2"/>
  <c r="T133" i="2" s="1"/>
  <c r="S134" i="2"/>
  <c r="S133" i="2" s="1"/>
  <c r="R134" i="2"/>
  <c r="R133" i="2" s="1"/>
  <c r="Q134" i="2"/>
  <c r="Q133" i="2" s="1"/>
  <c r="H92" i="2"/>
  <c r="J92" i="2" s="1"/>
  <c r="Q110" i="2"/>
  <c r="P111" i="2"/>
  <c r="I109" i="2"/>
  <c r="S111" i="2"/>
  <c r="S110" i="2" s="1"/>
  <c r="R111" i="2"/>
  <c r="R94" i="2"/>
  <c r="R93" i="2" s="1"/>
  <c r="I92" i="2"/>
  <c r="P94" i="2"/>
  <c r="P93" i="2" s="1"/>
  <c r="S94" i="2"/>
  <c r="S93" i="2" s="1"/>
  <c r="Q94" i="2"/>
  <c r="Q93" i="2" s="1"/>
  <c r="Q70" i="2"/>
  <c r="P73" i="2" s="1"/>
  <c r="P72" i="2" s="1"/>
  <c r="I48" i="2"/>
  <c r="T50" i="2"/>
  <c r="T49" i="2" s="1"/>
  <c r="S21" i="2"/>
  <c r="S50" i="2"/>
  <c r="S49" i="2" s="1"/>
  <c r="R21" i="2"/>
  <c r="P50" i="2"/>
  <c r="P49" i="2" s="1"/>
  <c r="Q50" i="2"/>
  <c r="Q49" i="2" s="1"/>
  <c r="R50" i="2"/>
  <c r="R49" i="2" s="1"/>
  <c r="P134" i="2"/>
  <c r="P133" i="2" s="1"/>
  <c r="H340" i="2"/>
  <c r="J340" i="2" s="1"/>
  <c r="P339" i="2"/>
  <c r="Q342" i="2" s="1"/>
  <c r="Q341" i="2" s="1"/>
  <c r="R2029" i="2"/>
  <c r="M1936" i="2"/>
  <c r="AF2029" i="2"/>
  <c r="V2029" i="2"/>
  <c r="M2020" i="2"/>
  <c r="W2029" i="2"/>
  <c r="AD2029" i="2"/>
  <c r="AG2029" i="2"/>
  <c r="S2029" i="2"/>
  <c r="AH2029" i="2"/>
  <c r="Q2029" i="2"/>
  <c r="T2029" i="2"/>
  <c r="U2029" i="2"/>
  <c r="AC2029" i="2"/>
  <c r="AE2029" i="2"/>
  <c r="M2014" i="2"/>
  <c r="Q1945" i="2"/>
  <c r="AI1945" i="2"/>
  <c r="H2110" i="2"/>
  <c r="J2110" i="2" s="1"/>
  <c r="P2112" i="2"/>
  <c r="I2110" i="2"/>
  <c r="J1289" i="2"/>
  <c r="P1629" i="2"/>
  <c r="H1627" i="2"/>
  <c r="J1627" i="2" s="1"/>
  <c r="I1627" i="2"/>
  <c r="H1480" i="2"/>
  <c r="J1480" i="2" s="1"/>
  <c r="P1482" i="2"/>
  <c r="I1480" i="2"/>
  <c r="J1228" i="2"/>
  <c r="Q1356" i="2"/>
  <c r="I1354" i="2"/>
  <c r="H1354" i="2"/>
  <c r="J1354" i="2" s="1"/>
  <c r="P705" i="2"/>
  <c r="H703" i="2"/>
  <c r="I703"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1230" i="2"/>
  <c r="J1230" i="2" s="1"/>
  <c r="I1230" i="2"/>
  <c r="J808" i="2"/>
  <c r="P768" i="2"/>
  <c r="H766" i="2"/>
  <c r="J766" i="2" s="1"/>
  <c r="I766" i="2"/>
  <c r="AB1945" i="2"/>
  <c r="W1945" i="2"/>
  <c r="H726" i="2"/>
  <c r="J726" i="2" s="1"/>
  <c r="AG727" i="2" s="1"/>
  <c r="I726" i="2"/>
  <c r="P1377" i="2"/>
  <c r="H1375" i="2"/>
  <c r="J1375" i="2" s="1"/>
  <c r="I1375" i="2"/>
  <c r="H1818" i="2"/>
  <c r="J1818" i="2" s="1"/>
  <c r="I1818" i="2"/>
  <c r="H1272" i="2"/>
  <c r="J1272" i="2" s="1"/>
  <c r="Q1273" i="2" s="1"/>
  <c r="I1272" i="2"/>
  <c r="H810" i="2"/>
  <c r="J810" i="2" s="1"/>
  <c r="I810" i="2"/>
  <c r="P1335" i="2"/>
  <c r="H1333" i="2"/>
  <c r="I1333" i="2"/>
  <c r="H558" i="2"/>
  <c r="I558" i="2"/>
  <c r="M1516" i="2"/>
  <c r="U1945" i="2"/>
  <c r="AD1945" i="2"/>
  <c r="H642" i="2"/>
  <c r="I642" i="2"/>
  <c r="J1816" i="2"/>
  <c r="H1755" i="2"/>
  <c r="J1755" i="2" s="1"/>
  <c r="AF1756" i="2" s="1"/>
  <c r="I1755" i="2"/>
  <c r="P1209" i="2"/>
  <c r="H1207" i="2"/>
  <c r="I1207"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H1018" i="2"/>
  <c r="J1018" i="2" s="1"/>
  <c r="P1020" i="2"/>
  <c r="I1018" i="2"/>
  <c r="P1314" i="2"/>
  <c r="H1312" i="2"/>
  <c r="J1312" i="2" s="1"/>
  <c r="I1312" i="2"/>
  <c r="H873" i="2"/>
  <c r="J873" i="2" s="1"/>
  <c r="Q874" i="2" s="1"/>
  <c r="I873" i="2"/>
  <c r="J1982" i="2"/>
  <c r="P1587" i="2"/>
  <c r="H1585" i="2"/>
  <c r="J1585" i="2" s="1"/>
  <c r="I1585" i="2"/>
  <c r="J1436" i="2"/>
  <c r="P1776" i="2"/>
  <c r="H1774" i="2"/>
  <c r="I1774" i="2"/>
  <c r="H2131" i="2"/>
  <c r="P2133" i="2"/>
  <c r="I2131" i="2"/>
  <c r="H1249" i="2"/>
  <c r="J1249" i="2" s="1"/>
  <c r="P1251" i="2"/>
  <c r="I1249" i="2"/>
  <c r="AF1945" i="2"/>
  <c r="R1945" i="2"/>
  <c r="J974" i="2"/>
  <c r="H2089" i="2"/>
  <c r="J2089" i="2" s="1"/>
  <c r="P2091" i="2"/>
  <c r="I2089" i="2"/>
  <c r="H1984" i="2"/>
  <c r="J1984" i="2" s="1"/>
  <c r="P1986" i="2"/>
  <c r="I1984" i="2"/>
  <c r="H2152" i="2"/>
  <c r="J2152" i="2" s="1"/>
  <c r="P2154" i="2"/>
  <c r="I2152" i="2"/>
  <c r="P1440" i="2"/>
  <c r="H1438" i="2"/>
  <c r="J1438" i="2" s="1"/>
  <c r="I1438" i="2"/>
  <c r="J1247" i="2"/>
  <c r="H2005" i="2"/>
  <c r="P2007" i="2"/>
  <c r="I2005" i="2"/>
  <c r="AA1945" i="2"/>
  <c r="V1945" i="2"/>
  <c r="P747" i="2"/>
  <c r="H745" i="2"/>
  <c r="I745" i="2"/>
  <c r="H976" i="2"/>
  <c r="J976" i="2" s="1"/>
  <c r="P978" i="2"/>
  <c r="I976" i="2"/>
  <c r="J1457" i="2"/>
  <c r="J911" i="2"/>
  <c r="J2150" i="2"/>
  <c r="T1945" i="2"/>
  <c r="AC1945" i="2"/>
  <c r="P1188" i="2"/>
  <c r="H1186" i="2"/>
  <c r="J1186" i="2" s="1"/>
  <c r="I1186" i="2"/>
  <c r="J2175" i="2"/>
  <c r="M2167" i="2"/>
  <c r="H957" i="2"/>
  <c r="I957" i="2"/>
  <c r="P1461" i="2"/>
  <c r="H1459" i="2"/>
  <c r="J1459" i="2" s="1"/>
  <c r="I1459" i="2"/>
  <c r="M1138" i="2"/>
  <c r="P1713" i="2"/>
  <c r="H1711" i="2"/>
  <c r="I1711" i="2"/>
  <c r="P915" i="2"/>
  <c r="H913" i="2"/>
  <c r="J913" i="2" s="1"/>
  <c r="I913" i="2"/>
  <c r="P1650" i="2"/>
  <c r="H1648" i="2"/>
  <c r="J1648" i="2" s="1"/>
  <c r="I1648" i="2"/>
  <c r="H831" i="2"/>
  <c r="J831" i="2" s="1"/>
  <c r="AC832" i="2" s="1"/>
  <c r="I831" i="2"/>
  <c r="M928" i="2"/>
  <c r="P1083" i="2"/>
  <c r="H1081" i="2"/>
  <c r="J1081" i="2" s="1"/>
  <c r="I1081" i="2"/>
  <c r="P1419" i="2"/>
  <c r="H1417" i="2"/>
  <c r="J1417" i="2" s="1"/>
  <c r="I1417" i="2"/>
  <c r="P1125" i="2"/>
  <c r="H1123" i="2"/>
  <c r="J1123" i="2" s="1"/>
  <c r="I1123" i="2"/>
  <c r="P1608" i="2"/>
  <c r="H1606" i="2"/>
  <c r="J1606" i="2" s="1"/>
  <c r="I1606" i="2"/>
  <c r="H1839" i="2"/>
  <c r="I1839" i="2"/>
  <c r="Z1945" i="2"/>
  <c r="M193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H682" i="2"/>
  <c r="J682" i="2" s="1"/>
  <c r="P684" i="2"/>
  <c r="I682" i="2"/>
  <c r="Y1945"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S325" i="2" l="1"/>
  <c r="S324" i="2" s="1"/>
  <c r="R325" i="2"/>
  <c r="R324" i="2" s="1"/>
  <c r="I94" i="2"/>
  <c r="S367" i="2"/>
  <c r="S366" i="2" s="1"/>
  <c r="P325" i="2"/>
  <c r="P324" i="2" s="1"/>
  <c r="H323" i="2"/>
  <c r="J323" i="2" s="1"/>
  <c r="Q367" i="2"/>
  <c r="Q366" i="2" s="1"/>
  <c r="S304" i="2"/>
  <c r="S303" i="2" s="1"/>
  <c r="H365" i="2"/>
  <c r="J365" i="2" s="1"/>
  <c r="I302" i="2"/>
  <c r="P367" i="2"/>
  <c r="P366" i="2" s="1"/>
  <c r="S369" i="2" s="1"/>
  <c r="S368" i="2" s="1"/>
  <c r="R304" i="2"/>
  <c r="R303" i="2" s="1"/>
  <c r="Q306" i="2" s="1"/>
  <c r="Q305" i="2" s="1"/>
  <c r="R367" i="2"/>
  <c r="R366" i="2" s="1"/>
  <c r="P304" i="2"/>
  <c r="P303" i="2" s="1"/>
  <c r="P384" i="2"/>
  <c r="P383" i="2" s="1"/>
  <c r="H302" i="2"/>
  <c r="J302" i="2" s="1"/>
  <c r="P451" i="2"/>
  <c r="Q451" i="2"/>
  <c r="I449" i="2"/>
  <c r="R451" i="2"/>
  <c r="P427" i="2"/>
  <c r="P430" i="2" s="1"/>
  <c r="H428" i="2"/>
  <c r="J428" i="2" s="1"/>
  <c r="I382" i="2"/>
  <c r="R384" i="2"/>
  <c r="S384" i="2"/>
  <c r="Q384" i="2"/>
  <c r="Q325" i="2"/>
  <c r="Q324" i="2" s="1"/>
  <c r="R327" i="2" s="1"/>
  <c r="R326" i="2" s="1"/>
  <c r="I323" i="2"/>
  <c r="Q304" i="2"/>
  <c r="Q303" i="2" s="1"/>
  <c r="P257" i="2"/>
  <c r="H258" i="2"/>
  <c r="J258" i="2" s="1"/>
  <c r="R241" i="2"/>
  <c r="R240" i="2" s="1"/>
  <c r="P241" i="2"/>
  <c r="P240" i="2" s="1"/>
  <c r="I239" i="2"/>
  <c r="T222" i="2"/>
  <c r="T221" i="2" s="1"/>
  <c r="H220" i="2"/>
  <c r="J220" i="2" s="1"/>
  <c r="Q222" i="2"/>
  <c r="Q221" i="2" s="1"/>
  <c r="I220" i="2"/>
  <c r="P222" i="2"/>
  <c r="P221" i="2" s="1"/>
  <c r="R222" i="2"/>
  <c r="R221" i="2" s="1"/>
  <c r="S222" i="2"/>
  <c r="S221" i="2" s="1"/>
  <c r="H197" i="2"/>
  <c r="J197" i="2" s="1"/>
  <c r="R173" i="2"/>
  <c r="I172" i="2"/>
  <c r="P174" i="2"/>
  <c r="Q174" i="2"/>
  <c r="Q157" i="2"/>
  <c r="I155" i="2"/>
  <c r="P157" i="2"/>
  <c r="R157" i="2"/>
  <c r="R156" i="2" s="1"/>
  <c r="R474" i="2"/>
  <c r="R473" i="2" s="1"/>
  <c r="P474" i="2"/>
  <c r="P473" i="2" s="1"/>
  <c r="Q474" i="2"/>
  <c r="Q473" i="2" s="1"/>
  <c r="I472" i="2"/>
  <c r="H472" i="2"/>
  <c r="J472" i="2" s="1"/>
  <c r="T495" i="2"/>
  <c r="T494" i="2" s="1"/>
  <c r="I493" i="2"/>
  <c r="R495" i="2"/>
  <c r="R494" i="2" s="1"/>
  <c r="S495" i="2"/>
  <c r="S494" i="2" s="1"/>
  <c r="H493" i="2"/>
  <c r="J493" i="2" s="1"/>
  <c r="P495" i="2"/>
  <c r="P494" i="2" s="1"/>
  <c r="Q495" i="2"/>
  <c r="Q494" i="2" s="1"/>
  <c r="Q509" i="2"/>
  <c r="R509" i="2"/>
  <c r="H510" i="2"/>
  <c r="J510" i="2" s="1"/>
  <c r="P406" i="2"/>
  <c r="P409" i="2" s="1"/>
  <c r="H407" i="2"/>
  <c r="J407" i="2" s="1"/>
  <c r="S342" i="2"/>
  <c r="S341" i="2" s="1"/>
  <c r="R342" i="2"/>
  <c r="R341" i="2" s="1"/>
  <c r="H283" i="2"/>
  <c r="J283" i="2" s="1"/>
  <c r="P285" i="2"/>
  <c r="P284" i="2" s="1"/>
  <c r="I283" i="2"/>
  <c r="R285" i="2"/>
  <c r="R284" i="2" s="1"/>
  <c r="Q285" i="2"/>
  <c r="Q284" i="2" s="1"/>
  <c r="Q196" i="2"/>
  <c r="Q199" i="2" s="1"/>
  <c r="V136" i="2"/>
  <c r="V135" i="2" s="1"/>
  <c r="U136" i="2"/>
  <c r="U135" i="2" s="1"/>
  <c r="I134" i="2"/>
  <c r="T136" i="2"/>
  <c r="T135" i="2" s="1"/>
  <c r="S136" i="2"/>
  <c r="S135" i="2" s="1"/>
  <c r="R136" i="2"/>
  <c r="R135" i="2" s="1"/>
  <c r="P136" i="2"/>
  <c r="P135" i="2" s="1"/>
  <c r="H134" i="2"/>
  <c r="J134" i="2" s="1"/>
  <c r="Q136" i="2"/>
  <c r="Q135" i="2" s="1"/>
  <c r="P96" i="2"/>
  <c r="P95" i="2" s="1"/>
  <c r="H94" i="2"/>
  <c r="J94" i="2" s="1"/>
  <c r="R110" i="2"/>
  <c r="P110" i="2"/>
  <c r="H111" i="2"/>
  <c r="J111" i="2" s="1"/>
  <c r="S96" i="2"/>
  <c r="S95" i="2" s="1"/>
  <c r="Q96" i="2"/>
  <c r="Q95" i="2" s="1"/>
  <c r="R96" i="2"/>
  <c r="R95" i="2" s="1"/>
  <c r="R73" i="2"/>
  <c r="R72" i="2" s="1"/>
  <c r="T73" i="2"/>
  <c r="T72" i="2" s="1"/>
  <c r="S73" i="2"/>
  <c r="S72" i="2" s="1"/>
  <c r="Q73" i="2"/>
  <c r="Q72" i="2" s="1"/>
  <c r="U73" i="2"/>
  <c r="V73" i="2"/>
  <c r="V72" i="2" s="1"/>
  <c r="I71" i="2"/>
  <c r="T52" i="2"/>
  <c r="T51" i="2" s="1"/>
  <c r="S52" i="2"/>
  <c r="S51" i="2" s="1"/>
  <c r="I50" i="2"/>
  <c r="H50" i="2"/>
  <c r="J50" i="2" s="1"/>
  <c r="R52" i="2"/>
  <c r="R51" i="2" s="1"/>
  <c r="P52" i="2"/>
  <c r="P51" i="2" s="1"/>
  <c r="Q52" i="2"/>
  <c r="Q51" i="2" s="1"/>
  <c r="P342" i="2"/>
  <c r="I340" i="2"/>
  <c r="W580" i="2"/>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Y1798" i="2"/>
  <c r="H2091" i="2"/>
  <c r="I2091" i="2"/>
  <c r="J1774" i="2"/>
  <c r="H1209" i="2"/>
  <c r="J1209" i="2" s="1"/>
  <c r="I1209" i="2"/>
  <c r="AA727" i="2"/>
  <c r="J558" i="2"/>
  <c r="M550" i="2"/>
  <c r="AH1273" i="2"/>
  <c r="T874" i="2"/>
  <c r="H1062" i="2"/>
  <c r="J1062" i="2" s="1"/>
  <c r="W1063" i="2" s="1"/>
  <c r="I1062" i="2"/>
  <c r="X874" i="2"/>
  <c r="H1083" i="2"/>
  <c r="I1083" i="2"/>
  <c r="H915" i="2"/>
  <c r="I915" i="2"/>
  <c r="H1461" i="2"/>
  <c r="J1461" i="2" s="1"/>
  <c r="AE1462" i="2" s="1"/>
  <c r="I1461" i="2"/>
  <c r="H2154" i="2"/>
  <c r="I2154" i="2"/>
  <c r="P1798" i="2"/>
  <c r="H1776" i="2"/>
  <c r="J1776" i="2" s="1"/>
  <c r="I1776"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1881" i="2"/>
  <c r="J1881" i="2" s="1"/>
  <c r="R1882" i="2" s="1"/>
  <c r="I1881" i="2"/>
  <c r="H1608" i="2"/>
  <c r="I1608" i="2"/>
  <c r="M1783" i="2"/>
  <c r="AG1798" i="2"/>
  <c r="J2131" i="2"/>
  <c r="H1335" i="2"/>
  <c r="J1335" i="2" s="1"/>
  <c r="I1335" i="2"/>
  <c r="M712" i="2"/>
  <c r="H2049" i="2"/>
  <c r="I2049" i="2"/>
  <c r="Y874" i="2"/>
  <c r="J1207" i="2"/>
  <c r="H1545" i="2"/>
  <c r="J1545" i="2" s="1"/>
  <c r="I1545" i="2"/>
  <c r="M1684"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1293" i="2"/>
  <c r="J1293" i="2" s="1"/>
  <c r="Q1294" i="2" s="1"/>
  <c r="I1293" i="2"/>
  <c r="J1900"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H1125" i="2"/>
  <c r="I1125" i="2"/>
  <c r="J957" i="2"/>
  <c r="M949" i="2"/>
  <c r="Q1798" i="2"/>
  <c r="W1798" i="2"/>
  <c r="M1789" i="2"/>
  <c r="M1810"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H1566" i="2"/>
  <c r="J1566" i="2" s="1"/>
  <c r="S1567" i="2" s="1"/>
  <c r="I1566" i="2"/>
  <c r="T1000" i="2"/>
  <c r="J661" i="2"/>
  <c r="H1734" i="2"/>
  <c r="J1734" i="2" s="1"/>
  <c r="AH1735" i="2" s="1"/>
  <c r="I1734" i="2"/>
  <c r="J852" i="2"/>
  <c r="M844" i="2"/>
  <c r="J1921"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J745" i="2"/>
  <c r="AB1798" i="2"/>
  <c r="S1798" i="2"/>
  <c r="H1251" i="2"/>
  <c r="I1251" i="2"/>
  <c r="AD1273" i="2"/>
  <c r="T1273" i="2"/>
  <c r="M991" i="2"/>
  <c r="H1650" i="2"/>
  <c r="I1650" i="2"/>
  <c r="H747" i="2"/>
  <c r="J747" i="2" s="1"/>
  <c r="I747" i="2"/>
  <c r="H1440" i="2"/>
  <c r="I1440" i="2"/>
  <c r="Z1798" i="2"/>
  <c r="M859" i="2"/>
  <c r="AF874" i="2"/>
  <c r="H537" i="2"/>
  <c r="J537" i="2" s="1"/>
  <c r="I537" i="2"/>
  <c r="W1273" i="2"/>
  <c r="M802" i="2"/>
  <c r="H1629" i="2"/>
  <c r="I1629" i="2"/>
  <c r="M23" i="2"/>
  <c r="O33" i="2"/>
  <c r="O32" i="2"/>
  <c r="O31" i="2"/>
  <c r="O30" i="2"/>
  <c r="O29" i="2"/>
  <c r="O28" i="2"/>
  <c r="O27" i="2"/>
  <c r="O26" i="2"/>
  <c r="O25" i="2"/>
  <c r="O24" i="2"/>
  <c r="O23" i="2"/>
  <c r="O22" i="2"/>
  <c r="I285" i="2" l="1"/>
  <c r="I367" i="2"/>
  <c r="S306" i="2"/>
  <c r="S305" i="2" s="1"/>
  <c r="P369" i="2"/>
  <c r="P306" i="2"/>
  <c r="Q369" i="2"/>
  <c r="Q368" i="2" s="1"/>
  <c r="R306" i="2"/>
  <c r="R305" i="2" s="1"/>
  <c r="H367" i="2"/>
  <c r="J367" i="2" s="1"/>
  <c r="R369" i="2"/>
  <c r="R368" i="2" s="1"/>
  <c r="I304" i="2"/>
  <c r="S327" i="2"/>
  <c r="S326" i="2" s="1"/>
  <c r="H325" i="2"/>
  <c r="J325" i="2" s="1"/>
  <c r="P327" i="2"/>
  <c r="P326" i="2" s="1"/>
  <c r="I241" i="2"/>
  <c r="Q327" i="2"/>
  <c r="Q326" i="2" s="1"/>
  <c r="I325" i="2"/>
  <c r="R450" i="2"/>
  <c r="P450" i="2"/>
  <c r="I451" i="2" s="1"/>
  <c r="H451" i="2"/>
  <c r="J451" i="2" s="1"/>
  <c r="R430" i="2"/>
  <c r="R429" i="2" s="1"/>
  <c r="S430" i="2"/>
  <c r="S429" i="2" s="1"/>
  <c r="P429" i="2"/>
  <c r="I428" i="2"/>
  <c r="Q430" i="2"/>
  <c r="Q429" i="2" s="1"/>
  <c r="Q383" i="2"/>
  <c r="S383" i="2"/>
  <c r="H384" i="2"/>
  <c r="J384" i="2" s="1"/>
  <c r="R383" i="2"/>
  <c r="H304" i="2"/>
  <c r="J304" i="2" s="1"/>
  <c r="P305" i="2"/>
  <c r="I306" i="2" s="1"/>
  <c r="H306" i="2"/>
  <c r="J306" i="2" s="1"/>
  <c r="R260" i="2"/>
  <c r="R259" i="2" s="1"/>
  <c r="U260" i="2"/>
  <c r="U259" i="2" s="1"/>
  <c r="T260" i="2"/>
  <c r="T259" i="2" s="1"/>
  <c r="S260" i="2"/>
  <c r="S259" i="2" s="1"/>
  <c r="I258" i="2"/>
  <c r="P260" i="2"/>
  <c r="Q260" i="2"/>
  <c r="Q259" i="2" s="1"/>
  <c r="Q243" i="2"/>
  <c r="Q242" i="2" s="1"/>
  <c r="H241" i="2"/>
  <c r="J241" i="2" s="1"/>
  <c r="P243" i="2"/>
  <c r="P242" i="2" s="1"/>
  <c r="R243" i="2"/>
  <c r="R242" i="2" s="1"/>
  <c r="I222" i="2"/>
  <c r="H222" i="2"/>
  <c r="J222" i="2" s="1"/>
  <c r="T199" i="2"/>
  <c r="T198" i="2" s="1"/>
  <c r="Q173" i="2"/>
  <c r="P173" i="2"/>
  <c r="H174" i="2"/>
  <c r="J174" i="2" s="1"/>
  <c r="P156" i="2"/>
  <c r="H157" i="2"/>
  <c r="J157" i="2" s="1"/>
  <c r="Q156" i="2"/>
  <c r="I474" i="2"/>
  <c r="H474" i="2"/>
  <c r="M466" i="2" s="1"/>
  <c r="H495" i="2"/>
  <c r="M486" i="2" s="1"/>
  <c r="M483" i="2" s="1"/>
  <c r="M477" i="2" s="1"/>
  <c r="I495" i="2"/>
  <c r="Q512" i="2"/>
  <c r="Q511" i="2" s="1"/>
  <c r="R512" i="2"/>
  <c r="I510" i="2"/>
  <c r="T512" i="2"/>
  <c r="T511" i="2" s="1"/>
  <c r="S512" i="2"/>
  <c r="P512" i="2"/>
  <c r="U512" i="2"/>
  <c r="U511" i="2" s="1"/>
  <c r="M507" i="2"/>
  <c r="M504" i="2" s="1"/>
  <c r="M498" i="2" s="1"/>
  <c r="P408" i="2"/>
  <c r="Q409" i="2"/>
  <c r="Q408" i="2" s="1"/>
  <c r="I407" i="2"/>
  <c r="R409" i="2"/>
  <c r="R408" i="2" s="1"/>
  <c r="H285" i="2"/>
  <c r="Q198" i="2"/>
  <c r="R199" i="2"/>
  <c r="I197" i="2"/>
  <c r="P199" i="2"/>
  <c r="S199" i="2"/>
  <c r="S198" i="2" s="1"/>
  <c r="V138" i="2"/>
  <c r="V137" i="2" s="1"/>
  <c r="I136" i="2"/>
  <c r="U138" i="2"/>
  <c r="U137" i="2" s="1"/>
  <c r="T138" i="2"/>
  <c r="T137" i="2" s="1"/>
  <c r="S138" i="2"/>
  <c r="S137" i="2" s="1"/>
  <c r="H136" i="2"/>
  <c r="J136" i="2" s="1"/>
  <c r="R138" i="2"/>
  <c r="R137" i="2" s="1"/>
  <c r="Q138" i="2"/>
  <c r="Q137" i="2" s="1"/>
  <c r="P113" i="2"/>
  <c r="P112" i="2" s="1"/>
  <c r="I111" i="2"/>
  <c r="Q113" i="2"/>
  <c r="S113" i="2"/>
  <c r="S112" i="2" s="1"/>
  <c r="R113" i="2"/>
  <c r="H96" i="2"/>
  <c r="J96" i="2" s="1"/>
  <c r="AH97" i="2" s="1"/>
  <c r="I96" i="2"/>
  <c r="U72" i="2"/>
  <c r="U75" i="2" s="1"/>
  <c r="U74" i="2" s="1"/>
  <c r="H73" i="2"/>
  <c r="J73" i="2" s="1"/>
  <c r="Q75" i="2"/>
  <c r="Q74" i="2" s="1"/>
  <c r="T54" i="2"/>
  <c r="T53" i="2" s="1"/>
  <c r="S54" i="2"/>
  <c r="S53" i="2" s="1"/>
  <c r="I52" i="2"/>
  <c r="R54" i="2"/>
  <c r="R53" i="2" s="1"/>
  <c r="H52" i="2"/>
  <c r="J52" i="2" s="1"/>
  <c r="Q54" i="2"/>
  <c r="Q53" i="2" s="1"/>
  <c r="M402" i="2"/>
  <c r="M399" i="2" s="1"/>
  <c r="M393" i="2" s="1"/>
  <c r="P341" i="2"/>
  <c r="R344" i="2" s="1"/>
  <c r="R343" i="2" s="1"/>
  <c r="H342" i="2"/>
  <c r="M360" i="2"/>
  <c r="M357" i="2" s="1"/>
  <c r="M351" i="2" s="1"/>
  <c r="M318" i="2"/>
  <c r="M315" i="2" s="1"/>
  <c r="M309" i="2" s="1"/>
  <c r="M213" i="2"/>
  <c r="M210" i="2" s="1"/>
  <c r="M204" i="2" s="1"/>
  <c r="M108" i="2"/>
  <c r="M105" i="2" s="1"/>
  <c r="M99" i="2" s="1"/>
  <c r="M87" i="2"/>
  <c r="M84" i="2" s="1"/>
  <c r="M78" i="2" s="1"/>
  <c r="J285" i="2"/>
  <c r="X286" i="2" s="1"/>
  <c r="M276" i="2"/>
  <c r="M273" i="2" s="1"/>
  <c r="M267" i="2" s="1"/>
  <c r="P138" i="2"/>
  <c r="M444" i="2"/>
  <c r="M441" i="2" s="1"/>
  <c r="M435" i="2" s="1"/>
  <c r="P54" i="2"/>
  <c r="M676" i="2"/>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M1306" i="2"/>
  <c r="AC1315" i="2"/>
  <c r="M1699" i="2"/>
  <c r="M319" i="2"/>
  <c r="AA1882" i="2"/>
  <c r="Y1882" i="2"/>
  <c r="Q1882" i="2"/>
  <c r="W1735" i="2"/>
  <c r="AG1735" i="2"/>
  <c r="AB1735" i="2"/>
  <c r="AI1063" i="2"/>
  <c r="AE2071"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Z1063" i="2"/>
  <c r="AD1735" i="2"/>
  <c r="AA1063" i="2"/>
  <c r="Q1021" i="2"/>
  <c r="AD1021" i="2"/>
  <c r="X1735" i="2"/>
  <c r="AA1420" i="2"/>
  <c r="T1063" i="2"/>
  <c r="P1021" i="2"/>
  <c r="Q1063" i="2"/>
  <c r="V1168" i="2"/>
  <c r="Y1063" i="2"/>
  <c r="P1882" i="2"/>
  <c r="AD685" i="2"/>
  <c r="AB769" i="2"/>
  <c r="U769" i="2"/>
  <c r="S1882" i="2"/>
  <c r="Y1462" i="2"/>
  <c r="S1462" i="2"/>
  <c r="AI1168" i="2"/>
  <c r="M361" i="2"/>
  <c r="W685" i="2"/>
  <c r="P769" i="2"/>
  <c r="R769" i="2"/>
  <c r="Q1462" i="2"/>
  <c r="W1462" i="2"/>
  <c r="V1063" i="2"/>
  <c r="AG685" i="2"/>
  <c r="T685" i="2"/>
  <c r="AE1168" i="2"/>
  <c r="M754" i="2"/>
  <c r="AD769" i="2"/>
  <c r="P1462" i="2"/>
  <c r="AH1462" i="2"/>
  <c r="M760" i="2"/>
  <c r="AC1882" i="2"/>
  <c r="AI1021" i="2"/>
  <c r="X1420" i="2"/>
  <c r="S1063" i="2"/>
  <c r="AD1882" i="2"/>
  <c r="W769" i="2"/>
  <c r="AB1063" i="2"/>
  <c r="U1462" i="2"/>
  <c r="M1447" i="2"/>
  <c r="AG1882" i="2"/>
  <c r="P685" i="2"/>
  <c r="S1021" i="2"/>
  <c r="Q769" i="2"/>
  <c r="AF1168" i="2"/>
  <c r="M2125" i="2"/>
  <c r="U1567" i="2"/>
  <c r="T1315" i="2"/>
  <c r="X1063" i="2"/>
  <c r="Z1567" i="2"/>
  <c r="U1420" i="2"/>
  <c r="AC97" i="2"/>
  <c r="AC1168" i="2"/>
  <c r="M1054" i="2"/>
  <c r="AF1063" i="2"/>
  <c r="AF1567" i="2"/>
  <c r="W1567" i="2"/>
  <c r="AD1567" i="2"/>
  <c r="M1978" i="2"/>
  <c r="AH1567" i="2"/>
  <c r="W97" i="2"/>
  <c r="W1168" i="2"/>
  <c r="R1063" i="2"/>
  <c r="W979" i="2"/>
  <c r="P1063" i="2"/>
  <c r="U1882" i="2"/>
  <c r="AH1063" i="2"/>
  <c r="T979" i="2"/>
  <c r="AC1063" i="2"/>
  <c r="V1987" i="2"/>
  <c r="AE1987" i="2"/>
  <c r="V1882" i="2"/>
  <c r="AG1420" i="2"/>
  <c r="W1420" i="2"/>
  <c r="M1999" i="2"/>
  <c r="AA1021" i="2"/>
  <c r="AF1294" i="2"/>
  <c r="Y1168" i="2"/>
  <c r="S685" i="2"/>
  <c r="AA1735" i="2"/>
  <c r="AE1294" i="2"/>
  <c r="V685" i="2"/>
  <c r="M1048" i="2"/>
  <c r="M67"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AE1063" i="2"/>
  <c r="AA706" i="2"/>
  <c r="X706" i="2"/>
  <c r="P706" i="2"/>
  <c r="AF706" i="2"/>
  <c r="T706" i="2"/>
  <c r="AD706" i="2"/>
  <c r="AB706" i="2"/>
  <c r="AC706" i="2"/>
  <c r="Y706" i="2"/>
  <c r="AE706" i="2"/>
  <c r="V706" i="2"/>
  <c r="R706" i="2"/>
  <c r="AH706" i="2"/>
  <c r="AG706" i="2"/>
  <c r="W706" i="2"/>
  <c r="U706" i="2"/>
  <c r="S706" i="2"/>
  <c r="Z706" i="2"/>
  <c r="AI706" i="2"/>
  <c r="M1894" i="2"/>
  <c r="AC1567" i="2"/>
  <c r="J1356" i="2"/>
  <c r="M1348" i="2"/>
  <c r="AH979" i="2"/>
  <c r="Z979" i="2"/>
  <c r="M1972" i="2"/>
  <c r="S1987" i="2"/>
  <c r="AB1294" i="2"/>
  <c r="Y1294" i="2"/>
  <c r="Y1735" i="2"/>
  <c r="X2071" i="2"/>
  <c r="M1285" i="2"/>
  <c r="S1777" i="2"/>
  <c r="R1735" i="2"/>
  <c r="AE307" i="2"/>
  <c r="AB307" i="2"/>
  <c r="M508"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AG1021" i="2"/>
  <c r="M1006" i="2"/>
  <c r="AF1021" i="2"/>
  <c r="R1021" i="2"/>
  <c r="T1021" i="2"/>
  <c r="AH1021" i="2"/>
  <c r="AE1021" i="2"/>
  <c r="X1021" i="2"/>
  <c r="AB1021" i="2"/>
  <c r="V1021" i="2"/>
  <c r="Q1735" i="2"/>
  <c r="AF1735" i="2"/>
  <c r="V979" i="2"/>
  <c r="J1608" i="2"/>
  <c r="M1600" i="2"/>
  <c r="AG1987" i="2"/>
  <c r="AD1987" i="2"/>
  <c r="M1279" i="2"/>
  <c r="AC1294" i="2"/>
  <c r="AB1168" i="2"/>
  <c r="AA1168" i="2"/>
  <c r="J2091" i="2"/>
  <c r="M2083" i="2"/>
  <c r="AE1882" i="2"/>
  <c r="AD1168" i="2"/>
  <c r="J1965" i="2"/>
  <c r="M1957" i="2"/>
  <c r="M7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AC685" i="2"/>
  <c r="S1735" i="2"/>
  <c r="J1251" i="2"/>
  <c r="M1243" i="2"/>
  <c r="J1440" i="2"/>
  <c r="M1432"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979" i="2"/>
  <c r="AG979" i="2"/>
  <c r="U2071" i="2"/>
  <c r="U1987" i="2"/>
  <c r="R1987" i="2"/>
  <c r="U1294" i="2"/>
  <c r="AA1294" i="2"/>
  <c r="M1327" i="2"/>
  <c r="W1882" i="2"/>
  <c r="M1405" i="2"/>
  <c r="J915" i="2"/>
  <c r="M907"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J1503" i="2"/>
  <c r="M1495" i="2"/>
  <c r="X979" i="2"/>
  <c r="U979" i="2"/>
  <c r="AI1882" i="2"/>
  <c r="AH1882" i="2"/>
  <c r="X1882" i="2"/>
  <c r="AF1987" i="2"/>
  <c r="AH1987" i="2"/>
  <c r="AG1294" i="2"/>
  <c r="Z1294" i="2"/>
  <c r="U1021" i="2"/>
  <c r="P1420" i="2"/>
  <c r="T1882" i="2"/>
  <c r="AE1567" i="2"/>
  <c r="J1083" i="2"/>
  <c r="M1075" i="2"/>
  <c r="R1168" i="2"/>
  <c r="AA1567" i="2"/>
  <c r="J2112" i="2"/>
  <c r="M2104" i="2"/>
  <c r="J1587" i="2"/>
  <c r="M1579" i="2"/>
  <c r="M655" i="2"/>
  <c r="AB1420" i="2"/>
  <c r="AE979" i="2"/>
  <c r="AB979" i="2"/>
  <c r="AF1882" i="2"/>
  <c r="AA1987" i="2"/>
  <c r="V1294" i="2"/>
  <c r="AG1567" i="2"/>
  <c r="M529" i="2"/>
  <c r="Q2071" i="2"/>
  <c r="U1168" i="2"/>
  <c r="P1735" i="2"/>
  <c r="V1567" i="2"/>
  <c r="Z1021"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M2056" i="2"/>
  <c r="M1558" i="2"/>
  <c r="AC2071" i="2"/>
  <c r="M970" i="2"/>
  <c r="M109"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X1168" i="2"/>
  <c r="M1153" i="2"/>
  <c r="M1768" i="2"/>
  <c r="V2071" i="2"/>
  <c r="E3" i="10"/>
  <c r="I73" i="2" l="1"/>
  <c r="V75" i="2"/>
  <c r="V74" i="2" s="1"/>
  <c r="P75" i="2"/>
  <c r="P74" i="2" s="1"/>
  <c r="Q159" i="2"/>
  <c r="Q158" i="2" s="1"/>
  <c r="I327" i="2"/>
  <c r="AA328" i="2"/>
  <c r="W328" i="2"/>
  <c r="AD328" i="2"/>
  <c r="Z328" i="2"/>
  <c r="Z307" i="2"/>
  <c r="AB328" i="2"/>
  <c r="P328" i="2"/>
  <c r="I243" i="2"/>
  <c r="H327" i="2"/>
  <c r="J327" i="2" s="1"/>
  <c r="T328" i="2"/>
  <c r="S75" i="2"/>
  <c r="S74" i="2" s="1"/>
  <c r="T75" i="2"/>
  <c r="T74" i="2" s="1"/>
  <c r="S386" i="2"/>
  <c r="S385" i="2" s="1"/>
  <c r="P368" i="2"/>
  <c r="I369" i="2" s="1"/>
  <c r="H369" i="2"/>
  <c r="J369" i="2" s="1"/>
  <c r="AF307" i="2"/>
  <c r="Q307" i="2"/>
  <c r="M298" i="2"/>
  <c r="AC307" i="2"/>
  <c r="S307" i="2"/>
  <c r="M292" i="2"/>
  <c r="AD307" i="2"/>
  <c r="M297" i="2"/>
  <c r="X307" i="2"/>
  <c r="Y307" i="2"/>
  <c r="AA307" i="2"/>
  <c r="AH307" i="2"/>
  <c r="P386" i="2"/>
  <c r="P385" i="2" s="1"/>
  <c r="U307" i="2"/>
  <c r="W307" i="2"/>
  <c r="R307" i="2"/>
  <c r="V307" i="2"/>
  <c r="P307" i="2"/>
  <c r="P453" i="2"/>
  <c r="Q453" i="2"/>
  <c r="P452" i="2"/>
  <c r="R453" i="2"/>
  <c r="R452" i="2" s="1"/>
  <c r="R432" i="2"/>
  <c r="R431" i="2" s="1"/>
  <c r="S432" i="2"/>
  <c r="S431" i="2" s="1"/>
  <c r="I430" i="2"/>
  <c r="Q432" i="2"/>
  <c r="Q431" i="2" s="1"/>
  <c r="P432" i="2"/>
  <c r="H430" i="2"/>
  <c r="R386" i="2"/>
  <c r="I384" i="2"/>
  <c r="Q386" i="2"/>
  <c r="T307" i="2"/>
  <c r="AI307" i="2"/>
  <c r="AG307" i="2"/>
  <c r="H260" i="2"/>
  <c r="J260" i="2" s="1"/>
  <c r="P259" i="2"/>
  <c r="S262" i="2" s="1"/>
  <c r="S261" i="2" s="1"/>
  <c r="H243" i="2"/>
  <c r="J243" i="2" s="1"/>
  <c r="M465" i="2"/>
  <c r="M462" i="2" s="1"/>
  <c r="M456" i="2" s="1"/>
  <c r="J474" i="2"/>
  <c r="AH475" i="2" s="1"/>
  <c r="I174" i="2"/>
  <c r="P176" i="2"/>
  <c r="R176" i="2"/>
  <c r="Q176" i="2"/>
  <c r="P159" i="2"/>
  <c r="P158" i="2" s="1"/>
  <c r="I157" i="2"/>
  <c r="R159" i="2"/>
  <c r="P511" i="2"/>
  <c r="H512" i="2"/>
  <c r="J512" i="2" s="1"/>
  <c r="S511" i="2"/>
  <c r="R511" i="2"/>
  <c r="R411" i="2"/>
  <c r="R410" i="2" s="1"/>
  <c r="Q411" i="2"/>
  <c r="Q410" i="2" s="1"/>
  <c r="P411" i="2"/>
  <c r="H409" i="2"/>
  <c r="J409" i="2" s="1"/>
  <c r="I409" i="2"/>
  <c r="S344" i="2"/>
  <c r="S343" i="2" s="1"/>
  <c r="P344" i="2"/>
  <c r="P343" i="2" s="1"/>
  <c r="I342" i="2"/>
  <c r="Q344" i="2"/>
  <c r="P198" i="2"/>
  <c r="H199" i="2"/>
  <c r="R198" i="2"/>
  <c r="AF97" i="2"/>
  <c r="AI97" i="2"/>
  <c r="R112" i="2"/>
  <c r="Q112" i="2"/>
  <c r="H113" i="2"/>
  <c r="J113" i="2" s="1"/>
  <c r="M82" i="2"/>
  <c r="Y97" i="2"/>
  <c r="X97" i="2"/>
  <c r="Q97" i="2"/>
  <c r="AD97" i="2"/>
  <c r="AA97" i="2"/>
  <c r="V97" i="2"/>
  <c r="AB97" i="2"/>
  <c r="AG97" i="2"/>
  <c r="Z97" i="2"/>
  <c r="AE97" i="2"/>
  <c r="R97" i="2"/>
  <c r="U97" i="2"/>
  <c r="P97" i="2"/>
  <c r="S97" i="2"/>
  <c r="T97" i="2"/>
  <c r="R75" i="2"/>
  <c r="R74" i="2" s="1"/>
  <c r="M66" i="2"/>
  <c r="M63" i="2" s="1"/>
  <c r="M57" i="2" s="1"/>
  <c r="J342" i="2"/>
  <c r="U286" i="2"/>
  <c r="AE286" i="2"/>
  <c r="W286" i="2"/>
  <c r="AF286" i="2"/>
  <c r="T286" i="2"/>
  <c r="R286" i="2"/>
  <c r="M271" i="2"/>
  <c r="S286" i="2"/>
  <c r="AC286" i="2"/>
  <c r="Y286" i="2"/>
  <c r="AB286" i="2"/>
  <c r="AH286" i="2"/>
  <c r="AD286" i="2"/>
  <c r="AI286" i="2"/>
  <c r="V286" i="2"/>
  <c r="P286" i="2"/>
  <c r="Q286" i="2"/>
  <c r="Z286" i="2"/>
  <c r="AG286" i="2"/>
  <c r="AA286" i="2"/>
  <c r="P137" i="2"/>
  <c r="I138" i="2" s="1"/>
  <c r="H138" i="2"/>
  <c r="P53" i="2"/>
  <c r="I54" i="2" s="1"/>
  <c r="H54" i="2"/>
  <c r="Q2113" i="2"/>
  <c r="AE2113" i="2"/>
  <c r="AI2113" i="2"/>
  <c r="X2113" i="2"/>
  <c r="W2113" i="2"/>
  <c r="P2113" i="2"/>
  <c r="AF2113" i="2"/>
  <c r="AA2113" i="2"/>
  <c r="U2113" i="2"/>
  <c r="AH2113" i="2"/>
  <c r="T2113" i="2"/>
  <c r="R2113" i="2"/>
  <c r="AC2113" i="2"/>
  <c r="V2113" i="2"/>
  <c r="AB2113" i="2"/>
  <c r="AG2113" i="2"/>
  <c r="AD2113" i="2"/>
  <c r="S2113" i="2"/>
  <c r="Z2113" i="2"/>
  <c r="Y2113" i="2"/>
  <c r="M2098"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AB1966" i="2"/>
  <c r="U1966" i="2"/>
  <c r="AF1966" i="2"/>
  <c r="Z1966" i="2"/>
  <c r="S1966" i="2"/>
  <c r="AG1966" i="2"/>
  <c r="AI1966" i="2"/>
  <c r="P1966" i="2"/>
  <c r="T1966" i="2"/>
  <c r="AE1966" i="2"/>
  <c r="Y1966" i="2"/>
  <c r="W1966" i="2"/>
  <c r="AA1966" i="2"/>
  <c r="R1966" i="2"/>
  <c r="Q1966" i="2"/>
  <c r="M1951" i="2"/>
  <c r="AD1966" i="2"/>
  <c r="V1966" i="2"/>
  <c r="AC1966" i="2"/>
  <c r="X1966" i="2"/>
  <c r="AH1966"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J21" i="2"/>
  <c r="M294" i="2" l="1"/>
  <c r="M288" i="2" s="1"/>
  <c r="S370" i="2"/>
  <c r="AF370" i="2"/>
  <c r="AH370" i="2"/>
  <c r="P370" i="2"/>
  <c r="AG370" i="2"/>
  <c r="AI370" i="2"/>
  <c r="AE370" i="2"/>
  <c r="R370" i="2"/>
  <c r="AB370" i="2"/>
  <c r="U370" i="2"/>
  <c r="X370" i="2"/>
  <c r="Q370" i="2"/>
  <c r="Z370" i="2"/>
  <c r="T370" i="2"/>
  <c r="AD370" i="2"/>
  <c r="AA370" i="2"/>
  <c r="V370" i="2"/>
  <c r="W370" i="2"/>
  <c r="AC370" i="2"/>
  <c r="Y370" i="2"/>
  <c r="M355" i="2"/>
  <c r="S328" i="2"/>
  <c r="AC328" i="2"/>
  <c r="AI328" i="2"/>
  <c r="Y328" i="2"/>
  <c r="AE328" i="2"/>
  <c r="U328" i="2"/>
  <c r="M313" i="2"/>
  <c r="AF328" i="2"/>
  <c r="H75" i="2"/>
  <c r="J75" i="2" s="1"/>
  <c r="Q76" i="2" s="1"/>
  <c r="M234" i="2"/>
  <c r="AG328" i="2"/>
  <c r="Q328" i="2"/>
  <c r="I75" i="2"/>
  <c r="M61" i="2" s="1"/>
  <c r="AH328" i="2"/>
  <c r="R328" i="2"/>
  <c r="V328" i="2"/>
  <c r="X328" i="2"/>
  <c r="AF475" i="2"/>
  <c r="AI475" i="2"/>
  <c r="P475" i="2"/>
  <c r="S475" i="2"/>
  <c r="Z475" i="2"/>
  <c r="W475" i="2"/>
  <c r="X475" i="2"/>
  <c r="R475" i="2"/>
  <c r="Q475" i="2"/>
  <c r="T475" i="2"/>
  <c r="M460" i="2"/>
  <c r="AC475" i="2"/>
  <c r="AA475" i="2"/>
  <c r="V475" i="2"/>
  <c r="H453" i="2"/>
  <c r="J453" i="2" s="1"/>
  <c r="AB454" i="2" s="1"/>
  <c r="I453" i="2"/>
  <c r="J430" i="2"/>
  <c r="P431" i="2"/>
  <c r="I432" i="2" s="1"/>
  <c r="H432" i="2"/>
  <c r="Q385" i="2"/>
  <c r="R385" i="2"/>
  <c r="I386" i="2" s="1"/>
  <c r="H386" i="2"/>
  <c r="J386" i="2" s="1"/>
  <c r="U262" i="2"/>
  <c r="U261" i="2" s="1"/>
  <c r="T262" i="2"/>
  <c r="T261" i="2" s="1"/>
  <c r="I260" i="2"/>
  <c r="R262" i="2"/>
  <c r="R261" i="2" s="1"/>
  <c r="P262" i="2"/>
  <c r="Q262" i="2"/>
  <c r="Q261" i="2" s="1"/>
  <c r="Z244" i="2"/>
  <c r="T244" i="2"/>
  <c r="AC244" i="2"/>
  <c r="M235" i="2"/>
  <c r="M231" i="2" s="1"/>
  <c r="M225" i="2" s="1"/>
  <c r="AG244" i="2"/>
  <c r="AE244" i="2"/>
  <c r="M229" i="2"/>
  <c r="Y244" i="2"/>
  <c r="X244" i="2"/>
  <c r="Q244" i="2"/>
  <c r="P244" i="2"/>
  <c r="R244" i="2"/>
  <c r="AA244" i="2"/>
  <c r="W244" i="2"/>
  <c r="AB244" i="2"/>
  <c r="V244" i="2"/>
  <c r="AH244" i="2"/>
  <c r="AF244" i="2"/>
  <c r="AD244" i="2"/>
  <c r="U244" i="2"/>
  <c r="S244" i="2"/>
  <c r="AI244" i="2"/>
  <c r="J199" i="2"/>
  <c r="T201" i="2"/>
  <c r="T200" i="2" s="1"/>
  <c r="AD475" i="2"/>
  <c r="Y475" i="2"/>
  <c r="U475" i="2"/>
  <c r="AG475" i="2"/>
  <c r="AB475" i="2"/>
  <c r="AE475" i="2"/>
  <c r="Q175" i="2"/>
  <c r="R175" i="2"/>
  <c r="P175" i="2"/>
  <c r="R178" i="2" s="1"/>
  <c r="H176" i="2"/>
  <c r="J176" i="2" s="1"/>
  <c r="H159" i="2"/>
  <c r="J159" i="2" s="1"/>
  <c r="R158" i="2"/>
  <c r="I159" i="2" s="1"/>
  <c r="M150" i="2" s="1"/>
  <c r="S514" i="2"/>
  <c r="S513" i="2" s="1"/>
  <c r="T514" i="2"/>
  <c r="T513" i="2" s="1"/>
  <c r="R514" i="2"/>
  <c r="U514" i="2"/>
  <c r="U513" i="2" s="1"/>
  <c r="P514" i="2"/>
  <c r="I512" i="2"/>
  <c r="Q514" i="2"/>
  <c r="P410" i="2"/>
  <c r="I411" i="2" s="1"/>
  <c r="H411" i="2"/>
  <c r="J411" i="2" s="1"/>
  <c r="R412" i="2" s="1"/>
  <c r="H344" i="2"/>
  <c r="J344" i="2" s="1"/>
  <c r="Q343" i="2"/>
  <c r="R346" i="2" s="1"/>
  <c r="R345" i="2" s="1"/>
  <c r="P201" i="2"/>
  <c r="P200" i="2" s="1"/>
  <c r="R201" i="2"/>
  <c r="R200" i="2" s="1"/>
  <c r="I199" i="2"/>
  <c r="Q201" i="2"/>
  <c r="Q200" i="2" s="1"/>
  <c r="S201" i="2"/>
  <c r="I113" i="2"/>
  <c r="P115" i="2"/>
  <c r="P114" i="2" s="1"/>
  <c r="Q115" i="2"/>
  <c r="S115" i="2"/>
  <c r="S114" i="2" s="1"/>
  <c r="R115" i="2"/>
  <c r="R114" i="2" s="1"/>
  <c r="AB76" i="2"/>
  <c r="Z76" i="2"/>
  <c r="AD76" i="2"/>
  <c r="Y76" i="2"/>
  <c r="S76" i="2"/>
  <c r="AE76" i="2"/>
  <c r="W76" i="2"/>
  <c r="AI76" i="2"/>
  <c r="AA76" i="2"/>
  <c r="U76" i="2"/>
  <c r="AC76" i="2"/>
  <c r="AF76" i="2"/>
  <c r="J138" i="2"/>
  <c r="M130" i="2"/>
  <c r="M129" i="2"/>
  <c r="M126" i="2" s="1"/>
  <c r="M120" i="2" s="1"/>
  <c r="M45" i="2"/>
  <c r="J54" i="2"/>
  <c r="M46" i="2"/>
  <c r="U20" i="2"/>
  <c r="P20" i="2"/>
  <c r="Q20" i="2"/>
  <c r="R20" i="2"/>
  <c r="S388" i="2" l="1"/>
  <c r="R76" i="2"/>
  <c r="Q454" i="2"/>
  <c r="AG454" i="2"/>
  <c r="AH454" i="2"/>
  <c r="AI454" i="2"/>
  <c r="U454" i="2"/>
  <c r="V454" i="2"/>
  <c r="T454" i="2"/>
  <c r="V76" i="2"/>
  <c r="AH76" i="2"/>
  <c r="AG76" i="2"/>
  <c r="T76" i="2"/>
  <c r="P76" i="2"/>
  <c r="X76" i="2"/>
  <c r="I344" i="2"/>
  <c r="M439" i="2"/>
  <c r="R388" i="2"/>
  <c r="R387" i="2" s="1"/>
  <c r="M151" i="2"/>
  <c r="M147" i="2" s="1"/>
  <c r="M141" i="2" s="1"/>
  <c r="AF454" i="2"/>
  <c r="AC454" i="2"/>
  <c r="AD454" i="2"/>
  <c r="AE454" i="2"/>
  <c r="Y454" i="2"/>
  <c r="X454" i="2"/>
  <c r="W454" i="2"/>
  <c r="AA454" i="2"/>
  <c r="Z454" i="2"/>
  <c r="S454" i="2"/>
  <c r="R454" i="2"/>
  <c r="P454" i="2"/>
  <c r="J432" i="2"/>
  <c r="AI433" i="2" s="1"/>
  <c r="M423" i="2"/>
  <c r="M420" i="2" s="1"/>
  <c r="M414" i="2" s="1"/>
  <c r="M424" i="2"/>
  <c r="S387" i="2"/>
  <c r="P388" i="2"/>
  <c r="Q388" i="2"/>
  <c r="P261" i="2"/>
  <c r="T264" i="2" s="1"/>
  <c r="T263" i="2" s="1"/>
  <c r="H262" i="2"/>
  <c r="J262" i="2" s="1"/>
  <c r="R177" i="2"/>
  <c r="I176" i="2"/>
  <c r="P178" i="2"/>
  <c r="Q178" i="2"/>
  <c r="P160" i="2"/>
  <c r="AE160" i="2"/>
  <c r="V160" i="2"/>
  <c r="AH160" i="2"/>
  <c r="W160" i="2"/>
  <c r="AD160" i="2"/>
  <c r="S160" i="2"/>
  <c r="Z160" i="2"/>
  <c r="M145" i="2"/>
  <c r="X160" i="2"/>
  <c r="U160" i="2"/>
  <c r="Y160" i="2"/>
  <c r="R160" i="2"/>
  <c r="AB160" i="2"/>
  <c r="Q160" i="2"/>
  <c r="T160" i="2"/>
  <c r="AF160" i="2"/>
  <c r="AG160" i="2"/>
  <c r="AI160" i="2"/>
  <c r="AC160" i="2"/>
  <c r="AA160" i="2"/>
  <c r="Q513" i="2"/>
  <c r="P513" i="2"/>
  <c r="H514" i="2"/>
  <c r="J514" i="2" s="1"/>
  <c r="R513" i="2"/>
  <c r="U412" i="2"/>
  <c r="AI412" i="2"/>
  <c r="V412" i="2"/>
  <c r="M397" i="2"/>
  <c r="S412" i="2"/>
  <c r="Y412" i="2"/>
  <c r="AE412" i="2"/>
  <c r="X412" i="2"/>
  <c r="AH412" i="2"/>
  <c r="AB412" i="2"/>
  <c r="AG412" i="2"/>
  <c r="AD412" i="2"/>
  <c r="P412" i="2"/>
  <c r="AF412" i="2"/>
  <c r="AC412" i="2"/>
  <c r="AA412" i="2"/>
  <c r="Z412" i="2"/>
  <c r="W412" i="2"/>
  <c r="T412" i="2"/>
  <c r="Q412" i="2"/>
  <c r="Q346" i="2"/>
  <c r="Q345" i="2" s="1"/>
  <c r="P346" i="2"/>
  <c r="P345" i="2" s="1"/>
  <c r="S346" i="2"/>
  <c r="S345" i="2" s="1"/>
  <c r="H201" i="2"/>
  <c r="S200" i="2"/>
  <c r="I201" i="2" s="1"/>
  <c r="Q114" i="2"/>
  <c r="P117" i="2" s="1"/>
  <c r="H115" i="2"/>
  <c r="J115" i="2" s="1"/>
  <c r="M42" i="2"/>
  <c r="M36" i="2" s="1"/>
  <c r="AD139" i="2"/>
  <c r="AA139" i="2"/>
  <c r="Q139" i="2"/>
  <c r="AI139" i="2"/>
  <c r="U139" i="2"/>
  <c r="S139" i="2"/>
  <c r="R139" i="2"/>
  <c r="V139" i="2"/>
  <c r="Y139" i="2"/>
  <c r="AF139" i="2"/>
  <c r="AG139" i="2"/>
  <c r="AC139" i="2"/>
  <c r="W139" i="2"/>
  <c r="AE139" i="2"/>
  <c r="AH139" i="2"/>
  <c r="Z139" i="2"/>
  <c r="AB139" i="2"/>
  <c r="M124" i="2"/>
  <c r="T139" i="2"/>
  <c r="X139" i="2"/>
  <c r="P139" i="2"/>
  <c r="V55" i="2"/>
  <c r="AD55" i="2"/>
  <c r="X55" i="2"/>
  <c r="AC55" i="2"/>
  <c r="M40" i="2"/>
  <c r="U55" i="2"/>
  <c r="Z55" i="2"/>
  <c r="AB55" i="2"/>
  <c r="R55" i="2"/>
  <c r="T55" i="2"/>
  <c r="Y55" i="2"/>
  <c r="AA55" i="2"/>
  <c r="AH55" i="2"/>
  <c r="AI55" i="2"/>
  <c r="AG55" i="2"/>
  <c r="Q55" i="2"/>
  <c r="AE55" i="2"/>
  <c r="AF55" i="2"/>
  <c r="W55" i="2"/>
  <c r="P55" i="2"/>
  <c r="S55" i="2"/>
  <c r="V20" i="2"/>
  <c r="H346" i="2" l="1"/>
  <c r="S433" i="2"/>
  <c r="AE433" i="2"/>
  <c r="AH433" i="2"/>
  <c r="X433" i="2"/>
  <c r="AA433" i="2"/>
  <c r="AG433" i="2"/>
  <c r="AC433" i="2"/>
  <c r="AF433" i="2"/>
  <c r="T433" i="2"/>
  <c r="V433" i="2"/>
  <c r="W433" i="2"/>
  <c r="M418" i="2"/>
  <c r="AB433" i="2"/>
  <c r="Z433" i="2"/>
  <c r="R433" i="2"/>
  <c r="Y433" i="2"/>
  <c r="Q433" i="2"/>
  <c r="P433" i="2"/>
  <c r="U433" i="2"/>
  <c r="AD433" i="2"/>
  <c r="Q387" i="2"/>
  <c r="P387" i="2"/>
  <c r="P390" i="2" s="1"/>
  <c r="H388" i="2"/>
  <c r="J388" i="2" s="1"/>
  <c r="U264" i="2"/>
  <c r="U263" i="2" s="1"/>
  <c r="I262" i="2"/>
  <c r="S264" i="2"/>
  <c r="S263" i="2" s="1"/>
  <c r="R264" i="2"/>
  <c r="R263" i="2" s="1"/>
  <c r="P264" i="2"/>
  <c r="Q264" i="2"/>
  <c r="Q263" i="2" s="1"/>
  <c r="J201" i="2"/>
  <c r="T202" i="2" s="1"/>
  <c r="M193" i="2"/>
  <c r="M192" i="2"/>
  <c r="M189" i="2" s="1"/>
  <c r="M183" i="2" s="1"/>
  <c r="Q177" i="2"/>
  <c r="H178" i="2"/>
  <c r="J178" i="2" s="1"/>
  <c r="P177" i="2"/>
  <c r="Q516" i="2"/>
  <c r="Q515" i="2" s="1"/>
  <c r="R516" i="2"/>
  <c r="R515" i="2" s="1"/>
  <c r="P516" i="2"/>
  <c r="P515" i="2" s="1"/>
  <c r="T516" i="2"/>
  <c r="T515" i="2" s="1"/>
  <c r="I514" i="2"/>
  <c r="S516" i="2"/>
  <c r="U516" i="2"/>
  <c r="U515" i="2" s="1"/>
  <c r="S348" i="2"/>
  <c r="S347" i="2" s="1"/>
  <c r="Q348" i="2"/>
  <c r="Q347" i="2" s="1"/>
  <c r="R348" i="2"/>
  <c r="R347" i="2" s="1"/>
  <c r="I115" i="2"/>
  <c r="R117" i="2"/>
  <c r="R116" i="2" s="1"/>
  <c r="Q117" i="2"/>
  <c r="Q116" i="2" s="1"/>
  <c r="P116" i="2"/>
  <c r="S117" i="2"/>
  <c r="J346" i="2"/>
  <c r="P348" i="2"/>
  <c r="I346" i="2"/>
  <c r="B5" i="12"/>
  <c r="E3" i="12"/>
  <c r="P180" i="2" l="1"/>
  <c r="I388" i="2"/>
  <c r="R390" i="2"/>
  <c r="R389" i="2" s="1"/>
  <c r="S390" i="2"/>
  <c r="S389" i="2" s="1"/>
  <c r="P389" i="2"/>
  <c r="Q390" i="2"/>
  <c r="Q389" i="2" s="1"/>
  <c r="P263" i="2"/>
  <c r="I264" i="2" s="1"/>
  <c r="H264" i="2"/>
  <c r="V202" i="2"/>
  <c r="AF202" i="2"/>
  <c r="AG202" i="2"/>
  <c r="P202" i="2"/>
  <c r="AA202" i="2"/>
  <c r="AD202" i="2"/>
  <c r="AB202" i="2"/>
  <c r="AI202" i="2"/>
  <c r="U202" i="2"/>
  <c r="R202" i="2"/>
  <c r="AH202" i="2"/>
  <c r="Q202" i="2"/>
  <c r="AC202" i="2"/>
  <c r="Y202" i="2"/>
  <c r="S202" i="2"/>
  <c r="X202" i="2"/>
  <c r="W202" i="2"/>
  <c r="AE202" i="2"/>
  <c r="Z202" i="2"/>
  <c r="M187" i="2"/>
  <c r="P179" i="2"/>
  <c r="I178" i="2"/>
  <c r="R180" i="2"/>
  <c r="R179" i="2" s="1"/>
  <c r="Q180" i="2"/>
  <c r="Q179" i="2" s="1"/>
  <c r="H516" i="2"/>
  <c r="J516" i="2" s="1"/>
  <c r="S515" i="2"/>
  <c r="I516" i="2" s="1"/>
  <c r="H117" i="2"/>
  <c r="J117" i="2" s="1"/>
  <c r="V118" i="2" s="1"/>
  <c r="S116" i="2"/>
  <c r="I117" i="2" s="1"/>
  <c r="P347" i="2"/>
  <c r="I348" i="2" s="1"/>
  <c r="H348" i="2"/>
  <c r="S20" i="2"/>
  <c r="T20" i="2"/>
  <c r="Z20" i="2"/>
  <c r="AA20" i="2"/>
  <c r="AB20" i="2"/>
  <c r="AC20" i="2"/>
  <c r="AD20" i="2"/>
  <c r="AE20" i="2"/>
  <c r="AF20" i="2"/>
  <c r="AG20" i="2"/>
  <c r="AH20" i="2"/>
  <c r="AI20" i="2"/>
  <c r="H390" i="2" l="1"/>
  <c r="M381" i="2"/>
  <c r="M378" i="2" s="1"/>
  <c r="M372" i="2" s="1"/>
  <c r="J390" i="2"/>
  <c r="I390" i="2"/>
  <c r="J264" i="2"/>
  <c r="M256" i="2"/>
  <c r="M255" i="2"/>
  <c r="I180" i="2"/>
  <c r="H180" i="2"/>
  <c r="M502" i="2"/>
  <c r="AI517" i="2"/>
  <c r="Q517" i="2"/>
  <c r="X517" i="2"/>
  <c r="T517" i="2"/>
  <c r="R517" i="2"/>
  <c r="AD517" i="2"/>
  <c r="V517" i="2"/>
  <c r="U517" i="2"/>
  <c r="AF517" i="2"/>
  <c r="AG517" i="2"/>
  <c r="AA517" i="2"/>
  <c r="AB517" i="2"/>
  <c r="Z517" i="2"/>
  <c r="S517" i="2"/>
  <c r="AH517" i="2"/>
  <c r="AC517" i="2"/>
  <c r="P517" i="2"/>
  <c r="AE517" i="2"/>
  <c r="Y517" i="2"/>
  <c r="W517" i="2"/>
  <c r="Y118" i="2"/>
  <c r="AE118" i="2"/>
  <c r="AA118" i="2"/>
  <c r="S118" i="2"/>
  <c r="AG118" i="2"/>
  <c r="AC118" i="2"/>
  <c r="AI118" i="2"/>
  <c r="AB118" i="2"/>
  <c r="AF118" i="2"/>
  <c r="X118" i="2"/>
  <c r="U118" i="2"/>
  <c r="T118" i="2"/>
  <c r="R118" i="2"/>
  <c r="Q118" i="2"/>
  <c r="M103" i="2"/>
  <c r="AH118" i="2"/>
  <c r="P118" i="2"/>
  <c r="Z118" i="2"/>
  <c r="AD118" i="2"/>
  <c r="W118" i="2"/>
  <c r="J348" i="2"/>
  <c r="M340" i="2"/>
  <c r="M339" i="2"/>
  <c r="M336" i="2" s="1"/>
  <c r="M330" i="2" s="1"/>
  <c r="E3" i="11"/>
  <c r="B5" i="11"/>
  <c r="C5" i="11" s="1"/>
  <c r="P104" i="10"/>
  <c r="P105" i="10"/>
  <c r="AA391" i="2" l="1"/>
  <c r="AD391" i="2"/>
  <c r="P391" i="2"/>
  <c r="AF391" i="2"/>
  <c r="T391" i="2"/>
  <c r="Z391" i="2"/>
  <c r="M376" i="2"/>
  <c r="W391" i="2"/>
  <c r="Y391" i="2"/>
  <c r="X391" i="2"/>
  <c r="R391" i="2"/>
  <c r="Q391" i="2"/>
  <c r="AG391" i="2"/>
  <c r="AC391" i="2"/>
  <c r="U391" i="2"/>
  <c r="AI391" i="2"/>
  <c r="S391" i="2"/>
  <c r="AE391" i="2"/>
  <c r="AB391" i="2"/>
  <c r="AH391" i="2"/>
  <c r="V391" i="2"/>
  <c r="M252" i="2"/>
  <c r="M246" i="2" s="1"/>
  <c r="M250" i="2"/>
  <c r="Q265" i="2"/>
  <c r="Z265" i="2"/>
  <c r="W265" i="2"/>
  <c r="AC265" i="2"/>
  <c r="AH265" i="2"/>
  <c r="AE265" i="2"/>
  <c r="AI265" i="2"/>
  <c r="R265" i="2"/>
  <c r="S265" i="2"/>
  <c r="Y265" i="2"/>
  <c r="T265" i="2"/>
  <c r="X265" i="2"/>
  <c r="V265" i="2"/>
  <c r="U265" i="2"/>
  <c r="AD265" i="2"/>
  <c r="AA265" i="2"/>
  <c r="AB265" i="2"/>
  <c r="P265" i="2"/>
  <c r="AF265" i="2"/>
  <c r="AG265" i="2"/>
  <c r="J180" i="2"/>
  <c r="M172" i="2"/>
  <c r="M171" i="2"/>
  <c r="M168" i="2" s="1"/>
  <c r="M162" i="2" s="1"/>
  <c r="AF349" i="2"/>
  <c r="S349" i="2"/>
  <c r="Z349" i="2"/>
  <c r="Y349" i="2"/>
  <c r="T349" i="2"/>
  <c r="W349" i="2"/>
  <c r="P349" i="2"/>
  <c r="AE349" i="2"/>
  <c r="V349" i="2"/>
  <c r="M334" i="2"/>
  <c r="AG349" i="2"/>
  <c r="X349" i="2"/>
  <c r="AA349" i="2"/>
  <c r="AH349" i="2"/>
  <c r="Q349" i="2"/>
  <c r="AC349" i="2"/>
  <c r="AB349" i="2"/>
  <c r="AI349" i="2"/>
  <c r="U349" i="2"/>
  <c r="AD349" i="2"/>
  <c r="R349" i="2"/>
  <c r="D15" i="2"/>
  <c r="AE181" i="2" l="1"/>
  <c r="V181" i="2"/>
  <c r="W181" i="2"/>
  <c r="U181" i="2"/>
  <c r="P181" i="2"/>
  <c r="AI181" i="2"/>
  <c r="X181" i="2"/>
  <c r="M166" i="2"/>
  <c r="R181" i="2"/>
  <c r="AF181" i="2"/>
  <c r="Y181" i="2"/>
  <c r="Q181" i="2"/>
  <c r="S181" i="2"/>
  <c r="AH181" i="2"/>
  <c r="AC181" i="2"/>
  <c r="AA181" i="2"/>
  <c r="Z181" i="2"/>
  <c r="AG181" i="2"/>
  <c r="AB181" i="2"/>
  <c r="T181" i="2"/>
  <c r="AD181" i="2"/>
  <c r="D16" i="2"/>
  <c r="D17" i="2" s="1"/>
  <c r="D18" i="2" s="1"/>
  <c r="D19" i="2" s="1"/>
  <c r="D20" i="2" s="1"/>
  <c r="D21" i="2" s="1"/>
  <c r="D22" i="2" s="1"/>
  <c r="D23" i="2" s="1"/>
  <c r="D24" i="2" s="1"/>
  <c r="D25" i="2" s="1"/>
  <c r="D26" i="2" s="1"/>
  <c r="D27" i="2" s="1"/>
  <c r="D28" i="2" s="1"/>
  <c r="D29" i="2" s="1"/>
  <c r="D30" i="2" s="1"/>
  <c r="D31" i="2" s="1"/>
  <c r="D32" i="2" s="1"/>
  <c r="D33" i="2" s="1"/>
  <c r="D34" i="2" s="1"/>
  <c r="C16" i="2"/>
  <c r="H15" i="2"/>
  <c r="H16" i="2"/>
  <c r="J15" i="2"/>
  <c r="B16" i="2"/>
  <c r="B17" i="2" l="1"/>
  <c r="B18" i="2" s="1"/>
  <c r="H21" i="2"/>
  <c r="M30" i="2"/>
  <c r="M29" i="2"/>
  <c r="M22" i="2"/>
  <c r="M28" i="2"/>
  <c r="M27" i="2"/>
  <c r="Y20" i="2"/>
  <c r="B19" i="2" l="1"/>
  <c r="B20" i="2" s="1"/>
  <c r="W20" i="2"/>
  <c r="X20" i="2"/>
  <c r="C17" i="2"/>
  <c r="C18" i="2" s="1"/>
  <c r="T23" i="2" l="1"/>
  <c r="T22" i="2" s="1"/>
  <c r="M18" i="2"/>
  <c r="P23" i="2"/>
  <c r="P22" i="2" s="1"/>
  <c r="M26" i="2"/>
  <c r="S23" i="2"/>
  <c r="S22" i="2" s="1"/>
  <c r="R23" i="2"/>
  <c r="R22" i="2" s="1"/>
  <c r="Q23" i="2"/>
  <c r="Q22" i="2" s="1"/>
  <c r="I21" i="2"/>
  <c r="B21" i="2"/>
  <c r="C19" i="2"/>
  <c r="T25" i="2" l="1"/>
  <c r="T24" i="2" s="1"/>
  <c r="B22" i="2"/>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C36" i="2" l="1"/>
  <c r="H36" i="2"/>
  <c r="J36" i="2"/>
  <c r="B37" i="2"/>
  <c r="B38" i="2" s="1"/>
  <c r="H37" i="2"/>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T27" i="2" s="1"/>
  <c r="T26" i="2" s="1"/>
  <c r="D37" i="2" l="1"/>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38" i="2"/>
  <c r="M55" i="2" s="1"/>
  <c r="M39"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C57" i="2" l="1"/>
  <c r="H57" i="2"/>
  <c r="J57" i="2"/>
  <c r="B58" i="2"/>
  <c r="B59" i="2" s="1"/>
  <c r="H58" i="2"/>
  <c r="H27" i="2"/>
  <c r="J27" i="2" s="1"/>
  <c r="P26" i="2"/>
  <c r="S29" i="2" l="1"/>
  <c r="S28" i="2" s="1"/>
  <c r="T29" i="2"/>
  <c r="T28" i="2" s="1"/>
  <c r="B60" i="2"/>
  <c r="B61" i="2"/>
  <c r="D57" i="2"/>
  <c r="C58" i="2"/>
  <c r="C59" i="2" s="1"/>
  <c r="E61" i="2"/>
  <c r="Q29" i="2"/>
  <c r="Q28" i="2" s="1"/>
  <c r="R29" i="2"/>
  <c r="R28" i="2" s="1"/>
  <c r="I27" i="2"/>
  <c r="P29" i="2"/>
  <c r="P28" i="2" s="1"/>
  <c r="T31" i="2" l="1"/>
  <c r="T30" i="2" s="1"/>
  <c r="C60" i="2"/>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59" i="2"/>
  <c r="M76" i="2" s="1"/>
  <c r="M60"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I29" i="2"/>
  <c r="H29" i="2"/>
  <c r="J29" i="2" s="1"/>
  <c r="T33" i="2" l="1"/>
  <c r="T32" i="2" s="1"/>
  <c r="H78" i="2"/>
  <c r="C78" i="2"/>
  <c r="J78" i="2"/>
  <c r="H79" i="2"/>
  <c r="B79" i="2"/>
  <c r="B80" i="2" s="1"/>
  <c r="Q33" i="2"/>
  <c r="Q32" i="2" s="1"/>
  <c r="S33" i="2"/>
  <c r="S32" i="2" s="1"/>
  <c r="R33" i="2"/>
  <c r="R32" i="2" s="1"/>
  <c r="P33" i="2"/>
  <c r="I31" i="2"/>
  <c r="H31" i="2"/>
  <c r="J31" i="2" s="1"/>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80" i="2"/>
  <c r="M97" i="2" s="1"/>
  <c r="M81"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5" i="2"/>
  <c r="M21" i="2" l="1"/>
  <c r="J99" i="2"/>
  <c r="C99" i="2"/>
  <c r="H99" i="2"/>
  <c r="H100" i="2"/>
  <c r="B100" i="2"/>
  <c r="B101" i="2" s="1"/>
  <c r="M19" i="2"/>
  <c r="M15" i="2"/>
  <c r="T34" i="2"/>
  <c r="AE34" i="2"/>
  <c r="AH34" i="2"/>
  <c r="W34" i="2"/>
  <c r="AB34" i="2"/>
  <c r="AD34" i="2"/>
  <c r="U34" i="2"/>
  <c r="S34" i="2"/>
  <c r="AF34" i="2"/>
  <c r="Z34" i="2"/>
  <c r="AA34" i="2"/>
  <c r="AG34" i="2"/>
  <c r="AC34" i="2"/>
  <c r="V34" i="2"/>
  <c r="Y34" i="2"/>
  <c r="X34" i="2"/>
  <c r="AI34" i="2"/>
  <c r="R34" i="2"/>
  <c r="Q34" i="2"/>
  <c r="M17"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01" i="2"/>
  <c r="M118" i="2" s="1"/>
  <c r="M102"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H120" i="2"/>
  <c r="H121" i="2"/>
  <c r="J120" i="2"/>
  <c r="B121" i="2"/>
  <c r="B122" i="2" s="1"/>
  <c r="C6" i="11"/>
  <c r="C7" i="12"/>
  <c r="B8" i="12" s="1"/>
  <c r="B123" i="2" l="1"/>
  <c r="B124" i="2"/>
  <c r="E124" i="2"/>
  <c r="C121" i="2"/>
  <c r="C122" i="2" s="1"/>
  <c r="D120" i="2"/>
  <c r="C8" i="12"/>
  <c r="G6" i="11"/>
  <c r="I6" i="11"/>
  <c r="L6" i="11"/>
  <c r="B7" i="11"/>
  <c r="F6" i="11"/>
  <c r="H6" i="11"/>
  <c r="M122" i="2" l="1"/>
  <c r="M139" i="2" s="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2" i="2"/>
  <c r="H141" i="2"/>
  <c r="J141" i="2"/>
  <c r="F7" i="11"/>
  <c r="I7" i="11"/>
  <c r="L7" i="11"/>
  <c r="G7" i="11"/>
  <c r="H7" i="11"/>
  <c r="B8" i="11"/>
  <c r="B144" i="2" l="1"/>
  <c r="B145" i="2"/>
  <c r="D141" i="2"/>
  <c r="E145" i="2"/>
  <c r="C142" i="2"/>
  <c r="C143" i="2" s="1"/>
  <c r="G8" i="12"/>
  <c r="C8" i="11"/>
  <c r="M144" i="2" l="1"/>
  <c r="B146" i="2"/>
  <c r="B147" i="2" s="1"/>
  <c r="B148" i="2" s="1"/>
  <c r="B149" i="2" s="1"/>
  <c r="B150" i="2" s="1"/>
  <c r="B151" i="2" s="1"/>
  <c r="B152" i="2" s="1"/>
  <c r="B153" i="2" s="1"/>
  <c r="B154" i="2" s="1"/>
  <c r="B155" i="2" s="1"/>
  <c r="B156" i="2" s="1"/>
  <c r="B157" i="2" s="1"/>
  <c r="B158" i="2" s="1"/>
  <c r="B159" i="2" s="1"/>
  <c r="B160" i="2" s="1"/>
  <c r="B162" i="2" s="1"/>
  <c r="M143" i="2"/>
  <c r="M160" i="2" s="1"/>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G8" i="11"/>
  <c r="B9" i="11"/>
  <c r="C162" i="2" l="1"/>
  <c r="H162" i="2"/>
  <c r="J162" i="2"/>
  <c r="B163" i="2"/>
  <c r="B164" i="2" s="1"/>
  <c r="H163" i="2"/>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J183" i="2"/>
  <c r="C183" i="2"/>
  <c r="H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H205"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C246" i="2" l="1"/>
  <c r="H246" i="2"/>
  <c r="B247" i="2"/>
  <c r="H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H268"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C288" i="2"/>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C309" i="2"/>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C330" i="2"/>
  <c r="H330" i="2"/>
  <c r="J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H394"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C414" i="2"/>
  <c r="H414" i="2"/>
  <c r="J414" i="2"/>
  <c r="B415" i="2"/>
  <c r="B416" i="2" s="1"/>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C435" i="2"/>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C456" i="2"/>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C540" i="2"/>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C561" i="2"/>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C582" i="2"/>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C624" i="2"/>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C645" i="2" l="1"/>
  <c r="H646" i="2"/>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C666" i="2"/>
  <c r="J666" i="2"/>
  <c r="H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H730"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H751"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H793"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C813" i="2"/>
  <c r="H813" i="2"/>
  <c r="J813" i="2"/>
  <c r="B814" i="2"/>
  <c r="B815" i="2" s="1"/>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C834" i="2"/>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H856"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H877"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H898"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C918" i="2"/>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C939" i="2"/>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C960" i="2"/>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C981" i="2"/>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C1002" i="2"/>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C1023" i="2"/>
  <c r="H1023" i="2"/>
  <c r="J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C1044" i="2"/>
  <c r="H1044" i="2"/>
  <c r="J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C1065" i="2"/>
  <c r="H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C1149" i="2"/>
  <c r="J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1" i="2"/>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H1192"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C1233" i="2"/>
  <c r="H1233" i="2"/>
  <c r="J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C1296" i="2"/>
  <c r="J1296" i="2"/>
  <c r="H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C1317" i="2"/>
  <c r="H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H1381"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H1402"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H1423"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H1444"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I8" i="12"/>
  <c r="H8" i="12"/>
  <c r="F8" i="12"/>
  <c r="AH8" i="12" l="1"/>
  <c r="X8" i="12"/>
  <c r="R8" i="12"/>
  <c r="V8" i="12"/>
  <c r="P8" i="12"/>
  <c r="J9" i="12"/>
  <c r="T8" i="12"/>
  <c r="K8" i="12"/>
  <c r="AJ8" i="12"/>
  <c r="AD8" i="12"/>
  <c r="Z8" i="12"/>
  <c r="N8" i="12"/>
  <c r="AB8" i="12"/>
  <c r="AF8" i="12"/>
  <c r="F9" i="11"/>
  <c r="H9" i="11"/>
  <c r="I9" i="11"/>
  <c r="B10" i="11"/>
  <c r="G9" i="11"/>
  <c r="I9" i="12"/>
  <c r="G9" i="12"/>
  <c r="H9" i="12"/>
  <c r="B10" i="12"/>
  <c r="F9" i="12"/>
  <c r="AA8" i="12" l="1"/>
  <c r="AE8" i="12"/>
  <c r="U8" i="12"/>
  <c r="Q8" i="12"/>
  <c r="AG8" i="12"/>
  <c r="AK8" i="12"/>
  <c r="AI8" i="12"/>
  <c r="AC8" i="12"/>
  <c r="O8" i="12"/>
  <c r="W8" i="12"/>
  <c r="Y8" i="12"/>
  <c r="S8" i="12"/>
  <c r="D10" i="12"/>
  <c r="C10" i="12"/>
  <c r="D10" i="11"/>
  <c r="C10" i="11"/>
  <c r="AH9" i="12"/>
  <c r="P9" i="12"/>
  <c r="AB9" i="12"/>
  <c r="AD9" i="12"/>
  <c r="T9" i="12"/>
  <c r="K9" i="12"/>
  <c r="Z9" i="12"/>
  <c r="N9" i="12"/>
  <c r="X9" i="12"/>
  <c r="AF9" i="12"/>
  <c r="R9" i="12"/>
  <c r="AJ9" i="12"/>
  <c r="Y9" i="12" l="1"/>
  <c r="O9" i="12"/>
  <c r="AA9" i="12"/>
  <c r="Q9" i="12"/>
  <c r="AI9" i="12"/>
  <c r="AC9" i="12"/>
  <c r="AK9" i="12"/>
  <c r="U9" i="12"/>
  <c r="S9" i="12"/>
  <c r="AE9" i="12"/>
  <c r="AG9" i="12"/>
  <c r="B11" i="12"/>
  <c r="D11" i="12" s="1"/>
  <c r="G10" i="12"/>
  <c r="F10" i="12"/>
  <c r="I10" i="12"/>
  <c r="H10" i="12"/>
  <c r="J10" i="12"/>
  <c r="I10" i="11"/>
  <c r="H10" i="11"/>
  <c r="G10" i="11"/>
  <c r="F10" i="11"/>
  <c r="B11" i="11"/>
  <c r="C11" i="11" s="1"/>
  <c r="C11" i="12" l="1"/>
  <c r="F11" i="11"/>
  <c r="I11" i="11"/>
  <c r="G11" i="11"/>
  <c r="H11" i="11"/>
  <c r="D11" i="11"/>
  <c r="E11" i="11" s="1"/>
  <c r="K10" i="12"/>
  <c r="V9" i="12" s="1"/>
  <c r="W9" i="12" s="1"/>
  <c r="B12" i="12"/>
  <c r="C12" i="12" s="1"/>
  <c r="H11" i="12"/>
  <c r="I11" i="12"/>
  <c r="E11" i="12"/>
  <c r="G11" i="12"/>
  <c r="F11" i="12"/>
  <c r="AH10" i="12"/>
  <c r="AF10" i="12"/>
  <c r="AD10" i="12"/>
  <c r="AJ10" i="12"/>
  <c r="Z10" i="12"/>
  <c r="X10" i="12"/>
  <c r="AB10" i="12"/>
  <c r="J11" i="12"/>
  <c r="AB11" i="12" s="1"/>
  <c r="P10" i="12"/>
  <c r="R10" i="12" s="1"/>
  <c r="T10" i="12" s="1"/>
  <c r="V10" i="12" s="1"/>
  <c r="B12" i="11"/>
  <c r="AC10" i="12" l="1"/>
  <c r="AI10" i="12"/>
  <c r="W10" i="12"/>
  <c r="Y10" i="12"/>
  <c r="Q10" i="12"/>
  <c r="AA10" i="12"/>
  <c r="AE10" i="12"/>
  <c r="AK10" i="12"/>
  <c r="U10" i="12"/>
  <c r="AG10" i="12"/>
  <c r="S10" i="12"/>
  <c r="D12" i="12"/>
  <c r="AJ11" i="12"/>
  <c r="AH11" i="12"/>
  <c r="AD11" i="12"/>
  <c r="N11" i="12"/>
  <c r="B13" i="12"/>
  <c r="F12" i="12"/>
  <c r="I12" i="12"/>
  <c r="G12" i="12"/>
  <c r="H12" i="12"/>
  <c r="R11" i="12"/>
  <c r="S11" i="12" s="1"/>
  <c r="V11" i="12"/>
  <c r="P11" i="12"/>
  <c r="Q11" i="12" s="1"/>
  <c r="T11" i="12"/>
  <c r="AF11" i="12"/>
  <c r="X11" i="12"/>
  <c r="K11" i="12"/>
  <c r="AC11" i="12" s="1"/>
  <c r="J12" i="12"/>
  <c r="Z11" i="12"/>
  <c r="C12" i="11"/>
  <c r="D12" i="11"/>
  <c r="AA11" i="12" l="1"/>
  <c r="AG11" i="12"/>
  <c r="U11" i="12"/>
  <c r="O11" i="12"/>
  <c r="Y11" i="12"/>
  <c r="AE11" i="12"/>
  <c r="AI11" i="12"/>
  <c r="AK11" i="12"/>
  <c r="W11" i="12"/>
  <c r="V12" i="12"/>
  <c r="D13" i="12"/>
  <c r="T12" i="12"/>
  <c r="AB12" i="12"/>
  <c r="AJ12" i="12"/>
  <c r="C13" i="12"/>
  <c r="J13" i="12" s="1"/>
  <c r="N13" i="12" s="1"/>
  <c r="AH12" i="12"/>
  <c r="K12" i="12"/>
  <c r="P12" i="12"/>
  <c r="N12" i="12"/>
  <c r="R12" i="12"/>
  <c r="X12" i="12"/>
  <c r="I12" i="11"/>
  <c r="G12" i="11"/>
  <c r="H12" i="11"/>
  <c r="F12" i="11"/>
  <c r="AF12" i="12"/>
  <c r="AD12" i="12"/>
  <c r="Z12" i="12"/>
  <c r="B13" i="11"/>
  <c r="AG12" i="12" l="1"/>
  <c r="U12" i="12"/>
  <c r="W12" i="12"/>
  <c r="AC12" i="12"/>
  <c r="AI12" i="12"/>
  <c r="AA12" i="12"/>
  <c r="Y12" i="12"/>
  <c r="S12" i="12"/>
  <c r="AK12" i="12"/>
  <c r="Q12" i="12"/>
  <c r="O12" i="12"/>
  <c r="AE12" i="12"/>
  <c r="B14" i="12"/>
  <c r="D14" i="12" s="1"/>
  <c r="E13" i="12"/>
  <c r="F13" i="12"/>
  <c r="H13" i="12"/>
  <c r="I13" i="12"/>
  <c r="K13" i="12" s="1"/>
  <c r="G13" i="12"/>
  <c r="AD13" i="12"/>
  <c r="Z13" i="12"/>
  <c r="AF13" i="12"/>
  <c r="AB13" i="12"/>
  <c r="P13" i="12"/>
  <c r="X13" i="12"/>
  <c r="C14" i="12"/>
  <c r="J14" i="12" s="1"/>
  <c r="T13" i="12"/>
  <c r="R13" i="12"/>
  <c r="V13" i="12"/>
  <c r="AJ13" i="12"/>
  <c r="AH13" i="12"/>
  <c r="D13" i="11"/>
  <c r="C13" i="11"/>
  <c r="O13" i="12" l="1"/>
  <c r="W13" i="12"/>
  <c r="AC13" i="12"/>
  <c r="Q13" i="12"/>
  <c r="AG13" i="12"/>
  <c r="AI13" i="12"/>
  <c r="AA13" i="12"/>
  <c r="AK13" i="12"/>
  <c r="AE13" i="12"/>
  <c r="S13" i="12"/>
  <c r="U13" i="12"/>
  <c r="Y13" i="12"/>
  <c r="Z14" i="12"/>
  <c r="N14" i="12"/>
  <c r="AF14" i="12"/>
  <c r="R14" i="12"/>
  <c r="P14" i="12"/>
  <c r="AH14" i="12"/>
  <c r="AB14" i="12"/>
  <c r="G13" i="11"/>
  <c r="F13" i="11"/>
  <c r="E13" i="11"/>
  <c r="H13" i="11"/>
  <c r="I13" i="11"/>
  <c r="V14" i="12"/>
  <c r="X14" i="12"/>
  <c r="B15" i="12"/>
  <c r="D15" i="12" s="1"/>
  <c r="E14" i="12"/>
  <c r="H14" i="12"/>
  <c r="I14" i="12"/>
  <c r="K14" i="12" s="1"/>
  <c r="F14" i="12"/>
  <c r="AJ14" i="12"/>
  <c r="T14" i="12"/>
  <c r="AD14" i="12"/>
  <c r="B14" i="11"/>
  <c r="G14" i="12" s="1"/>
  <c r="AA14" i="12" l="1"/>
  <c r="W14" i="12"/>
  <c r="AI14" i="12"/>
  <c r="AC14" i="12"/>
  <c r="AE14" i="12"/>
  <c r="AK14" i="12"/>
  <c r="Q14" i="12"/>
  <c r="Y14" i="12"/>
  <c r="O14" i="12"/>
  <c r="U14" i="12"/>
  <c r="S14" i="12"/>
  <c r="AG14" i="12"/>
  <c r="C15" i="12"/>
  <c r="B16" i="12" s="1"/>
  <c r="C14" i="11"/>
  <c r="D14" i="11"/>
  <c r="J15" i="12" l="1"/>
  <c r="D16" i="12"/>
  <c r="C16" i="12"/>
  <c r="E16" i="12" s="1"/>
  <c r="I15" i="12"/>
  <c r="H15" i="12"/>
  <c r="F15" i="12"/>
  <c r="E15" i="12"/>
  <c r="G14" i="11"/>
  <c r="H14" i="11"/>
  <c r="I14" i="11"/>
  <c r="F14" i="11"/>
  <c r="E14" i="11"/>
  <c r="B15" i="11"/>
  <c r="AJ15" i="12" l="1"/>
  <c r="R15" i="12"/>
  <c r="P15" i="12"/>
  <c r="N15" i="12"/>
  <c r="X15" i="12"/>
  <c r="AD15" i="12"/>
  <c r="AB15" i="12"/>
  <c r="K15" i="12"/>
  <c r="AF15" i="12"/>
  <c r="T15" i="12"/>
  <c r="V15" i="12"/>
  <c r="AH15" i="12"/>
  <c r="Z15" i="12"/>
  <c r="I16" i="12"/>
  <c r="F16" i="12"/>
  <c r="H16" i="12"/>
  <c r="B17" i="12"/>
  <c r="D17" i="12" s="1"/>
  <c r="J16" i="12"/>
  <c r="G15" i="12"/>
  <c r="D15" i="11"/>
  <c r="C15" i="11"/>
  <c r="AC15" i="12" l="1"/>
  <c r="W15" i="12"/>
  <c r="AG15" i="12"/>
  <c r="U15" i="12"/>
  <c r="Q15" i="12"/>
  <c r="AA15" i="12"/>
  <c r="AI15" i="12"/>
  <c r="S15" i="12"/>
  <c r="Y15" i="12"/>
  <c r="AE15" i="12"/>
  <c r="O15" i="12"/>
  <c r="AK15" i="12"/>
  <c r="C17" i="12"/>
  <c r="B18" i="12" s="1"/>
  <c r="T16" i="12"/>
  <c r="AJ16" i="12"/>
  <c r="AF16" i="12"/>
  <c r="P16" i="12"/>
  <c r="AH16" i="12"/>
  <c r="V16" i="12"/>
  <c r="AD16" i="12"/>
  <c r="Z16" i="12"/>
  <c r="N16" i="12"/>
  <c r="R16" i="12"/>
  <c r="K16" i="12"/>
  <c r="AB16" i="12"/>
  <c r="X16" i="12"/>
  <c r="B16" i="11"/>
  <c r="C16" i="11" s="1"/>
  <c r="H15" i="11"/>
  <c r="I15" i="11"/>
  <c r="G15" i="11"/>
  <c r="F15" i="11"/>
  <c r="E15" i="11"/>
  <c r="AG16" i="12" l="1"/>
  <c r="AK16" i="12"/>
  <c r="J17" i="12"/>
  <c r="T17" i="12" s="1"/>
  <c r="I17" i="12"/>
  <c r="H17" i="12"/>
  <c r="E17" i="12"/>
  <c r="F17" i="12"/>
  <c r="O16" i="12"/>
  <c r="AE16" i="12"/>
  <c r="Q16" i="12"/>
  <c r="S16" i="12"/>
  <c r="AC16" i="12"/>
  <c r="U16" i="12"/>
  <c r="AA16" i="12"/>
  <c r="Y16" i="12"/>
  <c r="W16" i="12"/>
  <c r="AI16" i="12"/>
  <c r="D16" i="11"/>
  <c r="E16" i="11" s="1"/>
  <c r="C18" i="12"/>
  <c r="D18" i="12"/>
  <c r="B17" i="11"/>
  <c r="G16" i="11"/>
  <c r="H16" i="11"/>
  <c r="F16" i="11"/>
  <c r="I16" i="11"/>
  <c r="G16" i="12"/>
  <c r="Z17" i="12" l="1"/>
  <c r="V17" i="12"/>
  <c r="R17" i="12"/>
  <c r="J18" i="12"/>
  <c r="AD18" i="12" s="1"/>
  <c r="AH17" i="12"/>
  <c r="K17" i="12"/>
  <c r="U17" i="12" s="1"/>
  <c r="AD17" i="12"/>
  <c r="AB17" i="12"/>
  <c r="X17" i="12"/>
  <c r="N17" i="12"/>
  <c r="AF17" i="12"/>
  <c r="AG17" i="12" s="1"/>
  <c r="AJ17" i="12"/>
  <c r="P17" i="12"/>
  <c r="G17" i="12"/>
  <c r="B19" i="12"/>
  <c r="H18" i="12"/>
  <c r="E18" i="12"/>
  <c r="I18" i="12"/>
  <c r="F18" i="12"/>
  <c r="C17" i="11"/>
  <c r="D17" i="11"/>
  <c r="AK17" i="12" l="1"/>
  <c r="O17" i="12"/>
  <c r="Y17" i="12"/>
  <c r="AC17" i="12"/>
  <c r="AE17" i="12"/>
  <c r="K18" i="12"/>
  <c r="AE18" i="12" s="1"/>
  <c r="W17" i="12"/>
  <c r="AA17" i="12"/>
  <c r="Q17" i="12"/>
  <c r="S17" i="12"/>
  <c r="R18" i="12"/>
  <c r="T18" i="12"/>
  <c r="AH18" i="12"/>
  <c r="X18" i="12"/>
  <c r="Z18" i="12"/>
  <c r="P18" i="12"/>
  <c r="V18" i="12"/>
  <c r="AJ18" i="12"/>
  <c r="AK18" i="12" s="1"/>
  <c r="AI17" i="12"/>
  <c r="N18" i="12"/>
  <c r="AB18" i="12"/>
  <c r="AF18" i="12"/>
  <c r="D19" i="12"/>
  <c r="C19" i="12"/>
  <c r="B18" i="11"/>
  <c r="F17" i="11"/>
  <c r="G17" i="11"/>
  <c r="H17" i="11"/>
  <c r="E17" i="11"/>
  <c r="I17" i="11"/>
  <c r="AA18" i="12" l="1"/>
  <c r="W18" i="12"/>
  <c r="Q18" i="12"/>
  <c r="AI18" i="12"/>
  <c r="S18" i="12"/>
  <c r="AG18" i="12"/>
  <c r="Y18" i="12"/>
  <c r="U18" i="12"/>
  <c r="AC18" i="12"/>
  <c r="O18" i="12"/>
  <c r="E19" i="12"/>
  <c r="C18" i="11"/>
  <c r="G18" i="12"/>
  <c r="D18" i="11"/>
  <c r="B20" i="12"/>
  <c r="H19" i="12"/>
  <c r="F19" i="12"/>
  <c r="I19" i="12"/>
  <c r="J19" i="12"/>
  <c r="AB19" i="12" l="1"/>
  <c r="X19" i="12"/>
  <c r="AH19" i="12"/>
  <c r="AD19" i="12"/>
  <c r="Z19" i="12"/>
  <c r="R19" i="12"/>
  <c r="N19" i="12"/>
  <c r="V19" i="12"/>
  <c r="AF19" i="12"/>
  <c r="K19" i="12"/>
  <c r="T19" i="12"/>
  <c r="AJ19" i="12"/>
  <c r="P19" i="12"/>
  <c r="D20" i="12"/>
  <c r="C20" i="12"/>
  <c r="B19" i="11"/>
  <c r="E18" i="11"/>
  <c r="G18" i="11"/>
  <c r="F18" i="11"/>
  <c r="I18" i="11"/>
  <c r="H18" i="11"/>
  <c r="AC19" i="12" l="1"/>
  <c r="AI19" i="12"/>
  <c r="AG19" i="12"/>
  <c r="U19" i="12"/>
  <c r="W19" i="12" s="1"/>
  <c r="Q19" i="12"/>
  <c r="O19" i="12"/>
  <c r="S19" i="12"/>
  <c r="AA19" i="12"/>
  <c r="AE19" i="12"/>
  <c r="AK19" i="12"/>
  <c r="Y19" i="12"/>
  <c r="C19" i="11"/>
  <c r="D19" i="11"/>
  <c r="G19" i="12"/>
  <c r="B21" i="12"/>
  <c r="I20" i="12"/>
  <c r="H20" i="12"/>
  <c r="F20" i="12"/>
  <c r="E20" i="12"/>
  <c r="J20" i="12"/>
  <c r="AF20" i="12" l="1"/>
  <c r="V20" i="12"/>
  <c r="AD20" i="12"/>
  <c r="P20" i="12"/>
  <c r="X20" i="12"/>
  <c r="AH20" i="12"/>
  <c r="N20" i="12"/>
  <c r="R20" i="12"/>
  <c r="T20" i="12"/>
  <c r="AJ20" i="12"/>
  <c r="K20" i="12"/>
  <c r="Z20" i="12"/>
  <c r="AB20" i="12"/>
  <c r="C21" i="12"/>
  <c r="D21" i="12"/>
  <c r="B20" i="11"/>
  <c r="E19" i="11"/>
  <c r="G19" i="11"/>
  <c r="I19" i="11"/>
  <c r="F19" i="11"/>
  <c r="H19" i="11"/>
  <c r="AA20" i="12" l="1"/>
  <c r="U20" i="12"/>
  <c r="S20" i="12"/>
  <c r="O20" i="12"/>
  <c r="AI20" i="12"/>
  <c r="Y20" i="12"/>
  <c r="Q20" i="12"/>
  <c r="AE20" i="12"/>
  <c r="W20" i="12"/>
  <c r="AC20" i="12"/>
  <c r="AG20" i="12"/>
  <c r="AK20" i="12"/>
  <c r="C20" i="11"/>
  <c r="D20" i="11"/>
  <c r="G20" i="12"/>
  <c r="B22" i="12"/>
  <c r="E21" i="12"/>
  <c r="F21" i="12"/>
  <c r="I21" i="12"/>
  <c r="H21" i="12"/>
  <c r="J21" i="12"/>
  <c r="D22" i="12" l="1"/>
  <c r="C22" i="12"/>
  <c r="AH21" i="12"/>
  <c r="N21" i="12"/>
  <c r="AF21" i="12"/>
  <c r="T21" i="12"/>
  <c r="R21" i="12"/>
  <c r="P21" i="12"/>
  <c r="AD21" i="12"/>
  <c r="AB21" i="12"/>
  <c r="V21" i="12"/>
  <c r="Z21" i="12"/>
  <c r="K21" i="12"/>
  <c r="AJ21" i="12"/>
  <c r="X21" i="12"/>
  <c r="B21" i="11"/>
  <c r="G20" i="11"/>
  <c r="E20" i="11"/>
  <c r="F20" i="11"/>
  <c r="H20" i="11"/>
  <c r="I20" i="11"/>
  <c r="W21" i="12" l="1"/>
  <c r="AA21" i="12"/>
  <c r="AC21" i="12"/>
  <c r="U21" i="12"/>
  <c r="AG21" i="12"/>
  <c r="S21" i="12"/>
  <c r="AI21" i="12"/>
  <c r="AK21" i="12"/>
  <c r="Y21" i="12"/>
  <c r="AE21" i="12"/>
  <c r="Q21" i="12"/>
  <c r="O21" i="12"/>
  <c r="B23" i="12"/>
  <c r="E22" i="12"/>
  <c r="F22" i="12"/>
  <c r="H22" i="12"/>
  <c r="I22" i="12"/>
  <c r="C21" i="11"/>
  <c r="D21" i="11"/>
  <c r="G21" i="12"/>
  <c r="J22" i="12"/>
  <c r="B22" i="11" l="1"/>
  <c r="G21" i="11"/>
  <c r="H21" i="11"/>
  <c r="F21" i="11"/>
  <c r="I21" i="11"/>
  <c r="E21" i="11"/>
  <c r="T22" i="12"/>
  <c r="V22" i="12"/>
  <c r="X22" i="12"/>
  <c r="AJ22" i="12"/>
  <c r="AF22" i="12"/>
  <c r="AB22" i="12"/>
  <c r="Z22" i="12"/>
  <c r="N22" i="12"/>
  <c r="AD22" i="12"/>
  <c r="AH22" i="12"/>
  <c r="P22" i="12"/>
  <c r="K22" i="12"/>
  <c r="R22" i="12"/>
  <c r="C23" i="12"/>
  <c r="D23" i="12"/>
  <c r="S22" i="12" l="1"/>
  <c r="AG22" i="12"/>
  <c r="AK22" i="12"/>
  <c r="Y22" i="12"/>
  <c r="U22" i="12"/>
  <c r="W22" i="12"/>
  <c r="AI22" i="12"/>
  <c r="AE22" i="12"/>
  <c r="O22" i="12"/>
  <c r="AA22" i="12"/>
  <c r="AC22" i="12"/>
  <c r="Q22" i="12"/>
  <c r="B24" i="12"/>
  <c r="H23" i="12"/>
  <c r="E23" i="12"/>
  <c r="I23" i="12"/>
  <c r="F23" i="12"/>
  <c r="J23" i="12"/>
  <c r="D22" i="11"/>
  <c r="C22" i="11"/>
  <c r="G22" i="12"/>
  <c r="T23" i="12" l="1"/>
  <c r="Z23" i="12"/>
  <c r="R23" i="12"/>
  <c r="N23" i="12"/>
  <c r="K23" i="12"/>
  <c r="AH23" i="12"/>
  <c r="AI23" i="12" s="1"/>
  <c r="AD23" i="12"/>
  <c r="AE23" i="12" s="1"/>
  <c r="AJ23" i="12"/>
  <c r="AK23" i="12" s="1"/>
  <c r="AB23" i="12"/>
  <c r="AC23" i="12" s="1"/>
  <c r="P23" i="12"/>
  <c r="X23" i="12"/>
  <c r="AF23" i="12"/>
  <c r="V23" i="12"/>
  <c r="B23" i="11"/>
  <c r="E22" i="11"/>
  <c r="G22" i="11"/>
  <c r="I22" i="11"/>
  <c r="F22" i="11"/>
  <c r="H22" i="11"/>
  <c r="C24" i="12"/>
  <c r="J24" i="12" s="1"/>
  <c r="D24" i="12"/>
  <c r="Q23" i="12" l="1"/>
  <c r="W23" i="12"/>
  <c r="O23" i="12"/>
  <c r="U23" i="12"/>
  <c r="AG23" i="12"/>
  <c r="S23" i="12"/>
  <c r="AA23" i="12"/>
  <c r="Y23" i="12"/>
  <c r="AJ24" i="12"/>
  <c r="V24" i="12"/>
  <c r="Z24" i="12"/>
  <c r="AB24" i="12"/>
  <c r="X24" i="12"/>
  <c r="AF24" i="12"/>
  <c r="R24" i="12"/>
  <c r="N24" i="12"/>
  <c r="P24" i="12"/>
  <c r="AH24" i="12"/>
  <c r="AD24" i="12"/>
  <c r="T24" i="12"/>
  <c r="C23" i="11"/>
  <c r="D23" i="11"/>
  <c r="G23" i="12"/>
  <c r="B25" i="12"/>
  <c r="H24" i="12"/>
  <c r="F24" i="12"/>
  <c r="I24" i="12"/>
  <c r="K24" i="12" s="1"/>
  <c r="E24" i="12"/>
  <c r="AC24" i="12" l="1"/>
  <c r="AA24" i="12"/>
  <c r="O24" i="12"/>
  <c r="Y24" i="12"/>
  <c r="AI24" i="12"/>
  <c r="AE24" i="12"/>
  <c r="U24" i="12"/>
  <c r="W24" i="12"/>
  <c r="AK24" i="12"/>
  <c r="Q24" i="12"/>
  <c r="S24" i="12"/>
  <c r="AG24" i="12"/>
  <c r="C25" i="12"/>
  <c r="D25" i="12"/>
  <c r="B24" i="11"/>
  <c r="I23" i="11"/>
  <c r="G23" i="11"/>
  <c r="F23" i="11"/>
  <c r="H23" i="11"/>
  <c r="E23" i="11"/>
  <c r="D24" i="11" l="1"/>
  <c r="C24" i="11"/>
  <c r="G24" i="12"/>
  <c r="B26" i="12"/>
  <c r="F25" i="12"/>
  <c r="E25" i="12"/>
  <c r="H25" i="12"/>
  <c r="I25" i="12"/>
  <c r="J25" i="12"/>
  <c r="B25" i="11" l="1"/>
  <c r="I24" i="11"/>
  <c r="H24" i="11"/>
  <c r="E24" i="11"/>
  <c r="F24" i="11"/>
  <c r="G24" i="11"/>
  <c r="AJ25" i="12"/>
  <c r="V25" i="12"/>
  <c r="AH25" i="12"/>
  <c r="P25" i="12"/>
  <c r="K25" i="12"/>
  <c r="Z25" i="12"/>
  <c r="R25" i="12"/>
  <c r="T25" i="12"/>
  <c r="AB25" i="12"/>
  <c r="AF25" i="12"/>
  <c r="N25" i="12"/>
  <c r="X25" i="12"/>
  <c r="AD25" i="12"/>
  <c r="C26" i="12"/>
  <c r="J26" i="12" s="1"/>
  <c r="D26" i="12"/>
  <c r="E26" i="12" s="1"/>
  <c r="W25" i="12" l="1"/>
  <c r="AK25" i="12"/>
  <c r="AE25" i="12"/>
  <c r="Y25" i="12"/>
  <c r="AG25" i="12"/>
  <c r="AC25" i="12"/>
  <c r="U25" i="12"/>
  <c r="S25" i="12"/>
  <c r="AA25" i="12"/>
  <c r="AI25" i="12"/>
  <c r="O25" i="12"/>
  <c r="Q25" i="12"/>
  <c r="P26" i="12"/>
  <c r="AD26" i="12"/>
  <c r="AB26" i="12"/>
  <c r="X26" i="12"/>
  <c r="V26" i="12"/>
  <c r="AJ26" i="12"/>
  <c r="T26" i="12"/>
  <c r="AH26" i="12"/>
  <c r="Z26" i="12"/>
  <c r="R26" i="12"/>
  <c r="AF26" i="12"/>
  <c r="N26" i="12"/>
  <c r="B27" i="12"/>
  <c r="I26" i="12"/>
  <c r="K26" i="12" s="1"/>
  <c r="F26" i="12"/>
  <c r="H26" i="12"/>
  <c r="C25" i="11"/>
  <c r="D25" i="11"/>
  <c r="G25" i="12"/>
  <c r="Y26" i="12" l="1"/>
  <c r="U26" i="12"/>
  <c r="AA26" i="12"/>
  <c r="Q26" i="12"/>
  <c r="AK26" i="12"/>
  <c r="AI26" i="12"/>
  <c r="AG26" i="12"/>
  <c r="O26" i="12"/>
  <c r="W26" i="12"/>
  <c r="AE26" i="12"/>
  <c r="S26" i="12"/>
  <c r="AC26" i="12"/>
  <c r="B26" i="11"/>
  <c r="E25" i="11"/>
  <c r="G25" i="11"/>
  <c r="F25" i="11"/>
  <c r="H25" i="11"/>
  <c r="I25" i="11"/>
  <c r="C27" i="12"/>
  <c r="D27" i="12"/>
  <c r="B28" i="12" l="1"/>
  <c r="H27" i="12"/>
  <c r="I27" i="12"/>
  <c r="F27" i="12"/>
  <c r="J27" i="12"/>
  <c r="E27" i="12"/>
  <c r="D26" i="11"/>
  <c r="C26" i="11"/>
  <c r="G26" i="12"/>
  <c r="E26" i="11" l="1"/>
  <c r="B27" i="11"/>
  <c r="F26" i="11"/>
  <c r="I26" i="11"/>
  <c r="G26" i="11"/>
  <c r="H26" i="11"/>
  <c r="X27" i="12"/>
  <c r="AB27" i="12"/>
  <c r="K27" i="12"/>
  <c r="R27" i="12"/>
  <c r="AD27" i="12"/>
  <c r="P27" i="12"/>
  <c r="AH27" i="12"/>
  <c r="N27" i="12"/>
  <c r="AJ27" i="12"/>
  <c r="T27" i="12"/>
  <c r="AF27" i="12"/>
  <c r="Z27" i="12"/>
  <c r="V27" i="12"/>
  <c r="D28" i="12"/>
  <c r="C28" i="12"/>
  <c r="S27" i="12" l="1"/>
  <c r="Y27" i="12"/>
  <c r="AK27" i="12"/>
  <c r="W27" i="12"/>
  <c r="AA27" i="12"/>
  <c r="AC27" i="12"/>
  <c r="U27" i="12"/>
  <c r="O27" i="12"/>
  <c r="Q27" i="12"/>
  <c r="AG27" i="12"/>
  <c r="AI27" i="12"/>
  <c r="AE27" i="12"/>
  <c r="E28" i="12"/>
  <c r="B29" i="12"/>
  <c r="H28" i="12"/>
  <c r="F28" i="12"/>
  <c r="I28" i="12"/>
  <c r="J28" i="12"/>
  <c r="D27" i="11"/>
  <c r="C27" i="11"/>
  <c r="G27" i="12"/>
  <c r="E27" i="11" l="1"/>
  <c r="AD28" i="12"/>
  <c r="AB28" i="12"/>
  <c r="T28" i="12"/>
  <c r="V28" i="12"/>
  <c r="Z28" i="12"/>
  <c r="K28" i="12"/>
  <c r="P28" i="12"/>
  <c r="N28" i="12"/>
  <c r="AF28" i="12"/>
  <c r="R28" i="12"/>
  <c r="AJ28" i="12"/>
  <c r="X28" i="12"/>
  <c r="AH28" i="12"/>
  <c r="B28" i="11"/>
  <c r="H27" i="11"/>
  <c r="G27" i="11"/>
  <c r="I27" i="11"/>
  <c r="F27" i="11"/>
  <c r="C29" i="12"/>
  <c r="D29" i="12"/>
  <c r="E29" i="12" s="1"/>
  <c r="S28" i="12" l="1"/>
  <c r="AG28" i="12"/>
  <c r="O28" i="12"/>
  <c r="Q28" i="12"/>
  <c r="AE28" i="12"/>
  <c r="AA28" i="12"/>
  <c r="Y28" i="12"/>
  <c r="AK28" i="12"/>
  <c r="W28" i="12"/>
  <c r="AC28" i="12"/>
  <c r="U28" i="12"/>
  <c r="AI28" i="12"/>
  <c r="B30" i="12"/>
  <c r="H29" i="12"/>
  <c r="I29" i="12"/>
  <c r="F29" i="12"/>
  <c r="C28" i="11"/>
  <c r="D28" i="11"/>
  <c r="G28" i="12"/>
  <c r="J29" i="12"/>
  <c r="E28" i="11" l="1"/>
  <c r="B29" i="11"/>
  <c r="F28" i="11"/>
  <c r="H28" i="11"/>
  <c r="I28" i="11"/>
  <c r="G28" i="11"/>
  <c r="AF29" i="12"/>
  <c r="T29" i="12"/>
  <c r="P29" i="12"/>
  <c r="R29" i="12"/>
  <c r="AJ29" i="12"/>
  <c r="AD29" i="12"/>
  <c r="AB29" i="12"/>
  <c r="AH29" i="12"/>
  <c r="K29" i="12"/>
  <c r="Z29" i="12"/>
  <c r="V29" i="12"/>
  <c r="N29" i="12"/>
  <c r="X29" i="12"/>
  <c r="D30" i="12"/>
  <c r="C30" i="12"/>
  <c r="S29" i="12" l="1"/>
  <c r="U29" i="12"/>
  <c r="Q29" i="12"/>
  <c r="AA29" i="12"/>
  <c r="Y29" i="12"/>
  <c r="W29" i="12"/>
  <c r="AK29" i="12"/>
  <c r="AG29" i="12"/>
  <c r="AE29" i="12"/>
  <c r="AI29" i="12"/>
  <c r="AC29" i="12"/>
  <c r="O29" i="12"/>
  <c r="B31" i="12"/>
  <c r="H30" i="12"/>
  <c r="F30" i="12"/>
  <c r="I30" i="12"/>
  <c r="E30" i="12"/>
  <c r="J30" i="12"/>
  <c r="D29" i="11"/>
  <c r="C29" i="11"/>
  <c r="G29" i="12"/>
  <c r="B30" i="11" l="1"/>
  <c r="H29" i="11"/>
  <c r="I29" i="11"/>
  <c r="F29" i="11"/>
  <c r="G29" i="11"/>
  <c r="R30" i="12"/>
  <c r="AH30" i="12"/>
  <c r="K30" i="12"/>
  <c r="Z30" i="12"/>
  <c r="V30" i="12"/>
  <c r="T30" i="12"/>
  <c r="AB30" i="12"/>
  <c r="N30" i="12"/>
  <c r="AF30" i="12"/>
  <c r="AD30" i="12"/>
  <c r="P30" i="12"/>
  <c r="AJ30" i="12"/>
  <c r="X30" i="12"/>
  <c r="E29" i="11"/>
  <c r="D31" i="12"/>
  <c r="C31" i="12"/>
  <c r="J31" i="12" s="1"/>
  <c r="AG30" i="12" l="1"/>
  <c r="Y30" i="12"/>
  <c r="Q30" i="12"/>
  <c r="AE30" i="12"/>
  <c r="O30" i="12"/>
  <c r="S30" i="12"/>
  <c r="AI30" i="12"/>
  <c r="W30" i="12"/>
  <c r="AC30" i="12"/>
  <c r="U30" i="12"/>
  <c r="AK30" i="12"/>
  <c r="AA30" i="12"/>
  <c r="B32" i="12"/>
  <c r="I31" i="12"/>
  <c r="K31" i="12" s="1"/>
  <c r="F31" i="12"/>
  <c r="H31" i="12"/>
  <c r="D30" i="11"/>
  <c r="C30" i="11"/>
  <c r="G30" i="12"/>
  <c r="B31" i="11" l="1"/>
  <c r="I30" i="11"/>
  <c r="G30" i="11"/>
  <c r="H30" i="11"/>
  <c r="F30" i="11"/>
  <c r="E30" i="11"/>
  <c r="C32" i="12"/>
  <c r="D32" i="12"/>
  <c r="B33" i="12" l="1"/>
  <c r="H32" i="12"/>
  <c r="I32" i="12"/>
  <c r="F32" i="12"/>
  <c r="J32" i="12"/>
  <c r="C31" i="11"/>
  <c r="D31" i="11"/>
  <c r="G31" i="12"/>
  <c r="B32" i="11" l="1"/>
  <c r="H31" i="11"/>
  <c r="I31" i="11"/>
  <c r="G31" i="11"/>
  <c r="F31" i="11"/>
  <c r="K32" i="12"/>
  <c r="X31" i="12" s="1"/>
  <c r="D33" i="12"/>
  <c r="C33" i="12"/>
  <c r="AB31" i="12" l="1"/>
  <c r="AC31" i="12" s="1"/>
  <c r="T31" i="12"/>
  <c r="U31" i="12" s="1"/>
  <c r="AF31" i="12"/>
  <c r="AG31" i="12" s="1"/>
  <c r="P31" i="12"/>
  <c r="Q31" i="12" s="1"/>
  <c r="R31" i="12"/>
  <c r="S31" i="12" s="1"/>
  <c r="AJ31" i="12"/>
  <c r="AK31" i="12" s="1"/>
  <c r="Y31" i="12"/>
  <c r="AD31" i="12"/>
  <c r="AE31" i="12" s="1"/>
  <c r="AH31" i="12"/>
  <c r="AI31" i="12" s="1"/>
  <c r="Z31" i="12"/>
  <c r="AA31" i="12" s="1"/>
  <c r="V31" i="12"/>
  <c r="W31" i="12" s="1"/>
  <c r="J33" i="12"/>
  <c r="B34" i="12"/>
  <c r="H33" i="12"/>
  <c r="F33" i="12"/>
  <c r="I33" i="12"/>
  <c r="D32" i="11"/>
  <c r="C32" i="11"/>
  <c r="G32" i="12"/>
  <c r="E33" i="12"/>
  <c r="K33" i="12" l="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E10" i="12"/>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10" i="11"/>
  <c r="E12" i="11"/>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I64" i="11"/>
  <c r="H64" i="11"/>
  <c r="G64" i="11"/>
  <c r="L64" i="11"/>
  <c r="F64" i="11"/>
  <c r="D65"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E31" i="12" l="1"/>
  <c r="E32" i="12"/>
  <c r="J68" i="12"/>
  <c r="E9" i="12"/>
  <c r="G68" i="12" a="1"/>
  <c r="G68" i="12" s="1"/>
  <c r="E68" i="12"/>
  <c r="H68" i="12"/>
  <c r="I68" i="12"/>
  <c r="F68" i="12"/>
  <c r="B67" i="11"/>
  <c r="H66" i="11"/>
  <c r="I66" i="11"/>
  <c r="F66" i="11"/>
  <c r="G66" i="11"/>
  <c r="L66" i="11"/>
  <c r="E66" i="11"/>
  <c r="L27" i="12" l="1"/>
  <c r="L31" i="12"/>
  <c r="L25" i="12"/>
  <c r="L26" i="12"/>
  <c r="L23" i="12"/>
  <c r="L24" i="12"/>
  <c r="L21" i="12"/>
  <c r="L22" i="12"/>
  <c r="L15" i="12"/>
  <c r="L17" i="12"/>
  <c r="L20" i="12"/>
  <c r="L11" i="12"/>
  <c r="L16" i="12"/>
  <c r="L19" i="12"/>
  <c r="L30" i="12"/>
  <c r="L13" i="12"/>
  <c r="L28" i="12"/>
  <c r="L29" i="12"/>
  <c r="L14" i="12"/>
  <c r="L18" i="12"/>
  <c r="L9" i="12"/>
  <c r="L10" i="12"/>
  <c r="N10" i="12" s="1"/>
  <c r="O10" i="12" s="1"/>
  <c r="R68" i="12"/>
  <c r="S68" i="12" s="1"/>
  <c r="L8" i="12"/>
  <c r="T68" i="12"/>
  <c r="L68" i="12"/>
  <c r="AF68" i="12"/>
  <c r="AJ68" i="12"/>
  <c r="AK68" i="12" s="1"/>
  <c r="X68" i="12"/>
  <c r="V68" i="12"/>
  <c r="W68" i="12" s="1"/>
  <c r="AH68" i="12"/>
  <c r="AI68" i="12" s="1"/>
  <c r="AB68" i="12"/>
  <c r="AC68" i="12" s="1"/>
  <c r="AA68" i="12"/>
  <c r="Z68" i="12"/>
  <c r="AG68" i="12"/>
  <c r="N68" i="12"/>
  <c r="O68" i="12" s="1"/>
  <c r="Y68" i="12"/>
  <c r="U68" i="12"/>
  <c r="P68" i="12"/>
  <c r="Q68" i="12" s="1"/>
  <c r="K68" i="12"/>
  <c r="L12" i="12" s="1"/>
  <c r="AD68" i="12"/>
  <c r="AE68" i="12"/>
  <c r="G67" i="12"/>
  <c r="C67" i="11"/>
  <c r="D67" i="11"/>
  <c r="E67" i="11" s="1"/>
  <c r="L32" i="12" l="1"/>
  <c r="L33" i="12"/>
  <c r="N31" i="12"/>
  <c r="O31" i="12" s="1"/>
  <c r="B68" i="11"/>
  <c r="H67" i="11"/>
  <c r="G67" i="11"/>
  <c r="F67" i="11"/>
  <c r="L67" i="11"/>
  <c r="I67" i="11"/>
  <c r="O33" i="12" l="1"/>
  <c r="Q33" i="12" s="1"/>
  <c r="O32" i="12"/>
  <c r="Q32" i="12" s="1"/>
  <c r="S32" i="12" s="1"/>
  <c r="U32" i="12" s="1"/>
  <c r="W32" i="12" s="1"/>
  <c r="Y32" i="12" s="1"/>
  <c r="AA32" i="12" s="1"/>
  <c r="AC32" i="12" s="1"/>
  <c r="N32" i="12"/>
  <c r="AE32" i="12"/>
  <c r="AG32" i="12" s="1"/>
  <c r="AF32" i="12"/>
  <c r="D68" i="11"/>
  <c r="C68" i="11"/>
  <c r="AH32" i="12" l="1"/>
  <c r="P32" i="12"/>
  <c r="N33" i="12"/>
  <c r="AI32" i="12"/>
  <c r="AJ32" i="12"/>
  <c r="E68" i="11"/>
  <c r="B69" i="11"/>
  <c r="G68" i="11"/>
  <c r="L68" i="11"/>
  <c r="I68" i="11"/>
  <c r="F68" i="11"/>
  <c r="H68" i="11"/>
  <c r="R32" i="12" l="1"/>
  <c r="P33" i="12"/>
  <c r="AK32" i="12"/>
  <c r="D69" i="11"/>
  <c r="C69" i="11"/>
  <c r="T32" i="12" l="1"/>
  <c r="R33" i="12"/>
  <c r="S33" i="12" s="1"/>
  <c r="U33" i="12" s="1"/>
  <c r="W33" i="12" s="1"/>
  <c r="B70" i="11"/>
  <c r="F69" i="11"/>
  <c r="G69" i="11"/>
  <c r="L69" i="11"/>
  <c r="I69" i="11"/>
  <c r="H69" i="11"/>
  <c r="E69" i="11"/>
  <c r="V32" i="12" l="1"/>
  <c r="T33" i="12"/>
  <c r="D70" i="11"/>
  <c r="E70" i="11" s="1"/>
  <c r="C70" i="11"/>
  <c r="X32" i="12" l="1"/>
  <c r="V33" i="12"/>
  <c r="B71" i="11"/>
  <c r="I70" i="11"/>
  <c r="F70" i="11"/>
  <c r="G70" i="11"/>
  <c r="L70" i="11"/>
  <c r="H70" i="11"/>
  <c r="Z32" i="12" l="1"/>
  <c r="X33" i="12"/>
  <c r="Y33" i="12" s="1"/>
  <c r="AA33" i="12" s="1"/>
  <c r="AC33" i="12" s="1"/>
  <c r="AE33" i="12" s="1"/>
  <c r="AG33" i="12" s="1"/>
  <c r="D71" i="11"/>
  <c r="C71" i="11"/>
  <c r="AB32" i="12" l="1"/>
  <c r="Z33" i="12"/>
  <c r="B72" i="11"/>
  <c r="I71" i="11"/>
  <c r="F71" i="11"/>
  <c r="H71" i="11"/>
  <c r="L71" i="11"/>
  <c r="G71" i="11"/>
  <c r="E71" i="11"/>
  <c r="AD32" i="12" l="1"/>
  <c r="AB33" i="12"/>
  <c r="C72" i="11"/>
  <c r="D72" i="11"/>
  <c r="E72" i="11" s="1"/>
  <c r="AD33" i="12" l="1"/>
  <c r="AF33" i="12" s="1"/>
  <c r="AH33" i="12" s="1"/>
  <c r="B73" i="11"/>
  <c r="L72" i="11"/>
  <c r="G72" i="11"/>
  <c r="H72" i="11"/>
  <c r="F72" i="11"/>
  <c r="I72" i="11"/>
  <c r="AI33" i="12" l="1"/>
  <c r="AK33" i="12" s="1"/>
  <c r="AJ33" i="12"/>
  <c r="D73" i="1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32" i="11" s="1"/>
  <c r="E9" i="11" l="1"/>
  <c r="E31" i="11"/>
  <c r="J105" i="11"/>
  <c r="K105" i="11" s="1"/>
  <c r="J65" i="11"/>
  <c r="K65" i="11" s="1"/>
  <c r="J67" i="11"/>
  <c r="K67" i="11" s="1"/>
  <c r="J11" i="11"/>
  <c r="J12" i="11" s="1"/>
  <c r="K12" i="11" s="1"/>
  <c r="J53" i="11"/>
  <c r="K53" i="11" s="1"/>
  <c r="J29" i="11"/>
  <c r="K29" i="11" s="1"/>
  <c r="J13" i="11"/>
  <c r="K13" i="11" s="1"/>
  <c r="J62" i="11"/>
  <c r="K62" i="11" s="1"/>
  <c r="J63" i="11"/>
  <c r="J64" i="11" s="1"/>
  <c r="K64" i="11" s="1"/>
  <c r="J6" i="11"/>
  <c r="J17" i="11"/>
  <c r="K17" i="11" s="1"/>
  <c r="J8" i="11"/>
  <c r="K8" i="11" s="1"/>
  <c r="J16" i="11"/>
  <c r="K16" i="11" s="1"/>
  <c r="J7" i="11"/>
  <c r="J14" i="11"/>
  <c r="K14" i="11" s="1"/>
  <c r="J57" i="11"/>
  <c r="K57" i="11" s="1"/>
  <c r="J41" i="11"/>
  <c r="K41" i="11" s="1"/>
  <c r="J59" i="11"/>
  <c r="K59" i="11" s="1"/>
  <c r="J40" i="11"/>
  <c r="K40" i="11" s="1"/>
  <c r="J52" i="11"/>
  <c r="K52" i="11" s="1"/>
  <c r="J50" i="11"/>
  <c r="K50" i="11" s="1"/>
  <c r="J44" i="11"/>
  <c r="K44" i="11" s="1"/>
  <c r="J22" i="11"/>
  <c r="K22" i="11" s="1"/>
  <c r="J49" i="11"/>
  <c r="K49" i="11" s="1"/>
  <c r="J66" i="11"/>
  <c r="K66" i="11" s="1"/>
  <c r="K7" i="11"/>
  <c r="J23" i="11"/>
  <c r="K23" i="11" s="1"/>
  <c r="J20" i="11"/>
  <c r="J21" i="11" s="1"/>
  <c r="K21" i="11" s="1"/>
  <c r="J60" i="11"/>
  <c r="K60" i="11" s="1"/>
  <c r="K6" i="11"/>
  <c r="J42" i="11"/>
  <c r="K42" i="11" s="1"/>
  <c r="J56" i="11"/>
  <c r="K56" i="11" s="1"/>
  <c r="J34" i="11"/>
  <c r="K34" i="11" s="1"/>
  <c r="J24" i="11"/>
  <c r="K24" i="11" s="1"/>
  <c r="J27" i="11"/>
  <c r="K27" i="11" s="1"/>
  <c r="J38" i="11"/>
  <c r="K38" i="11" s="1"/>
  <c r="K63" i="11"/>
  <c r="J25" i="11"/>
  <c r="K25" i="11" s="1"/>
  <c r="J54" i="11"/>
  <c r="K54" i="11" s="1"/>
  <c r="J47" i="11"/>
  <c r="K47" i="11" s="1"/>
  <c r="J35" i="11"/>
  <c r="K35"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K11" i="11" l="1"/>
  <c r="J31" i="11"/>
  <c r="J32" i="11" s="1"/>
  <c r="K20" i="11"/>
  <c r="J9" i="11"/>
  <c r="J10" i="11" s="1"/>
  <c r="K10" i="11" s="1"/>
  <c r="K107" i="11"/>
  <c r="K18" i="11"/>
  <c r="C45" i="10"/>
  <c r="C74" i="10"/>
  <c r="C77" i="10"/>
  <c r="C38" i="10"/>
  <c r="C19" i="10"/>
  <c r="C41" i="10"/>
  <c r="C24" i="10"/>
  <c r="C84" i="10"/>
  <c r="C57" i="10"/>
  <c r="C93" i="10"/>
  <c r="C64" i="10"/>
  <c r="C18" i="10"/>
  <c r="C26" i="10"/>
  <c r="C37" i="10"/>
  <c r="C42" i="10"/>
  <c r="C71" i="10"/>
  <c r="C73" i="10"/>
  <c r="C55" i="10"/>
  <c r="C51" i="10"/>
  <c r="C69" i="10"/>
  <c r="C40" i="10"/>
  <c r="C32" i="10"/>
  <c r="C75" i="10"/>
  <c r="C39" i="10"/>
  <c r="C101" i="10"/>
  <c r="C83" i="10"/>
  <c r="C102" i="10"/>
  <c r="C66" i="10"/>
  <c r="C91" i="10"/>
  <c r="C11" i="10"/>
  <c r="C17" i="10"/>
  <c r="C104" i="10"/>
  <c r="C28" i="10"/>
  <c r="C15" i="10"/>
  <c r="C65" i="10"/>
  <c r="C43" i="10"/>
  <c r="C76" i="10"/>
  <c r="C97" i="10"/>
  <c r="C61" i="10"/>
  <c r="C58" i="10"/>
  <c r="C94" i="10"/>
  <c r="C52" i="10"/>
  <c r="C27" i="10"/>
  <c r="C12" i="10"/>
  <c r="C60" i="10"/>
  <c r="C9" i="10"/>
  <c r="C100" i="10"/>
  <c r="C99" i="10"/>
  <c r="C44" i="10"/>
  <c r="C105" i="10"/>
  <c r="C78" i="10"/>
  <c r="C20" i="10"/>
  <c r="C16" i="10"/>
  <c r="C22" i="10"/>
  <c r="C67" i="10"/>
  <c r="C10" i="10"/>
  <c r="C56" i="10"/>
  <c r="C47" i="10"/>
  <c r="C23" i="10"/>
  <c r="C80" i="10"/>
  <c r="C53" i="10"/>
  <c r="C95" i="10"/>
  <c r="C103" i="10"/>
  <c r="C36" i="10"/>
  <c r="C68" i="10"/>
  <c r="C98" i="10"/>
  <c r="C59" i="10"/>
  <c r="C79" i="10"/>
  <c r="C29" i="10"/>
  <c r="C85" i="10"/>
  <c r="C82" i="10"/>
  <c r="C48" i="10"/>
  <c r="C46" i="10"/>
  <c r="C54" i="10"/>
  <c r="C92" i="10"/>
  <c r="C50" i="10"/>
  <c r="C14" i="10"/>
  <c r="C34" i="10"/>
  <c r="C90" i="10"/>
  <c r="C49" i="10"/>
  <c r="C81" i="10"/>
  <c r="C63" i="10"/>
  <c r="C88" i="10"/>
  <c r="C7" i="10"/>
  <c r="C33" i="10"/>
  <c r="C62" i="10"/>
  <c r="C8" i="10"/>
  <c r="C86" i="10"/>
  <c r="C35" i="10"/>
  <c r="C30" i="10"/>
  <c r="C70" i="10"/>
  <c r="C96" i="10"/>
  <c r="C72" i="10"/>
  <c r="C6" i="10"/>
  <c r="D6" i="10" s="1"/>
  <c r="C31" i="10"/>
  <c r="C13" i="10"/>
  <c r="C21" i="10"/>
  <c r="C87" i="10"/>
  <c r="C89" i="10"/>
  <c r="C25" i="10"/>
  <c r="K31" i="11" l="1"/>
  <c r="K9" i="11"/>
  <c r="K32" i="11" s="1"/>
  <c r="D7" i="10"/>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H59" i="10" l="1" a="1"/>
  <c r="H59" i="10" s="1"/>
  <c r="I59" i="10"/>
  <c r="K59" i="10" a="1"/>
  <c r="K59" i="10" s="1"/>
  <c r="F59" i="10"/>
  <c r="N59" i="10"/>
  <c r="G59" i="10"/>
  <c r="J59" i="10"/>
  <c r="E98" i="10"/>
  <c r="E63" i="10"/>
  <c r="E71" i="10"/>
  <c r="E96" i="10"/>
  <c r="E65" i="10"/>
  <c r="E6" i="10"/>
  <c r="E20" i="10"/>
  <c r="E46" i="10"/>
  <c r="E85" i="10"/>
  <c r="E68" i="10"/>
  <c r="E22" i="10"/>
  <c r="E95" i="10"/>
  <c r="E44" i="10"/>
  <c r="E104" i="10"/>
  <c r="E80" i="10"/>
  <c r="E97" i="10"/>
  <c r="E52" i="10"/>
  <c r="E62" i="10"/>
  <c r="E18" i="10"/>
  <c r="E93" i="10"/>
  <c r="E40" i="10"/>
  <c r="E72" i="10"/>
  <c r="E42" i="10"/>
  <c r="E70" i="10"/>
  <c r="E48" i="10"/>
  <c r="E27" i="10"/>
  <c r="E12" i="10"/>
  <c r="E17" i="10"/>
  <c r="E10" i="10"/>
  <c r="E54" i="10"/>
  <c r="E103" i="10"/>
  <c r="E29" i="10"/>
  <c r="E83" i="10"/>
  <c r="E39" i="10"/>
  <c r="E75" i="10"/>
  <c r="E100" i="10"/>
  <c r="E64" i="10"/>
  <c r="E89" i="10"/>
  <c r="E43" i="10"/>
  <c r="E86" i="10"/>
  <c r="E81" i="10"/>
  <c r="E82" i="10"/>
  <c r="E38" i="10"/>
  <c r="E37" i="10"/>
  <c r="E77" i="10"/>
  <c r="E47" i="10"/>
  <c r="E51" i="10"/>
  <c r="E26" i="10"/>
  <c r="E7" i="10"/>
  <c r="E49" i="10"/>
  <c r="E24" i="10"/>
  <c r="E78" i="10"/>
  <c r="E57" i="10"/>
  <c r="E88" i="10"/>
  <c r="E50" i="10"/>
  <c r="E99" i="10"/>
  <c r="E55" i="10"/>
  <c r="E33" i="10"/>
  <c r="E84" i="10"/>
  <c r="E73" i="10"/>
  <c r="E58" i="10"/>
  <c r="E31" i="10"/>
  <c r="E53" i="10"/>
  <c r="E11" i="10"/>
  <c r="E32" i="10"/>
  <c r="E30" i="10"/>
  <c r="E35" i="10"/>
  <c r="E91" i="10"/>
  <c r="E16" i="10"/>
  <c r="E101" i="10"/>
  <c r="E79" i="10"/>
  <c r="E92" i="10"/>
  <c r="E41" i="10"/>
  <c r="E94" i="10"/>
  <c r="E61" i="10"/>
  <c r="E69" i="10"/>
  <c r="E25" i="10"/>
  <c r="E76" i="10"/>
  <c r="E66" i="10"/>
  <c r="E13" i="10"/>
  <c r="E15" i="10"/>
  <c r="E56" i="10"/>
  <c r="E102" i="10"/>
  <c r="E45" i="10"/>
  <c r="E8" i="10"/>
  <c r="E74" i="10"/>
  <c r="E19" i="10"/>
  <c r="E23" i="10"/>
  <c r="E28" i="10"/>
  <c r="E90" i="10"/>
  <c r="E60" i="10"/>
  <c r="E21" i="10"/>
  <c r="E36" i="10"/>
  <c r="E87" i="10"/>
  <c r="E67" i="10"/>
  <c r="E34" i="10"/>
  <c r="E14" i="10"/>
  <c r="E9" i="10"/>
  <c r="E105" i="10"/>
  <c r="F51" i="10" l="1"/>
  <c r="G51" i="10"/>
  <c r="H51" i="10" a="1"/>
  <c r="H51" i="10" s="1"/>
  <c r="L52" i="10" a="1"/>
  <c r="L52" i="10" s="1"/>
  <c r="M52" i="10"/>
  <c r="K51" i="10" a="1"/>
  <c r="K51" i="10" s="1"/>
  <c r="N51" i="10"/>
  <c r="I51" i="10"/>
  <c r="J51" i="10"/>
  <c r="G23" i="10"/>
  <c r="H23" i="10" a="1"/>
  <c r="H23" i="10" s="1"/>
  <c r="F23" i="10"/>
  <c r="M24" i="10"/>
  <c r="J23" i="10"/>
  <c r="I23" i="10"/>
  <c r="L24" i="10" a="1"/>
  <c r="L24" i="10" s="1"/>
  <c r="N23" i="10"/>
  <c r="K23" i="10" a="1"/>
  <c r="K23" i="10" s="1"/>
  <c r="H69" i="10" a="1"/>
  <c r="H69" i="10" s="1"/>
  <c r="I69" i="10"/>
  <c r="F69" i="10"/>
  <c r="L70" i="10" a="1"/>
  <c r="L70" i="10" s="1"/>
  <c r="G69" i="10"/>
  <c r="N69" i="10"/>
  <c r="M70" i="10"/>
  <c r="K69" i="10" a="1"/>
  <c r="K69" i="10" s="1"/>
  <c r="J69" i="10"/>
  <c r="F11" i="10"/>
  <c r="G11" i="10"/>
  <c r="L12" i="10" a="1"/>
  <c r="L12" i="10" s="1"/>
  <c r="J11" i="10"/>
  <c r="I11" i="10"/>
  <c r="H11" i="10" a="1"/>
  <c r="H11" i="10" s="1"/>
  <c r="M12" i="10"/>
  <c r="N11" i="10"/>
  <c r="K11" i="10" a="1"/>
  <c r="K11" i="10" s="1"/>
  <c r="J78" i="10"/>
  <c r="G78" i="10"/>
  <c r="N78" i="10"/>
  <c r="K78" i="10" a="1"/>
  <c r="K78" i="10" s="1"/>
  <c r="M79" i="10"/>
  <c r="F78" i="10"/>
  <c r="I78" i="10"/>
  <c r="H78" i="10" a="1"/>
  <c r="H78" i="10" s="1"/>
  <c r="L79" i="10" a="1"/>
  <c r="L79" i="10" s="1"/>
  <c r="K86" i="10" a="1"/>
  <c r="K86" i="10" s="1"/>
  <c r="F86" i="10"/>
  <c r="J86" i="10"/>
  <c r="G86" i="10"/>
  <c r="M87" i="10"/>
  <c r="L87" i="10" a="1"/>
  <c r="L87" i="10" s="1"/>
  <c r="I86" i="10"/>
  <c r="H86" i="10" a="1"/>
  <c r="H86" i="10" s="1"/>
  <c r="N86" i="10"/>
  <c r="J17" i="10"/>
  <c r="L18" i="10" a="1"/>
  <c r="L18" i="10" s="1"/>
  <c r="M18" i="10"/>
  <c r="G17" i="10"/>
  <c r="N17" i="10"/>
  <c r="F17" i="10"/>
  <c r="K17" i="10" a="1"/>
  <c r="K17" i="10" s="1"/>
  <c r="I17" i="10"/>
  <c r="H17" i="10" a="1"/>
  <c r="H17" i="10" s="1"/>
  <c r="G97" i="10"/>
  <c r="H97" i="10" a="1"/>
  <c r="H97" i="10" s="1"/>
  <c r="M98" i="10"/>
  <c r="K97" i="10" a="1"/>
  <c r="K97" i="10" s="1"/>
  <c r="I97" i="10"/>
  <c r="N97" i="10"/>
  <c r="J97" i="10"/>
  <c r="F97" i="10"/>
  <c r="L98" i="10" a="1"/>
  <c r="L98" i="10" s="1"/>
  <c r="H96" i="10" a="1"/>
  <c r="H96" i="10" s="1"/>
  <c r="I96" i="10"/>
  <c r="F96" i="10"/>
  <c r="N96" i="10"/>
  <c r="K96" i="10" a="1"/>
  <c r="K96" i="10" s="1"/>
  <c r="J96" i="10"/>
  <c r="M97" i="10"/>
  <c r="G96" i="10"/>
  <c r="L97" i="10" a="1"/>
  <c r="L97" i="10" s="1"/>
  <c r="N75" i="10"/>
  <c r="I75" i="10"/>
  <c r="G75" i="10"/>
  <c r="M76" i="10"/>
  <c r="J75" i="10"/>
  <c r="L76" i="10" a="1"/>
  <c r="L76" i="10" s="1"/>
  <c r="K75" i="10" a="1"/>
  <c r="K75" i="10" s="1"/>
  <c r="H75" i="10" a="1"/>
  <c r="H75" i="10" s="1"/>
  <c r="F75" i="10"/>
  <c r="I19" i="10"/>
  <c r="J19" i="10"/>
  <c r="G19" i="10"/>
  <c r="K19" i="10" a="1"/>
  <c r="K19" i="10" s="1"/>
  <c r="F19" i="10"/>
  <c r="N19" i="10"/>
  <c r="L20" i="10" a="1"/>
  <c r="L20" i="10" s="1"/>
  <c r="H19" i="10" a="1"/>
  <c r="H19" i="10" s="1"/>
  <c r="M20" i="10"/>
  <c r="F61" i="10"/>
  <c r="I61" i="10"/>
  <c r="N61" i="10"/>
  <c r="M62" i="10"/>
  <c r="K61" i="10" a="1"/>
  <c r="K61" i="10" s="1"/>
  <c r="L62" i="10" a="1"/>
  <c r="L62" i="10" s="1"/>
  <c r="G61" i="10"/>
  <c r="J61" i="10"/>
  <c r="H61" i="10" a="1"/>
  <c r="H61" i="10" s="1"/>
  <c r="K53" i="10" a="1"/>
  <c r="K53" i="10" s="1"/>
  <c r="H53" i="10" a="1"/>
  <c r="H53" i="10" s="1"/>
  <c r="F53" i="10"/>
  <c r="M54" i="10"/>
  <c r="L54" i="10" a="1"/>
  <c r="L54" i="10" s="1"/>
  <c r="I53" i="10"/>
  <c r="J53" i="10"/>
  <c r="N53" i="10"/>
  <c r="G53" i="10"/>
  <c r="I24" i="10"/>
  <c r="F24" i="10"/>
  <c r="N24" i="10"/>
  <c r="M25" i="10"/>
  <c r="L25" i="10" a="1"/>
  <c r="L25" i="10" s="1"/>
  <c r="G24" i="10"/>
  <c r="J24" i="10"/>
  <c r="H24" i="10" a="1"/>
  <c r="H24" i="10" s="1"/>
  <c r="K24" i="10" a="1"/>
  <c r="K24" i="10" s="1"/>
  <c r="G43" i="10"/>
  <c r="K43" i="10" a="1"/>
  <c r="K43" i="10" s="1"/>
  <c r="J43" i="10"/>
  <c r="M44" i="10"/>
  <c r="H43" i="10" a="1"/>
  <c r="H43" i="10" s="1"/>
  <c r="L44" i="10" a="1"/>
  <c r="L44" i="10" s="1"/>
  <c r="N43" i="10"/>
  <c r="I43" i="10"/>
  <c r="F43" i="10"/>
  <c r="M13" i="10"/>
  <c r="K12" i="10" a="1"/>
  <c r="K12" i="10" s="1"/>
  <c r="H12" i="10" a="1"/>
  <c r="H12" i="10" s="1"/>
  <c r="G12" i="10"/>
  <c r="N12" i="10"/>
  <c r="I12" i="10"/>
  <c r="L13" i="10" a="1"/>
  <c r="L13" i="10" s="1"/>
  <c r="J12" i="10"/>
  <c r="F12" i="10"/>
  <c r="K80" i="10" a="1"/>
  <c r="K80" i="10" s="1"/>
  <c r="I80" i="10"/>
  <c r="H80" i="10" a="1"/>
  <c r="H80" i="10" s="1"/>
  <c r="G80" i="10"/>
  <c r="L81" i="10" a="1"/>
  <c r="L81" i="10" s="1"/>
  <c r="M81" i="10"/>
  <c r="F80" i="10"/>
  <c r="N80" i="10"/>
  <c r="J80" i="10"/>
  <c r="K71" i="10" a="1"/>
  <c r="K71" i="10" s="1"/>
  <c r="G71" i="10"/>
  <c r="I71" i="10"/>
  <c r="L72" i="10" a="1"/>
  <c r="L72" i="10" s="1"/>
  <c r="N71" i="10"/>
  <c r="F71" i="10"/>
  <c r="J71" i="10"/>
  <c r="H71" i="10" a="1"/>
  <c r="H71" i="10" s="1"/>
  <c r="M72" i="10"/>
  <c r="J34" i="10"/>
  <c r="M35" i="10"/>
  <c r="K34" i="10" a="1"/>
  <c r="K34" i="10" s="1"/>
  <c r="H34" i="10" a="1"/>
  <c r="H34" i="10" s="1"/>
  <c r="G34" i="10"/>
  <c r="F34" i="10"/>
  <c r="L35" i="10" a="1"/>
  <c r="L35" i="10" s="1"/>
  <c r="N34" i="10"/>
  <c r="I34" i="10"/>
  <c r="K105" i="10" a="1"/>
  <c r="K105" i="10" s="1"/>
  <c r="I105" i="10"/>
  <c r="G105" i="10"/>
  <c r="H105" i="10" a="1"/>
  <c r="H105" i="10" s="1"/>
  <c r="F105" i="10"/>
  <c r="J105" i="10"/>
  <c r="N105" i="10"/>
  <c r="G74" i="10"/>
  <c r="H74" i="10" a="1"/>
  <c r="H74" i="10" s="1"/>
  <c r="I74" i="10"/>
  <c r="M75" i="10"/>
  <c r="J74" i="10"/>
  <c r="N74" i="10"/>
  <c r="F74" i="10"/>
  <c r="L75" i="10" a="1"/>
  <c r="L75" i="10" s="1"/>
  <c r="K74" i="10" a="1"/>
  <c r="K74" i="10" s="1"/>
  <c r="I94" i="10"/>
  <c r="N94" i="10"/>
  <c r="J94" i="10"/>
  <c r="H94" i="10" a="1"/>
  <c r="H94" i="10" s="1"/>
  <c r="K94" i="10" a="1"/>
  <c r="K94" i="10" s="1"/>
  <c r="L95" i="10" a="1"/>
  <c r="L95" i="10" s="1"/>
  <c r="M95" i="10"/>
  <c r="F94" i="10"/>
  <c r="G94" i="10"/>
  <c r="J31" i="10"/>
  <c r="F31" i="10"/>
  <c r="N31" i="10"/>
  <c r="M32" i="10"/>
  <c r="G31" i="10"/>
  <c r="H31" i="10" a="1"/>
  <c r="H31" i="10" s="1"/>
  <c r="K31" i="10" a="1"/>
  <c r="K31" i="10" s="1"/>
  <c r="L32" i="10" a="1"/>
  <c r="L32" i="10" s="1"/>
  <c r="I31" i="10"/>
  <c r="J49" i="10"/>
  <c r="G49" i="10"/>
  <c r="H49" i="10" a="1"/>
  <c r="H49" i="10" s="1"/>
  <c r="M50" i="10"/>
  <c r="K49" i="10" a="1"/>
  <c r="K49" i="10" s="1"/>
  <c r="I49" i="10"/>
  <c r="N49" i="10"/>
  <c r="F49" i="10"/>
  <c r="L50" i="10" a="1"/>
  <c r="L50" i="10" s="1"/>
  <c r="G89" i="10"/>
  <c r="N89" i="10"/>
  <c r="F89" i="10"/>
  <c r="K89" i="10" a="1"/>
  <c r="K89" i="10" s="1"/>
  <c r="J89" i="10"/>
  <c r="L90" i="10" a="1"/>
  <c r="L90" i="10" s="1"/>
  <c r="M90" i="10"/>
  <c r="I89" i="10"/>
  <c r="H89" i="10" a="1"/>
  <c r="H89" i="10" s="1"/>
  <c r="N27" i="10"/>
  <c r="K27" i="10" a="1"/>
  <c r="K27" i="10" s="1"/>
  <c r="G27" i="10"/>
  <c r="L28" i="10" a="1"/>
  <c r="L28" i="10" s="1"/>
  <c r="I27" i="10"/>
  <c r="H27" i="10" a="1"/>
  <c r="H27" i="10" s="1"/>
  <c r="J27" i="10"/>
  <c r="M28" i="10"/>
  <c r="F27" i="10"/>
  <c r="J104" i="10"/>
  <c r="N104" i="10"/>
  <c r="I104" i="10"/>
  <c r="F104" i="10"/>
  <c r="M105" i="10"/>
  <c r="G104" i="10"/>
  <c r="K104" i="10" a="1"/>
  <c r="K104" i="10" s="1"/>
  <c r="L105" i="10" a="1"/>
  <c r="L105" i="10" s="1"/>
  <c r="H104" i="10" a="1"/>
  <c r="H104" i="10" s="1"/>
  <c r="I63" i="10"/>
  <c r="F63" i="10"/>
  <c r="K63" i="10" a="1"/>
  <c r="K63" i="10" s="1"/>
  <c r="J63" i="10"/>
  <c r="N63" i="10"/>
  <c r="H63" i="10" a="1"/>
  <c r="H63" i="10" s="1"/>
  <c r="L64" i="10" a="1"/>
  <c r="L64" i="10" s="1"/>
  <c r="G63" i="10"/>
  <c r="M64" i="10"/>
  <c r="I84" i="10"/>
  <c r="L85" i="10" a="1"/>
  <c r="L85" i="10" s="1"/>
  <c r="F84" i="10"/>
  <c r="M85" i="10"/>
  <c r="N84" i="10"/>
  <c r="H84" i="10" a="1"/>
  <c r="H84" i="10" s="1"/>
  <c r="K84" i="10" a="1"/>
  <c r="K84" i="10" s="1"/>
  <c r="J84" i="10"/>
  <c r="G84" i="10"/>
  <c r="M10" i="10"/>
  <c r="F9" i="10"/>
  <c r="N9" i="10"/>
  <c r="G9" i="10"/>
  <c r="H9" i="10" a="1"/>
  <c r="H9" i="10" s="1"/>
  <c r="L10" i="10" a="1"/>
  <c r="L10" i="10" s="1"/>
  <c r="I9" i="10"/>
  <c r="K9" i="10" a="1"/>
  <c r="K9" i="10" s="1"/>
  <c r="J9" i="10"/>
  <c r="L15" i="10" a="1"/>
  <c r="L15" i="10" s="1"/>
  <c r="I14" i="10"/>
  <c r="M15" i="10"/>
  <c r="N14" i="10"/>
  <c r="H14" i="10" a="1"/>
  <c r="H14" i="10" s="1"/>
  <c r="G14" i="10"/>
  <c r="F14" i="10"/>
  <c r="J14" i="10"/>
  <c r="K14" i="10" a="1"/>
  <c r="K14" i="10" s="1"/>
  <c r="I8" i="10"/>
  <c r="N8" i="10"/>
  <c r="H8" i="10" a="1"/>
  <c r="H8" i="10" s="1"/>
  <c r="L9" i="10" a="1"/>
  <c r="L9" i="10" s="1"/>
  <c r="K8" i="10" a="1"/>
  <c r="K8" i="10" s="1"/>
  <c r="J8" i="10"/>
  <c r="F8" i="10"/>
  <c r="G8" i="10"/>
  <c r="M9" i="10"/>
  <c r="J41" i="10"/>
  <c r="L42" i="10" a="1"/>
  <c r="L42" i="10" s="1"/>
  <c r="H41" i="10" a="1"/>
  <c r="H41" i="10" s="1"/>
  <c r="N41" i="10"/>
  <c r="M42" i="10"/>
  <c r="F41" i="10"/>
  <c r="G41" i="10"/>
  <c r="K41" i="10" a="1"/>
  <c r="K41" i="10" s="1"/>
  <c r="I41" i="10"/>
  <c r="G58" i="10"/>
  <c r="L59" i="10" a="1"/>
  <c r="L59" i="10" s="1"/>
  <c r="H58" i="10" a="1"/>
  <c r="H58" i="10" s="1"/>
  <c r="F58" i="10"/>
  <c r="I58" i="10"/>
  <c r="J58" i="10"/>
  <c r="N58" i="10"/>
  <c r="M59" i="10"/>
  <c r="K58" i="10" a="1"/>
  <c r="K58" i="10" s="1"/>
  <c r="N7" i="10"/>
  <c r="J7" i="10"/>
  <c r="M8" i="10"/>
  <c r="L8" i="10" a="1"/>
  <c r="L8" i="10" s="1"/>
  <c r="I7" i="10"/>
  <c r="G7" i="10"/>
  <c r="F7" i="10"/>
  <c r="K7" i="10" a="1"/>
  <c r="K7" i="10" s="1"/>
  <c r="H7" i="10" a="1"/>
  <c r="H7" i="10" s="1"/>
  <c r="J64" i="10"/>
  <c r="F64" i="10"/>
  <c r="M65" i="10"/>
  <c r="G64" i="10"/>
  <c r="N64" i="10"/>
  <c r="I64" i="10"/>
  <c r="H64" i="10" a="1"/>
  <c r="H64" i="10" s="1"/>
  <c r="L65" i="10" a="1"/>
  <c r="L65" i="10" s="1"/>
  <c r="K64" i="10" a="1"/>
  <c r="K64" i="10" s="1"/>
  <c r="L49" i="10" a="1"/>
  <c r="L49" i="10" s="1"/>
  <c r="N48" i="10"/>
  <c r="H48" i="10" a="1"/>
  <c r="H48" i="10" s="1"/>
  <c r="M49" i="10"/>
  <c r="J48" i="10"/>
  <c r="I48" i="10"/>
  <c r="G48" i="10"/>
  <c r="F48" i="10"/>
  <c r="K48" i="10" a="1"/>
  <c r="K48" i="10" s="1"/>
  <c r="K44" i="10" a="1"/>
  <c r="K44" i="10" s="1"/>
  <c r="G44" i="10"/>
  <c r="F44" i="10"/>
  <c r="L45" i="10" a="1"/>
  <c r="L45" i="10" s="1"/>
  <c r="H44" i="10" a="1"/>
  <c r="H44" i="10" s="1"/>
  <c r="I44" i="10"/>
  <c r="M45" i="10"/>
  <c r="N44" i="10"/>
  <c r="J44" i="10"/>
  <c r="L99" i="10" a="1"/>
  <c r="L99" i="10" s="1"/>
  <c r="H98" i="10" a="1"/>
  <c r="H98" i="10" s="1"/>
  <c r="N98" i="10"/>
  <c r="I98" i="10"/>
  <c r="F98" i="10"/>
  <c r="G98" i="10"/>
  <c r="M99" i="10"/>
  <c r="J98" i="10"/>
  <c r="K98" i="10" a="1"/>
  <c r="K98" i="10" s="1"/>
  <c r="K45" i="10" a="1"/>
  <c r="K45" i="10" s="1"/>
  <c r="H45" i="10" a="1"/>
  <c r="H45" i="10" s="1"/>
  <c r="L46" i="10" a="1"/>
  <c r="L46" i="10" s="1"/>
  <c r="I45" i="10"/>
  <c r="M46" i="10"/>
  <c r="N45" i="10"/>
  <c r="G45" i="10"/>
  <c r="J45" i="10"/>
  <c r="F45" i="10"/>
  <c r="H92" i="10" a="1"/>
  <c r="H92" i="10" s="1"/>
  <c r="I92" i="10"/>
  <c r="G92" i="10"/>
  <c r="K92" i="10" a="1"/>
  <c r="K92" i="10" s="1"/>
  <c r="L93" i="10" a="1"/>
  <c r="L93" i="10" s="1"/>
  <c r="J92" i="10"/>
  <c r="M93" i="10"/>
  <c r="F92" i="10"/>
  <c r="N92" i="10"/>
  <c r="M74" i="10"/>
  <c r="I73" i="10"/>
  <c r="F73" i="10"/>
  <c r="N73" i="10"/>
  <c r="J73" i="10"/>
  <c r="L74" i="10" a="1"/>
  <c r="L74" i="10" s="1"/>
  <c r="H73" i="10" a="1"/>
  <c r="H73" i="10" s="1"/>
  <c r="K73" i="10" a="1"/>
  <c r="K73" i="10" s="1"/>
  <c r="G73" i="10"/>
  <c r="N26" i="10"/>
  <c r="J26" i="10"/>
  <c r="F26" i="10"/>
  <c r="L27" i="10" a="1"/>
  <c r="L27" i="10" s="1"/>
  <c r="H26" i="10" a="1"/>
  <c r="H26" i="10" s="1"/>
  <c r="I26" i="10"/>
  <c r="K26" i="10" a="1"/>
  <c r="K26" i="10" s="1"/>
  <c r="M27" i="10"/>
  <c r="G26" i="10"/>
  <c r="J100" i="10"/>
  <c r="G100" i="10"/>
  <c r="N100" i="10"/>
  <c r="H100" i="10" a="1"/>
  <c r="H100" i="10" s="1"/>
  <c r="K100" i="10" a="1"/>
  <c r="K100" i="10" s="1"/>
  <c r="M101" i="10"/>
  <c r="F100" i="10"/>
  <c r="L101" i="10" a="1"/>
  <c r="L101" i="10" s="1"/>
  <c r="I100" i="10"/>
  <c r="J70" i="10"/>
  <c r="M71" i="10"/>
  <c r="H70" i="10" a="1"/>
  <c r="H70" i="10" s="1"/>
  <c r="G70" i="10"/>
  <c r="I70" i="10"/>
  <c r="L71" i="10" a="1"/>
  <c r="L71" i="10" s="1"/>
  <c r="F70" i="10"/>
  <c r="K70" i="10" a="1"/>
  <c r="K70" i="10" s="1"/>
  <c r="N70" i="10"/>
  <c r="K95" i="10" a="1"/>
  <c r="K95" i="10" s="1"/>
  <c r="L96" i="10" a="1"/>
  <c r="L96" i="10" s="1"/>
  <c r="F95" i="10"/>
  <c r="M96" i="10"/>
  <c r="N95" i="10"/>
  <c r="J95" i="10"/>
  <c r="I95" i="10"/>
  <c r="H95" i="10" a="1"/>
  <c r="H95" i="10" s="1"/>
  <c r="G95" i="10"/>
  <c r="N42" i="10"/>
  <c r="M43" i="10"/>
  <c r="J42" i="10"/>
  <c r="H42" i="10" a="1"/>
  <c r="H42" i="10" s="1"/>
  <c r="I42" i="10"/>
  <c r="K42" i="10" a="1"/>
  <c r="K42" i="10" s="1"/>
  <c r="L43" i="10" a="1"/>
  <c r="L43" i="10" s="1"/>
  <c r="F42" i="10"/>
  <c r="G42" i="10"/>
  <c r="L102" i="10" a="1"/>
  <c r="L102" i="10" s="1"/>
  <c r="F101" i="10"/>
  <c r="M102" i="10"/>
  <c r="K101" i="10" a="1"/>
  <c r="K101" i="10" s="1"/>
  <c r="J101" i="10"/>
  <c r="N101" i="10"/>
  <c r="G101" i="10"/>
  <c r="I101" i="10"/>
  <c r="H101" i="10" a="1"/>
  <c r="H101" i="10" s="1"/>
  <c r="I33" i="10"/>
  <c r="N33" i="10"/>
  <c r="K33" i="10" a="1"/>
  <c r="K33" i="10" s="1"/>
  <c r="J33" i="10"/>
  <c r="M34" i="10"/>
  <c r="H33" i="10" a="1"/>
  <c r="H33" i="10" s="1"/>
  <c r="F33" i="10"/>
  <c r="L34" i="10" a="1"/>
  <c r="L34" i="10" s="1"/>
  <c r="G33" i="10"/>
  <c r="N47" i="10"/>
  <c r="G47" i="10"/>
  <c r="J47" i="10"/>
  <c r="L48" i="10" a="1"/>
  <c r="L48" i="10" s="1"/>
  <c r="K47" i="10" a="1"/>
  <c r="K47" i="10" s="1"/>
  <c r="F47" i="10"/>
  <c r="H47" i="10" a="1"/>
  <c r="H47" i="10" s="1"/>
  <c r="I47" i="10"/>
  <c r="M48" i="10"/>
  <c r="G39" i="10"/>
  <c r="J39" i="10"/>
  <c r="F39" i="10"/>
  <c r="M40" i="10"/>
  <c r="K39" i="10" a="1"/>
  <c r="K39" i="10" s="1"/>
  <c r="L40" i="10" a="1"/>
  <c r="L40" i="10" s="1"/>
  <c r="N39" i="10"/>
  <c r="I39" i="10"/>
  <c r="H39" i="10" a="1"/>
  <c r="H39" i="10" s="1"/>
  <c r="N72" i="10"/>
  <c r="K72" i="10" a="1"/>
  <c r="K72" i="10" s="1"/>
  <c r="H72" i="10" a="1"/>
  <c r="H72" i="10" s="1"/>
  <c r="I72" i="10"/>
  <c r="G72" i="10"/>
  <c r="F72" i="10"/>
  <c r="L73" i="10" a="1"/>
  <c r="L73" i="10" s="1"/>
  <c r="M73" i="10"/>
  <c r="J72" i="10"/>
  <c r="I68" i="10"/>
  <c r="J68" i="10"/>
  <c r="H68" i="10" a="1"/>
  <c r="H68" i="10" s="1"/>
  <c r="K68" i="10" a="1"/>
  <c r="K68" i="10" s="1"/>
  <c r="L69" i="10" a="1"/>
  <c r="L69" i="10" s="1"/>
  <c r="M69" i="10"/>
  <c r="F68" i="10"/>
  <c r="G68" i="10"/>
  <c r="N68" i="10"/>
  <c r="I22" i="10"/>
  <c r="H22" i="10" a="1"/>
  <c r="H22" i="10" s="1"/>
  <c r="J22" i="10"/>
  <c r="K22" i="10" a="1"/>
  <c r="K22" i="10" s="1"/>
  <c r="L23" i="10" a="1"/>
  <c r="L23" i="10" s="1"/>
  <c r="G22" i="10"/>
  <c r="N22" i="10"/>
  <c r="M23" i="10"/>
  <c r="F22" i="10"/>
  <c r="F15" i="10"/>
  <c r="H15" i="10" a="1"/>
  <c r="H15" i="10" s="1"/>
  <c r="N15" i="10"/>
  <c r="I15" i="10"/>
  <c r="M16" i="10"/>
  <c r="K15" i="10" a="1"/>
  <c r="K15" i="10" s="1"/>
  <c r="G15" i="10"/>
  <c r="J15" i="10"/>
  <c r="L16" i="10" a="1"/>
  <c r="L16" i="10" s="1"/>
  <c r="M41" i="10"/>
  <c r="H40" i="10" a="1"/>
  <c r="H40" i="10" s="1"/>
  <c r="I40" i="10"/>
  <c r="F40" i="10"/>
  <c r="N40" i="10"/>
  <c r="L41" i="10" a="1"/>
  <c r="L41" i="10" s="1"/>
  <c r="K40" i="10" a="1"/>
  <c r="K40" i="10" s="1"/>
  <c r="J40" i="10"/>
  <c r="G40" i="10"/>
  <c r="H13" i="10" a="1"/>
  <c r="H13" i="10" s="1"/>
  <c r="K13" i="10" a="1"/>
  <c r="K13" i="10" s="1"/>
  <c r="L14" i="10" a="1"/>
  <c r="L14" i="10" s="1"/>
  <c r="N13" i="10"/>
  <c r="G13" i="10"/>
  <c r="F13" i="10"/>
  <c r="J13" i="10"/>
  <c r="I13" i="10"/>
  <c r="M14" i="10"/>
  <c r="G91" i="10"/>
  <c r="M92" i="10"/>
  <c r="K91" i="10" a="1"/>
  <c r="K91" i="10" s="1"/>
  <c r="I91" i="10"/>
  <c r="H91" i="10" a="1"/>
  <c r="H91" i="10" s="1"/>
  <c r="F91" i="10"/>
  <c r="N91" i="10"/>
  <c r="L92" i="10" a="1"/>
  <c r="L92" i="10" s="1"/>
  <c r="J91" i="10"/>
  <c r="F99" i="10"/>
  <c r="K99" i="10" a="1"/>
  <c r="K99" i="10" s="1"/>
  <c r="H99" i="10" a="1"/>
  <c r="H99" i="10" s="1"/>
  <c r="G99" i="10"/>
  <c r="I99" i="10"/>
  <c r="N99" i="10"/>
  <c r="L100" i="10" a="1"/>
  <c r="L100" i="10" s="1"/>
  <c r="J99" i="10"/>
  <c r="M100" i="10"/>
  <c r="J37" i="10"/>
  <c r="H37" i="10" a="1"/>
  <c r="H37" i="10" s="1"/>
  <c r="M38" i="10"/>
  <c r="N37" i="10"/>
  <c r="K37" i="10" a="1"/>
  <c r="K37" i="10" s="1"/>
  <c r="I37" i="10"/>
  <c r="G37" i="10"/>
  <c r="F37" i="10"/>
  <c r="L38" i="10" a="1"/>
  <c r="L38" i="10" s="1"/>
  <c r="G29" i="10"/>
  <c r="L30" i="10" a="1"/>
  <c r="L30" i="10" s="1"/>
  <c r="H29" i="10" a="1"/>
  <c r="H29" i="10" s="1"/>
  <c r="K29" i="10" a="1"/>
  <c r="K29" i="10" s="1"/>
  <c r="I29" i="10"/>
  <c r="F29" i="10"/>
  <c r="N29" i="10"/>
  <c r="J29" i="10"/>
  <c r="I93" i="10"/>
  <c r="N93" i="10"/>
  <c r="M94" i="10"/>
  <c r="K93" i="10" a="1"/>
  <c r="K93" i="10" s="1"/>
  <c r="L94" i="10" a="1"/>
  <c r="L94" i="10" s="1"/>
  <c r="J93" i="10"/>
  <c r="G93" i="10"/>
  <c r="H93" i="10" a="1"/>
  <c r="H93" i="10" s="1"/>
  <c r="F93" i="10"/>
  <c r="L47" i="10" a="1"/>
  <c r="L47" i="10" s="1"/>
  <c r="J46" i="10"/>
  <c r="M47" i="10"/>
  <c r="F46" i="10"/>
  <c r="G46" i="10"/>
  <c r="H46" i="10" a="1"/>
  <c r="H46" i="10" s="1"/>
  <c r="I46" i="10"/>
  <c r="K46" i="10" a="1"/>
  <c r="K46" i="10" s="1"/>
  <c r="N46" i="10"/>
  <c r="G79" i="10"/>
  <c r="K79" i="10" a="1"/>
  <c r="K79" i="10" s="1"/>
  <c r="I79" i="10"/>
  <c r="J79" i="10"/>
  <c r="N79" i="10"/>
  <c r="H79" i="10" a="1"/>
  <c r="H79" i="10" s="1"/>
  <c r="M80" i="10"/>
  <c r="F79" i="10"/>
  <c r="L80" i="10" a="1"/>
  <c r="L80" i="10" s="1"/>
  <c r="F56" i="10"/>
  <c r="K56" i="10" a="1"/>
  <c r="K56" i="10" s="1"/>
  <c r="M57" i="10"/>
  <c r="I56" i="10"/>
  <c r="J56" i="10"/>
  <c r="G56" i="10"/>
  <c r="L57" i="10" a="1"/>
  <c r="L57" i="10" s="1"/>
  <c r="H56" i="10" a="1"/>
  <c r="H56" i="10" s="1"/>
  <c r="N56" i="10"/>
  <c r="F55" i="10"/>
  <c r="N55" i="10"/>
  <c r="H55" i="10" a="1"/>
  <c r="H55" i="10" s="1"/>
  <c r="G55" i="10"/>
  <c r="I55" i="10"/>
  <c r="M56" i="10"/>
  <c r="K55" i="10" a="1"/>
  <c r="K55" i="10" s="1"/>
  <c r="L56" i="10" a="1"/>
  <c r="L56" i="10" s="1"/>
  <c r="J55" i="10"/>
  <c r="G85" i="10"/>
  <c r="M86" i="10"/>
  <c r="N85" i="10"/>
  <c r="L86" i="10" a="1"/>
  <c r="L86" i="10" s="1"/>
  <c r="F85" i="10"/>
  <c r="J85" i="10"/>
  <c r="H85" i="10" a="1"/>
  <c r="H85" i="10" s="1"/>
  <c r="I85" i="10"/>
  <c r="K85" i="10" a="1"/>
  <c r="K85" i="10" s="1"/>
  <c r="M67" i="10"/>
  <c r="L67" i="10" a="1"/>
  <c r="L67" i="10" s="1"/>
  <c r="N66" i="10"/>
  <c r="I66" i="10"/>
  <c r="H66" i="10" a="1"/>
  <c r="H66" i="10" s="1"/>
  <c r="K66" i="10" a="1"/>
  <c r="K66" i="10" s="1"/>
  <c r="G66" i="10"/>
  <c r="J66" i="10"/>
  <c r="F66" i="10"/>
  <c r="N35" i="10"/>
  <c r="F35" i="10"/>
  <c r="I35" i="10"/>
  <c r="J35" i="10"/>
  <c r="M36" i="10"/>
  <c r="K35" i="10" a="1"/>
  <c r="K35" i="10" s="1"/>
  <c r="G35" i="10"/>
  <c r="L36" i="10" a="1"/>
  <c r="L36" i="10" s="1"/>
  <c r="H35" i="10" a="1"/>
  <c r="H35" i="10" s="1"/>
  <c r="L51" i="10" a="1"/>
  <c r="L51" i="10" s="1"/>
  <c r="F50" i="10"/>
  <c r="I50" i="10"/>
  <c r="M51" i="10"/>
  <c r="H50" i="10" a="1"/>
  <c r="H50" i="10" s="1"/>
  <c r="N50" i="10"/>
  <c r="K50" i="10" a="1"/>
  <c r="K50" i="10" s="1"/>
  <c r="J50" i="10"/>
  <c r="G50" i="10"/>
  <c r="F38" i="10"/>
  <c r="I38" i="10"/>
  <c r="K38" i="10" a="1"/>
  <c r="K38" i="10" s="1"/>
  <c r="J38" i="10"/>
  <c r="H38" i="10" a="1"/>
  <c r="H38" i="10" s="1"/>
  <c r="M39" i="10"/>
  <c r="N38" i="10"/>
  <c r="G38" i="10"/>
  <c r="L39" i="10" a="1"/>
  <c r="L39" i="10" s="1"/>
  <c r="I103" i="10"/>
  <c r="F103" i="10"/>
  <c r="K103" i="10" a="1"/>
  <c r="K103" i="10" s="1"/>
  <c r="L104" i="10" a="1"/>
  <c r="L104" i="10" s="1"/>
  <c r="J103" i="10"/>
  <c r="M104" i="10"/>
  <c r="H103" i="10" a="1"/>
  <c r="H103" i="10" s="1"/>
  <c r="N103" i="10"/>
  <c r="G103" i="10"/>
  <c r="M19" i="10"/>
  <c r="I18" i="10"/>
  <c r="F18" i="10"/>
  <c r="H18" i="10" a="1"/>
  <c r="H18" i="10" s="1"/>
  <c r="K18" i="10" a="1"/>
  <c r="K18" i="10" s="1"/>
  <c r="J18" i="10"/>
  <c r="N18" i="10"/>
  <c r="G18" i="10"/>
  <c r="L19" i="10" a="1"/>
  <c r="L19" i="10" s="1"/>
  <c r="N20" i="10"/>
  <c r="G20" i="10"/>
  <c r="I20" i="10"/>
  <c r="H20" i="10" a="1"/>
  <c r="H20" i="10" s="1"/>
  <c r="J20" i="10"/>
  <c r="M21" i="10"/>
  <c r="F20" i="10"/>
  <c r="K20" i="10" a="1"/>
  <c r="K20" i="10" s="1"/>
  <c r="L21" i="10" a="1"/>
  <c r="L21" i="10" s="1"/>
  <c r="G67" i="10"/>
  <c r="H67" i="10" a="1"/>
  <c r="H67" i="10" s="1"/>
  <c r="L68" i="10" a="1"/>
  <c r="L68" i="10" s="1"/>
  <c r="M68" i="10"/>
  <c r="N67" i="10"/>
  <c r="F67" i="10"/>
  <c r="J67" i="10"/>
  <c r="I67" i="10"/>
  <c r="K67" i="10" a="1"/>
  <c r="K67" i="10" s="1"/>
  <c r="M88" i="10"/>
  <c r="F87" i="10"/>
  <c r="G87" i="10"/>
  <c r="J87" i="10"/>
  <c r="K87" i="10" a="1"/>
  <c r="K87" i="10" s="1"/>
  <c r="N87" i="10"/>
  <c r="I87" i="10"/>
  <c r="H87" i="10" a="1"/>
  <c r="H87" i="10" s="1"/>
  <c r="L88" i="10" a="1"/>
  <c r="L88" i="10" s="1"/>
  <c r="M17" i="10"/>
  <c r="N16" i="10"/>
  <c r="K16" i="10" a="1"/>
  <c r="K16" i="10" s="1"/>
  <c r="L17" i="10" a="1"/>
  <c r="L17" i="10" s="1"/>
  <c r="J16" i="10"/>
  <c r="F16" i="10"/>
  <c r="I16" i="10"/>
  <c r="G16" i="10"/>
  <c r="H16" i="10" a="1"/>
  <c r="H16" i="10" s="1"/>
  <c r="M84" i="10"/>
  <c r="L84" i="10" a="1"/>
  <c r="L84" i="10" s="1"/>
  <c r="N83" i="10"/>
  <c r="I83" i="10"/>
  <c r="F83" i="10"/>
  <c r="J83" i="10"/>
  <c r="K83" i="10" a="1"/>
  <c r="K83" i="10" s="1"/>
  <c r="H83" i="10" a="1"/>
  <c r="H83" i="10" s="1"/>
  <c r="G83" i="10"/>
  <c r="M60" i="10"/>
  <c r="N60" i="10"/>
  <c r="L61" i="10" a="1"/>
  <c r="L61" i="10" s="1"/>
  <c r="G60" i="10"/>
  <c r="J60" i="10"/>
  <c r="M61" i="10"/>
  <c r="F60" i="10"/>
  <c r="H60" i="10" a="1"/>
  <c r="H60" i="10" s="1"/>
  <c r="K60" i="10" a="1"/>
  <c r="K60" i="10" s="1"/>
  <c r="I60" i="10"/>
  <c r="L77" i="10" a="1"/>
  <c r="L77" i="10" s="1"/>
  <c r="H76" i="10" a="1"/>
  <c r="H76" i="10" s="1"/>
  <c r="N76" i="10"/>
  <c r="F76" i="10"/>
  <c r="G76" i="10"/>
  <c r="K76" i="10" a="1"/>
  <c r="K76" i="10" s="1"/>
  <c r="M77" i="10"/>
  <c r="I76" i="10"/>
  <c r="J76" i="10"/>
  <c r="G88" i="10"/>
  <c r="H88" i="10" a="1"/>
  <c r="H88" i="10" s="1"/>
  <c r="F88" i="10"/>
  <c r="N88" i="10"/>
  <c r="J88" i="10"/>
  <c r="K88" i="10" a="1"/>
  <c r="K88" i="10" s="1"/>
  <c r="L89" i="10" a="1"/>
  <c r="L89" i="10" s="1"/>
  <c r="M89" i="10"/>
  <c r="I88" i="10"/>
  <c r="M83" i="10"/>
  <c r="H82" i="10" a="1"/>
  <c r="H82" i="10" s="1"/>
  <c r="J82" i="10"/>
  <c r="L83" i="10" a="1"/>
  <c r="L83" i="10" s="1"/>
  <c r="I82" i="10"/>
  <c r="K82" i="10" a="1"/>
  <c r="K82" i="10" s="1"/>
  <c r="N82" i="10"/>
  <c r="G82" i="10"/>
  <c r="F82" i="10"/>
  <c r="H54" i="10" a="1"/>
  <c r="H54" i="10" s="1"/>
  <c r="K54" i="10" a="1"/>
  <c r="K54" i="10" s="1"/>
  <c r="G54" i="10"/>
  <c r="N54" i="10"/>
  <c r="L55" i="10" a="1"/>
  <c r="L55" i="10" s="1"/>
  <c r="M55" i="10"/>
  <c r="I54" i="10"/>
  <c r="F54" i="10"/>
  <c r="J54" i="10"/>
  <c r="H62" i="10" a="1"/>
  <c r="H62" i="10" s="1"/>
  <c r="I62" i="10"/>
  <c r="N62" i="10"/>
  <c r="K62" i="10" a="1"/>
  <c r="K62" i="10" s="1"/>
  <c r="J62" i="10"/>
  <c r="F62" i="10"/>
  <c r="G62" i="10"/>
  <c r="L63" i="10" a="1"/>
  <c r="L63" i="10" s="1"/>
  <c r="M63" i="10"/>
  <c r="M7" i="10"/>
  <c r="L6" i="10" a="1"/>
  <c r="L6" i="10" s="1"/>
  <c r="K6" i="10" a="1"/>
  <c r="K6" i="10" s="1"/>
  <c r="F6" i="10"/>
  <c r="I6" i="10"/>
  <c r="J6" i="10"/>
  <c r="L7" i="10" a="1"/>
  <c r="L7" i="10" s="1"/>
  <c r="M6" i="10"/>
  <c r="N6" i="10"/>
  <c r="O6" i="10" s="1"/>
  <c r="P6" i="10" s="1"/>
  <c r="G6" i="10"/>
  <c r="H6" i="10" a="1"/>
  <c r="H6" i="10" s="1"/>
  <c r="G102" i="10"/>
  <c r="N102" i="10"/>
  <c r="M103" i="10"/>
  <c r="K102" i="10" a="1"/>
  <c r="K102" i="10" s="1"/>
  <c r="H102" i="10" a="1"/>
  <c r="H102" i="10" s="1"/>
  <c r="I102" i="10"/>
  <c r="L103" i="10" a="1"/>
  <c r="L103" i="10" s="1"/>
  <c r="J102" i="10"/>
  <c r="F102" i="10"/>
  <c r="K36" i="10" a="1"/>
  <c r="K36" i="10" s="1"/>
  <c r="N36" i="10"/>
  <c r="L37" i="10" a="1"/>
  <c r="L37" i="10" s="1"/>
  <c r="F36" i="10"/>
  <c r="I36" i="10"/>
  <c r="G36" i="10"/>
  <c r="M37" i="10"/>
  <c r="H36" i="10" a="1"/>
  <c r="H36" i="10" s="1"/>
  <c r="J36" i="10"/>
  <c r="I77" i="10"/>
  <c r="J77" i="10"/>
  <c r="M78" i="10"/>
  <c r="G77" i="10"/>
  <c r="L78" i="10" a="1"/>
  <c r="L78" i="10" s="1"/>
  <c r="F77" i="10"/>
  <c r="K77" i="10" a="1"/>
  <c r="K77" i="10" s="1"/>
  <c r="H77" i="10" a="1"/>
  <c r="H77" i="10" s="1"/>
  <c r="N77" i="10"/>
  <c r="F21" i="10"/>
  <c r="N21" i="10"/>
  <c r="I21" i="10"/>
  <c r="G21" i="10"/>
  <c r="K21" i="10" a="1"/>
  <c r="K21" i="10" s="1"/>
  <c r="L22" i="10" a="1"/>
  <c r="L22" i="10" s="1"/>
  <c r="H21" i="10" a="1"/>
  <c r="H21" i="10" s="1"/>
  <c r="M22" i="10"/>
  <c r="J21" i="10"/>
  <c r="G90" i="10"/>
  <c r="J90" i="10"/>
  <c r="N90" i="10"/>
  <c r="L91" i="10" a="1"/>
  <c r="L91" i="10" s="1"/>
  <c r="M91" i="10"/>
  <c r="H90" i="10" a="1"/>
  <c r="H90" i="10" s="1"/>
  <c r="I90" i="10"/>
  <c r="F90" i="10"/>
  <c r="K90" i="10" a="1"/>
  <c r="K90" i="10" s="1"/>
  <c r="I30" i="10"/>
  <c r="M31" i="10"/>
  <c r="H30" i="10" a="1"/>
  <c r="H30" i="10" s="1"/>
  <c r="N30" i="10"/>
  <c r="K30" i="10" a="1"/>
  <c r="K30" i="10" s="1"/>
  <c r="L31" i="10" a="1"/>
  <c r="L31" i="10" s="1"/>
  <c r="J30" i="10"/>
  <c r="G30" i="10"/>
  <c r="F30" i="10"/>
  <c r="L29" i="10" a="1"/>
  <c r="L29" i="10" s="1"/>
  <c r="I28" i="10"/>
  <c r="F28" i="10"/>
  <c r="H28" i="10" a="1"/>
  <c r="H28" i="10" s="1"/>
  <c r="G28" i="10"/>
  <c r="J28" i="10"/>
  <c r="M29" i="10"/>
  <c r="K28" i="10" a="1"/>
  <c r="K28" i="10" s="1"/>
  <c r="N28" i="10"/>
  <c r="L26" i="10" a="1"/>
  <c r="L26" i="10" s="1"/>
  <c r="M26" i="10"/>
  <c r="K25" i="10" a="1"/>
  <c r="K25" i="10" s="1"/>
  <c r="H25" i="10" a="1"/>
  <c r="H25" i="10" s="1"/>
  <c r="I25" i="10"/>
  <c r="F25" i="10"/>
  <c r="J25" i="10"/>
  <c r="G25" i="10"/>
  <c r="N25" i="10"/>
  <c r="L33" i="10" a="1"/>
  <c r="L33" i="10" s="1"/>
  <c r="M33" i="10"/>
  <c r="G32" i="10"/>
  <c r="I32" i="10"/>
  <c r="K32" i="10" a="1"/>
  <c r="K32" i="10" s="1"/>
  <c r="H32" i="10" a="1"/>
  <c r="H32" i="10" s="1"/>
  <c r="J32" i="10"/>
  <c r="F32" i="10"/>
  <c r="N32" i="10"/>
  <c r="I57" i="10"/>
  <c r="J57" i="10"/>
  <c r="M58" i="10"/>
  <c r="N57" i="10"/>
  <c r="G57" i="10"/>
  <c r="H57" i="10" a="1"/>
  <c r="H57" i="10" s="1"/>
  <c r="K57" i="10" a="1"/>
  <c r="K57" i="10" s="1"/>
  <c r="F57" i="10"/>
  <c r="L58" i="10" a="1"/>
  <c r="L58" i="10" s="1"/>
  <c r="M82" i="10"/>
  <c r="G81" i="10"/>
  <c r="I81" i="10"/>
  <c r="J81" i="10"/>
  <c r="H81" i="10" a="1"/>
  <c r="H81" i="10" s="1"/>
  <c r="N81" i="10"/>
  <c r="K81" i="10" a="1"/>
  <c r="K81" i="10" s="1"/>
  <c r="F81" i="10"/>
  <c r="L82" i="10" a="1"/>
  <c r="L82" i="10" s="1"/>
  <c r="G10" i="10"/>
  <c r="J10" i="10"/>
  <c r="I10" i="10"/>
  <c r="L11" i="10" a="1"/>
  <c r="L11" i="10" s="1"/>
  <c r="M11" i="10"/>
  <c r="K10" i="10" a="1"/>
  <c r="K10" i="10" s="1"/>
  <c r="F10" i="10"/>
  <c r="N10" i="10"/>
  <c r="H10" i="10" a="1"/>
  <c r="H10" i="10" s="1"/>
  <c r="K52" i="10" a="1"/>
  <c r="K52" i="10" s="1"/>
  <c r="M53" i="10"/>
  <c r="F52" i="10"/>
  <c r="I52" i="10"/>
  <c r="G52" i="10"/>
  <c r="H52" i="10" a="1"/>
  <c r="H52" i="10" s="1"/>
  <c r="L53" i="10" a="1"/>
  <c r="L53" i="10" s="1"/>
  <c r="N52" i="10"/>
  <c r="J52" i="10"/>
  <c r="H65" i="10" a="1"/>
  <c r="H65" i="10" s="1"/>
  <c r="I65" i="10"/>
  <c r="F65" i="10"/>
  <c r="N65" i="10"/>
  <c r="J65" i="10"/>
  <c r="M66" i="10"/>
  <c r="K65" i="10" a="1"/>
  <c r="K65" i="10" s="1"/>
  <c r="L66" i="10" a="1"/>
  <c r="L66" i="10" s="1"/>
  <c r="G65" i="10"/>
  <c r="L60" i="10" a="1"/>
  <c r="L60" i="10" s="1"/>
  <c r="M30" i="10" l="1"/>
  <c r="O7" i="10"/>
  <c r="P7" i="10" s="1"/>
  <c r="O8" i="10" l="1"/>
  <c r="P8" i="10" l="1"/>
  <c r="O9" i="10"/>
  <c r="P9" i="10" l="1"/>
  <c r="O10" i="10"/>
  <c r="P10" i="10" l="1"/>
  <c r="O11" i="10"/>
  <c r="P11" i="10" l="1"/>
  <c r="O12" i="10"/>
  <c r="P12" i="10" l="1"/>
  <c r="O13" i="10"/>
  <c r="P13" i="10" l="1"/>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<sst xmlns="http://schemas.openxmlformats.org/spreadsheetml/2006/main" count="3705" uniqueCount="472">
  <si>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</si>
  <si>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</si>
  <si>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</si>
  <si>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</si>
  <si>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</si>
  <si>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</si>
  <si>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</si>
  <si>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</si>
  <si>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</si>
  <si>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</si>
  <si>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</si>
  <si>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</si>
  <si>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</si>
  <si>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</si>
  <si>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</si>
  <si>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</si>
  <si>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</si>
  <si>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</si>
  <si>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</si>
  <si>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</si>
  <si>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</si>
  <si>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</si>
  <si>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</si>
  <si>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</si>
  <si>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</si>
  <si>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</si>
  <si>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</si>
  <si>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</si>
  <si>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</si>
  <si>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</si>
  <si>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</si>
  <si>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</si>
  <si>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</si>
  <si>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</si>
  <si>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</si>
  <si>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</si>
  <si>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</si>
  <si>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</si>
  <si>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</si>
  <si>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</si>
  <si>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</si>
  <si>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</si>
  <si>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</si>
  <si>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</si>
  <si>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</si>
  <si>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</si>
  <si>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</si>
  <si>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</si>
  <si>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</si>
  <si>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</si>
  <si>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</si>
  <si>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</si>
  <si>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</si>
  <si>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</si>
  <si>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</si>
  <si>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</si>
  <si>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</si>
  <si>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</si>
  <si>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</si>
  <si>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</si>
  <si>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</si>
  <si>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</si>
  <si>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</si>
  <si>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</si>
  <si>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</si>
  <si>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</si>
  <si>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</si>
  <si>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</si>
  <si>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</si>
  <si>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</si>
  <si>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</si>
  <si>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</si>
  <si>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</si>
  <si>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</si>
  <si>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</si>
  <si>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</si>
  <si>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</si>
  <si>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</si>
  <si>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</si>
  <si>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</si>
  <si>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</si>
  <si>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</si>
  <si>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</si>
  <si>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</si>
  <si>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</si>
  <si>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</si>
  <si>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</si>
  <si>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</si>
  <si>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</si>
  <si>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</si>
  <si>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</si>
  <si>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</si>
  <si>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</si>
  <si>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</si>
  <si>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</si>
  <si>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</si>
  <si>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</si>
  <si>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</si>
  <si>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</si>
  <si>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</si>
  <si>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</si>
  <si>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</si>
  <si>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</si>
  <si>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</si>
  <si>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</si>
  <si>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</si>
  <si>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</si>
  <si>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</si>
  <si>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</si>
  <si>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</si>
  <si>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</si>
  <si>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</si>
  <si>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</si>
  <si>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</si>
  <si>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</si>
  <si>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</si>
  <si>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</si>
  <si>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</si>
  <si>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</si>
  <si>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</si>
  <si>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</si>
  <si>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</si>
  <si>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</si>
  <si>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</si>
  <si>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</si>
  <si>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</si>
  <si>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</si>
  <si>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</si>
  <si>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</si>
  <si>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</si>
  <si>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</si>
  <si>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</si>
  <si>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</si>
  <si>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</si>
  <si>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</si>
  <si>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</si>
  <si>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</si>
  <si>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</si>
  <si>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</si>
  <si>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</si>
  <si>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</si>
  <si>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</si>
  <si>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</si>
  <si>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</si>
  <si>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</si>
  <si>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</si>
  <si>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</si>
  <si>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</si>
  <si>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</si>
  <si>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</si>
  <si>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</si>
  <si>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</si>
  <si>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</si>
  <si>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</si>
  <si>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</si>
  <si>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</si>
  <si>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</si>
  <si>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</si>
  <si>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</si>
  <si>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</si>
  <si>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</si>
  <si>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</si>
  <si>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</si>
  <si>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</si>
  <si>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</si>
  <si>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</si>
  <si>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</si>
  <si>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</si>
  <si>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</si>
  <si>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</si>
  <si>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</si>
  <si>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</si>
  <si>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</si>
  <si>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</si>
  <si>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</si>
  <si>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</si>
  <si>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</si>
  <si>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</si>
  <si>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</si>
  <si>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</si>
  <si>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</si>
  <si>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</si>
  <si>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</si>
  <si>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</si>
  <si>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</si>
  <si>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</si>
  <si>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</si>
  <si>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</si>
  <si>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</si>
  <si>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</si>
  <si>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</si>
  <si>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</si>
  <si>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</si>
  <si>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</si>
  <si>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</si>
  <si>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</si>
  <si>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</si>
  <si>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</si>
  <si>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</si>
  <si>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</si>
  <si>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</si>
  <si>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</si>
  <si>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</si>
  <si>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</si>
  <si>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</si>
  <si>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</si>
  <si>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</si>
  <si>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</si>
  <si>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</si>
  <si>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</si>
  <si>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</si>
  <si>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</si>
  <si>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</si>
  <si>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</si>
  <si>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</si>
  <si>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</si>
  <si>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</si>
  <si>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</si>
  <si>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</si>
  <si>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</si>
  <si>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</si>
  <si>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</si>
  <si>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</si>
  <si>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</si>
  <si>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</si>
  <si>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</si>
  <si>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</si>
  <si>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</si>
  <si>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</si>
  <si>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</si>
  <si>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</si>
  <si>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</si>
  <si>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</si>
  <si>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</si>
  <si>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</si>
  <si>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</si>
  <si>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</si>
  <si>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</si>
  <si>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</si>
  <si>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</si>
  <si>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</si>
  <si>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</si>
  <si>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</si>
  <si>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</si>
  <si>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</si>
  <si>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</si>
  <si>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</si>
  <si>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</si>
  <si>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</si>
  <si>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</si>
  <si>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</si>
  <si>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</si>
  <si>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</si>
  <si>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</si>
  <si>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</si>
  <si>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</si>
  <si>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</si>
  <si>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</si>
  <si>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</si>
  <si>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</si>
  <si>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</si>
  <si>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</si>
  <si>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</si>
  <si>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</si>
  <si>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</si>
  <si>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</si>
  <si>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</si>
  <si>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</si>
  <si>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</si>
  <si>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</si>
  <si>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</si>
  <si>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</si>
  <si>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</si>
  <si>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</si>
  <si>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</si>
  <si>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</si>
  <si>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</si>
  <si>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</si>
  <si>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</si>
  <si>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</si>
  <si>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</si>
  <si>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</si>
  <si>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</si>
  <si>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</si>
  <si>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</si>
  <si>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</si>
  <si>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</si>
  <si>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</si>
  <si>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</si>
  <si>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</si>
  <si>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</si>
  <si>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</si>
  <si>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</si>
  <si>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</si>
  <si>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</si>
  <si>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</si>
  <si>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</si>
  <si>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</si>
  <si>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</si>
  <si>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</si>
  <si>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</si>
  <si>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</si>
  <si>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</si>
  <si>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</si>
  <si>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</si>
  <si>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</si>
  <si>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</si>
  <si>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</si>
  <si>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</si>
  <si>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</si>
  <si>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</si>
  <si>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</si>
  <si>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</si>
  <si>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</si>
  <si>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</si>
  <si>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</si>
  <si>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</si>
  <si>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</si>
  <si>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</si>
  <si>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</si>
  <si>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</si>
  <si>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</si>
  <si>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</si>
  <si>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</si>
  <si>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</si>
  <si>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</si>
  <si>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</si>
  <si>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</si>
  <si>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</si>
  <si>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</si>
  <si>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</si>
  <si>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</si>
  <si>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</si>
  <si>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</si>
  <si>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</si>
  <si>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</si>
  <si>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</si>
  <si>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</si>
  <si>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</si>
  <si>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</si>
  <si>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</si>
  <si>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</si>
  <si>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</si>
  <si>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</si>
  <si>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</si>
  <si>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</si>
  <si>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</si>
  <si>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</si>
  <si>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</si>
  <si>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</si>
  <si>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</si>
  <si>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</si>
  <si>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</si>
  <si>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</si>
  <si>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</si>
  <si>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</si>
  <si>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</si>
  <si>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</si>
  <si>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</si>
  <si>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</si>
  <si>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</si>
  <si>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</si>
  <si>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</si>
  <si>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</si>
  <si>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</si>
  <si>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</si>
  <si>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</si>
  <si>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</si>
  <si>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</si>
  <si>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</si>
  <si>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</si>
  <si>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</si>
  <si>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</si>
  <si>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</si>
  <si>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</si>
  <si>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</si>
  <si>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</si>
  <si>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</si>
  <si>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</si>
  <si>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</si>
  <si>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</si>
  <si>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</si>
  <si>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</si>
  <si>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</si>
  <si>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</si>
  <si>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</si>
  <si>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</si>
  <si>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</si>
  <si>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</si>
  <si>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</si>
  <si>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</si>
  <si>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</si>
  <si>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</si>
  <si>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</si>
  <si>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</si>
  <si>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</si>
  <si>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</si>
  <si>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</si>
  <si>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</si>
  <si>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</si>
  <si>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</si>
  <si>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</si>
  <si>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</si>
  <si>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</si>
  <si>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</si>
  <si>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</si>
  <si>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</si>
  <si>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</si>
  <si>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</si>
  <si>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</si>
  <si>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</si>
  <si>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</si>
  <si>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</si>
  <si>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</si>
  <si>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</si>
  <si>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</si>
  <si>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</si>
  <si>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</si>
  <si>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</si>
  <si>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</si>
  <si>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</si>
  <si>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</si>
  <si>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</si>
  <si>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</si>
  <si>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</si>
  <si>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</si>
  <si>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</si>
  <si>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</si>
  <si>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</si>
  <si>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</si>
  <si>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</si>
  <si>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</si>
  <si>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</si>
  <si>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Busdoors modelo 1</t>
  </si>
  <si>
    <t>Busdoors modelo 2</t>
  </si>
  <si>
    <t>Banners modelo 1</t>
  </si>
  <si>
    <t>Banners modelo 2</t>
  </si>
  <si>
    <t>Banners modelo 3</t>
  </si>
  <si>
    <t>Suporte móvel banner convencional</t>
  </si>
  <si>
    <t>Faixas de rua</t>
  </si>
  <si>
    <t>Faixas de mesa</t>
  </si>
  <si>
    <t>Outdoors</t>
  </si>
  <si>
    <t>Cartazes</t>
  </si>
  <si>
    <t>Adesivos lixeiras</t>
  </si>
  <si>
    <t>Adesivos refletivos para carro</t>
  </si>
  <si>
    <t>Totens</t>
  </si>
  <si>
    <t>Placas de Fachada modelo 1</t>
  </si>
  <si>
    <t>Placas de Fachada modelo 2</t>
  </si>
  <si>
    <t>Placas de Inauguração</t>
  </si>
  <si>
    <t>Placa de Porta</t>
  </si>
  <si>
    <t>Placas modelo 1</t>
  </si>
  <si>
    <t>Placas modelo 2</t>
  </si>
  <si>
    <t>Placas de Obra</t>
  </si>
  <si>
    <t>Inserção de Mural Modelo 1</t>
  </si>
  <si>
    <t>Inserção de Mural Modelo 2</t>
  </si>
  <si>
    <t>Lona de chão</t>
  </si>
  <si>
    <t>UPFP-DLC</t>
  </si>
  <si>
    <t>Raul Cortês Scherer</t>
  </si>
  <si>
    <t>26.0.000087341-0</t>
  </si>
  <si>
    <t>Ata PMPA 284/2025</t>
  </si>
  <si>
    <t>Preço Estimado</t>
  </si>
  <si>
    <t>Placa de Comunicação Visual em painel de ACM</t>
  </si>
  <si>
    <t>Preços similar com o item 1: 2, 3</t>
  </si>
  <si>
    <t>Utilização dos preços 2 e 3 do item 7, em razão da similaridade</t>
  </si>
  <si>
    <t>Mercado Livre</t>
  </si>
  <si>
    <t>Por similaridade: 2, 3</t>
  </si>
  <si>
    <t>Acrílico Store</t>
  </si>
  <si>
    <t>Por similaridade</t>
  </si>
  <si>
    <t>Utilização dos preços 2, 3 e 4 do item 17, em razão da similaridade</t>
  </si>
  <si>
    <t xml:space="preserve">Preços proporcionalizados: 2, 3 </t>
  </si>
  <si>
    <t>EXCLUSIVO</t>
  </si>
  <si>
    <t>DESEMPATE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</si>
</sst>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88">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165" fontId="20" fillId="5" borderId="1" xfId="11" applyNumberFormat="1" applyFill="1" applyBorder="1" applyAlignment="1" applyProtection="1">
      <alignment horizontal="left"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6" fillId="6" borderId="5" xfId="6" applyFont="1" applyFill="1" applyBorder="1" applyAlignment="1">
      <alignment horizontal="center" vertical="center"/>
    </xf>
    <xf numFmtId="0" fontId="39" fillId="31" borderId="45" xfId="89" applyFont="1" applyFill="1" applyBorder="1" applyAlignment="1" applyProtection="1">
      <alignment horizontal="center"/>
      <protection locked="0"/>
    </xf>
  </cellXfs>
  <cellStyles count="123">
    <cellStyle name="20% - Accent1" xfId="10" xr:uid="{00000000-0005-0000-0000-000000000000}"/>
    <cellStyle name="20% - Accent1 2" xfId="101" xr:uid="{5609FE80-6471-4A91-A76A-E51A9A30C668}"/>
    <cellStyle name="20% - Accent2" xfId="13" xr:uid="{00000000-0005-0000-0000-000001000000}"/>
    <cellStyle name="20% - Accent3" xfId="14" xr:uid="{00000000-0005-0000-0000-000002000000}"/>
    <cellStyle name="20% - Accent4" xfId="15" xr:uid="{00000000-0005-0000-0000-000003000000}"/>
    <cellStyle name="20% - Accent5" xfId="16" xr:uid="{00000000-0005-0000-0000-000004000000}"/>
    <cellStyle name="20% - Accent6" xfId="17" xr:uid="{00000000-0005-0000-0000-000005000000}"/>
    <cellStyle name="20% - Ênfase1 2" xfId="18" xr:uid="{00000000-0005-0000-0000-000006000000}"/>
    <cellStyle name="20% - Ênfase2 2" xfId="19" xr:uid="{00000000-0005-0000-0000-000007000000}"/>
    <cellStyle name="20% - Ênfase3 2" xfId="20" xr:uid="{00000000-0005-0000-0000-000008000000}"/>
    <cellStyle name="20% - Ênfase4 2" xfId="21" xr:uid="{00000000-0005-0000-0000-000009000000}"/>
    <cellStyle name="20% - Ênfase5 2" xfId="22" xr:uid="{00000000-0005-0000-0000-00000A000000}"/>
    <cellStyle name="20% - Ênfase6 2" xfId="23" xr:uid="{00000000-0005-0000-0000-00000B000000}"/>
    <cellStyle name="40% - Accent1" xfId="24" xr:uid="{00000000-0005-0000-0000-00000C000000}"/>
    <cellStyle name="40% - Accent2" xfId="25" xr:uid="{00000000-0005-0000-0000-00000D000000}"/>
    <cellStyle name="40% - Accent3" xfId="26" xr:uid="{00000000-0005-0000-0000-00000E000000}"/>
    <cellStyle name="40% - Accent4" xfId="27" xr:uid="{00000000-0005-0000-0000-00000F000000}"/>
    <cellStyle name="40% - Accent5" xfId="28" xr:uid="{00000000-0005-0000-0000-000010000000}"/>
    <cellStyle name="40% - Accent6" xfId="29" xr:uid="{00000000-0005-0000-0000-000011000000}"/>
    <cellStyle name="40% - Ênfase1 2" xfId="30" xr:uid="{00000000-0005-0000-0000-000012000000}"/>
    <cellStyle name="40% - Ênfase2 2" xfId="31" xr:uid="{00000000-0005-0000-0000-000013000000}"/>
    <cellStyle name="40% - Ênfase3 2" xfId="32" xr:uid="{00000000-0005-0000-0000-000014000000}"/>
    <cellStyle name="40% - Ênfase4 2" xfId="33" xr:uid="{00000000-0005-0000-0000-000015000000}"/>
    <cellStyle name="40% - Ênfase5 2" xfId="34" xr:uid="{00000000-0005-0000-0000-000016000000}"/>
    <cellStyle name="40% - Ênfase6 2" xfId="35" xr:uid="{00000000-0005-0000-0000-000017000000}"/>
    <cellStyle name="60% - Accent1" xfId="1" xr:uid="{00000000-0005-0000-0000-000018000000}"/>
    <cellStyle name="60% - Accent1 2" xfId="102" xr:uid="{2EAEB131-6E59-4DBB-A582-B6DE6B01613E}"/>
    <cellStyle name="60% - Accent2" xfId="36" xr:uid="{00000000-0005-0000-0000-000019000000}"/>
    <cellStyle name="60% - Accent3" xfId="2" xr:uid="{00000000-0005-0000-0000-00001A000000}"/>
    <cellStyle name="60% - Accent3 2" xfId="103" xr:uid="{E6860D3C-F194-44CF-966B-25E920840EA9}"/>
    <cellStyle name="60% - Accent4" xfId="37" xr:uid="{00000000-0005-0000-0000-00001B000000}"/>
    <cellStyle name="60% - Accent5" xfId="38" xr:uid="{00000000-0005-0000-0000-00001C000000}"/>
    <cellStyle name="60% - Accent6" xfId="39" xr:uid="{00000000-0005-0000-0000-00001D000000}"/>
    <cellStyle name="60% - Ênfase1 2" xfId="40" xr:uid="{00000000-0005-0000-0000-00001E000000}"/>
    <cellStyle name="60% - Ênfase2 2" xfId="41" xr:uid="{00000000-0005-0000-0000-00001F000000}"/>
    <cellStyle name="60% - Ênfase3 2" xfId="42" xr:uid="{00000000-0005-0000-0000-000020000000}"/>
    <cellStyle name="60% - Ênfase4 2" xfId="43" xr:uid="{00000000-0005-0000-0000-000021000000}"/>
    <cellStyle name="60% - Ênfase5 2" xfId="44" xr:uid="{00000000-0005-0000-0000-000022000000}"/>
    <cellStyle name="60% - Ênfase6 2" xfId="45" xr:uid="{00000000-0005-0000-0000-000023000000}"/>
    <cellStyle name="Accent1" xfId="3" xr:uid="{00000000-0005-0000-0000-000024000000}"/>
    <cellStyle name="Accent1 2" xfId="104" xr:uid="{36CC90B1-E2B3-4CC0-B1F4-F67B7B498D83}"/>
    <cellStyle name="Accent2" xfId="46" xr:uid="{00000000-0005-0000-0000-000025000000}"/>
    <cellStyle name="Accent3" xfId="47" xr:uid="{00000000-0005-0000-0000-000026000000}"/>
    <cellStyle name="Accent4" xfId="48" xr:uid="{00000000-0005-0000-0000-000027000000}"/>
    <cellStyle name="Accent5" xfId="49" xr:uid="{00000000-0005-0000-0000-000028000000}"/>
    <cellStyle name="Accent6" xfId="50" xr:uid="{00000000-0005-0000-0000-000029000000}"/>
    <cellStyle name="Bad" xfId="51" xr:uid="{00000000-0005-0000-0000-00002A000000}"/>
    <cellStyle name="Bom 2" xfId="52" xr:uid="{00000000-0005-0000-0000-00002B000000}"/>
    <cellStyle name="Calculation" xfId="53" xr:uid="{00000000-0005-0000-0000-00002C000000}"/>
    <cellStyle name="Calculation 2" xfId="105" xr:uid="{AC600588-5DCF-4C12-9EA0-49BE6C44D4EF}"/>
    <cellStyle name="Calculation 3" xfId="114" xr:uid="{C99133A6-5277-420C-AD23-EA48F7B56B21}"/>
    <cellStyle name="Cálculo 2" xfId="54" xr:uid="{00000000-0005-0000-0000-00002D000000}"/>
    <cellStyle name="Cálculo 3" xfId="106" xr:uid="{5479EEA4-EED5-4F67-8E48-451725DBAECC}"/>
    <cellStyle name="Cálculo 4" xfId="115" xr:uid="{D5AB07F0-7490-45F5-A652-841C77C4A871}"/>
    <cellStyle name="Célula de Verificação 2" xfId="55" xr:uid="{00000000-0005-0000-0000-00002E000000}"/>
    <cellStyle name="Célula Vinculada 2" xfId="56" xr:uid="{00000000-0005-0000-0000-00002F000000}"/>
    <cellStyle name="Check Cell" xfId="57" xr:uid="{00000000-0005-0000-0000-000030000000}"/>
    <cellStyle name="Ênfase1 2" xfId="58" xr:uid="{00000000-0005-0000-0000-000031000000}"/>
    <cellStyle name="Ênfase2 2" xfId="59" xr:uid="{00000000-0005-0000-0000-000032000000}"/>
    <cellStyle name="Ênfase3 2" xfId="60" xr:uid="{00000000-0005-0000-0000-000033000000}"/>
    <cellStyle name="Ênfase4 2" xfId="61" xr:uid="{00000000-0005-0000-0000-000034000000}"/>
    <cellStyle name="Ênfase5 2" xfId="62" xr:uid="{00000000-0005-0000-0000-000035000000}"/>
    <cellStyle name="Ênfase6 2" xfId="63" xr:uid="{00000000-0005-0000-0000-000036000000}"/>
    <cellStyle name="Entrada 2" xfId="64" xr:uid="{00000000-0005-0000-0000-000037000000}"/>
    <cellStyle name="Entrada 3" xfId="107" xr:uid="{CBDF1EA8-B140-45DD-A1D0-E99242B24D84}"/>
    <cellStyle name="Entrada 4" xfId="116" xr:uid="{50229279-88A8-40C9-8DE7-4D3622468F20}"/>
    <cellStyle name="Explanatory Text" xfId="65" xr:uid="{00000000-0005-0000-0000-000038000000}"/>
    <cellStyle name="Good" xfId="66" xr:uid="{00000000-0005-0000-0000-000039000000}"/>
    <cellStyle name="Heading 1" xfId="67" xr:uid="{00000000-0005-0000-0000-00003A000000}"/>
    <cellStyle name="Heading 2" xfId="68" xr:uid="{00000000-0005-0000-0000-00003B000000}"/>
    <cellStyle name="Heading 3" xfId="69" xr:uid="{00000000-0005-0000-0000-00003C000000}"/>
    <cellStyle name="Heading 4" xfId="70" xr:uid="{00000000-0005-0000-0000-00003D000000}"/>
    <cellStyle name="Hiperlink" xfId="11" builtinId="8"/>
    <cellStyle name="Hiperlink 2" xfId="93" xr:uid="{00000000-0005-0000-0000-00003F000000}"/>
    <cellStyle name="Input" xfId="71" xr:uid="{00000000-0005-0000-0000-000040000000}"/>
    <cellStyle name="Input 2" xfId="108" xr:uid="{8A55410B-C843-4741-9696-553C4ED60FCB}"/>
    <cellStyle name="Input 3" xfId="117" xr:uid="{C0B72EEE-9E8D-452D-99A6-0926CD114714}"/>
    <cellStyle name="Linked Cell" xfId="72" xr:uid="{00000000-0005-0000-0000-000041000000}"/>
    <cellStyle name="Moeda" xfId="4" builtinId="4"/>
    <cellStyle name="Moeda 2" xfId="5" xr:uid="{00000000-0005-0000-0000-000043000000}"/>
    <cellStyle name="Moeda 2 2" xfId="92" xr:uid="{00000000-0005-0000-0000-000044000000}"/>
    <cellStyle name="Moeda 2 2 2" xfId="99" xr:uid="{00000000-0005-0000-0000-000045000000}"/>
    <cellStyle name="Moeda 2 3" xfId="97" xr:uid="{00000000-0005-0000-0000-000046000000}"/>
    <cellStyle name="Moeda 3" xfId="95" xr:uid="{00000000-0005-0000-0000-000047000000}"/>
    <cellStyle name="Moeda 4" xfId="96" xr:uid="{00000000-0005-0000-0000-000048000000}"/>
    <cellStyle name="Neutral" xfId="73" xr:uid="{00000000-0005-0000-0000-000049000000}"/>
    <cellStyle name="Normal" xfId="0" builtinId="0"/>
    <cellStyle name="Normal 2" xfId="6" xr:uid="{00000000-0005-0000-0000-00004B000000}"/>
    <cellStyle name="Normal 2 2" xfId="74" xr:uid="{00000000-0005-0000-0000-00004C000000}"/>
    <cellStyle name="Normal 2 3" xfId="90" xr:uid="{00000000-0005-0000-0000-00004D000000}"/>
    <cellStyle name="Normal 3" xfId="7" xr:uid="{00000000-0005-0000-0000-00004E000000}"/>
    <cellStyle name="Normal 4" xfId="12" xr:uid="{00000000-0005-0000-0000-00004F000000}"/>
    <cellStyle name="Normal 5" xfId="89" xr:uid="{00000000-0005-0000-0000-000050000000}"/>
    <cellStyle name="Nota 2" xfId="75" xr:uid="{00000000-0005-0000-0000-000051000000}"/>
    <cellStyle name="Nota 3" xfId="109" xr:uid="{2C9624B9-8AAE-49C0-B882-2685CD5DBE79}"/>
    <cellStyle name="Nota 4" xfId="118" xr:uid="{2299DDDE-11A4-4E95-BEAA-22011837F80D}"/>
    <cellStyle name="Note" xfId="76" xr:uid="{00000000-0005-0000-0000-000052000000}"/>
    <cellStyle name="Note 2" xfId="110" xr:uid="{F7EF3594-EF52-42DB-BA46-029D6E316139}"/>
    <cellStyle name="Note 3" xfId="119" xr:uid="{8C207320-BBD4-4ACD-851C-C28405EEFC4D}"/>
    <cellStyle name="Output" xfId="77" xr:uid="{00000000-0005-0000-0000-000053000000}"/>
    <cellStyle name="Output 2" xfId="111" xr:uid="{5C1ECF8D-4ADD-4F1C-8F51-CECB6989A59E}"/>
    <cellStyle name="Output 3" xfId="120" xr:uid="{5156CC4A-7E57-4278-8FFD-C4655759C09E}"/>
    <cellStyle name="Porcentagem" xfId="8" builtinId="5"/>
    <cellStyle name="Porcentagem 2" xfId="91" xr:uid="{00000000-0005-0000-0000-000055000000}"/>
    <cellStyle name="Porcentagem 3" xfId="94" xr:uid="{00000000-0005-0000-0000-000056000000}"/>
    <cellStyle name="Saída 2" xfId="78" xr:uid="{00000000-0005-0000-0000-000057000000}"/>
    <cellStyle name="Saída 3" xfId="112" xr:uid="{7141D89C-D31E-4F86-B43A-084B40DF100C}"/>
    <cellStyle name="Saída 4" xfId="121" xr:uid="{654F2C02-FA5B-4A11-9830-FB3A311A1F21}"/>
    <cellStyle name="Texto de Aviso 2" xfId="79" xr:uid="{00000000-0005-0000-0000-000058000000}"/>
    <cellStyle name="Texto Explicativo 2" xfId="80" xr:uid="{00000000-0005-0000-0000-000059000000}"/>
    <cellStyle name="Title" xfId="81" xr:uid="{00000000-0005-0000-0000-00005A000000}"/>
    <cellStyle name="Título 1 2" xfId="83" xr:uid="{00000000-0005-0000-0000-00005B000000}"/>
    <cellStyle name="Título 2 2" xfId="84" xr:uid="{00000000-0005-0000-0000-00005C000000}"/>
    <cellStyle name="Título 3 2" xfId="85" xr:uid="{00000000-0005-0000-0000-00005D000000}"/>
    <cellStyle name="Título 4 2" xfId="86" xr:uid="{00000000-0005-0000-0000-00005E000000}"/>
    <cellStyle name="Título 5" xfId="82" xr:uid="{00000000-0005-0000-0000-00005F000000}"/>
    <cellStyle name="Total 2" xfId="87" xr:uid="{00000000-0005-0000-0000-000060000000}"/>
    <cellStyle name="Total 3" xfId="113" xr:uid="{163FF561-686B-42D2-A074-DFBAF9E19138}"/>
    <cellStyle name="Total 4" xfId="122" xr:uid="{7F4CF826-5B09-4BD7-A464-19D7C7EA37FA}"/>
    <cellStyle name="Vírgula" xfId="100" builtinId="3"/>
    <cellStyle name="Vírgula 2" xfId="9" xr:uid="{00000000-0005-0000-0000-000062000000}"/>
    <cellStyle name="Vírgula 2 2" xfId="98" xr:uid="{00000000-0005-0000-0000-000063000000}"/>
    <cellStyle name="Warning Text" xfId="88" xr:uid="{00000000-0005-0000-0000-000064000000}"/>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acrilicostore.com.br/produto/quadro-informativo-com-10-bolsas-a4-vertical-70525" TargetMode="External"/><Relationship Id="rId1" Type="http://schemas.openxmlformats.org/officeDocument/2006/relationships/hyperlink" Target="https://produto.mercadolivre.com.br/MLB-3356912429-quadro-de-aviso-e-gesto-c-9-displays-a4-de-acrilico-cores-_JM?matt_tool=79722229&amp;matt_internal_campaign_id=&amp;matt_word=&amp;matt_source=google&amp;matt_campaign_id=22090193708&amp;matt_ad_group_id=174661958324&amp;matt_match_type=&amp;matt_network=g&amp;matt_device=c&amp;matt_creative=727914179212&amp;matt_keyword=&amp;matt_ad_position=&amp;matt_ad_type=pla&amp;matt_merchant_id=678590572&amp;matt_product_id=MLB3356912429&amp;matt_product_partition_id=2581186566912&amp;matt_target_id=aud-1966981570049:pla-2581186566912&amp;cq_src=google_ads&amp;cq_cmp=22090193708&amp;cq_net=g&amp;cq_plt=gp&amp;cq_med=pla&amp;gad_source=4&amp;gad_campaignid=22090193708&amp;gbraid=0AAAAAD93qcAJ-DOQaIIdty-hWQ33p1O09&amp;gclid=CjwKCAjw7_DEBhAeEiwAWKiCCyqVtvkvzwEW4vgW5CWsSE9g_hiREd5jzlkaB7NR6GYYbKyDF5d-IBoCG4cQAvD_BwE"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dimension ref="A1:K32"/>
  <sheetViews>
    <sheetView workbookViewId="0">
      <selection activeCell="J17" sqref="J17"/>
    </sheetView>
  </sheetViews>
  <sheetFormatPr defaultColWidth="9.140625" defaultRowHeight="15" x14ac:dyDescent="0.25"/>
  <cols>
    <col min="1" max="1" width="7.140625" style="19" customWidth="1"/>
    <col min="2" max="2" width="8.140625" style="19" bestFit="1" customWidth="1"/>
    <col min="3" max="3" width="44" style="19" bestFit="1"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2" spans="1:11" x14ac:dyDescent="0.25">
      <c r="C2" s="19" t="s">
        <v>433</v>
      </c>
      <c r="D2" s="19" t="s">
        <v>290</v>
      </c>
      <c r="H2" s="19">
        <v>381</v>
      </c>
    </row>
    <row r="3" spans="1:11" x14ac:dyDescent="0.25">
      <c r="C3" s="19" t="s">
        <v>434</v>
      </c>
      <c r="D3" s="19" t="s">
        <v>290</v>
      </c>
      <c r="H3" s="19">
        <v>404</v>
      </c>
      <c r="I3" s="129"/>
    </row>
    <row r="4" spans="1:11" x14ac:dyDescent="0.25">
      <c r="C4" s="19" t="s">
        <v>435</v>
      </c>
      <c r="D4" s="19" t="s">
        <v>187</v>
      </c>
      <c r="H4" s="19">
        <v>2864</v>
      </c>
    </row>
    <row r="5" spans="1:11" x14ac:dyDescent="0.25">
      <c r="C5" s="19" t="s">
        <v>436</v>
      </c>
      <c r="D5" s="19" t="s">
        <v>187</v>
      </c>
      <c r="H5" s="19">
        <v>1995</v>
      </c>
      <c r="I5" s="129"/>
    </row>
    <row r="6" spans="1:11" x14ac:dyDescent="0.25">
      <c r="C6" s="19" t="s">
        <v>437</v>
      </c>
      <c r="D6" s="19" t="s">
        <v>187</v>
      </c>
      <c r="H6" s="19">
        <v>1443</v>
      </c>
      <c r="J6" s="129"/>
    </row>
    <row r="7" spans="1:11" x14ac:dyDescent="0.25">
      <c r="C7" s="19" t="s">
        <v>438</v>
      </c>
      <c r="D7" s="19" t="s">
        <v>290</v>
      </c>
      <c r="H7" s="19">
        <v>818</v>
      </c>
      <c r="I7" s="129"/>
    </row>
    <row r="8" spans="1:11" x14ac:dyDescent="0.25">
      <c r="C8" s="19" t="s">
        <v>439</v>
      </c>
      <c r="D8" s="19" t="s">
        <v>290</v>
      </c>
      <c r="H8" s="19">
        <v>1139</v>
      </c>
      <c r="I8" s="129"/>
    </row>
    <row r="9" spans="1:11" x14ac:dyDescent="0.25">
      <c r="C9" s="19" t="s">
        <v>440</v>
      </c>
      <c r="D9" s="19" t="s">
        <v>290</v>
      </c>
      <c r="H9" s="19">
        <v>383</v>
      </c>
      <c r="I9" s="139"/>
    </row>
    <row r="10" spans="1:11" x14ac:dyDescent="0.25">
      <c r="C10" s="19" t="s">
        <v>441</v>
      </c>
      <c r="D10" s="19" t="s">
        <v>187</v>
      </c>
      <c r="H10" s="19">
        <v>791</v>
      </c>
    </row>
    <row r="11" spans="1:11" x14ac:dyDescent="0.25">
      <c r="C11" s="19" t="s">
        <v>442</v>
      </c>
      <c r="D11" s="19" t="s">
        <v>187</v>
      </c>
      <c r="H11" s="19">
        <v>13166</v>
      </c>
      <c r="I11" s="129"/>
    </row>
    <row r="12" spans="1:11" x14ac:dyDescent="0.25">
      <c r="C12" s="19" t="s">
        <v>443</v>
      </c>
      <c r="D12" s="19" t="s">
        <v>187</v>
      </c>
      <c r="H12" s="19">
        <v>5181</v>
      </c>
      <c r="I12" s="129"/>
    </row>
    <row r="13" spans="1:11" x14ac:dyDescent="0.25">
      <c r="C13" s="19" t="s">
        <v>444</v>
      </c>
      <c r="D13" s="19" t="s">
        <v>187</v>
      </c>
      <c r="H13" s="19">
        <v>1979</v>
      </c>
      <c r="I13" s="129"/>
    </row>
    <row r="14" spans="1:11" x14ac:dyDescent="0.25">
      <c r="C14" s="19" t="s">
        <v>445</v>
      </c>
      <c r="D14" s="19" t="s">
        <v>290</v>
      </c>
      <c r="H14" s="19">
        <v>399</v>
      </c>
      <c r="J14" s="129"/>
    </row>
    <row r="15" spans="1:11" x14ac:dyDescent="0.25">
      <c r="C15" s="19" t="s">
        <v>446</v>
      </c>
      <c r="D15" s="19" t="s">
        <v>187</v>
      </c>
      <c r="H15" s="19">
        <v>743</v>
      </c>
      <c r="I15" s="129"/>
    </row>
    <row r="16" spans="1:11" x14ac:dyDescent="0.25">
      <c r="C16" s="19" t="s">
        <v>447</v>
      </c>
      <c r="D16" s="19" t="s">
        <v>187</v>
      </c>
      <c r="H16" s="19">
        <v>582</v>
      </c>
      <c r="J16" s="129"/>
    </row>
    <row r="17" spans="3:10" x14ac:dyDescent="0.25">
      <c r="C17" s="19" t="s">
        <v>448</v>
      </c>
      <c r="D17" s="19" t="s">
        <v>187</v>
      </c>
      <c r="H17" s="19">
        <v>1100</v>
      </c>
      <c r="I17" s="129"/>
    </row>
    <row r="18" spans="3:10" x14ac:dyDescent="0.25">
      <c r="C18" s="19" t="s">
        <v>449</v>
      </c>
      <c r="D18" s="19" t="s">
        <v>187</v>
      </c>
      <c r="H18" s="19">
        <v>2117</v>
      </c>
      <c r="I18" s="129"/>
    </row>
    <row r="19" spans="3:10" x14ac:dyDescent="0.25">
      <c r="C19" s="19" t="s">
        <v>450</v>
      </c>
      <c r="D19" s="19" t="s">
        <v>187</v>
      </c>
      <c r="H19" s="19">
        <v>1055</v>
      </c>
      <c r="I19" s="129"/>
    </row>
    <row r="20" spans="3:10" x14ac:dyDescent="0.25">
      <c r="C20" s="19" t="s">
        <v>451</v>
      </c>
      <c r="D20" s="19" t="s">
        <v>187</v>
      </c>
      <c r="H20" s="19">
        <v>975</v>
      </c>
      <c r="I20" s="129"/>
    </row>
    <row r="21" spans="3:10" x14ac:dyDescent="0.25">
      <c r="C21" s="19" t="s">
        <v>452</v>
      </c>
      <c r="D21" s="19" t="s">
        <v>187</v>
      </c>
      <c r="H21" s="19">
        <v>1649</v>
      </c>
      <c r="J21" s="129"/>
    </row>
    <row r="22" spans="3:10" x14ac:dyDescent="0.25">
      <c r="C22" s="19" t="s">
        <v>453</v>
      </c>
      <c r="D22" s="19" t="s">
        <v>290</v>
      </c>
      <c r="H22" s="19">
        <v>395</v>
      </c>
      <c r="J22" s="129"/>
    </row>
    <row r="23" spans="3:10" x14ac:dyDescent="0.25">
      <c r="C23" s="19" t="s">
        <v>454</v>
      </c>
      <c r="D23" s="19" t="s">
        <v>290</v>
      </c>
      <c r="H23" s="19">
        <v>578</v>
      </c>
      <c r="J23" s="129"/>
    </row>
    <row r="24" spans="3:10" x14ac:dyDescent="0.25">
      <c r="C24" s="19" t="s">
        <v>455</v>
      </c>
      <c r="D24" s="19" t="s">
        <v>187</v>
      </c>
      <c r="H24" s="19">
        <v>621</v>
      </c>
      <c r="J24" s="129"/>
    </row>
    <row r="25" spans="3:10" x14ac:dyDescent="0.25">
      <c r="C25" s="19" t="s">
        <v>461</v>
      </c>
      <c r="D25" s="19" t="s">
        <v>187</v>
      </c>
      <c r="H25" s="19">
        <v>1289</v>
      </c>
      <c r="J25" s="129"/>
    </row>
    <row r="26" spans="3:10" x14ac:dyDescent="0.25">
      <c r="I26" s="129"/>
    </row>
    <row r="27" spans="3:10" x14ac:dyDescent="0.25">
      <c r="J27" s="129"/>
    </row>
    <row r="28" spans="3:10" x14ac:dyDescent="0.25">
      <c r="I28" s="129"/>
    </row>
    <row r="29" spans="3:10" x14ac:dyDescent="0.25">
      <c r="I29" s="129"/>
    </row>
    <row r="30" spans="3:10" x14ac:dyDescent="0.25">
      <c r="I30" s="129"/>
    </row>
    <row r="31" spans="3:10" x14ac:dyDescent="0.25">
      <c r="I31" s="129"/>
    </row>
    <row r="32" spans="3:10" x14ac:dyDescent="0.25">
      <c r="I32" s="129"/>
    </row>
  </sheetData>
  <autoFilter ref="A1:K1" xr:uid="{00000000-0009-0000-0000-000000000000}"/>
  <sortState xmlns:xlrd2="http://schemas.microsoft.com/office/spreadsheetml/2017/richdata2"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76"/>
  <sheetViews>
    <sheetView showGridLines="0" tabSelected="1" zoomScale="85" zoomScaleNormal="85" workbookViewId="0">
      <selection activeCell="O10" sqref="O10"/>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30.8554687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16" width="21.140625" style="121" bestFit="1" customWidth="1"/>
    <col min="17"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19" t="str">
        <f>CONCATENATE("PREFEITURA MUNICIPAL DE PORTO ALEGRE
",H5,"
MAPA DE PREÇOS - ", UPPER(TEXT(MAX('Tabela de Apoio'!A:A),"MMM/AA")))</f>
        <v>PREFEITURA MUNICIPAL DE PORTO ALEGRE
SECRETARIA MUNICIPAL DE PLANEJAMENTO E GESTÃO (SMPG)
MAPA DE PREÇOS - AGO/26</v>
      </c>
      <c r="F2" s="219"/>
      <c r="G2" s="219"/>
      <c r="H2" s="219"/>
      <c r="I2" s="219"/>
      <c r="J2" s="219"/>
      <c r="K2" s="219"/>
      <c r="L2" s="219"/>
      <c r="M2" s="219"/>
      <c r="N2" s="219"/>
      <c r="O2" s="219"/>
      <c r="P2" s="219"/>
      <c r="Q2" s="219"/>
      <c r="R2" s="219"/>
      <c r="S2" s="219"/>
      <c r="T2" s="219"/>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6" t="s">
        <v>326</v>
      </c>
      <c r="F4" s="217"/>
      <c r="G4" s="217"/>
      <c r="H4" s="217"/>
      <c r="I4" s="217"/>
      <c r="J4" s="218"/>
      <c r="K4" s="95"/>
      <c r="L4" s="217" t="s">
        <v>325</v>
      </c>
      <c r="M4" s="217"/>
      <c r="N4" s="217"/>
      <c r="O4" s="217"/>
      <c r="P4" s="218"/>
      <c r="Q4" s="98"/>
      <c r="R4" s="208" t="s">
        <v>14</v>
      </c>
      <c r="S4" s="208"/>
      <c r="T4" s="208"/>
      <c r="U4" s="208"/>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7" t="s">
        <v>327</v>
      </c>
      <c r="F5" s="207"/>
      <c r="G5" s="207"/>
      <c r="H5" s="220" t="s">
        <v>406</v>
      </c>
      <c r="I5" s="220"/>
      <c r="J5" s="220"/>
      <c r="K5" s="141"/>
      <c r="L5" s="206" t="s">
        <v>321</v>
      </c>
      <c r="M5" s="207"/>
      <c r="N5" s="207"/>
      <c r="O5" s="221" t="s">
        <v>456</v>
      </c>
      <c r="P5" s="222"/>
      <c r="Q5" s="98"/>
      <c r="R5" s="225" t="s">
        <v>383</v>
      </c>
      <c r="S5" s="225"/>
      <c r="T5" s="225"/>
      <c r="U5" s="225"/>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7" t="s">
        <v>320</v>
      </c>
      <c r="F6" s="207"/>
      <c r="G6" s="207"/>
      <c r="H6" s="224"/>
      <c r="I6" s="224"/>
      <c r="J6" s="224"/>
      <c r="K6" s="142"/>
      <c r="L6" s="206" t="s">
        <v>352</v>
      </c>
      <c r="M6" s="207"/>
      <c r="N6" s="207"/>
      <c r="O6" s="221" t="s">
        <v>457</v>
      </c>
      <c r="P6" s="222"/>
      <c r="Q6" s="98"/>
      <c r="R6" s="225"/>
      <c r="S6" s="225"/>
      <c r="T6" s="225"/>
      <c r="U6" s="225"/>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7" t="s">
        <v>322</v>
      </c>
      <c r="F7" s="207"/>
      <c r="G7" s="207"/>
      <c r="H7" s="220" t="s">
        <v>458</v>
      </c>
      <c r="I7" s="220"/>
      <c r="J7" s="220"/>
      <c r="K7" s="141"/>
      <c r="L7" s="206" t="s">
        <v>351</v>
      </c>
      <c r="M7" s="207"/>
      <c r="N7" s="207"/>
      <c r="O7" s="221">
        <v>166548001</v>
      </c>
      <c r="P7" s="222"/>
      <c r="Q7" s="98"/>
      <c r="R7" s="225"/>
      <c r="S7" s="225"/>
      <c r="T7" s="225"/>
      <c r="U7" s="225"/>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7" t="s">
        <v>33</v>
      </c>
      <c r="F8" s="207"/>
      <c r="G8" s="207"/>
      <c r="H8" s="210">
        <f>MIN(MAX(COUNTA('BASE FORMAÇÃO'!C:C)-1,1),100)</f>
        <v>24</v>
      </c>
      <c r="I8" s="211"/>
      <c r="J8" s="212"/>
      <c r="K8" s="141"/>
      <c r="L8" s="213" t="s">
        <v>301</v>
      </c>
      <c r="M8" s="214"/>
      <c r="N8" s="215"/>
      <c r="O8" s="227">
        <v>46297</v>
      </c>
      <c r="P8" s="228"/>
      <c r="Q8" s="97"/>
      <c r="R8" s="226" t="s">
        <v>379</v>
      </c>
      <c r="S8" s="226"/>
      <c r="T8" s="226"/>
      <c r="U8" s="226"/>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7" t="s">
        <v>350</v>
      </c>
      <c r="F9" s="207"/>
      <c r="G9" s="207"/>
      <c r="H9" s="209">
        <f>SUMIF(L:L,"TOTAL ITEM",M:M)</f>
        <v>4899032.82</v>
      </c>
      <c r="I9" s="209"/>
      <c r="J9" s="209"/>
      <c r="K9" s="141"/>
      <c r="L9" s="216"/>
      <c r="M9" s="217"/>
      <c r="N9" s="218"/>
      <c r="O9" s="229"/>
      <c r="P9" s="230"/>
      <c r="Q9" s="97"/>
      <c r="R9" s="226"/>
      <c r="S9" s="226"/>
      <c r="T9" s="226"/>
      <c r="U9" s="226"/>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08" t="s">
        <v>314</v>
      </c>
      <c r="F11" s="65"/>
      <c r="G11" s="208" t="s">
        <v>324</v>
      </c>
      <c r="H11" s="208"/>
      <c r="I11" s="208"/>
      <c r="J11" s="208"/>
      <c r="K11" s="65"/>
      <c r="L11" s="208" t="s">
        <v>10</v>
      </c>
      <c r="M11" s="208"/>
      <c r="N11" s="68"/>
      <c r="O11" s="223"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08"/>
      <c r="F12" s="65"/>
      <c r="G12" s="208"/>
      <c r="H12" s="208"/>
      <c r="I12" s="208"/>
      <c r="J12" s="208"/>
      <c r="K12" s="65"/>
      <c r="L12" s="208"/>
      <c r="M12" s="208"/>
      <c r="N12" s="69"/>
      <c r="O12" s="223"/>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81" t="s">
        <v>16</v>
      </c>
      <c r="J15" s="6">
        <f>INDEX('BASE FORMAÇÃO'!K:K,B15+1)</f>
        <v>0</v>
      </c>
      <c r="K15" s="65"/>
      <c r="L15" s="183" t="s">
        <v>10</v>
      </c>
      <c r="M15" s="185">
        <f>IF(OR(ISBLANK($O$8),ISBLANK($O$7),ISBLANK($H$8),ISBLANK($O$6),ISBLANK($O$5),ISBLANK($H$5)),"",IFERROR(IF(VLOOKUP(L15,L21:M30,2,FALSE)&lt;1,ROUND(VLOOKUP(L15,L21:M30,2,FALSE),4),ROUND(VLOOKUP(L15,L21:M30,2,FALSE),2)),""))</f>
        <v>38.380000000000003</v>
      </c>
      <c r="N15" s="69"/>
      <c r="O15" s="27" t="s">
        <v>17</v>
      </c>
      <c r="P15" s="113">
        <v>24.85</v>
      </c>
      <c r="Q15" s="113">
        <f>1.04*37</f>
        <v>38.480000000000004</v>
      </c>
      <c r="R15" s="113">
        <f>80*1.04</f>
        <v>83.2</v>
      </c>
      <c r="S15" s="113"/>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7">
        <f>D15</f>
        <v>1</v>
      </c>
      <c r="F16" s="92"/>
      <c r="G16" s="189" t="s">
        <v>1</v>
      </c>
      <c r="H16" s="192" t="str">
        <f>INDEX('BASE FORMAÇÃO'!C:C,B15+1)</f>
        <v>Busdoors modelo 1</v>
      </c>
      <c r="I16" s="192"/>
      <c r="J16" s="193"/>
      <c r="K16" s="66"/>
      <c r="L16" s="184"/>
      <c r="M16" s="186"/>
      <c r="N16" s="70"/>
      <c r="O16" s="27" t="s">
        <v>13</v>
      </c>
      <c r="P16" s="122">
        <v>46003</v>
      </c>
      <c r="Q16" s="122">
        <v>46205</v>
      </c>
      <c r="R16" s="122">
        <v>46162</v>
      </c>
      <c r="S16" s="122"/>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8"/>
      <c r="F17" s="93"/>
      <c r="G17" s="190"/>
      <c r="H17" s="194"/>
      <c r="I17" s="194"/>
      <c r="J17" s="195"/>
      <c r="K17" s="64"/>
      <c r="L17" s="130" t="s">
        <v>44</v>
      </c>
      <c r="M17" s="131">
        <f>INDEX('BASE FORMAÇÃO'!H:H,B19+1)</f>
        <v>381</v>
      </c>
      <c r="N17" s="71"/>
      <c r="O17" s="27" t="s">
        <v>380</v>
      </c>
      <c r="P17" s="114" t="s">
        <v>12</v>
      </c>
      <c r="Q17" s="114" t="s">
        <v>12</v>
      </c>
      <c r="R17" s="114" t="s">
        <v>12</v>
      </c>
      <c r="S17" s="114"/>
      <c r="T17" s="114"/>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1"/>
      <c r="H18" s="196"/>
      <c r="I18" s="196"/>
      <c r="J18" s="197"/>
      <c r="K18" s="64"/>
      <c r="L18" s="1" t="s">
        <v>2</v>
      </c>
      <c r="M18" s="6" t="str">
        <f>INDEX('BASE FORMAÇÃO'!D:D,B19+1)</f>
        <v>UND</v>
      </c>
      <c r="N18" s="71"/>
      <c r="O18" s="27" t="s">
        <v>381</v>
      </c>
      <c r="P18" s="115" t="s">
        <v>459</v>
      </c>
      <c r="Q18" s="115" t="s">
        <v>460</v>
      </c>
      <c r="R18" s="115" t="s">
        <v>460</v>
      </c>
      <c r="S18" s="115"/>
      <c r="T18" s="115"/>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8">
        <f>C15</f>
        <v>1</v>
      </c>
      <c r="F19" s="93"/>
      <c r="G19" s="200" t="s">
        <v>304</v>
      </c>
      <c r="H19" s="202" t="s">
        <v>469</v>
      </c>
      <c r="I19" s="203"/>
      <c r="J19" s="203"/>
      <c r="K19" s="67"/>
      <c r="L19" s="28" t="s">
        <v>303</v>
      </c>
      <c r="M19" s="133">
        <f>IFERROR(INDEX(I21:I33,MATCH(MAX(J21:J33),J21:J33,0)),"")</f>
        <v>0.50477692909136607</v>
      </c>
      <c r="N19" s="71"/>
      <c r="O19" s="27" t="s">
        <v>18</v>
      </c>
      <c r="P19" s="106">
        <f>IF(P15="","",
IF(OR(P17="Orçamento",P16="",MAX('Tabela de Apoio'!$A:$A)&lt;=P16),
P15,
(INDEX('Tabela de Apoio'!$B:$B,MATCH('MAPA DE PREÇOS'!$O$8,'Tabela de Apoio'!$A:$A,1))/INDEX('Tabela de Apoio'!$B:$B,MATCH('MAPA DE PREÇOS'!P16,'Tabela de Apoio'!$A:$A,1)-1))*P15))</f>
        <v>25.706370494949145</v>
      </c>
      <c r="Q19" s="106">
        <f>IF(Q15="","",
IF(OR(Q17="Orçamento",Q16="",MAX('Tabela de Apoio'!$A:$A)&lt;=Q16),
Q15,
(INDEX('Tabela de Apoio'!$B:$B,MATCH('MAPA DE PREÇOS'!$O$8,'Tabela de Apoio'!$A:$A,1))/INDEX('Tabela de Apoio'!$B:$B,MATCH('MAPA DE PREÇOS'!Q16,'Tabela de Apoio'!$A:$A,1)-1))*Q15))</f>
        <v>38.383754366294369</v>
      </c>
      <c r="R19" s="106">
        <f>IF(R15="","",
IF(OR(R17="Orçamento",R16="",MAX('Tabela de Apoio'!$A:$A)&lt;=R16),
R15,
(INDEX('Tabela de Apoio'!$B:$B,MATCH('MAPA DE PREÇOS'!$O$8,'Tabela de Apoio'!$A:$A,1))/INDEX('Tabela de Apoio'!$B:$B,MATCH('MAPA DE PREÇOS'!R16,'Tabela de Apoio'!$A:$A,1)-1))*R15))</f>
        <v>83.606794548247848</v>
      </c>
      <c r="S19" s="106" t="str">
        <f>IF(S15="","",
IF(OR(S17="Orçamento",S16="",MAX('Tabela de Apoio'!$A:$A)&lt;=S16),
S15,
(INDEX('Tabela de Apoio'!$B:$B,MATCH('MAPA DE PREÇOS'!$O$8,'Tabela de Apoio'!$A:$A,1))/INDEX('Tabela de Apoio'!$B:$B,MATCH('MAPA DE PREÇOS'!S16,'Tabela de Apoio'!$A:$A,1)-1))*S15))</f>
        <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99"/>
      <c r="F20" s="93"/>
      <c r="G20" s="201"/>
      <c r="H20"/>
      <c r="I20"/>
      <c r="J20"/>
      <c r="N20" s="71"/>
      <c r="O20" s="27" t="s">
        <v>375</v>
      </c>
      <c r="P20" s="107">
        <f>IF(IFERROR(VLOOKUP(P17,'Tabela de Apoio'!$D:$E,2,FALSE),1)=1,"",P21)</f>
        <v>25.706370494949145</v>
      </c>
      <c r="Q20" s="107">
        <f>IF(IFERROR(VLOOKUP(Q17,'Tabela de Apoio'!$D:$E,2,FALSE),1)=1,"",Q21)</f>
        <v>38.383754366294369</v>
      </c>
      <c r="R20" s="107">
        <f>IF(IFERROR(VLOOKUP(R17,'Tabela de Apoio'!$D:$E,2,FALSE),1)=1,"",R21)</f>
        <v>83.606794548247848</v>
      </c>
      <c r="S20" s="107" t="str">
        <f>IF(IFERROR(VLOOKUP(S17,'Tabela de Apoio'!$D:$E,2,FALSE),1)=1,"",S21)</f>
        <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99"/>
      <c r="F21" s="93"/>
      <c r="G21" s="201"/>
      <c r="H21" s="134">
        <f>COUNT($P21:$XX21)</f>
        <v>3</v>
      </c>
      <c r="I21" s="132">
        <f>_xlfn.STDEV.P($P20:$XX21)/AVERAGE($P20:$XX21)</f>
        <v>0.50477692909136607</v>
      </c>
      <c r="J21" s="7">
        <f>ROW()</f>
        <v>21</v>
      </c>
      <c r="K21" s="67"/>
      <c r="L21" s="29" t="s">
        <v>10</v>
      </c>
      <c r="M21" s="30">
        <f>IFERROR(
IF(COUNTA(P15:AI15)=COUNTIF(P17:XX17,"Orçamento"),MIN(M26,M23),
IF(M24&lt;&gt;"",M24,
IF(M25&lt;&gt;"",M25,
M23
))),"")</f>
        <v>38.383754366294369</v>
      </c>
      <c r="N21" s="71"/>
      <c r="O21" s="27" t="s">
        <v>376</v>
      </c>
      <c r="P21" s="106">
        <f>IFERROR(IF(P19="",
            "",
            IF(COUNT($P19:$XX19)&lt;=4,
               P19,
               IF(OR(P19&gt;(QUARTILE($P19:$XX19,3)+(QUARTILE($P19:$XX19,3)-QUARTILE($P19:$XX19,1))),
                     P19&lt;(QUARTILE($P19:$XX19,1)-(QUARTILE($P19:$XX19,3)-QUARTILE($P19:$XX19,1)))
                  ),
               "DESCARTADO",P19)
             )
  ),P19)</f>
        <v>25.706370494949145</v>
      </c>
      <c r="Q21" s="106">
        <f t="shared" ref="Q21:AI21" si="3">IFERROR(IF(Q19="",
            "",
            IF(COUNT($P19:$XX19)&lt;=4,
               Q19,
               IF(OR(Q19&gt;(QUARTILE($P19:$XX19,3)+(QUARTILE($P19:$XX19,3)-QUARTILE($P19:$XX19,1))),
                     Q19&lt;(QUARTILE($P19:$XX19,1)-(QUARTILE($P19:$XX19,3)-QUARTILE($P19:$XX19,1)))
                  ),
               "DESCARTADO",Q19)
             )
  ),Q19)</f>
        <v>38.383754366294369</v>
      </c>
      <c r="R21" s="106">
        <f t="shared" si="3"/>
        <v>83.606794548247848</v>
      </c>
      <c r="S21" s="106" t="str">
        <f t="shared" si="3"/>
        <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99"/>
      <c r="F22" s="93"/>
      <c r="G22" s="201"/>
      <c r="H22"/>
      <c r="I22"/>
      <c r="J22"/>
      <c r="K22" s="66"/>
      <c r="L22" s="29" t="s">
        <v>360</v>
      </c>
      <c r="M22" s="30">
        <f>AVERAGE($P21:$XX21)</f>
        <v>49.232306469830455</v>
      </c>
      <c r="N22" s="71"/>
      <c r="O22" s="27" t="str">
        <f>"1 POND"</f>
        <v>1 POND</v>
      </c>
      <c r="P22" s="107">
        <f>IF(IFERROR(VLOOKUP(P17,'Tabela de Apoio'!$D:$E,2,FALSE),1)=1,"",P23)</f>
        <v>25.706370494949145</v>
      </c>
      <c r="Q22" s="107">
        <f>IF(IFERROR(VLOOKUP(Q17,'Tabela de Apoio'!$D:$E,2,FALSE),1)=1,"",Q23)</f>
        <v>38.383754366294369</v>
      </c>
      <c r="R22" s="107" t="str">
        <f>IF(IFERROR(VLOOKUP(R17,'Tabela de Apoio'!$D:$E,2,FALSE),1)=1,"",R23)</f>
        <v>DESCARTADO</v>
      </c>
      <c r="S22" s="107" t="str">
        <f>IF(IFERROR(VLOOKUP(S17,'Tabela de Apoio'!$D:$E,2,FALSE),1)=1,"",S23)</f>
        <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99"/>
      <c r="F23" s="93"/>
      <c r="G23" s="201"/>
      <c r="H23" s="134">
        <f>COUNT($P23:$XX23)</f>
        <v>2</v>
      </c>
      <c r="I23" s="132">
        <f>_xlfn.STDEV.P($P22:$XX23)/AVERAGE($P22:$XX23)</f>
        <v>0.19780557299259482</v>
      </c>
      <c r="J23" s="7">
        <f>IF(AND(H23&gt;2,
OR(L15="MÉDIA SANEADA",L15="MEDIANA SANEADA",
AND(L15="PREÇO ESTIMADO",NOT(AND(P17="Orçamento",COUNTA(P15:XX15)=COUNTIF(P17:XX17,"Orçamento")))))),
ROW(),0)</f>
        <v>0</v>
      </c>
      <c r="K23" s="66"/>
      <c r="L23" s="29" t="s">
        <v>361</v>
      </c>
      <c r="M23" s="30">
        <f>MEDIAN($P21:$XX21)</f>
        <v>38.383754366294369</v>
      </c>
      <c r="N23" s="71"/>
      <c r="O23" s="27" t="str">
        <f>"1 RODADA"</f>
        <v>1 RODADA</v>
      </c>
      <c r="P23" s="107">
        <f>IF(P21="","",IF((_xlfn.STDEV.P($P20:$XX21)/AVERAGE($P20:$XX21))&lt;=25%,P21,IF(OR(P21&gt;(AVERAGE($P20:$XX21)+_xlfn.STDEV.P($P20:$XX21)),P21&lt;(AVERAGE($P20:$XX21)-_xlfn.STDEV.P($P20:$XX21))),"DESCARTADO",P21)))</f>
        <v>25.706370494949145</v>
      </c>
      <c r="Q23" s="107">
        <f t="shared" ref="Q23:AI23" si="6">IF(Q21="","",IF((_xlfn.STDEV.P($P20:$XX21)/AVERAGE($P20:$XX21))&lt;=25%,Q21,IF(OR(Q21&gt;(AVERAGE($P20:$XX21)+_xlfn.STDEV.P($P20:$XX21)),Q21&lt;(AVERAGE($P20:$XX21)-_xlfn.STDEV.P($P20:$XX21))),"DESCARTADO",Q21)))</f>
        <v>38.383754366294369</v>
      </c>
      <c r="R23" s="107" t="str">
        <f t="shared" si="6"/>
        <v>DESCARTADO</v>
      </c>
      <c r="S23" s="107" t="str">
        <f t="shared" si="6"/>
        <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99"/>
      <c r="F24" s="93"/>
      <c r="G24" s="201"/>
      <c r="H24"/>
      <c r="I24"/>
      <c r="J24"/>
      <c r="L24" s="29" t="s">
        <v>38</v>
      </c>
      <c r="M24" s="30" t="str">
        <f>IFERROR(
IF(AND(H23&gt;2,I23&lt;=25%),AVERAGE(P22:XX23),
IF(AND(H25&gt;2,I25&lt;=25%),AVERAGE(P24:XX25),
IF(AND(H27&gt;2,I27&lt;=25%),AVERAGE(P26:XX27),
IF(AND(H29&gt;2,I29&lt;=25%),AVERAGE(P28:XX29),
IF(AND(H31&gt;2,I31&lt;=25%),AVERAGE(P30:XX31),
IF(AND(H33&gt;2,I33&lt;=25%),AVERAGE(P32:XX33),
IF(I21&lt;=25%,AVERAGE(P20:XX21),""))))))),"")</f>
        <v/>
      </c>
      <c r="N24" s="71"/>
      <c r="O24" s="27" t="str">
        <f>"2 POND"</f>
        <v>2 POND</v>
      </c>
      <c r="P24" s="107">
        <f>IF(IFERROR(VLOOKUP(P17,'Tabela de Apoio'!$D:$E,2,FALSE),1)=1,"",P25)</f>
        <v>25.706370494949145</v>
      </c>
      <c r="Q24" s="107">
        <f>IF(IFERROR(VLOOKUP(Q17,'Tabela de Apoio'!$D:$E,2,FALSE),1)=1,"",Q25)</f>
        <v>38.383754366294369</v>
      </c>
      <c r="R24" s="107" t="str">
        <f>IF(IFERROR(VLOOKUP(R17,'Tabela de Apoio'!$D:$E,2,FALSE),1)=1,"",R25)</f>
        <v>DESCARTADO</v>
      </c>
      <c r="S24" s="107" t="str">
        <f>IF(IFERROR(VLOOKUP(S17,'Tabela de Apoio'!$D:$E,2,FALSE),1)=1,"",S25)</f>
        <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99"/>
      <c r="F25" s="93"/>
      <c r="G25" s="201"/>
      <c r="H25" s="134">
        <f>COUNT($P25:$XX25)</f>
        <v>2</v>
      </c>
      <c r="I25" s="132">
        <f>_xlfn.STDEV.P($P24:$XX25)/AVERAGE($P24:$XX25)</f>
        <v>0.19780557299259482</v>
      </c>
      <c r="J25" s="7">
        <f>IF(AND(H25&gt;2,
OR(L15="MÉDIA SANEADA",L15="MEDIANA SANEADA",
AND(L15="PREÇO ESTIMADO",NOT(AND(P17="Orçamento",COUNTA(P15:XX15)=COUNTIF(P17:XX17,"Orçamento")))))),
ROW(),0)</f>
        <v>0</v>
      </c>
      <c r="K25" s="66"/>
      <c r="L25" s="29" t="s">
        <v>362</v>
      </c>
      <c r="M25" s="30">
        <f xml:space="preserve">
IF(H23&gt;2,MEDIAN(P22:XX23),
IF(H25&gt;2,MEDIAN(P24:XX25),
IF(H27&gt;2,MEDIAN(P26:XX27),
IF(H29&gt;2,MEDIAN(P28:XX29),
IF(H31&gt;2,MEDIAN(P30:XX31),
IF(H33&gt;2,MEDIAN(P32:XX33),
MEDIAN(P20:XX21)))))))</f>
        <v>38.383754366294369</v>
      </c>
      <c r="N25" s="71"/>
      <c r="O25" s="27" t="str">
        <f>"2 RODADA"</f>
        <v>2 RODADA</v>
      </c>
      <c r="P25" s="107">
        <f>IF(P23="","",IF((_xlfn.STDEV.P($P22:$XX23)/AVERAGE($P22:$XX23))&lt;=25%,P23,IF(OR(P23&gt;(AVERAGE($P22:$XX23)+_xlfn.STDEV.P($P22:$XX23)),P23&lt;(AVERAGE($P22:$XX23)-_xlfn.STDEV.P($P22:$XX23))),"DESCARTADO",P23)))</f>
        <v>25.706370494949145</v>
      </c>
      <c r="Q25" s="107">
        <f t="shared" ref="Q25:AI25" si="7">IF(Q23="","",IF((_xlfn.STDEV.P($P22:$XX23)/AVERAGE($P22:$XX23))&lt;=25%,Q23,IF(OR(Q23&gt;(AVERAGE($P22:$XX23)+_xlfn.STDEV.P($P22:$XX23)),Q23&lt;(AVERAGE($P22:$XX23)-_xlfn.STDEV.P($P22:$XX23))),"DESCARTADO",Q23)))</f>
        <v>38.383754366294369</v>
      </c>
      <c r="R25" s="107" t="str">
        <f t="shared" si="7"/>
        <v>DESCARTADO</v>
      </c>
      <c r="S25" s="107" t="str">
        <f t="shared" si="7"/>
        <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99"/>
      <c r="F26" s="93"/>
      <c r="G26" s="201"/>
      <c r="H26"/>
      <c r="I26"/>
      <c r="J26"/>
      <c r="K26" s="66"/>
      <c r="L26" s="29" t="s">
        <v>359</v>
      </c>
      <c r="M26" s="30">
        <f>HARMEAN($P20:$XX21)</f>
        <v>39.004449336955595</v>
      </c>
      <c r="N26" s="71"/>
      <c r="O26" s="27" t="str">
        <f>"3 POND"</f>
        <v>3 POND</v>
      </c>
      <c r="P26" s="107">
        <f>IF(IFERROR(VLOOKUP(P17,'Tabela de Apoio'!$D:$E,2,FALSE),1)=1,"",P27)</f>
        <v>25.706370494949145</v>
      </c>
      <c r="Q26" s="107">
        <f>IF(IFERROR(VLOOKUP(Q17,'Tabela de Apoio'!$D:$E,2,FALSE),1)=1,"",Q27)</f>
        <v>38.383754366294369</v>
      </c>
      <c r="R26" s="107" t="str">
        <f>IF(IFERROR(VLOOKUP(R17,'Tabela de Apoio'!$D:$E,2,FALSE),1)=1,"",R27)</f>
        <v>DESCARTADO</v>
      </c>
      <c r="S26" s="107" t="str">
        <f>IF(IFERROR(VLOOKUP(S17,'Tabela de Apoio'!$D:$E,2,FALSE),1)=1,"",S27)</f>
        <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99"/>
      <c r="F27" s="93"/>
      <c r="G27" s="201"/>
      <c r="H27" s="134">
        <f>COUNT($P27:$XX27)</f>
        <v>2</v>
      </c>
      <c r="I27" s="132">
        <f>_xlfn.STDEV.P($P26:$XX27)/AVERAGE($P26:$XX27)</f>
        <v>0.19780557299259482</v>
      </c>
      <c r="J27" s="7">
        <f>IF(AND(H27&gt;2,
OR(L15="MÉDIA SANEADA",L15="MEDIANA SANEADA",
AND(L15="PREÇO ESTIMADO",NOT(AND(P17="Orçamento",COUNTA(P15:XX15)=COUNTIF(P17:XX17,"Orçamento")))))),
ROW(),0)</f>
        <v>0</v>
      </c>
      <c r="K27" s="66"/>
      <c r="L27" s="29" t="s">
        <v>41</v>
      </c>
      <c r="M27" s="30">
        <f>IFERROR(_xlfn.QUARTILE.EXC($P21:$XX21,1),"")</f>
        <v>25.706370494949145</v>
      </c>
      <c r="N27" s="71"/>
      <c r="O27" s="27" t="str">
        <f>"3 RODADA"</f>
        <v>3 RODADA</v>
      </c>
      <c r="P27" s="107">
        <f>IF(P25="","",IF((_xlfn.STDEV.P($P24:$XX25)/AVERAGE($P24:$XX25))&lt;=25%,P25,IF(OR(P25&gt;(AVERAGE($P24:$XX25)+_xlfn.STDEV.P($P24:$XX25)),P25&lt;(AVERAGE($P24:$XX25)-_xlfn.STDEV.P($P24:$XX25))),"DESCARTADO",P25)))</f>
        <v>25.706370494949145</v>
      </c>
      <c r="Q27" s="107">
        <f t="shared" ref="Q27:AI27" si="8">IF(Q25="","",IF((_xlfn.STDEV.P($P24:$XX25)/AVERAGE($P24:$XX25))&lt;=25%,Q25,IF(OR(Q25&gt;(AVERAGE($P24:$XX25)+_xlfn.STDEV.P($P24:$XX25)),Q25&lt;(AVERAGE($P24:$XX25)-_xlfn.STDEV.P($P24:$XX25))),"DESCARTADO",Q25)))</f>
        <v>38.383754366294369</v>
      </c>
      <c r="R27" s="107" t="str">
        <f t="shared" si="8"/>
        <v>DESCARTADO</v>
      </c>
      <c r="S27" s="107" t="str">
        <f t="shared" si="8"/>
        <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99"/>
      <c r="F28" s="93"/>
      <c r="G28" s="201"/>
      <c r="H28"/>
      <c r="I28"/>
      <c r="J28"/>
      <c r="K28" s="66"/>
      <c r="L28" s="29" t="s">
        <v>39</v>
      </c>
      <c r="M28" s="30">
        <f>IFERROR(_xlfn.QUARTILE.EXC($P21:$XX21,3),"")</f>
        <v>83.606794548247848</v>
      </c>
      <c r="N28" s="71"/>
      <c r="O28" s="27" t="str">
        <f>"4 POND"</f>
        <v>4 POND</v>
      </c>
      <c r="P28" s="107">
        <f>IF(IFERROR(VLOOKUP(P17,'Tabela de Apoio'!$D:$E,2,FALSE),1)=1,"",P29)</f>
        <v>25.706370494949145</v>
      </c>
      <c r="Q28" s="107">
        <f>IF(IFERROR(VLOOKUP(Q17,'Tabela de Apoio'!$D:$E,2,FALSE),1)=1,"",Q29)</f>
        <v>38.383754366294369</v>
      </c>
      <c r="R28" s="107" t="str">
        <f>IF(IFERROR(VLOOKUP(R17,'Tabela de Apoio'!$D:$E,2,FALSE),1)=1,"",R29)</f>
        <v>DESCARTADO</v>
      </c>
      <c r="S28" s="107" t="str">
        <f>IF(IFERROR(VLOOKUP(S17,'Tabela de Apoio'!$D:$E,2,FALSE),1)=1,"",S29)</f>
        <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99"/>
      <c r="F29" s="93"/>
      <c r="G29" s="201"/>
      <c r="H29" s="134">
        <f>COUNT($P29:$XX29)</f>
        <v>2</v>
      </c>
      <c r="I29" s="132">
        <f>_xlfn.STDEV.P($P28:$XX29)/AVERAGE($P28:$XX29)</f>
        <v>0.19780557299259482</v>
      </c>
      <c r="J29" s="7">
        <f>IF(AND(H29&gt;2,
OR(L15="MÉDIA SANEADA",L15="MEDIANA SANEADA",
AND(L15="PREÇO ESTIMADO",NOT(AND(P17="Orçamento",COUNTA(P15:XX15)=COUNTIF(P17:XX17,"Orçamento")))))),
ROW(),0)</f>
        <v>0</v>
      </c>
      <c r="K29" s="66"/>
      <c r="L29" s="29" t="s">
        <v>42</v>
      </c>
      <c r="M29" s="30">
        <f>MIN($P21:$XX21)</f>
        <v>25.706370494949145</v>
      </c>
      <c r="N29" s="71"/>
      <c r="O29" s="27" t="str">
        <f>"4 RODADA"</f>
        <v>4 RODADA</v>
      </c>
      <c r="P29" s="107">
        <f>IF(P27="","",IF((_xlfn.STDEV.P($P26:$XX27)/AVERAGE($P26:$XX27))&lt;=25%,P27,IF(OR(P27&gt;(AVERAGE($P26:$XX27)+_xlfn.STDEV.P($P26:$XX27)),P27&lt;(AVERAGE($P26:$XX27)-_xlfn.STDEV.P($P26:$XX27))),"DESCARTADO",P27)))</f>
        <v>25.706370494949145</v>
      </c>
      <c r="Q29" s="107">
        <f t="shared" ref="Q29:AI29" si="9">IF(Q27="","",IF((_xlfn.STDEV.P($P26:$XX27)/AVERAGE($P26:$XX27))&lt;=25%,Q27,IF(OR(Q27&gt;(AVERAGE($P26:$XX27)+_xlfn.STDEV.P($P26:$XX27)),Q27&lt;(AVERAGE($P26:$XX27)-_xlfn.STDEV.P($P26:$XX27))),"DESCARTADO",Q27)))</f>
        <v>38.383754366294369</v>
      </c>
      <c r="R29" s="107" t="str">
        <f t="shared" si="9"/>
        <v>DESCARTADO</v>
      </c>
      <c r="S29" s="107" t="str">
        <f t="shared" si="9"/>
        <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99"/>
      <c r="F30" s="93"/>
      <c r="G30" s="201"/>
      <c r="H30"/>
      <c r="I30"/>
      <c r="J30"/>
      <c r="K30" s="66"/>
      <c r="L30" s="29" t="s">
        <v>40</v>
      </c>
      <c r="M30" s="30">
        <f>MAX($P21:$XX21)</f>
        <v>83.606794548247848</v>
      </c>
      <c r="N30" s="71"/>
      <c r="O30" s="27" t="str">
        <f>"5 POND"</f>
        <v>5 POND</v>
      </c>
      <c r="P30" s="107">
        <f>IF(IFERROR(VLOOKUP(P17,'Tabela de Apoio'!$D:$E,2,FALSE),1)=1,"",P31)</f>
        <v>25.706370494949145</v>
      </c>
      <c r="Q30" s="107">
        <f>IF(IFERROR(VLOOKUP(Q17,'Tabela de Apoio'!$D:$E,2,FALSE),1)=1,"",Q31)</f>
        <v>38.383754366294369</v>
      </c>
      <c r="R30" s="107" t="str">
        <f>IF(IFERROR(VLOOKUP(R17,'Tabela de Apoio'!$D:$E,2,FALSE),1)=1,"",R31)</f>
        <v>DESCARTADO</v>
      </c>
      <c r="S30" s="107" t="str">
        <f>IF(IFERROR(VLOOKUP(S17,'Tabela de Apoio'!$D:$E,2,FALSE),1)=1,"",S31)</f>
        <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99"/>
      <c r="F31" s="93"/>
      <c r="G31" s="201"/>
      <c r="H31" s="134">
        <f>COUNT($P31:$XX31)</f>
        <v>2</v>
      </c>
      <c r="I31" s="132">
        <f>_xlfn.STDEV.P($P30:$XX31)/AVERAGE($P30:$XX31)</f>
        <v>0.19780557299259482</v>
      </c>
      <c r="J31" s="7">
        <f>IF(AND(H31&gt;2,
OR(L15="MÉDIA SANEADA",L15="MEDIANA SANEADA",
AND(L15="PREÇO ESTIMADO",NOT(AND(P17="Orçamento",COUNTA(P15:XX15)=COUNTIF(P17:XX17,"Orçamento")))))),
ROW(),0)</f>
        <v>0</v>
      </c>
      <c r="K31" s="66"/>
      <c r="N31" s="71"/>
      <c r="O31" s="27" t="str">
        <f>"5 RODADA"</f>
        <v>5 RODADA</v>
      </c>
      <c r="P31" s="107">
        <f>IF(P29="","",IF((_xlfn.STDEV.P($P28:$XX29)/AVERAGE($P28:$XX29))&lt;=25%,P29,IF(OR(P29&gt;(AVERAGE($P28:$XX29)+_xlfn.STDEV.P($P28:$XX29)),P29&lt;(AVERAGE($P28:$XX29)-_xlfn.STDEV.P($P28:$XX29))),"DESCARTADO",P29)))</f>
        <v>25.706370494949145</v>
      </c>
      <c r="Q31" s="107">
        <f t="shared" ref="Q31:AI31" si="10">IF(Q29="","",IF((_xlfn.STDEV.P($P28:$XX29)/AVERAGE($P28:$XX29))&lt;=25%,Q29,IF(OR(Q29&gt;(AVERAGE($P28:$XX29)+_xlfn.STDEV.P($P28:$XX29)),Q29&lt;(AVERAGE($P28:$XX29)-_xlfn.STDEV.P($P28:$XX29))),"DESCARTADO",Q29)))</f>
        <v>38.383754366294369</v>
      </c>
      <c r="R31" s="107" t="str">
        <f t="shared" si="10"/>
        <v>DESCARTADO</v>
      </c>
      <c r="S31" s="107" t="str">
        <f t="shared" si="10"/>
        <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99"/>
      <c r="F32" s="93"/>
      <c r="G32" s="201"/>
      <c r="H32"/>
      <c r="I32"/>
      <c r="J32"/>
      <c r="K32" s="66"/>
      <c r="L32" s="22"/>
      <c r="M32" s="22"/>
      <c r="N32" s="71"/>
      <c r="O32" s="27" t="str">
        <f>"6 POND"</f>
        <v>6 POND</v>
      </c>
      <c r="P32" s="107">
        <f>IF(IFERROR(VLOOKUP(P17,'Tabela de Apoio'!$D:$E,2,FALSE),1)=1,"",P33)</f>
        <v>25.706370494949145</v>
      </c>
      <c r="Q32" s="107">
        <f>IF(IFERROR(VLOOKUP(Q17,'Tabela de Apoio'!$D:$E,2,FALSE),1)=1,"",Q33)</f>
        <v>38.383754366294369</v>
      </c>
      <c r="R32" s="107" t="str">
        <f>IF(IFERROR(VLOOKUP(R17,'Tabela de Apoio'!$D:$E,2,FALSE),1)=1,"",R33)</f>
        <v>DESCARTADO</v>
      </c>
      <c r="S32" s="107" t="str">
        <f>IF(IFERROR(VLOOKUP(S17,'Tabela de Apoio'!$D:$E,2,FALSE),1)=1,"",S33)</f>
        <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99"/>
      <c r="F33" s="93"/>
      <c r="G33" s="201"/>
      <c r="H33" s="134">
        <f>COUNT($P33:$XX33)</f>
        <v>2</v>
      </c>
      <c r="I33" s="132">
        <f>_xlfn.STDEV.P($P32:$XX33)/AVERAGE($P32:$XX33)</f>
        <v>0.19780557299259482</v>
      </c>
      <c r="J33" s="7">
        <f>IF(AND(H33&gt;2,
OR(L15="MÉDIA SANEADA",L15="MEDIANA SANEADA",
AND(L15="PREÇO ESTIMADO",NOT(AND(P17="Orçamento",COUNTA(P15:XX15)=COUNTIF(P17:XX17,"Orçamento")))))),
ROW(),0)</f>
        <v>0</v>
      </c>
      <c r="N33" s="71"/>
      <c r="O33" s="27" t="str">
        <f>"6 RODADA"</f>
        <v>6 RODADA</v>
      </c>
      <c r="P33" s="107">
        <f>IFERROR(IF(P31="","",IF((_xlfn.STDEV.P($P30:$XX31)/AVERAGE($P30:$XX31))&lt;=25%,P31,IF(OR(P31&gt;(AVERAGE($P30:$XX31)+_xlfn.STDEV.P($P30:$XX31)),P31&lt;(AVERAGE($P30:$XX31)-_xlfn.STDEV.P($P30:$XX31))),"DESCARTADO",P31))),)</f>
        <v>25.706370494949145</v>
      </c>
      <c r="Q33" s="107">
        <f t="shared" ref="Q33:AI33" si="11">IFERROR(IF(Q31="","",IF((_xlfn.STDEV.P($P30:$XX31)/AVERAGE($P30:$XX31))&lt;=25%,Q31,IF(OR(Q31&gt;(AVERAGE($P30:$XX31)+_xlfn.STDEV.P($P30:$XX31)),Q31&lt;(AVERAGE($P30:$XX31)-_xlfn.STDEV.P($P30:$XX31))),"DESCARTADO",Q31))),)</f>
        <v>38.383754366294369</v>
      </c>
      <c r="R33" s="107" t="str">
        <f t="shared" si="11"/>
        <v>DESCARTADO</v>
      </c>
      <c r="S33" s="107" t="str">
        <f t="shared" si="11"/>
        <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99"/>
      <c r="F34" s="136"/>
      <c r="G34" s="201"/>
      <c r="H34" s="204"/>
      <c r="I34" s="204"/>
      <c r="J34" s="205"/>
      <c r="K34" s="67"/>
      <c r="L34" s="1" t="s">
        <v>43</v>
      </c>
      <c r="M34" s="143">
        <f>IFERROR(ROUND(M15*M17,2),"")</f>
        <v>14622.78</v>
      </c>
      <c r="O34" s="27" t="s">
        <v>363</v>
      </c>
      <c r="P34" s="107">
        <f>INDEX(P21:P33,MATCH(MAX($J21:$J33),$J21:$J33,0))</f>
        <v>25.706370494949145</v>
      </c>
      <c r="Q34" s="107">
        <f t="shared" ref="Q34:R34" si="12">INDEX(Q21:Q33,MATCH(MAX($J21:$J33),$J21:$J33,0))</f>
        <v>38.383754366294369</v>
      </c>
      <c r="R34" s="107">
        <f t="shared" si="12"/>
        <v>83.606794548247848</v>
      </c>
      <c r="S34" s="107" t="str">
        <f t="shared" ref="S34" si="13">INDEX(S21:S33,MATCH(MAX($J21:$J33),$J21:$J33,0))</f>
        <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f t="shared" ref="B36" si="30">LARGE(IFERROR(IF(B34+1&gt;$H$8,"",B34+1),""),1)</f>
        <v>2</v>
      </c>
      <c r="C36" s="127">
        <f>IF(_xlfn.ISFORMULA(E40),MAX(INDEX('BASE FORMAÇÃO'!A:A,B36+1),1),E40)</f>
        <v>1</v>
      </c>
      <c r="D36" s="127">
        <f t="shared" ref="D36" si="31">IFERROR(IF(C36=C26,D26+1,1),1)</f>
        <v>2</v>
      </c>
      <c r="E36" s="38" t="s">
        <v>9</v>
      </c>
      <c r="F36" s="73"/>
      <c r="G36" s="38" t="s">
        <v>15</v>
      </c>
      <c r="H36" s="135">
        <f>INDEX('BASE FORMAÇÃO'!B:B,B36+1)</f>
        <v>0</v>
      </c>
      <c r="I36" s="181" t="s">
        <v>432</v>
      </c>
      <c r="J36" s="6">
        <f>INDEX('BASE FORMAÇÃO'!K:K,B36+1)</f>
        <v>0</v>
      </c>
      <c r="K36" s="65"/>
      <c r="L36" s="183" t="s">
        <v>10</v>
      </c>
      <c r="M36" s="185">
        <f t="shared" ref="M36" si="32">IF(OR(ISBLANK($O$8),ISBLANK($O$7),ISBLANK($H$8),ISBLANK($O$6),ISBLANK($O$5),ISBLANK($H$5)),"",IFERROR(IF(VLOOKUP(L36,L42:M51,2,FALSE)&lt;1,ROUND(VLOOKUP(L36,L42:M51,2,FALSE),4),ROUND(VLOOKUP(L36,L42:M51,2,FALSE),2)),""))</f>
        <v>59.61</v>
      </c>
      <c r="N36" s="69"/>
      <c r="O36" s="27" t="s">
        <v>17</v>
      </c>
      <c r="P36" s="113">
        <v>34.799999999999997</v>
      </c>
      <c r="Q36" s="113">
        <f>1.615*37</f>
        <v>59.755000000000003</v>
      </c>
      <c r="R36" s="113">
        <f>80*1.615</f>
        <v>129.19999999999999</v>
      </c>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7" si="33">B36</f>
        <v>2</v>
      </c>
      <c r="C37" s="128">
        <f t="shared" si="33"/>
        <v>1</v>
      </c>
      <c r="D37" s="127">
        <f t="shared" si="33"/>
        <v>2</v>
      </c>
      <c r="E37" s="187">
        <f t="shared" ref="E37" si="34">D36</f>
        <v>2</v>
      </c>
      <c r="F37" s="92"/>
      <c r="G37" s="189" t="s">
        <v>1</v>
      </c>
      <c r="H37" s="192" t="str">
        <f>INDEX('BASE FORMAÇÃO'!C:C,B36+1)</f>
        <v>Busdoors modelo 2</v>
      </c>
      <c r="I37" s="192"/>
      <c r="J37" s="193"/>
      <c r="K37" s="66"/>
      <c r="L37" s="184"/>
      <c r="M37" s="186"/>
      <c r="N37" s="70"/>
      <c r="O37" s="27" t="s">
        <v>13</v>
      </c>
      <c r="P37" s="122">
        <v>46003</v>
      </c>
      <c r="Q37" s="122">
        <v>46205</v>
      </c>
      <c r="R37" s="122">
        <v>46162</v>
      </c>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5">B37</f>
        <v>2</v>
      </c>
      <c r="C38" s="128">
        <f t="shared" si="35"/>
        <v>1</v>
      </c>
      <c r="D38" s="127">
        <f t="shared" si="35"/>
        <v>2</v>
      </c>
      <c r="E38" s="188"/>
      <c r="F38" s="93"/>
      <c r="G38" s="190"/>
      <c r="H38" s="194"/>
      <c r="I38" s="194"/>
      <c r="J38" s="195"/>
      <c r="K38" s="64"/>
      <c r="L38" s="130" t="s">
        <v>44</v>
      </c>
      <c r="M38" s="131">
        <f>INDEX('BASE FORMAÇÃO'!H:H,B40+1)</f>
        <v>404</v>
      </c>
      <c r="N38" s="71"/>
      <c r="O38" s="27" t="s">
        <v>380</v>
      </c>
      <c r="P38" s="114" t="s">
        <v>12</v>
      </c>
      <c r="Q38" s="114" t="s">
        <v>12</v>
      </c>
      <c r="R38" s="114" t="s">
        <v>12</v>
      </c>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f t="shared" ref="B39:C39" si="36">B38</f>
        <v>2</v>
      </c>
      <c r="C39" s="128">
        <f t="shared" si="36"/>
        <v>1</v>
      </c>
      <c r="D39" s="127">
        <f t="shared" si="35"/>
        <v>2</v>
      </c>
      <c r="E39" s="38" t="s">
        <v>313</v>
      </c>
      <c r="F39" s="93"/>
      <c r="G39" s="191"/>
      <c r="H39" s="196"/>
      <c r="I39" s="196"/>
      <c r="J39" s="197"/>
      <c r="K39" s="64"/>
      <c r="L39" s="1" t="s">
        <v>2</v>
      </c>
      <c r="M39" s="6" t="str">
        <f>INDEX('BASE FORMAÇÃO'!D:D,B40+1)</f>
        <v>UND</v>
      </c>
      <c r="N39" s="71"/>
      <c r="O39" s="27" t="s">
        <v>381</v>
      </c>
      <c r="P39" s="115" t="s">
        <v>459</v>
      </c>
      <c r="Q39" s="115" t="s">
        <v>460</v>
      </c>
      <c r="R39" s="115" t="s">
        <v>460</v>
      </c>
      <c r="S39" s="115"/>
      <c r="T39" s="115"/>
      <c r="U39" s="118"/>
      <c r="V39" s="118"/>
      <c r="W39" s="118"/>
      <c r="X39" s="118"/>
      <c r="Y39" s="118"/>
      <c r="Z39" s="118"/>
      <c r="AA39" s="118"/>
      <c r="AB39" s="118"/>
      <c r="AC39" s="118"/>
      <c r="AD39" s="118"/>
      <c r="AE39" s="118"/>
      <c r="AF39" s="118"/>
      <c r="AG39" s="118"/>
      <c r="AH39" s="118"/>
      <c r="AI39" s="118"/>
    </row>
    <row r="40" spans="1:167" x14ac:dyDescent="0.25">
      <c r="B40" s="128">
        <f t="shared" ref="B40:C40" si="37">B38</f>
        <v>2</v>
      </c>
      <c r="C40" s="128">
        <f t="shared" si="37"/>
        <v>1</v>
      </c>
      <c r="D40" s="127">
        <f t="shared" si="35"/>
        <v>2</v>
      </c>
      <c r="E40" s="198">
        <f t="shared" ref="E40" si="38">C36</f>
        <v>1</v>
      </c>
      <c r="F40" s="93"/>
      <c r="G40" s="200" t="s">
        <v>304</v>
      </c>
      <c r="H40" s="202" t="s">
        <v>469</v>
      </c>
      <c r="I40" s="203"/>
      <c r="J40" s="203"/>
      <c r="K40" s="67"/>
      <c r="L40" s="28" t="s">
        <v>303</v>
      </c>
      <c r="M40" s="133">
        <f t="shared" ref="M40" si="39">IFERROR(INDEX(I42:I54,MATCH(MAX(J42:J54),J42:J54,0)),"")</f>
        <v>0.53032854391111794</v>
      </c>
      <c r="N40" s="71"/>
      <c r="O40" s="27" t="s">
        <v>18</v>
      </c>
      <c r="P40" s="106">
        <f>IF(P36="","",
IF(OR(P38="Orçamento",P37="",MAX('Tabela de Apoio'!$A:$A)&lt;=P37),
P36,
(INDEX('Tabela de Apoio'!$B:$B,MATCH('MAPA DE PREÇOS'!$O$8,'Tabela de Apoio'!$A:$A,1))/INDEX('Tabela de Apoio'!$B:$B,MATCH('MAPA DE PREÇOS'!P37,'Tabela de Apoio'!$A:$A,1)-1))*P36))</f>
        <v>35.999263308822137</v>
      </c>
      <c r="Q40" s="106">
        <f>IF(Q36="","",
IF(OR(Q38="Orçamento",Q37="",MAX('Tabela de Apoio'!$A:$A)&lt;=Q37),
Q36,
(INDEX('Tabela de Apoio'!$B:$B,MATCH('MAPA DE PREÇOS'!$O$8,'Tabela de Apoio'!$A:$A,1))/INDEX('Tabela de Apoio'!$B:$B,MATCH('MAPA DE PREÇOS'!Q37,'Tabela de Apoio'!$A:$A,1)-1))*Q36))</f>
        <v>59.605541636120577</v>
      </c>
      <c r="R40" s="106">
        <f>IF(R36="","",
IF(OR(R38="Orçamento",R37="",MAX('Tabela de Apoio'!$A:$A)&lt;=R37),
R36,
(INDEX('Tabela de Apoio'!$B:$B,MATCH('MAPA DE PREÇOS'!$O$8,'Tabela de Apoio'!$A:$A,1))/INDEX('Tabela de Apoio'!$B:$B,MATCH('MAPA DE PREÇOS'!R37,'Tabela de Apoio'!$A:$A,1)-1))*R36))</f>
        <v>129.8317049955964</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40">B40</f>
        <v>2</v>
      </c>
      <c r="C41" s="128">
        <f t="shared" ref="C41" si="41">C40</f>
        <v>1</v>
      </c>
      <c r="D41" s="127">
        <f t="shared" ref="D41" si="42">D40</f>
        <v>2</v>
      </c>
      <c r="E41" s="199"/>
      <c r="F41" s="93"/>
      <c r="G41" s="201"/>
      <c r="H41"/>
      <c r="I41"/>
      <c r="J41"/>
      <c r="N41" s="71"/>
      <c r="O41" s="27" t="s">
        <v>375</v>
      </c>
      <c r="P41" s="107">
        <f>IF(IFERROR(VLOOKUP(P38,'Tabela de Apoio'!$D:$E,2,FALSE),1)=1,"",P42)</f>
        <v>35.999263308822137</v>
      </c>
      <c r="Q41" s="107">
        <f>IF(IFERROR(VLOOKUP(Q38,'Tabela de Apoio'!$D:$E,2,FALSE),1)=1,"",Q42)</f>
        <v>59.605541636120577</v>
      </c>
      <c r="R41" s="107">
        <f>IF(IFERROR(VLOOKUP(R38,'Tabela de Apoio'!$D:$E,2,FALSE),1)=1,"",R42)</f>
        <v>129.8317049955964</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3">B41</f>
        <v>2</v>
      </c>
      <c r="C42" s="128">
        <f t="shared" si="43"/>
        <v>1</v>
      </c>
      <c r="D42" s="127">
        <f t="shared" si="35"/>
        <v>2</v>
      </c>
      <c r="E42" s="199"/>
      <c r="F42" s="93"/>
      <c r="G42" s="201"/>
      <c r="H42" s="134">
        <f t="shared" ref="H42" si="44">COUNT($P42:$XX42)</f>
        <v>3</v>
      </c>
      <c r="I42" s="132">
        <f t="shared" ref="I42" si="45">_xlfn.STDEV.P($P41:$XX42)/AVERAGE($P41:$XX42)</f>
        <v>0.53032854391111794</v>
      </c>
      <c r="J42" s="7">
        <f>ROW()</f>
        <v>42</v>
      </c>
      <c r="K42" s="67"/>
      <c r="L42" s="29" t="s">
        <v>10</v>
      </c>
      <c r="M42" s="30">
        <f t="shared" ref="M42" si="46">IFERROR(
IF(COUNTA(P36:AI36)=COUNTIF(P38:XX38,"Orçamento"),MIN(M47,M44),
IF(M45&lt;&gt;"",M45,
IF(M46&lt;&gt;"",M46,
M44
))),"")</f>
        <v>59.605541636120577</v>
      </c>
      <c r="N42" s="71"/>
      <c r="O42" s="27" t="s">
        <v>376</v>
      </c>
      <c r="P42" s="106">
        <f t="shared" ref="P42:AI42" si="47">IFERROR(IF(P40="",
            "",
            IF(COUNT($P40:$XX40)&lt;=4,
               P40,
               IF(OR(P40&gt;(QUARTILE($P40:$XX40,3)+(QUARTILE($P40:$XX40,3)-QUARTILE($P40:$XX40,1))),
                     P40&lt;(QUARTILE($P40:$XX40,1)-(QUARTILE($P40:$XX40,3)-QUARTILE($P40:$XX40,1)))
                  ),
               "DESCARTADO",P40)
             )
  ),P40)</f>
        <v>35.999263308822137</v>
      </c>
      <c r="Q42" s="106">
        <f t="shared" si="47"/>
        <v>59.605541636120577</v>
      </c>
      <c r="R42" s="106">
        <f t="shared" si="47"/>
        <v>129.8317049955964</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f t="shared" ref="B43:B97" si="48">B42</f>
        <v>2</v>
      </c>
      <c r="C43" s="128">
        <f t="shared" ref="C43:D106" si="49">C42</f>
        <v>1</v>
      </c>
      <c r="D43" s="127">
        <f t="shared" ref="D43" si="50">D42</f>
        <v>2</v>
      </c>
      <c r="E43" s="199"/>
      <c r="F43" s="93"/>
      <c r="G43" s="201"/>
      <c r="H43"/>
      <c r="I43"/>
      <c r="J43"/>
      <c r="K43" s="66"/>
      <c r="L43" s="29" t="s">
        <v>360</v>
      </c>
      <c r="M43" s="30">
        <f t="shared" ref="M43" si="51">AVERAGE($P42:$XX42)</f>
        <v>75.145503313513032</v>
      </c>
      <c r="N43" s="71"/>
      <c r="O43" s="27" t="str">
        <f t="shared" ref="O43" si="52">"1 POND"</f>
        <v>1 POND</v>
      </c>
      <c r="P43" s="107">
        <f>IF(IFERROR(VLOOKUP(P38,'Tabela de Apoio'!$D:$E,2,FALSE),1)=1,"",P44)</f>
        <v>35.999263308822137</v>
      </c>
      <c r="Q43" s="107">
        <f>IF(IFERROR(VLOOKUP(Q38,'Tabela de Apoio'!$D:$E,2,FALSE),1)=1,"",Q44)</f>
        <v>59.605541636120577</v>
      </c>
      <c r="R43" s="107" t="str">
        <f>IF(IFERROR(VLOOKUP(R38,'Tabela de Apoio'!$D:$E,2,FALSE),1)=1,"",R44)</f>
        <v>DESCARTADO</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8"/>
        <v>2</v>
      </c>
      <c r="C44" s="128">
        <f t="shared" si="49"/>
        <v>1</v>
      </c>
      <c r="D44" s="127">
        <f t="shared" si="35"/>
        <v>2</v>
      </c>
      <c r="E44" s="199"/>
      <c r="F44" s="93"/>
      <c r="G44" s="201"/>
      <c r="H44" s="134">
        <f t="shared" ref="H44" si="53">COUNT($P44:$XX44)</f>
        <v>2</v>
      </c>
      <c r="I44" s="132">
        <f t="shared" ref="I44" si="54">_xlfn.STDEV.P($P43:$XX44)/AVERAGE($P43:$XX44)</f>
        <v>0.24691518737884458</v>
      </c>
      <c r="J44" s="7">
        <f t="shared" ref="J44" si="55">IF(AND(H44&gt;2,
OR(L36="MÉDIA SANEADA",L36="MEDIANA SANEADA",
AND(L36="PREÇO ESTIMADO",NOT(AND(P38="Orçamento",COUNTA(P36:XX36)=COUNTIF(P38:XX38,"Orçamento")))))),
ROW(),0)</f>
        <v>0</v>
      </c>
      <c r="K44" s="66"/>
      <c r="L44" s="29" t="s">
        <v>361</v>
      </c>
      <c r="M44" s="30">
        <f t="shared" ref="M44" si="56">MEDIAN($P42:$XX42)</f>
        <v>59.605541636120577</v>
      </c>
      <c r="N44" s="71"/>
      <c r="O44" s="27" t="str">
        <f t="shared" ref="O44" si="57">"1 RODADA"</f>
        <v>1 RODADA</v>
      </c>
      <c r="P44" s="107">
        <f t="shared" ref="P44:AI44" si="58">IF(P42="","",IF((_xlfn.STDEV.P($P41:$XX42)/AVERAGE($P41:$XX42))&lt;=25%,P42,IF(OR(P42&gt;(AVERAGE($P41:$XX42)+_xlfn.STDEV.P($P41:$XX42)),P42&lt;(AVERAGE($P41:$XX42)-_xlfn.STDEV.P($P41:$XX42))),"DESCARTADO",P42)))</f>
        <v>35.999263308822137</v>
      </c>
      <c r="Q44" s="107">
        <f t="shared" si="58"/>
        <v>59.605541636120577</v>
      </c>
      <c r="R44" s="107" t="str">
        <f t="shared" si="58"/>
        <v>DESCARTADO</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f t="shared" si="48"/>
        <v>2</v>
      </c>
      <c r="C45" s="128">
        <f t="shared" si="49"/>
        <v>1</v>
      </c>
      <c r="D45" s="127">
        <f t="shared" si="35"/>
        <v>2</v>
      </c>
      <c r="E45" s="199"/>
      <c r="F45" s="93"/>
      <c r="G45" s="201"/>
      <c r="H45"/>
      <c r="I45"/>
      <c r="J45"/>
      <c r="L45" s="29" t="s">
        <v>38</v>
      </c>
      <c r="M45" s="30" t="str">
        <f t="shared" ref="M45" si="59">IFERROR(
IF(AND(H44&gt;2,I44&lt;=25%),AVERAGE(P43:XX44),
IF(AND(H46&gt;2,I46&lt;=25%),AVERAGE(P45:XX46),
IF(AND(H48&gt;2,I48&lt;=25%),AVERAGE(P47:XX48),
IF(AND(H50&gt;2,I50&lt;=25%),AVERAGE(P49:XX50),
IF(AND(H52&gt;2,I52&lt;=25%),AVERAGE(P51:XX52),
IF(AND(H54&gt;2,I54&lt;=25%),AVERAGE(P53:XX54),
IF(I42&lt;=25%,AVERAGE(P41:XX42),""))))))),"")</f>
        <v/>
      </c>
      <c r="N45" s="71"/>
      <c r="O45" s="27" t="str">
        <f t="shared" ref="O45" si="60">"2 POND"</f>
        <v>2 POND</v>
      </c>
      <c r="P45" s="107">
        <f>IF(IFERROR(VLOOKUP(P38,'Tabela de Apoio'!$D:$E,2,FALSE),1)=1,"",P46)</f>
        <v>35.999263308822137</v>
      </c>
      <c r="Q45" s="107">
        <f>IF(IFERROR(VLOOKUP(Q38,'Tabela de Apoio'!$D:$E,2,FALSE),1)=1,"",Q46)</f>
        <v>59.605541636120577</v>
      </c>
      <c r="R45" s="107" t="str">
        <f>IF(IFERROR(VLOOKUP(R38,'Tabela de Apoio'!$D:$E,2,FALSE),1)=1,"",R46)</f>
        <v>DESCARTADO</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8"/>
        <v>2</v>
      </c>
      <c r="C46" s="128">
        <f t="shared" si="49"/>
        <v>1</v>
      </c>
      <c r="D46" s="127">
        <f t="shared" si="35"/>
        <v>2</v>
      </c>
      <c r="E46" s="199"/>
      <c r="F46" s="93"/>
      <c r="G46" s="201"/>
      <c r="H46" s="134">
        <f t="shared" ref="H46" si="61">COUNT($P46:$XX46)</f>
        <v>2</v>
      </c>
      <c r="I46" s="132">
        <f t="shared" ref="I46" si="62">_xlfn.STDEV.P($P45:$XX46)/AVERAGE($P45:$XX46)</f>
        <v>0.24691518737884458</v>
      </c>
      <c r="J46" s="7">
        <f t="shared" ref="J46" si="63">IF(AND(H46&gt;2,
OR(L36="MÉDIA SANEADA",L36="MEDIANA SANEADA",
AND(L36="PREÇO ESTIMADO",NOT(AND(P38="Orçamento",COUNTA(P36:XX36)=COUNTIF(P38:XX38,"Orçamento")))))),
ROW(),0)</f>
        <v>0</v>
      </c>
      <c r="K46" s="66"/>
      <c r="L46" s="29" t="s">
        <v>362</v>
      </c>
      <c r="M46" s="30">
        <f t="shared" ref="M46" si="64" xml:space="preserve">
IF(H44&gt;2,MEDIAN(P43:XX44),
IF(H46&gt;2,MEDIAN(P45:XX46),
IF(H48&gt;2,MEDIAN(P47:XX48),
IF(H50&gt;2,MEDIAN(P49:XX50),
IF(H52&gt;2,MEDIAN(P51:XX52),
IF(H54&gt;2,MEDIAN(P53:XX54),
MEDIAN(P41:XX42)))))))</f>
        <v>59.605541636120577</v>
      </c>
      <c r="N46" s="71"/>
      <c r="O46" s="27" t="str">
        <f t="shared" ref="O46" si="65">"2 RODADA"</f>
        <v>2 RODADA</v>
      </c>
      <c r="P46" s="107">
        <f t="shared" ref="P46:AI46" si="66">IF(P44="","",IF((_xlfn.STDEV.P($P43:$XX44)/AVERAGE($P43:$XX44))&lt;=25%,P44,IF(OR(P44&gt;(AVERAGE($P43:$XX44)+_xlfn.STDEV.P($P43:$XX44)),P44&lt;(AVERAGE($P43:$XX44)-_xlfn.STDEV.P($P43:$XX44))),"DESCARTADO",P44)))</f>
        <v>35.999263308822137</v>
      </c>
      <c r="Q46" s="107">
        <f t="shared" si="66"/>
        <v>59.605541636120577</v>
      </c>
      <c r="R46" s="107" t="str">
        <f t="shared" si="66"/>
        <v>DESCARTADO</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f t="shared" si="48"/>
        <v>2</v>
      </c>
      <c r="C47" s="128">
        <f t="shared" si="49"/>
        <v>1</v>
      </c>
      <c r="D47" s="127">
        <f t="shared" si="35"/>
        <v>2</v>
      </c>
      <c r="E47" s="199"/>
      <c r="F47" s="93"/>
      <c r="G47" s="201"/>
      <c r="H47"/>
      <c r="I47"/>
      <c r="J47"/>
      <c r="K47" s="66"/>
      <c r="L47" s="29" t="s">
        <v>359</v>
      </c>
      <c r="M47" s="30">
        <f t="shared" ref="M47" si="67">HARMEAN($P41:$XX42)</f>
        <v>57.407930147781506</v>
      </c>
      <c r="N47" s="71"/>
      <c r="O47" s="27" t="str">
        <f t="shared" ref="O47" si="68">"3 POND"</f>
        <v>3 POND</v>
      </c>
      <c r="P47" s="107">
        <f>IF(IFERROR(VLOOKUP(P38,'Tabela de Apoio'!$D:$E,2,FALSE),1)=1,"",P48)</f>
        <v>35.999263308822137</v>
      </c>
      <c r="Q47" s="107">
        <f>IF(IFERROR(VLOOKUP(Q38,'Tabela de Apoio'!$D:$E,2,FALSE),1)=1,"",Q48)</f>
        <v>59.605541636120577</v>
      </c>
      <c r="R47" s="107" t="str">
        <f>IF(IFERROR(VLOOKUP(R38,'Tabela de Apoio'!$D:$E,2,FALSE),1)=1,"",R48)</f>
        <v>DESCARTADO</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8"/>
        <v>2</v>
      </c>
      <c r="C48" s="128">
        <f t="shared" si="49"/>
        <v>1</v>
      </c>
      <c r="D48" s="127">
        <f t="shared" si="35"/>
        <v>2</v>
      </c>
      <c r="E48" s="199"/>
      <c r="F48" s="93"/>
      <c r="G48" s="201"/>
      <c r="H48" s="134">
        <f t="shared" ref="H48" si="69">COUNT($P48:$XX48)</f>
        <v>2</v>
      </c>
      <c r="I48" s="132">
        <f t="shared" ref="I48" si="70">_xlfn.STDEV.P($P47:$XX48)/AVERAGE($P47:$XX48)</f>
        <v>0.24691518737884458</v>
      </c>
      <c r="J48" s="7">
        <f t="shared" ref="J48" si="71">IF(AND(H48&gt;2,
OR(L36="MÉDIA SANEADA",L36="MEDIANA SANEADA",
AND(L36="PREÇO ESTIMADO",NOT(AND(P38="Orçamento",COUNTA(P36:XX36)=COUNTIF(P38:XX38,"Orçamento")))))),
ROW(),0)</f>
        <v>0</v>
      </c>
      <c r="K48" s="66"/>
      <c r="L48" s="29" t="s">
        <v>41</v>
      </c>
      <c r="M48" s="30">
        <f t="shared" ref="M48" si="72">IFERROR(_xlfn.QUARTILE.EXC($P42:$XX42,1),"")</f>
        <v>35.999263308822137</v>
      </c>
      <c r="N48" s="71"/>
      <c r="O48" s="27" t="str">
        <f t="shared" ref="O48" si="73">"3 RODADA"</f>
        <v>3 RODADA</v>
      </c>
      <c r="P48" s="107">
        <f t="shared" ref="P48:AI48" si="74">IF(P46="","",IF((_xlfn.STDEV.P($P45:$XX46)/AVERAGE($P45:$XX46))&lt;=25%,P46,IF(OR(P46&gt;(AVERAGE($P45:$XX46)+_xlfn.STDEV.P($P45:$XX46)),P46&lt;(AVERAGE($P45:$XX46)-_xlfn.STDEV.P($P45:$XX46))),"DESCARTADO",P46)))</f>
        <v>35.999263308822137</v>
      </c>
      <c r="Q48" s="107">
        <f t="shared" si="74"/>
        <v>59.605541636120577</v>
      </c>
      <c r="R48" s="107" t="str">
        <f t="shared" si="74"/>
        <v>DESCARTADO</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f t="shared" si="48"/>
        <v>2</v>
      </c>
      <c r="C49" s="128">
        <f t="shared" si="49"/>
        <v>1</v>
      </c>
      <c r="D49" s="127">
        <f t="shared" si="35"/>
        <v>2</v>
      </c>
      <c r="E49" s="199"/>
      <c r="F49" s="93"/>
      <c r="G49" s="201"/>
      <c r="H49"/>
      <c r="I49"/>
      <c r="J49"/>
      <c r="K49" s="66"/>
      <c r="L49" s="29" t="s">
        <v>39</v>
      </c>
      <c r="M49" s="30">
        <f t="shared" ref="M49" si="75">IFERROR(_xlfn.QUARTILE.EXC($P42:$XX42,3),"")</f>
        <v>129.8317049955964</v>
      </c>
      <c r="N49" s="71"/>
      <c r="O49" s="27" t="str">
        <f t="shared" ref="O49" si="76">"4 POND"</f>
        <v>4 POND</v>
      </c>
      <c r="P49" s="107">
        <f>IF(IFERROR(VLOOKUP(P38,'Tabela de Apoio'!$D:$E,2,FALSE),1)=1,"",P50)</f>
        <v>35.999263308822137</v>
      </c>
      <c r="Q49" s="107">
        <f>IF(IFERROR(VLOOKUP(Q38,'Tabela de Apoio'!$D:$E,2,FALSE),1)=1,"",Q50)</f>
        <v>59.605541636120577</v>
      </c>
      <c r="R49" s="107" t="str">
        <f>IF(IFERROR(VLOOKUP(R38,'Tabela de Apoio'!$D:$E,2,FALSE),1)=1,"",R50)</f>
        <v>DESCARTADO</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8"/>
        <v>2</v>
      </c>
      <c r="C50" s="128">
        <f t="shared" si="49"/>
        <v>1</v>
      </c>
      <c r="D50" s="127">
        <f t="shared" si="35"/>
        <v>2</v>
      </c>
      <c r="E50" s="199"/>
      <c r="F50" s="93"/>
      <c r="G50" s="201"/>
      <c r="H50" s="134">
        <f t="shared" ref="H50" si="77">COUNT($P50:$XX50)</f>
        <v>2</v>
      </c>
      <c r="I50" s="132">
        <f t="shared" ref="I50" si="78">_xlfn.STDEV.P($P49:$XX50)/AVERAGE($P49:$XX50)</f>
        <v>0.24691518737884458</v>
      </c>
      <c r="J50" s="7">
        <f t="shared" ref="J50" si="79">IF(AND(H50&gt;2,
OR(L36="MÉDIA SANEADA",L36="MEDIANA SANEADA",
AND(L36="PREÇO ESTIMADO",NOT(AND(P38="Orçamento",COUNTA(P36:XX36)=COUNTIF(P38:XX38,"Orçamento")))))),
ROW(),0)</f>
        <v>0</v>
      </c>
      <c r="K50" s="66"/>
      <c r="L50" s="29" t="s">
        <v>42</v>
      </c>
      <c r="M50" s="30">
        <f t="shared" ref="M50" si="80">MIN($P42:$XX42)</f>
        <v>35.999263308822137</v>
      </c>
      <c r="N50" s="71"/>
      <c r="O50" s="27" t="str">
        <f t="shared" ref="O50" si="81">"4 RODADA"</f>
        <v>4 RODADA</v>
      </c>
      <c r="P50" s="107">
        <f t="shared" ref="P50:AI50" si="82">IF(P48="","",IF((_xlfn.STDEV.P($P47:$XX48)/AVERAGE($P47:$XX48))&lt;=25%,P48,IF(OR(P48&gt;(AVERAGE($P47:$XX48)+_xlfn.STDEV.P($P47:$XX48)),P48&lt;(AVERAGE($P47:$XX48)-_xlfn.STDEV.P($P47:$XX48))),"DESCARTADO",P48)))</f>
        <v>35.999263308822137</v>
      </c>
      <c r="Q50" s="107">
        <f t="shared" si="82"/>
        <v>59.605541636120577</v>
      </c>
      <c r="R50" s="107" t="str">
        <f t="shared" si="82"/>
        <v>DESCARTADO</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f t="shared" si="48"/>
        <v>2</v>
      </c>
      <c r="C51" s="128">
        <f t="shared" si="49"/>
        <v>1</v>
      </c>
      <c r="D51" s="127">
        <f t="shared" si="35"/>
        <v>2</v>
      </c>
      <c r="E51" s="199"/>
      <c r="F51" s="93"/>
      <c r="G51" s="201"/>
      <c r="H51"/>
      <c r="I51"/>
      <c r="J51"/>
      <c r="K51" s="66"/>
      <c r="L51" s="29" t="s">
        <v>40</v>
      </c>
      <c r="M51" s="30">
        <f t="shared" ref="M51" si="83">MAX($P42:$XX42)</f>
        <v>129.8317049955964</v>
      </c>
      <c r="N51" s="71"/>
      <c r="O51" s="27" t="str">
        <f t="shared" ref="O51" si="84">"5 POND"</f>
        <v>5 POND</v>
      </c>
      <c r="P51" s="107">
        <f>IF(IFERROR(VLOOKUP(P38,'Tabela de Apoio'!$D:$E,2,FALSE),1)=1,"",P52)</f>
        <v>35.999263308822137</v>
      </c>
      <c r="Q51" s="107">
        <f>IF(IFERROR(VLOOKUP(Q38,'Tabela de Apoio'!$D:$E,2,FALSE),1)=1,"",Q52)</f>
        <v>59.605541636120577</v>
      </c>
      <c r="R51" s="107" t="str">
        <f>IF(IFERROR(VLOOKUP(R38,'Tabela de Apoio'!$D:$E,2,FALSE),1)=1,"",R52)</f>
        <v>DESCARTADO</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8"/>
        <v>2</v>
      </c>
      <c r="C52" s="128">
        <f t="shared" si="49"/>
        <v>1</v>
      </c>
      <c r="D52" s="127">
        <f t="shared" si="35"/>
        <v>2</v>
      </c>
      <c r="E52" s="199"/>
      <c r="F52" s="93"/>
      <c r="G52" s="201"/>
      <c r="H52" s="134">
        <f t="shared" ref="H52" si="85">COUNT($P52:$XX52)</f>
        <v>2</v>
      </c>
      <c r="I52" s="132">
        <f t="shared" ref="I52" si="86">_xlfn.STDEV.P($P51:$XX52)/AVERAGE($P51:$XX52)</f>
        <v>0.24691518737884458</v>
      </c>
      <c r="J52" s="7">
        <f t="shared" ref="J52" si="87">IF(AND(H52&gt;2,
OR(L36="MÉDIA SANEADA",L36="MEDIANA SANEADA",
AND(L36="PREÇO ESTIMADO",NOT(AND(P38="Orçamento",COUNTA(P36:XX36)=COUNTIF(P38:XX38,"Orçamento")))))),
ROW(),0)</f>
        <v>0</v>
      </c>
      <c r="K52" s="66"/>
      <c r="N52" s="71"/>
      <c r="O52" s="27" t="str">
        <f t="shared" ref="O52" si="88">"5 RODADA"</f>
        <v>5 RODADA</v>
      </c>
      <c r="P52" s="107">
        <f t="shared" ref="P52:AI52" si="89">IF(P50="","",IF((_xlfn.STDEV.P($P49:$XX50)/AVERAGE($P49:$XX50))&lt;=25%,P50,IF(OR(P50&gt;(AVERAGE($P49:$XX50)+_xlfn.STDEV.P($P49:$XX50)),P50&lt;(AVERAGE($P49:$XX50)-_xlfn.STDEV.P($P49:$XX50))),"DESCARTADO",P50)))</f>
        <v>35.999263308822137</v>
      </c>
      <c r="Q52" s="107">
        <f t="shared" si="89"/>
        <v>59.605541636120577</v>
      </c>
      <c r="R52" s="107" t="str">
        <f t="shared" si="89"/>
        <v>DESCARTADO</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f t="shared" si="48"/>
        <v>2</v>
      </c>
      <c r="C53" s="128">
        <f t="shared" si="49"/>
        <v>1</v>
      </c>
      <c r="D53" s="127">
        <f t="shared" si="35"/>
        <v>2</v>
      </c>
      <c r="E53" s="199"/>
      <c r="F53" s="93"/>
      <c r="G53" s="201"/>
      <c r="H53"/>
      <c r="I53"/>
      <c r="J53"/>
      <c r="K53" s="66"/>
      <c r="L53" s="22"/>
      <c r="M53" s="22"/>
      <c r="N53" s="71"/>
      <c r="O53" s="27" t="str">
        <f t="shared" ref="O53" si="90">"6 POND"</f>
        <v>6 POND</v>
      </c>
      <c r="P53" s="107">
        <f>IF(IFERROR(VLOOKUP(P38,'Tabela de Apoio'!$D:$E,2,FALSE),1)=1,"",P54)</f>
        <v>35.999263308822137</v>
      </c>
      <c r="Q53" s="107">
        <f>IF(IFERROR(VLOOKUP(Q38,'Tabela de Apoio'!$D:$E,2,FALSE),1)=1,"",Q54)</f>
        <v>59.605541636120577</v>
      </c>
      <c r="R53" s="107" t="str">
        <f>IF(IFERROR(VLOOKUP(R38,'Tabela de Apoio'!$D:$E,2,FALSE),1)=1,"",R54)</f>
        <v>DESCARTADO</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8"/>
        <v>2</v>
      </c>
      <c r="C54" s="128">
        <f t="shared" si="49"/>
        <v>1</v>
      </c>
      <c r="D54" s="127">
        <f t="shared" si="49"/>
        <v>2</v>
      </c>
      <c r="E54" s="199"/>
      <c r="F54" s="93"/>
      <c r="G54" s="201"/>
      <c r="H54" s="134">
        <f t="shared" ref="H54" si="91">COUNT($P54:$XX54)</f>
        <v>2</v>
      </c>
      <c r="I54" s="132">
        <f t="shared" ref="I54" si="92">_xlfn.STDEV.P($P53:$XX54)/AVERAGE($P53:$XX54)</f>
        <v>0.24691518737884458</v>
      </c>
      <c r="J54" s="7">
        <f t="shared" ref="J54" si="93">IF(AND(H54&gt;2,
OR(L36="MÉDIA SANEADA",L36="MEDIANA SANEADA",
AND(L36="PREÇO ESTIMADO",NOT(AND(P38="Orçamento",COUNTA(P36:XX36)=COUNTIF(P38:XX38,"Orçamento")))))),
ROW(),0)</f>
        <v>0</v>
      </c>
      <c r="N54" s="71"/>
      <c r="O54" s="27" t="str">
        <f t="shared" ref="O54" si="94">"6 RODADA"</f>
        <v>6 RODADA</v>
      </c>
      <c r="P54" s="107">
        <f t="shared" ref="P54:AI54" si="95">IFERROR(IF(P52="","",IF((_xlfn.STDEV.P($P51:$XX52)/AVERAGE($P51:$XX52))&lt;=25%,P52,IF(OR(P52&gt;(AVERAGE($P51:$XX52)+_xlfn.STDEV.P($P51:$XX52)),P52&lt;(AVERAGE($P51:$XX52)-_xlfn.STDEV.P($P51:$XX52))),"DESCARTADO",P52))),)</f>
        <v>35.999263308822137</v>
      </c>
      <c r="Q54" s="107">
        <f t="shared" si="95"/>
        <v>59.605541636120577</v>
      </c>
      <c r="R54" s="107" t="str">
        <f t="shared" si="95"/>
        <v>DESCARTADO</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f t="shared" si="48"/>
        <v>2</v>
      </c>
      <c r="C55" s="128">
        <f t="shared" si="49"/>
        <v>1</v>
      </c>
      <c r="D55" s="127">
        <f t="shared" si="49"/>
        <v>2</v>
      </c>
      <c r="E55" s="199"/>
      <c r="F55" s="136"/>
      <c r="G55" s="201"/>
      <c r="H55" s="204" t="s">
        <v>462</v>
      </c>
      <c r="I55" s="204"/>
      <c r="J55" s="205"/>
      <c r="K55" s="67"/>
      <c r="L55" s="1" t="s">
        <v>43</v>
      </c>
      <c r="M55" s="143">
        <f t="shared" ref="M55" si="96">IFERROR(ROUND(M36*M38,2),"")</f>
        <v>24082.44</v>
      </c>
      <c r="O55" s="27" t="s">
        <v>363</v>
      </c>
      <c r="P55" s="107">
        <f t="shared" ref="P55:AI76" si="97">INDEX(P42:P54,MATCH(MAX($J42:$J54),$J42:$J54,0))</f>
        <v>35.999263308822137</v>
      </c>
      <c r="Q55" s="107">
        <f t="shared" si="97"/>
        <v>59.605541636120577</v>
      </c>
      <c r="R55" s="107">
        <f t="shared" si="97"/>
        <v>129.8317049955964</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f t="shared" ref="B57" si="98">LARGE(IFERROR(IF(B55+1&gt;$H$8,"",B55+1),""),1)</f>
        <v>3</v>
      </c>
      <c r="C57" s="127">
        <f>IF(_xlfn.ISFORMULA(E61),MAX(INDEX('BASE FORMAÇÃO'!A:A,B57+1),1),E61)</f>
        <v>1</v>
      </c>
      <c r="D57" s="127">
        <f t="shared" ref="D57" si="99">IFERROR(IF(C57=C47,D47+1,1),1)</f>
        <v>3</v>
      </c>
      <c r="E57" s="38" t="s">
        <v>9</v>
      </c>
      <c r="F57" s="73"/>
      <c r="G57" s="38" t="s">
        <v>15</v>
      </c>
      <c r="H57" s="135">
        <f>INDEX('BASE FORMAÇÃO'!B:B,B57+1)</f>
        <v>0</v>
      </c>
      <c r="I57" s="181" t="s">
        <v>16</v>
      </c>
      <c r="J57" s="6">
        <f>INDEX('BASE FORMAÇÃO'!K:K,B57+1)</f>
        <v>0</v>
      </c>
      <c r="K57" s="65"/>
      <c r="L57" s="183" t="s">
        <v>10</v>
      </c>
      <c r="M57" s="185">
        <f t="shared" ref="M57" si="100">IF(OR(ISBLANK($O$8),ISBLANK($O$7),ISBLANK($H$8),ISBLANK($O$6),ISBLANK($O$5),ISBLANK($H$5)),"",IFERROR(IF(VLOOKUP(L57,L63:M72,2,FALSE)&lt;1,ROUND(VLOOKUP(L57,L63:M72,2,FALSE),4),ROUND(VLOOKUP(L57,L63:M72,2,FALSE),2)),""))</f>
        <v>20.260000000000002</v>
      </c>
      <c r="N57" s="69"/>
      <c r="O57" s="27" t="s">
        <v>17</v>
      </c>
      <c r="P57" s="113">
        <v>17.95</v>
      </c>
      <c r="Q57" s="113">
        <v>18.649999999999999</v>
      </c>
      <c r="R57" s="113">
        <v>22</v>
      </c>
      <c r="S57" s="113">
        <v>19</v>
      </c>
      <c r="T57" s="113">
        <v>23.49</v>
      </c>
      <c r="U57" s="105">
        <v>19</v>
      </c>
      <c r="V57" s="105">
        <v>20</v>
      </c>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f t="shared" ref="B58:D58" si="101">B57</f>
        <v>3</v>
      </c>
      <c r="C58" s="128">
        <f t="shared" si="101"/>
        <v>1</v>
      </c>
      <c r="D58" s="127">
        <f t="shared" si="101"/>
        <v>3</v>
      </c>
      <c r="E58" s="187">
        <f t="shared" ref="E58" si="102">D57</f>
        <v>3</v>
      </c>
      <c r="F58" s="92"/>
      <c r="G58" s="189" t="s">
        <v>1</v>
      </c>
      <c r="H58" s="192" t="str">
        <f>INDEX('BASE FORMAÇÃO'!C:C,B57+1)</f>
        <v>Banners modelo 1</v>
      </c>
      <c r="I58" s="192"/>
      <c r="J58" s="193"/>
      <c r="K58" s="66"/>
      <c r="L58" s="184"/>
      <c r="M58" s="186"/>
      <c r="N58" s="70"/>
      <c r="O58" s="27" t="s">
        <v>13</v>
      </c>
      <c r="P58" s="122">
        <v>46003</v>
      </c>
      <c r="Q58" s="122">
        <v>46239</v>
      </c>
      <c r="R58" s="122">
        <v>46097</v>
      </c>
      <c r="S58" s="122">
        <v>46030</v>
      </c>
      <c r="T58" s="122">
        <v>46233</v>
      </c>
      <c r="U58" s="122">
        <v>46246</v>
      </c>
      <c r="V58" s="122">
        <v>46162</v>
      </c>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f t="shared" ref="B59:D59" si="103">B58</f>
        <v>3</v>
      </c>
      <c r="C59" s="128">
        <f t="shared" si="103"/>
        <v>1</v>
      </c>
      <c r="D59" s="127">
        <f t="shared" si="103"/>
        <v>3</v>
      </c>
      <c r="E59" s="188"/>
      <c r="F59" s="93"/>
      <c r="G59" s="190"/>
      <c r="H59" s="194"/>
      <c r="I59" s="194"/>
      <c r="J59" s="195"/>
      <c r="K59" s="64"/>
      <c r="L59" s="130" t="s">
        <v>44</v>
      </c>
      <c r="M59" s="131">
        <f>INDEX('BASE FORMAÇÃO'!H:H,B61+1)</f>
        <v>2864</v>
      </c>
      <c r="N59" s="71"/>
      <c r="O59" s="27" t="s">
        <v>380</v>
      </c>
      <c r="P59" s="114" t="s">
        <v>12</v>
      </c>
      <c r="Q59" s="114" t="s">
        <v>12</v>
      </c>
      <c r="R59" s="114" t="s">
        <v>12</v>
      </c>
      <c r="S59" s="114" t="s">
        <v>12</v>
      </c>
      <c r="T59" s="114" t="s">
        <v>12</v>
      </c>
      <c r="U59" s="114" t="s">
        <v>12</v>
      </c>
      <c r="V59" s="114" t="s">
        <v>12</v>
      </c>
      <c r="W59" s="114"/>
      <c r="X59" s="114"/>
      <c r="Y59" s="114"/>
      <c r="Z59" s="114"/>
      <c r="AA59" s="118"/>
      <c r="AB59" s="118"/>
      <c r="AC59" s="118"/>
      <c r="AD59" s="118"/>
      <c r="AE59" s="118"/>
      <c r="AF59" s="118"/>
      <c r="AG59" s="118"/>
      <c r="AH59" s="118"/>
      <c r="AI59" s="118"/>
    </row>
    <row r="60" spans="1:167" s="116" customFormat="1" x14ac:dyDescent="0.25">
      <c r="A60" s="74"/>
      <c r="B60" s="128">
        <f t="shared" ref="B60:C60" si="104">B59</f>
        <v>3</v>
      </c>
      <c r="C60" s="128">
        <f t="shared" si="104"/>
        <v>1</v>
      </c>
      <c r="D60" s="127">
        <f t="shared" si="49"/>
        <v>3</v>
      </c>
      <c r="E60" s="38" t="s">
        <v>313</v>
      </c>
      <c r="F60" s="93"/>
      <c r="G60" s="191"/>
      <c r="H60" s="196"/>
      <c r="I60" s="196"/>
      <c r="J60" s="197"/>
      <c r="K60" s="64"/>
      <c r="L60" s="1" t="s">
        <v>2</v>
      </c>
      <c r="M60" s="6" t="str">
        <f>INDEX('BASE FORMAÇÃO'!D:D,B61+1)</f>
        <v>M2</v>
      </c>
      <c r="N60" s="71"/>
      <c r="O60" s="27" t="s">
        <v>381</v>
      </c>
      <c r="P60" s="115" t="s">
        <v>459</v>
      </c>
      <c r="Q60" s="115" t="s">
        <v>460</v>
      </c>
      <c r="R60" s="115" t="s">
        <v>460</v>
      </c>
      <c r="S60" s="115" t="s">
        <v>460</v>
      </c>
      <c r="T60" s="115" t="s">
        <v>460</v>
      </c>
      <c r="U60" s="118" t="s">
        <v>460</v>
      </c>
      <c r="V60" s="118" t="s">
        <v>460</v>
      </c>
      <c r="W60" s="118"/>
      <c r="X60" s="118"/>
      <c r="Y60" s="118"/>
      <c r="Z60" s="118"/>
      <c r="AA60" s="118"/>
      <c r="AB60" s="118"/>
      <c r="AC60" s="118"/>
      <c r="AD60" s="118"/>
      <c r="AE60" s="118"/>
      <c r="AF60" s="118"/>
      <c r="AG60" s="118"/>
      <c r="AH60" s="118"/>
      <c r="AI60" s="118"/>
    </row>
    <row r="61" spans="1:167" x14ac:dyDescent="0.25">
      <c r="B61" s="128">
        <f t="shared" ref="B61:C61" si="105">B59</f>
        <v>3</v>
      </c>
      <c r="C61" s="128">
        <f t="shared" si="105"/>
        <v>1</v>
      </c>
      <c r="D61" s="127">
        <f t="shared" si="49"/>
        <v>3</v>
      </c>
      <c r="E61" s="198">
        <f t="shared" ref="E61" si="106">C57</f>
        <v>1</v>
      </c>
      <c r="F61" s="93"/>
      <c r="G61" s="200" t="s">
        <v>304</v>
      </c>
      <c r="H61" s="202"/>
      <c r="I61" s="203"/>
      <c r="J61" s="203"/>
      <c r="K61" s="67"/>
      <c r="L61" s="28" t="s">
        <v>303</v>
      </c>
      <c r="M61" s="133">
        <f t="shared" ref="M61" si="107">IFERROR(INDEX(I63:I75,MATCH(MAX(J63:J75),J63:J75,0)),"")</f>
        <v>8.8265070083046238E-2</v>
      </c>
      <c r="N61" s="71"/>
      <c r="O61" s="27" t="s">
        <v>18</v>
      </c>
      <c r="P61" s="106">
        <f>IF(P57="","",
IF(OR(P59="Orçamento",P58="",MAX('Tabela de Apoio'!$A:$A)&lt;=P58),
P57,
(INDEX('Tabela de Apoio'!$B:$B,MATCH('MAPA DE PREÇOS'!$O$8,'Tabela de Apoio'!$A:$A,1))/INDEX('Tabela de Apoio'!$B:$B,MATCH('MAPA DE PREÇOS'!P58,'Tabela de Apoio'!$A:$A,1)-1))*P57))</f>
        <v>18.568585528544752</v>
      </c>
      <c r="Q61" s="106">
        <f>IF(Q57="","",
IF(OR(Q59="Orçamento",Q58="",MAX('Tabela de Apoio'!$A:$A)&lt;=Q58),
Q57,
(INDEX('Tabela de Apoio'!$B:$B,MATCH('MAPA DE PREÇOS'!$O$8,'Tabela de Apoio'!$A:$A,1))/INDEX('Tabela de Apoio'!$B:$B,MATCH('MAPA DE PREÇOS'!Q58,'Tabela de Apoio'!$A:$A,1)-1))*Q57))</f>
        <v>18.649999999999999</v>
      </c>
      <c r="R61" s="106">
        <f>IF(R57="","",
IF(OR(R59="Orçamento",R58="",MAX('Tabela de Apoio'!$A:$A)&lt;=R58),
R57,
(INDEX('Tabela de Apoio'!$B:$B,MATCH('MAPA DE PREÇOS'!$O$8,'Tabela de Apoio'!$A:$A,1))/INDEX('Tabela de Apoio'!$B:$B,MATCH('MAPA DE PREÇOS'!R58,'Tabela de Apoio'!$A:$A,1)-1))*R57))</f>
        <v>22.451546918262874</v>
      </c>
      <c r="S61" s="106">
        <f>IF(S57="","",
IF(OR(S59="Orçamento",S58="",MAX('Tabela de Apoio'!$A:$A)&lt;=S58),
S57,
(INDEX('Tabela de Apoio'!$B:$B,MATCH('MAPA DE PREÇOS'!$O$8,'Tabela de Apoio'!$A:$A,1))/INDEX('Tabela de Apoio'!$B:$B,MATCH('MAPA DE PREÇOS'!S58,'Tabela de Apoio'!$A:$A,1)-1))*S57))</f>
        <v>19.590124120492376</v>
      </c>
      <c r="T61" s="106">
        <f>IF(T57="","",
IF(OR(T59="Orçamento",T58="",MAX('Tabela de Apoio'!$A:$A)&lt;=T58),
T57,
(INDEX('Tabela de Apoio'!$B:$B,MATCH('MAPA DE PREÇOS'!$O$8,'Tabela de Apoio'!$A:$A,1))/INDEX('Tabela de Apoio'!$B:$B,MATCH('MAPA DE PREÇOS'!T58,'Tabela de Apoio'!$A:$A,1)-1))*T57))</f>
        <v>23.431247143041958</v>
      </c>
      <c r="U61" s="106">
        <f>IF(U57="","",
IF(OR(U59="Orçamento",U58="",MAX('Tabela de Apoio'!$A:$A)&lt;=U58),
U57,
(INDEX('Tabela de Apoio'!$B:$B,MATCH('MAPA DE PREÇOS'!$O$8,'Tabela de Apoio'!$A:$A,1))/INDEX('Tabela de Apoio'!$B:$B,MATCH('MAPA DE PREÇOS'!U58,'Tabela de Apoio'!$A:$A,1)-1))*U57))</f>
        <v>19</v>
      </c>
      <c r="V61" s="106">
        <f>IF(V57="","",
IF(OR(V59="Orçamento",V58="",MAX('Tabela de Apoio'!$A:$A)&lt;=V58),
V57,
(INDEX('Tabela de Apoio'!$B:$B,MATCH('MAPA DE PREÇOS'!$O$8,'Tabela de Apoio'!$A:$A,1))/INDEX('Tabela de Apoio'!$B:$B,MATCH('MAPA DE PREÇOS'!V58,'Tabela de Apoio'!$A:$A,1)-1))*V57))</f>
        <v>20.097787151021116</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f t="shared" ref="B62" si="108">B61</f>
        <v>3</v>
      </c>
      <c r="C62" s="128">
        <f t="shared" ref="C62" si="109">C61</f>
        <v>1</v>
      </c>
      <c r="D62" s="127">
        <f t="shared" si="49"/>
        <v>3</v>
      </c>
      <c r="E62" s="199"/>
      <c r="F62" s="93"/>
      <c r="G62" s="201"/>
      <c r="H62"/>
      <c r="I62"/>
      <c r="J62"/>
      <c r="N62" s="71"/>
      <c r="O62" s="27" t="s">
        <v>375</v>
      </c>
      <c r="P62" s="107">
        <f>IF(IFERROR(VLOOKUP(P59,'Tabela de Apoio'!$D:$E,2,FALSE),1)=1,"",P63)</f>
        <v>18.568585528544752</v>
      </c>
      <c r="Q62" s="107">
        <f>IF(IFERROR(VLOOKUP(Q59,'Tabela de Apoio'!$D:$E,2,FALSE),1)=1,"",Q63)</f>
        <v>18.649999999999999</v>
      </c>
      <c r="R62" s="107">
        <f>IF(IFERROR(VLOOKUP(R59,'Tabela de Apoio'!$D:$E,2,FALSE),1)=1,"",R63)</f>
        <v>22.451546918262874</v>
      </c>
      <c r="S62" s="107">
        <f>IF(IFERROR(VLOOKUP(S59,'Tabela de Apoio'!$D:$E,2,FALSE),1)=1,"",S63)</f>
        <v>19.590124120492376</v>
      </c>
      <c r="T62" s="107">
        <f>IF(IFERROR(VLOOKUP(T59,'Tabela de Apoio'!$D:$E,2,FALSE),1)=1,"",T63)</f>
        <v>23.431247143041958</v>
      </c>
      <c r="U62" s="107">
        <f>IF(IFERROR(VLOOKUP(U59,'Tabela de Apoio'!$D:$E,2,FALSE),1)=1,"",U63)</f>
        <v>19</v>
      </c>
      <c r="V62" s="107">
        <f>IF(IFERROR(VLOOKUP(V59,'Tabela de Apoio'!$D:$E,2,FALSE),1)=1,"",V63)</f>
        <v>20.097787151021116</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f t="shared" ref="B63:C63" si="110">B62</f>
        <v>3</v>
      </c>
      <c r="C63" s="128">
        <f t="shared" si="110"/>
        <v>1</v>
      </c>
      <c r="D63" s="127">
        <f t="shared" si="49"/>
        <v>3</v>
      </c>
      <c r="E63" s="199"/>
      <c r="F63" s="93"/>
      <c r="G63" s="201"/>
      <c r="H63" s="134">
        <f t="shared" ref="H63" si="111">COUNT($P63:$XX63)</f>
        <v>7</v>
      </c>
      <c r="I63" s="132">
        <f t="shared" ref="I63" si="112">_xlfn.STDEV.P($P62:$XX63)/AVERAGE($P62:$XX63)</f>
        <v>8.8265070083046238E-2</v>
      </c>
      <c r="J63" s="7">
        <f>ROW()</f>
        <v>63</v>
      </c>
      <c r="K63" s="67"/>
      <c r="L63" s="29" t="s">
        <v>10</v>
      </c>
      <c r="M63" s="30">
        <f t="shared" ref="M63" si="113">IFERROR(
IF(COUNTA(P57:AI57)=COUNTIF(P59:XX59,"Orçamento"),MIN(M68,M65),
IF(M66&lt;&gt;"",M66,
IF(M67&lt;&gt;"",M67,
M65
))),"")</f>
        <v>20.255612980194723</v>
      </c>
      <c r="N63" s="71"/>
      <c r="O63" s="27" t="s">
        <v>376</v>
      </c>
      <c r="P63" s="106">
        <f t="shared" ref="P63:AI63" si="114">IFERROR(IF(P61="",
            "",
            IF(COUNT($P61:$XX61)&lt;=4,
               P61,
               IF(OR(P61&gt;(QUARTILE($P61:$XX61,3)+(QUARTILE($P61:$XX61,3)-QUARTILE($P61:$XX61,1))),
                     P61&lt;(QUARTILE($P61:$XX61,1)-(QUARTILE($P61:$XX61,3)-QUARTILE($P61:$XX61,1)))
                  ),
               "DESCARTADO",P61)
             )
  ),P61)</f>
        <v>18.568585528544752</v>
      </c>
      <c r="Q63" s="106">
        <f t="shared" si="114"/>
        <v>18.649999999999999</v>
      </c>
      <c r="R63" s="106">
        <f t="shared" si="114"/>
        <v>22.451546918262874</v>
      </c>
      <c r="S63" s="106">
        <f t="shared" si="114"/>
        <v>19.590124120492376</v>
      </c>
      <c r="T63" s="106">
        <f t="shared" si="114"/>
        <v>23.431247143041958</v>
      </c>
      <c r="U63" s="106">
        <f t="shared" si="114"/>
        <v>19</v>
      </c>
      <c r="V63" s="106">
        <f t="shared" si="114"/>
        <v>20.097787151021116</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f t="shared" ref="B64" si="115">B63</f>
        <v>3</v>
      </c>
      <c r="C64" s="128">
        <f t="shared" ref="C64" si="116">C63</f>
        <v>1</v>
      </c>
      <c r="D64" s="127">
        <f t="shared" si="49"/>
        <v>3</v>
      </c>
      <c r="E64" s="199"/>
      <c r="F64" s="93"/>
      <c r="G64" s="201"/>
      <c r="H64"/>
      <c r="I64"/>
      <c r="J64"/>
      <c r="K64" s="66"/>
      <c r="L64" s="29" t="s">
        <v>360</v>
      </c>
      <c r="M64" s="30">
        <f t="shared" ref="M64" si="117">AVERAGE($P63:$XX63)</f>
        <v>20.255612980194723</v>
      </c>
      <c r="N64" s="71"/>
      <c r="O64" s="27" t="str">
        <f t="shared" ref="O64" si="118">"1 POND"</f>
        <v>1 POND</v>
      </c>
      <c r="P64" s="107">
        <f>IF(IFERROR(VLOOKUP(P59,'Tabela de Apoio'!$D:$E,2,FALSE),1)=1,"",P65)</f>
        <v>18.568585528544752</v>
      </c>
      <c r="Q64" s="107">
        <f>IF(IFERROR(VLOOKUP(Q59,'Tabela de Apoio'!$D:$E,2,FALSE),1)=1,"",Q65)</f>
        <v>18.649999999999999</v>
      </c>
      <c r="R64" s="107">
        <f>IF(IFERROR(VLOOKUP(R59,'Tabela de Apoio'!$D:$E,2,FALSE),1)=1,"",R65)</f>
        <v>22.451546918262874</v>
      </c>
      <c r="S64" s="107">
        <f>IF(IFERROR(VLOOKUP(S59,'Tabela de Apoio'!$D:$E,2,FALSE),1)=1,"",S65)</f>
        <v>19.590124120492376</v>
      </c>
      <c r="T64" s="107">
        <f>IF(IFERROR(VLOOKUP(T59,'Tabela de Apoio'!$D:$E,2,FALSE),1)=1,"",T65)</f>
        <v>23.431247143041958</v>
      </c>
      <c r="U64" s="107">
        <f>IF(IFERROR(VLOOKUP(U59,'Tabela de Apoio'!$D:$E,2,FALSE),1)=1,"",U65)</f>
        <v>19</v>
      </c>
      <c r="V64" s="107">
        <f>IF(IFERROR(VLOOKUP(V59,'Tabela de Apoio'!$D:$E,2,FALSE),1)=1,"",V65)</f>
        <v>20.097787151021116</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f t="shared" si="48"/>
        <v>3</v>
      </c>
      <c r="C65" s="128">
        <f t="shared" si="49"/>
        <v>1</v>
      </c>
      <c r="D65" s="127">
        <f t="shared" si="49"/>
        <v>3</v>
      </c>
      <c r="E65" s="199"/>
      <c r="F65" s="93"/>
      <c r="G65" s="201"/>
      <c r="H65" s="134">
        <f t="shared" ref="H65" si="119">COUNT($P65:$XX65)</f>
        <v>7</v>
      </c>
      <c r="I65" s="132">
        <f t="shared" ref="I65" si="120">_xlfn.STDEV.P($P64:$XX65)/AVERAGE($P64:$XX65)</f>
        <v>8.8265070083046238E-2</v>
      </c>
      <c r="J65" s="7">
        <f t="shared" ref="J65" si="121">IF(AND(H65&gt;2,
OR(L57="MÉDIA SANEADA",L57="MEDIANA SANEADA",
AND(L57="PREÇO ESTIMADO",NOT(AND(P59="Orçamento",COUNTA(P57:XX57)=COUNTIF(P59:XX59,"Orçamento")))))),
ROW(),0)</f>
        <v>65</v>
      </c>
      <c r="K65" s="66"/>
      <c r="L65" s="29" t="s">
        <v>361</v>
      </c>
      <c r="M65" s="30">
        <f t="shared" ref="M65" si="122">MEDIAN($P63:$XX63)</f>
        <v>19.590124120492376</v>
      </c>
      <c r="N65" s="71"/>
      <c r="O65" s="27" t="str">
        <f t="shared" ref="O65" si="123">"1 RODADA"</f>
        <v>1 RODADA</v>
      </c>
      <c r="P65" s="107">
        <f t="shared" ref="P65:AI65" si="124">IF(P63="","",IF((_xlfn.STDEV.P($P62:$XX63)/AVERAGE($P62:$XX63))&lt;=25%,P63,IF(OR(P63&gt;(AVERAGE($P62:$XX63)+_xlfn.STDEV.P($P62:$XX63)),P63&lt;(AVERAGE($P62:$XX63)-_xlfn.STDEV.P($P62:$XX63))),"DESCARTADO",P63)))</f>
        <v>18.568585528544752</v>
      </c>
      <c r="Q65" s="107">
        <f t="shared" si="124"/>
        <v>18.649999999999999</v>
      </c>
      <c r="R65" s="107">
        <f t="shared" si="124"/>
        <v>22.451546918262874</v>
      </c>
      <c r="S65" s="107">
        <f t="shared" si="124"/>
        <v>19.590124120492376</v>
      </c>
      <c r="T65" s="107">
        <f t="shared" si="124"/>
        <v>23.431247143041958</v>
      </c>
      <c r="U65" s="107">
        <f t="shared" si="124"/>
        <v>19</v>
      </c>
      <c r="V65" s="107">
        <f t="shared" si="124"/>
        <v>20.097787151021116</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f t="shared" si="48"/>
        <v>3</v>
      </c>
      <c r="C66" s="128">
        <f t="shared" si="49"/>
        <v>1</v>
      </c>
      <c r="D66" s="127">
        <f t="shared" si="49"/>
        <v>3</v>
      </c>
      <c r="E66" s="199"/>
      <c r="F66" s="93"/>
      <c r="G66" s="201"/>
      <c r="H66"/>
      <c r="I66"/>
      <c r="J66"/>
      <c r="L66" s="29" t="s">
        <v>38</v>
      </c>
      <c r="M66" s="30">
        <f t="shared" ref="M66" si="125">IFERROR(
IF(AND(H65&gt;2,I65&lt;=25%),AVERAGE(P64:XX65),
IF(AND(H67&gt;2,I67&lt;=25%),AVERAGE(P66:XX67),
IF(AND(H69&gt;2,I69&lt;=25%),AVERAGE(P68:XX69),
IF(AND(H71&gt;2,I71&lt;=25%),AVERAGE(P70:XX71),
IF(AND(H73&gt;2,I73&lt;=25%),AVERAGE(P72:XX73),
IF(AND(H75&gt;2,I75&lt;=25%),AVERAGE(P74:XX75),
IF(I63&lt;=25%,AVERAGE(P62:XX63),""))))))),"")</f>
        <v>20.255612980194723</v>
      </c>
      <c r="N66" s="71"/>
      <c r="O66" s="27" t="str">
        <f t="shared" ref="O66" si="126">"2 POND"</f>
        <v>2 POND</v>
      </c>
      <c r="P66" s="107">
        <f>IF(IFERROR(VLOOKUP(P59,'Tabela de Apoio'!$D:$E,2,FALSE),1)=1,"",P67)</f>
        <v>18.568585528544752</v>
      </c>
      <c r="Q66" s="107">
        <f>IF(IFERROR(VLOOKUP(Q59,'Tabela de Apoio'!$D:$E,2,FALSE),1)=1,"",Q67)</f>
        <v>18.649999999999999</v>
      </c>
      <c r="R66" s="107">
        <f>IF(IFERROR(VLOOKUP(R59,'Tabela de Apoio'!$D:$E,2,FALSE),1)=1,"",R67)</f>
        <v>22.451546918262874</v>
      </c>
      <c r="S66" s="107">
        <f>IF(IFERROR(VLOOKUP(S59,'Tabela de Apoio'!$D:$E,2,FALSE),1)=1,"",S67)</f>
        <v>19.590124120492376</v>
      </c>
      <c r="T66" s="107">
        <f>IF(IFERROR(VLOOKUP(T59,'Tabela de Apoio'!$D:$E,2,FALSE),1)=1,"",T67)</f>
        <v>23.431247143041958</v>
      </c>
      <c r="U66" s="107">
        <f>IF(IFERROR(VLOOKUP(U59,'Tabela de Apoio'!$D:$E,2,FALSE),1)=1,"",U67)</f>
        <v>19</v>
      </c>
      <c r="V66" s="107">
        <f>IF(IFERROR(VLOOKUP(V59,'Tabela de Apoio'!$D:$E,2,FALSE),1)=1,"",V67)</f>
        <v>20.097787151021116</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f t="shared" si="48"/>
        <v>3</v>
      </c>
      <c r="C67" s="128">
        <f t="shared" si="49"/>
        <v>1</v>
      </c>
      <c r="D67" s="127">
        <f t="shared" si="49"/>
        <v>3</v>
      </c>
      <c r="E67" s="199"/>
      <c r="F67" s="93"/>
      <c r="G67" s="201"/>
      <c r="H67" s="134">
        <f t="shared" ref="H67" si="127">COUNT($P67:$XX67)</f>
        <v>7</v>
      </c>
      <c r="I67" s="132">
        <f t="shared" ref="I67" si="128">_xlfn.STDEV.P($P66:$XX67)/AVERAGE($P66:$XX67)</f>
        <v>8.8265070083046238E-2</v>
      </c>
      <c r="J67" s="7">
        <f t="shared" ref="J67" si="129">IF(AND(H67&gt;2,
OR(L57="MÉDIA SANEADA",L57="MEDIANA SANEADA",
AND(L57="PREÇO ESTIMADO",NOT(AND(P59="Orçamento",COUNTA(P57:XX57)=COUNTIF(P59:XX59,"Orçamento")))))),
ROW(),0)</f>
        <v>67</v>
      </c>
      <c r="K67" s="66"/>
      <c r="L67" s="29" t="s">
        <v>362</v>
      </c>
      <c r="M67" s="30">
        <f t="shared" ref="M67" si="130" xml:space="preserve">
IF(H65&gt;2,MEDIAN(P64:XX65),
IF(H67&gt;2,MEDIAN(P66:XX67),
IF(H69&gt;2,MEDIAN(P68:XX69),
IF(H71&gt;2,MEDIAN(P70:XX71),
IF(H73&gt;2,MEDIAN(P72:XX73),
IF(H75&gt;2,MEDIAN(P74:XX75),
MEDIAN(P62:XX63)))))))</f>
        <v>19.590124120492376</v>
      </c>
      <c r="N67" s="71"/>
      <c r="O67" s="27" t="str">
        <f t="shared" ref="O67" si="131">"2 RODADA"</f>
        <v>2 RODADA</v>
      </c>
      <c r="P67" s="107">
        <f t="shared" ref="P67:AI67" si="132">IF(P65="","",IF((_xlfn.STDEV.P($P64:$XX65)/AVERAGE($P64:$XX65))&lt;=25%,P65,IF(OR(P65&gt;(AVERAGE($P64:$XX65)+_xlfn.STDEV.P($P64:$XX65)),P65&lt;(AVERAGE($P64:$XX65)-_xlfn.STDEV.P($P64:$XX65))),"DESCARTADO",P65)))</f>
        <v>18.568585528544752</v>
      </c>
      <c r="Q67" s="107">
        <f t="shared" si="132"/>
        <v>18.649999999999999</v>
      </c>
      <c r="R67" s="107">
        <f t="shared" si="132"/>
        <v>22.451546918262874</v>
      </c>
      <c r="S67" s="107">
        <f t="shared" si="132"/>
        <v>19.590124120492376</v>
      </c>
      <c r="T67" s="107">
        <f t="shared" si="132"/>
        <v>23.431247143041958</v>
      </c>
      <c r="U67" s="107">
        <f t="shared" si="132"/>
        <v>19</v>
      </c>
      <c r="V67" s="107">
        <f t="shared" si="132"/>
        <v>20.097787151021116</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f t="shared" si="48"/>
        <v>3</v>
      </c>
      <c r="C68" s="128">
        <f t="shared" si="49"/>
        <v>1</v>
      </c>
      <c r="D68" s="127">
        <f t="shared" si="49"/>
        <v>3</v>
      </c>
      <c r="E68" s="199"/>
      <c r="F68" s="93"/>
      <c r="G68" s="201"/>
      <c r="H68"/>
      <c r="I68"/>
      <c r="J68"/>
      <c r="K68" s="66"/>
      <c r="L68" s="29" t="s">
        <v>359</v>
      </c>
      <c r="M68" s="30">
        <f t="shared" ref="M68" si="133">HARMEAN($P62:$XX63)</f>
        <v>20.107630743372351</v>
      </c>
      <c r="N68" s="71"/>
      <c r="O68" s="27" t="str">
        <f t="shared" ref="O68" si="134">"3 POND"</f>
        <v>3 POND</v>
      </c>
      <c r="P68" s="107">
        <f>IF(IFERROR(VLOOKUP(P59,'Tabela de Apoio'!$D:$E,2,FALSE),1)=1,"",P69)</f>
        <v>18.568585528544752</v>
      </c>
      <c r="Q68" s="107">
        <f>IF(IFERROR(VLOOKUP(Q59,'Tabela de Apoio'!$D:$E,2,FALSE),1)=1,"",Q69)</f>
        <v>18.649999999999999</v>
      </c>
      <c r="R68" s="107">
        <f>IF(IFERROR(VLOOKUP(R59,'Tabela de Apoio'!$D:$E,2,FALSE),1)=1,"",R69)</f>
        <v>22.451546918262874</v>
      </c>
      <c r="S68" s="107">
        <f>IF(IFERROR(VLOOKUP(S59,'Tabela de Apoio'!$D:$E,2,FALSE),1)=1,"",S69)</f>
        <v>19.590124120492376</v>
      </c>
      <c r="T68" s="107">
        <f>IF(IFERROR(VLOOKUP(T59,'Tabela de Apoio'!$D:$E,2,FALSE),1)=1,"",T69)</f>
        <v>23.431247143041958</v>
      </c>
      <c r="U68" s="107">
        <f>IF(IFERROR(VLOOKUP(U59,'Tabela de Apoio'!$D:$E,2,FALSE),1)=1,"",U69)</f>
        <v>19</v>
      </c>
      <c r="V68" s="107">
        <f>IF(IFERROR(VLOOKUP(V59,'Tabela de Apoio'!$D:$E,2,FALSE),1)=1,"",V69)</f>
        <v>20.097787151021116</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f t="shared" si="48"/>
        <v>3</v>
      </c>
      <c r="C69" s="128">
        <f t="shared" si="49"/>
        <v>1</v>
      </c>
      <c r="D69" s="127">
        <f t="shared" si="49"/>
        <v>3</v>
      </c>
      <c r="E69" s="199"/>
      <c r="F69" s="93"/>
      <c r="G69" s="201"/>
      <c r="H69" s="134">
        <f t="shared" ref="H69" si="135">COUNT($P69:$XX69)</f>
        <v>7</v>
      </c>
      <c r="I69" s="132">
        <f t="shared" ref="I69" si="136">_xlfn.STDEV.P($P68:$XX69)/AVERAGE($P68:$XX69)</f>
        <v>8.8265070083046238E-2</v>
      </c>
      <c r="J69" s="7">
        <f t="shared" ref="J69" si="137">IF(AND(H69&gt;2,
OR(L57="MÉDIA SANEADA",L57="MEDIANA SANEADA",
AND(L57="PREÇO ESTIMADO",NOT(AND(P59="Orçamento",COUNTA(P57:XX57)=COUNTIF(P59:XX59,"Orçamento")))))),
ROW(),0)</f>
        <v>69</v>
      </c>
      <c r="K69" s="66"/>
      <c r="L69" s="29" t="s">
        <v>41</v>
      </c>
      <c r="M69" s="30">
        <f t="shared" ref="M69" si="138">IFERROR(_xlfn.QUARTILE.EXC($P63:$XX63,1),"")</f>
        <v>18.649999999999999</v>
      </c>
      <c r="N69" s="71"/>
      <c r="O69" s="27" t="str">
        <f t="shared" ref="O69" si="139">"3 RODADA"</f>
        <v>3 RODADA</v>
      </c>
      <c r="P69" s="107">
        <f t="shared" ref="P69:AI69" si="140">IF(P67="","",IF((_xlfn.STDEV.P($P66:$XX67)/AVERAGE($P66:$XX67))&lt;=25%,P67,IF(OR(P67&gt;(AVERAGE($P66:$XX67)+_xlfn.STDEV.P($P66:$XX67)),P67&lt;(AVERAGE($P66:$XX67)-_xlfn.STDEV.P($P66:$XX67))),"DESCARTADO",P67)))</f>
        <v>18.568585528544752</v>
      </c>
      <c r="Q69" s="107">
        <f t="shared" si="140"/>
        <v>18.649999999999999</v>
      </c>
      <c r="R69" s="107">
        <f t="shared" si="140"/>
        <v>22.451546918262874</v>
      </c>
      <c r="S69" s="107">
        <f t="shared" si="140"/>
        <v>19.590124120492376</v>
      </c>
      <c r="T69" s="107">
        <f t="shared" si="140"/>
        <v>23.431247143041958</v>
      </c>
      <c r="U69" s="107">
        <f t="shared" si="140"/>
        <v>19</v>
      </c>
      <c r="V69" s="107">
        <f t="shared" si="140"/>
        <v>20.097787151021116</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f t="shared" si="48"/>
        <v>3</v>
      </c>
      <c r="C70" s="128">
        <f t="shared" si="49"/>
        <v>1</v>
      </c>
      <c r="D70" s="127">
        <f t="shared" si="49"/>
        <v>3</v>
      </c>
      <c r="E70" s="199"/>
      <c r="F70" s="93"/>
      <c r="G70" s="201"/>
      <c r="H70"/>
      <c r="I70"/>
      <c r="J70"/>
      <c r="K70" s="66"/>
      <c r="L70" s="29" t="s">
        <v>39</v>
      </c>
      <c r="M70" s="30">
        <f t="shared" ref="M70" si="141">IFERROR(_xlfn.QUARTILE.EXC($P63:$XX63,3),"")</f>
        <v>22.451546918262874</v>
      </c>
      <c r="N70" s="71"/>
      <c r="O70" s="27" t="str">
        <f t="shared" ref="O70" si="142">"4 POND"</f>
        <v>4 POND</v>
      </c>
      <c r="P70" s="107">
        <f>IF(IFERROR(VLOOKUP(P59,'Tabela de Apoio'!$D:$E,2,FALSE),1)=1,"",P71)</f>
        <v>18.568585528544752</v>
      </c>
      <c r="Q70" s="107">
        <f>IF(IFERROR(VLOOKUP(Q59,'Tabela de Apoio'!$D:$E,2,FALSE),1)=1,"",Q71)</f>
        <v>18.649999999999999</v>
      </c>
      <c r="R70" s="107">
        <f>IF(IFERROR(VLOOKUP(R59,'Tabela de Apoio'!$D:$E,2,FALSE),1)=1,"",R71)</f>
        <v>22.451546918262874</v>
      </c>
      <c r="S70" s="107">
        <f>IF(IFERROR(VLOOKUP(S59,'Tabela de Apoio'!$D:$E,2,FALSE),1)=1,"",S71)</f>
        <v>19.590124120492376</v>
      </c>
      <c r="T70" s="107">
        <f>IF(IFERROR(VLOOKUP(T59,'Tabela de Apoio'!$D:$E,2,FALSE),1)=1,"",T71)</f>
        <v>23.431247143041958</v>
      </c>
      <c r="U70" s="107">
        <f>IF(IFERROR(VLOOKUP(U59,'Tabela de Apoio'!$D:$E,2,FALSE),1)=1,"",U71)</f>
        <v>19</v>
      </c>
      <c r="V70" s="107">
        <f>IF(IFERROR(VLOOKUP(V59,'Tabela de Apoio'!$D:$E,2,FALSE),1)=1,"",V71)</f>
        <v>20.097787151021116</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f t="shared" si="48"/>
        <v>3</v>
      </c>
      <c r="C71" s="128">
        <f t="shared" si="49"/>
        <v>1</v>
      </c>
      <c r="D71" s="127">
        <f t="shared" si="49"/>
        <v>3</v>
      </c>
      <c r="E71" s="199"/>
      <c r="F71" s="93"/>
      <c r="G71" s="201"/>
      <c r="H71" s="134">
        <f t="shared" ref="H71" si="143">COUNT($P71:$XX71)</f>
        <v>7</v>
      </c>
      <c r="I71" s="132">
        <f t="shared" ref="I71" si="144">_xlfn.STDEV.P($P70:$XX71)/AVERAGE($P70:$XX71)</f>
        <v>8.8265070083046238E-2</v>
      </c>
      <c r="J71" s="7">
        <f t="shared" ref="J71" si="145">IF(AND(H71&gt;2,
OR(L57="MÉDIA SANEADA",L57="MEDIANA SANEADA",
AND(L57="PREÇO ESTIMADO",NOT(AND(P59="Orçamento",COUNTA(P57:XX57)=COUNTIF(P59:XX59,"Orçamento")))))),
ROW(),0)</f>
        <v>71</v>
      </c>
      <c r="K71" s="66"/>
      <c r="L71" s="29" t="s">
        <v>42</v>
      </c>
      <c r="M71" s="30">
        <f t="shared" ref="M71" si="146">MIN($P63:$XX63)</f>
        <v>18.568585528544752</v>
      </c>
      <c r="N71" s="71"/>
      <c r="O71" s="27" t="str">
        <f t="shared" ref="O71" si="147">"4 RODADA"</f>
        <v>4 RODADA</v>
      </c>
      <c r="P71" s="107">
        <f t="shared" ref="P71:AI71" si="148">IF(P69="","",IF((_xlfn.STDEV.P($P68:$XX69)/AVERAGE($P68:$XX69))&lt;=25%,P69,IF(OR(P69&gt;(AVERAGE($P68:$XX69)+_xlfn.STDEV.P($P68:$XX69)),P69&lt;(AVERAGE($P68:$XX69)-_xlfn.STDEV.P($P68:$XX69))),"DESCARTADO",P69)))</f>
        <v>18.568585528544752</v>
      </c>
      <c r="Q71" s="107">
        <f t="shared" si="148"/>
        <v>18.649999999999999</v>
      </c>
      <c r="R71" s="107">
        <f t="shared" si="148"/>
        <v>22.451546918262874</v>
      </c>
      <c r="S71" s="107">
        <f t="shared" si="148"/>
        <v>19.590124120492376</v>
      </c>
      <c r="T71" s="107">
        <f t="shared" si="148"/>
        <v>23.431247143041958</v>
      </c>
      <c r="U71" s="107">
        <f t="shared" si="148"/>
        <v>19</v>
      </c>
      <c r="V71" s="107">
        <f t="shared" si="148"/>
        <v>20.097787151021116</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f t="shared" si="48"/>
        <v>3</v>
      </c>
      <c r="C72" s="128">
        <f t="shared" si="49"/>
        <v>1</v>
      </c>
      <c r="D72" s="127">
        <f t="shared" si="49"/>
        <v>3</v>
      </c>
      <c r="E72" s="199"/>
      <c r="F72" s="93"/>
      <c r="G72" s="201"/>
      <c r="H72"/>
      <c r="I72"/>
      <c r="J72"/>
      <c r="K72" s="66"/>
      <c r="L72" s="29" t="s">
        <v>40</v>
      </c>
      <c r="M72" s="30">
        <f t="shared" ref="M72" si="149">MAX($P63:$XX63)</f>
        <v>23.431247143041958</v>
      </c>
      <c r="N72" s="71"/>
      <c r="O72" s="27" t="str">
        <f t="shared" ref="O72" si="150">"5 POND"</f>
        <v>5 POND</v>
      </c>
      <c r="P72" s="107">
        <f>IF(IFERROR(VLOOKUP(P59,'Tabela de Apoio'!$D:$E,2,FALSE),1)=1,"",P73)</f>
        <v>18.568585528544752</v>
      </c>
      <c r="Q72" s="107">
        <f>IF(IFERROR(VLOOKUP(Q59,'Tabela de Apoio'!$D:$E,2,FALSE),1)=1,"",Q73)</f>
        <v>18.649999999999999</v>
      </c>
      <c r="R72" s="107">
        <f>IF(IFERROR(VLOOKUP(R59,'Tabela de Apoio'!$D:$E,2,FALSE),1)=1,"",R73)</f>
        <v>22.451546918262874</v>
      </c>
      <c r="S72" s="107">
        <f>IF(IFERROR(VLOOKUP(S59,'Tabela de Apoio'!$D:$E,2,FALSE),1)=1,"",S73)</f>
        <v>19.590124120492376</v>
      </c>
      <c r="T72" s="107">
        <f>IF(IFERROR(VLOOKUP(T59,'Tabela de Apoio'!$D:$E,2,FALSE),1)=1,"",T73)</f>
        <v>23.431247143041958</v>
      </c>
      <c r="U72" s="107">
        <f>IF(IFERROR(VLOOKUP(U59,'Tabela de Apoio'!$D:$E,2,FALSE),1)=1,"",U73)</f>
        <v>19</v>
      </c>
      <c r="V72" s="107">
        <f>IF(IFERROR(VLOOKUP(V59,'Tabela de Apoio'!$D:$E,2,FALSE),1)=1,"",V73)</f>
        <v>20.097787151021116</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f t="shared" si="48"/>
        <v>3</v>
      </c>
      <c r="C73" s="128">
        <f t="shared" si="49"/>
        <v>1</v>
      </c>
      <c r="D73" s="127">
        <f t="shared" si="49"/>
        <v>3</v>
      </c>
      <c r="E73" s="199"/>
      <c r="F73" s="93"/>
      <c r="G73" s="201"/>
      <c r="H73" s="134">
        <f t="shared" ref="H73" si="151">COUNT($P73:$XX73)</f>
        <v>7</v>
      </c>
      <c r="I73" s="132">
        <f t="shared" ref="I73" si="152">_xlfn.STDEV.P($P72:$XX73)/AVERAGE($P72:$XX73)</f>
        <v>8.8265070083046238E-2</v>
      </c>
      <c r="J73" s="7">
        <f t="shared" ref="J73" si="153">IF(AND(H73&gt;2,
OR(L57="MÉDIA SANEADA",L57="MEDIANA SANEADA",
AND(L57="PREÇO ESTIMADO",NOT(AND(P59="Orçamento",COUNTA(P57:XX57)=COUNTIF(P59:XX59,"Orçamento")))))),
ROW(),0)</f>
        <v>73</v>
      </c>
      <c r="K73" s="66"/>
      <c r="N73" s="71"/>
      <c r="O73" s="27" t="str">
        <f t="shared" ref="O73" si="154">"5 RODADA"</f>
        <v>5 RODADA</v>
      </c>
      <c r="P73" s="107">
        <f t="shared" ref="P73:AI73" si="155">IF(P71="","",IF((_xlfn.STDEV.P($P70:$XX71)/AVERAGE($P70:$XX71))&lt;=25%,P71,IF(OR(P71&gt;(AVERAGE($P70:$XX71)+_xlfn.STDEV.P($P70:$XX71)),P71&lt;(AVERAGE($P70:$XX71)-_xlfn.STDEV.P($P70:$XX71))),"DESCARTADO",P71)))</f>
        <v>18.568585528544752</v>
      </c>
      <c r="Q73" s="107">
        <f t="shared" si="155"/>
        <v>18.649999999999999</v>
      </c>
      <c r="R73" s="107">
        <f t="shared" si="155"/>
        <v>22.451546918262874</v>
      </c>
      <c r="S73" s="107">
        <f t="shared" si="155"/>
        <v>19.590124120492376</v>
      </c>
      <c r="T73" s="107">
        <f t="shared" si="155"/>
        <v>23.431247143041958</v>
      </c>
      <c r="U73" s="107">
        <f t="shared" si="155"/>
        <v>19</v>
      </c>
      <c r="V73" s="107">
        <f t="shared" si="155"/>
        <v>20.097787151021116</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f t="shared" si="48"/>
        <v>3</v>
      </c>
      <c r="C74" s="128">
        <f t="shared" si="49"/>
        <v>1</v>
      </c>
      <c r="D74" s="127">
        <f t="shared" si="49"/>
        <v>3</v>
      </c>
      <c r="E74" s="199"/>
      <c r="F74" s="93"/>
      <c r="G74" s="201"/>
      <c r="H74"/>
      <c r="I74"/>
      <c r="J74"/>
      <c r="K74" s="66"/>
      <c r="L74" s="22"/>
      <c r="M74" s="22"/>
      <c r="N74" s="71"/>
      <c r="O74" s="27" t="str">
        <f t="shared" ref="O74" si="156">"6 POND"</f>
        <v>6 POND</v>
      </c>
      <c r="P74" s="107">
        <f>IF(IFERROR(VLOOKUP(P59,'Tabela de Apoio'!$D:$E,2,FALSE),1)=1,"",P75)</f>
        <v>18.568585528544752</v>
      </c>
      <c r="Q74" s="107">
        <f>IF(IFERROR(VLOOKUP(Q59,'Tabela de Apoio'!$D:$E,2,FALSE),1)=1,"",Q75)</f>
        <v>18.649999999999999</v>
      </c>
      <c r="R74" s="107">
        <f>IF(IFERROR(VLOOKUP(R59,'Tabela de Apoio'!$D:$E,2,FALSE),1)=1,"",R75)</f>
        <v>22.451546918262874</v>
      </c>
      <c r="S74" s="107">
        <f>IF(IFERROR(VLOOKUP(S59,'Tabela de Apoio'!$D:$E,2,FALSE),1)=1,"",S75)</f>
        <v>19.590124120492376</v>
      </c>
      <c r="T74" s="107">
        <f>IF(IFERROR(VLOOKUP(T59,'Tabela de Apoio'!$D:$E,2,FALSE),1)=1,"",T75)</f>
        <v>23.431247143041958</v>
      </c>
      <c r="U74" s="107">
        <f>IF(IFERROR(VLOOKUP(U59,'Tabela de Apoio'!$D:$E,2,FALSE),1)=1,"",U75)</f>
        <v>19</v>
      </c>
      <c r="V74" s="107">
        <f>IF(IFERROR(VLOOKUP(V59,'Tabela de Apoio'!$D:$E,2,FALSE),1)=1,"",V75)</f>
        <v>20.097787151021116</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f t="shared" si="48"/>
        <v>3</v>
      </c>
      <c r="C75" s="128">
        <f t="shared" si="49"/>
        <v>1</v>
      </c>
      <c r="D75" s="127">
        <f t="shared" si="49"/>
        <v>3</v>
      </c>
      <c r="E75" s="199"/>
      <c r="F75" s="93"/>
      <c r="G75" s="201"/>
      <c r="H75" s="134">
        <f t="shared" ref="H75" si="157">COUNT($P75:$XX75)</f>
        <v>7</v>
      </c>
      <c r="I75" s="132">
        <f t="shared" ref="I75" si="158">_xlfn.STDEV.P($P74:$XX75)/AVERAGE($P74:$XX75)</f>
        <v>8.8265070083046238E-2</v>
      </c>
      <c r="J75" s="7">
        <f t="shared" ref="J75" si="159">IF(AND(H75&gt;2,
OR(L57="MÉDIA SANEADA",L57="MEDIANA SANEADA",
AND(L57="PREÇO ESTIMADO",NOT(AND(P59="Orçamento",COUNTA(P57:XX57)=COUNTIF(P59:XX59,"Orçamento")))))),
ROW(),0)</f>
        <v>75</v>
      </c>
      <c r="N75" s="71"/>
      <c r="O75" s="27" t="str">
        <f t="shared" ref="O75" si="160">"6 RODADA"</f>
        <v>6 RODADA</v>
      </c>
      <c r="P75" s="107">
        <f t="shared" ref="P75:AI75" si="161">IFERROR(IF(P73="","",IF((_xlfn.STDEV.P($P72:$XX73)/AVERAGE($P72:$XX73))&lt;=25%,P73,IF(OR(P73&gt;(AVERAGE($P72:$XX73)+_xlfn.STDEV.P($P72:$XX73)),P73&lt;(AVERAGE($P72:$XX73)-_xlfn.STDEV.P($P72:$XX73))),"DESCARTADO",P73))),)</f>
        <v>18.568585528544752</v>
      </c>
      <c r="Q75" s="107">
        <f t="shared" si="161"/>
        <v>18.649999999999999</v>
      </c>
      <c r="R75" s="107">
        <f t="shared" si="161"/>
        <v>22.451546918262874</v>
      </c>
      <c r="S75" s="107">
        <f t="shared" si="161"/>
        <v>19.590124120492376</v>
      </c>
      <c r="T75" s="107">
        <f t="shared" si="161"/>
        <v>23.431247143041958</v>
      </c>
      <c r="U75" s="107">
        <f t="shared" si="161"/>
        <v>19</v>
      </c>
      <c r="V75" s="107">
        <f t="shared" si="161"/>
        <v>20.097787151021116</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f t="shared" si="48"/>
        <v>3</v>
      </c>
      <c r="C76" s="128">
        <f t="shared" si="49"/>
        <v>1</v>
      </c>
      <c r="D76" s="127">
        <f t="shared" si="49"/>
        <v>3</v>
      </c>
      <c r="E76" s="199"/>
      <c r="F76" s="136"/>
      <c r="G76" s="201"/>
      <c r="H76" s="204"/>
      <c r="I76" s="204"/>
      <c r="J76" s="205"/>
      <c r="K76" s="67"/>
      <c r="L76" s="1" t="s">
        <v>43</v>
      </c>
      <c r="M76" s="143">
        <f t="shared" ref="M76" si="162">IFERROR(ROUND(M57*M59,2),"")</f>
        <v>58024.639999999999</v>
      </c>
      <c r="O76" s="27" t="s">
        <v>363</v>
      </c>
      <c r="P76" s="107">
        <f t="shared" ref="P76:R76" si="163">INDEX(P63:P75,MATCH(MAX($J63:$J75),$J63:$J75,0))</f>
        <v>18.568585528544752</v>
      </c>
      <c r="Q76" s="107">
        <f t="shared" si="163"/>
        <v>18.649999999999999</v>
      </c>
      <c r="R76" s="107">
        <f t="shared" si="163"/>
        <v>22.451546918262874</v>
      </c>
      <c r="S76" s="107">
        <f t="shared" si="97"/>
        <v>19.590124120492376</v>
      </c>
      <c r="T76" s="107">
        <f t="shared" si="97"/>
        <v>23.431247143041958</v>
      </c>
      <c r="U76" s="107">
        <f t="shared" si="97"/>
        <v>19</v>
      </c>
      <c r="V76" s="107">
        <f t="shared" si="97"/>
        <v>20.097787151021116</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f t="shared" ref="B78" si="164">LARGE(IFERROR(IF(B76+1&gt;$H$8,"",B76+1),""),1)</f>
        <v>4</v>
      </c>
      <c r="C78" s="127">
        <f>IF(_xlfn.ISFORMULA(E82),MAX(INDEX('BASE FORMAÇÃO'!A:A,B78+1),1),E82)</f>
        <v>1</v>
      </c>
      <c r="D78" s="127">
        <f t="shared" ref="D78" si="165">IFERROR(IF(C78=C68,D68+1,1),1)</f>
        <v>4</v>
      </c>
      <c r="E78" s="38" t="s">
        <v>9</v>
      </c>
      <c r="F78" s="73"/>
      <c r="G78" s="38" t="s">
        <v>15</v>
      </c>
      <c r="H78" s="135">
        <f>INDEX('BASE FORMAÇÃO'!B:B,B78+1)</f>
        <v>0</v>
      </c>
      <c r="I78" s="181" t="s">
        <v>16</v>
      </c>
      <c r="J78" s="6">
        <f>INDEX('BASE FORMAÇÃO'!K:K,B78+1)</f>
        <v>0</v>
      </c>
      <c r="K78" s="65"/>
      <c r="L78" s="183" t="s">
        <v>10</v>
      </c>
      <c r="M78" s="185">
        <f t="shared" ref="M78" si="166">IF(OR(ISBLANK($O$8),ISBLANK($O$7),ISBLANK($H$8),ISBLANK($O$6),ISBLANK($O$5),ISBLANK($H$5)),"",IFERROR(IF(VLOOKUP(L78,L84:M93,2,FALSE)&lt;1,ROUND(VLOOKUP(L78,L84:M93,2,FALSE),4),ROUND(VLOOKUP(L78,L84:M93,2,FALSE),2)),""))</f>
        <v>50.81</v>
      </c>
      <c r="N78" s="69"/>
      <c r="O78" s="27" t="s">
        <v>17</v>
      </c>
      <c r="P78" s="113">
        <v>43</v>
      </c>
      <c r="Q78" s="113">
        <v>46.82</v>
      </c>
      <c r="R78" s="113">
        <v>60</v>
      </c>
      <c r="S78" s="113">
        <v>49</v>
      </c>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f t="shared" ref="B79:D79" si="167">B78</f>
        <v>4</v>
      </c>
      <c r="C79" s="128">
        <f t="shared" si="167"/>
        <v>1</v>
      </c>
      <c r="D79" s="127">
        <f t="shared" si="167"/>
        <v>4</v>
      </c>
      <c r="E79" s="187">
        <f t="shared" ref="E79" si="168">D78</f>
        <v>4</v>
      </c>
      <c r="F79" s="92"/>
      <c r="G79" s="189" t="s">
        <v>1</v>
      </c>
      <c r="H79" s="192" t="str">
        <f>INDEX('BASE FORMAÇÃO'!C:C,B78+1)</f>
        <v>Banners modelo 2</v>
      </c>
      <c r="I79" s="192"/>
      <c r="J79" s="193"/>
      <c r="K79" s="66"/>
      <c r="L79" s="184"/>
      <c r="M79" s="186"/>
      <c r="N79" s="70"/>
      <c r="O79" s="27" t="s">
        <v>13</v>
      </c>
      <c r="P79" s="122">
        <v>46003</v>
      </c>
      <c r="Q79" s="122">
        <v>46234</v>
      </c>
      <c r="R79" s="122">
        <v>46002</v>
      </c>
      <c r="S79" s="122">
        <v>46104</v>
      </c>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f t="shared" ref="B80:D80" si="169">B79</f>
        <v>4</v>
      </c>
      <c r="C80" s="128">
        <f t="shared" si="169"/>
        <v>1</v>
      </c>
      <c r="D80" s="127">
        <f t="shared" si="169"/>
        <v>4</v>
      </c>
      <c r="E80" s="188"/>
      <c r="F80" s="93"/>
      <c r="G80" s="190"/>
      <c r="H80" s="194"/>
      <c r="I80" s="194"/>
      <c r="J80" s="195"/>
      <c r="K80" s="64"/>
      <c r="L80" s="130" t="s">
        <v>44</v>
      </c>
      <c r="M80" s="131">
        <f>INDEX('BASE FORMAÇÃO'!H:H,B82+1)</f>
        <v>1995</v>
      </c>
      <c r="N80" s="71"/>
      <c r="O80" s="27" t="s">
        <v>380</v>
      </c>
      <c r="P80" s="114" t="s">
        <v>12</v>
      </c>
      <c r="Q80" s="114" t="s">
        <v>12</v>
      </c>
      <c r="R80" s="114" t="s">
        <v>12</v>
      </c>
      <c r="S80" s="114" t="s">
        <v>12</v>
      </c>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f t="shared" ref="B81:C81" si="170">B80</f>
        <v>4</v>
      </c>
      <c r="C81" s="128">
        <f t="shared" si="170"/>
        <v>1</v>
      </c>
      <c r="D81" s="127">
        <f t="shared" si="49"/>
        <v>4</v>
      </c>
      <c r="E81" s="38" t="s">
        <v>313</v>
      </c>
      <c r="F81" s="93"/>
      <c r="G81" s="191"/>
      <c r="H81" s="196"/>
      <c r="I81" s="196"/>
      <c r="J81" s="197"/>
      <c r="K81" s="64"/>
      <c r="L81" s="1" t="s">
        <v>2</v>
      </c>
      <c r="M81" s="6" t="str">
        <f>INDEX('BASE FORMAÇÃO'!D:D,B82+1)</f>
        <v>M2</v>
      </c>
      <c r="N81" s="71"/>
      <c r="O81" s="27" t="s">
        <v>381</v>
      </c>
      <c r="P81" s="115" t="s">
        <v>459</v>
      </c>
      <c r="Q81" s="115" t="s">
        <v>460</v>
      </c>
      <c r="R81" s="115" t="s">
        <v>460</v>
      </c>
      <c r="S81" s="115" t="s">
        <v>460</v>
      </c>
      <c r="T81" s="115"/>
      <c r="U81" s="118"/>
      <c r="V81" s="118"/>
      <c r="W81" s="118"/>
      <c r="X81" s="118"/>
      <c r="Y81" s="118"/>
      <c r="Z81" s="118"/>
      <c r="AA81" s="118"/>
      <c r="AB81" s="118"/>
      <c r="AC81" s="118"/>
      <c r="AD81" s="118"/>
      <c r="AE81" s="118"/>
      <c r="AF81" s="118"/>
      <c r="AG81" s="118"/>
      <c r="AH81" s="118"/>
      <c r="AI81" s="118"/>
    </row>
    <row r="82" spans="1:35" x14ac:dyDescent="0.25">
      <c r="B82" s="128">
        <f t="shared" ref="B82:C82" si="171">B80</f>
        <v>4</v>
      </c>
      <c r="C82" s="128">
        <f t="shared" si="171"/>
        <v>1</v>
      </c>
      <c r="D82" s="127">
        <f t="shared" si="49"/>
        <v>4</v>
      </c>
      <c r="E82" s="198">
        <f t="shared" ref="E82" si="172">C78</f>
        <v>1</v>
      </c>
      <c r="F82" s="93"/>
      <c r="G82" s="200" t="s">
        <v>304</v>
      </c>
      <c r="H82" s="202"/>
      <c r="I82" s="203"/>
      <c r="J82" s="203"/>
      <c r="K82" s="67"/>
      <c r="L82" s="28" t="s">
        <v>303</v>
      </c>
      <c r="M82" s="133">
        <f t="shared" ref="M82" si="173">IFERROR(INDEX(I84:I96,MATCH(MAX(J84:J96),J84:J96,0)),"")</f>
        <v>0.13357966031353016</v>
      </c>
      <c r="N82" s="71"/>
      <c r="O82" s="27" t="s">
        <v>18</v>
      </c>
      <c r="P82" s="106">
        <f>IF(P78="","",
IF(OR(P80="Orçamento",P79="",MAX('Tabela de Apoio'!$A:$A)&lt;=P79),
P78,
(INDEX('Tabela de Apoio'!$B:$B,MATCH('MAPA DE PREÇOS'!$O$8,'Tabela de Apoio'!$A:$A,1))/INDEX('Tabela de Apoio'!$B:$B,MATCH('MAPA DE PREÇOS'!P79,'Tabela de Apoio'!$A:$A,1)-1))*P78))</f>
        <v>44.481848341360688</v>
      </c>
      <c r="Q82" s="106">
        <f>IF(Q78="","",
IF(OR(Q80="Orçamento",Q79="",MAX('Tabela de Apoio'!$A:$A)&lt;=Q79),
Q78,
(INDEX('Tabela de Apoio'!$B:$B,MATCH('MAPA DE PREÇOS'!$O$8,'Tabela de Apoio'!$A:$A,1))/INDEX('Tabela de Apoio'!$B:$B,MATCH('MAPA DE PREÇOS'!Q79,'Tabela de Apoio'!$A:$A,1)-1))*Q78))</f>
        <v>46.702894475829055</v>
      </c>
      <c r="R82" s="106">
        <f>IF(R78="","",
IF(OR(R80="Orçamento",R79="",MAX('Tabela de Apoio'!$A:$A)&lt;=R79),
R78,
(INDEX('Tabela de Apoio'!$B:$B,MATCH('MAPA DE PREÇOS'!$O$8,'Tabela de Apoio'!$A:$A,1))/INDEX('Tabela de Apoio'!$B:$B,MATCH('MAPA DE PREÇOS'!R79,'Tabela de Apoio'!$A:$A,1)-1))*R78))</f>
        <v>62.067695360038172</v>
      </c>
      <c r="S82" s="106">
        <f>IF(S78="","",
IF(OR(S80="Orçamento",S79="",MAX('Tabela de Apoio'!$A:$A)&lt;=S79),
S78,
(INDEX('Tabela de Apoio'!$B:$B,MATCH('MAPA DE PREÇOS'!$O$8,'Tabela de Apoio'!$A:$A,1))/INDEX('Tabela de Apoio'!$B:$B,MATCH('MAPA DE PREÇOS'!S79,'Tabela de Apoio'!$A:$A,1)-1))*S78))</f>
        <v>50.005718136130945</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f t="shared" ref="B83" si="174">B82</f>
        <v>4</v>
      </c>
      <c r="C83" s="128">
        <f t="shared" ref="C83" si="175">C82</f>
        <v>1</v>
      </c>
      <c r="D83" s="127">
        <f t="shared" si="49"/>
        <v>4</v>
      </c>
      <c r="E83" s="199"/>
      <c r="F83" s="93"/>
      <c r="G83" s="201"/>
      <c r="H83"/>
      <c r="I83"/>
      <c r="J83"/>
      <c r="N83" s="71"/>
      <c r="O83" s="27" t="s">
        <v>375</v>
      </c>
      <c r="P83" s="107">
        <f>IF(IFERROR(VLOOKUP(P80,'Tabela de Apoio'!$D:$E,2,FALSE),1)=1,"",P84)</f>
        <v>44.481848341360688</v>
      </c>
      <c r="Q83" s="107">
        <f>IF(IFERROR(VLOOKUP(Q80,'Tabela de Apoio'!$D:$E,2,FALSE),1)=1,"",Q84)</f>
        <v>46.702894475829055</v>
      </c>
      <c r="R83" s="107">
        <f>IF(IFERROR(VLOOKUP(R80,'Tabela de Apoio'!$D:$E,2,FALSE),1)=1,"",R84)</f>
        <v>62.067695360038172</v>
      </c>
      <c r="S83" s="107">
        <f>IF(IFERROR(VLOOKUP(S80,'Tabela de Apoio'!$D:$E,2,FALSE),1)=1,"",S84)</f>
        <v>50.005718136130945</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f t="shared" ref="B84:C84" si="176">B83</f>
        <v>4</v>
      </c>
      <c r="C84" s="128">
        <f t="shared" si="176"/>
        <v>1</v>
      </c>
      <c r="D84" s="127">
        <f t="shared" si="49"/>
        <v>4</v>
      </c>
      <c r="E84" s="199"/>
      <c r="F84" s="93"/>
      <c r="G84" s="201"/>
      <c r="H84" s="134">
        <f t="shared" ref="H84" si="177">COUNT($P84:$XX84)</f>
        <v>4</v>
      </c>
      <c r="I84" s="132">
        <f t="shared" ref="I84" si="178">_xlfn.STDEV.P($P83:$XX84)/AVERAGE($P83:$XX84)</f>
        <v>0.13357966031353016</v>
      </c>
      <c r="J84" s="7">
        <f>ROW()</f>
        <v>84</v>
      </c>
      <c r="K84" s="67"/>
      <c r="L84" s="29" t="s">
        <v>10</v>
      </c>
      <c r="M84" s="30">
        <f t="shared" ref="M84" si="179">IFERROR(
IF(COUNTA(P78:AI78)=COUNTIF(P80:XX80,"Orçamento"),MIN(M89,M86),
IF(M87&lt;&gt;"",M87,
IF(M88&lt;&gt;"",M88,
M86
))),"")</f>
        <v>50.81453907833972</v>
      </c>
      <c r="N84" s="71"/>
      <c r="O84" s="27" t="s">
        <v>376</v>
      </c>
      <c r="P84" s="106">
        <f t="shared" ref="P84:AI84" si="180">IFERROR(IF(P82="",
            "",
            IF(COUNT($P82:$XX82)&lt;=4,
               P82,
               IF(OR(P82&gt;(QUARTILE($P82:$XX82,3)+(QUARTILE($P82:$XX82,3)-QUARTILE($P82:$XX82,1))),
                     P82&lt;(QUARTILE($P82:$XX82,1)-(QUARTILE($P82:$XX82,3)-QUARTILE($P82:$XX82,1)))
                  ),
               "DESCARTADO",P82)
             )
  ),P82)</f>
        <v>44.481848341360688</v>
      </c>
      <c r="Q84" s="106">
        <f t="shared" si="180"/>
        <v>46.702894475829055</v>
      </c>
      <c r="R84" s="106">
        <f t="shared" si="180"/>
        <v>62.067695360038172</v>
      </c>
      <c r="S84" s="106">
        <f t="shared" si="180"/>
        <v>50.005718136130945</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f t="shared" ref="B85" si="181">B84</f>
        <v>4</v>
      </c>
      <c r="C85" s="128">
        <f t="shared" ref="C85" si="182">C84</f>
        <v>1</v>
      </c>
      <c r="D85" s="127">
        <f t="shared" si="49"/>
        <v>4</v>
      </c>
      <c r="E85" s="199"/>
      <c r="F85" s="93"/>
      <c r="G85" s="201"/>
      <c r="H85"/>
      <c r="I85"/>
      <c r="J85"/>
      <c r="K85" s="66"/>
      <c r="L85" s="29" t="s">
        <v>360</v>
      </c>
      <c r="M85" s="30">
        <f t="shared" ref="M85" si="183">AVERAGE($P84:$XX84)</f>
        <v>50.81453907833972</v>
      </c>
      <c r="N85" s="71"/>
      <c r="O85" s="27" t="str">
        <f t="shared" ref="O85" si="184">"1 POND"</f>
        <v>1 POND</v>
      </c>
      <c r="P85" s="107">
        <f>IF(IFERROR(VLOOKUP(P80,'Tabela de Apoio'!$D:$E,2,FALSE),1)=1,"",P86)</f>
        <v>44.481848341360688</v>
      </c>
      <c r="Q85" s="107">
        <f>IF(IFERROR(VLOOKUP(Q80,'Tabela de Apoio'!$D:$E,2,FALSE),1)=1,"",Q86)</f>
        <v>46.702894475829055</v>
      </c>
      <c r="R85" s="107">
        <f>IF(IFERROR(VLOOKUP(R80,'Tabela de Apoio'!$D:$E,2,FALSE),1)=1,"",R86)</f>
        <v>62.067695360038172</v>
      </c>
      <c r="S85" s="107">
        <f>IF(IFERROR(VLOOKUP(S80,'Tabela de Apoio'!$D:$E,2,FALSE),1)=1,"",S86)</f>
        <v>50.005718136130945</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f t="shared" si="48"/>
        <v>4</v>
      </c>
      <c r="C86" s="128">
        <f t="shared" si="49"/>
        <v>1</v>
      </c>
      <c r="D86" s="127">
        <f t="shared" si="49"/>
        <v>4</v>
      </c>
      <c r="E86" s="199"/>
      <c r="F86" s="93"/>
      <c r="G86" s="201"/>
      <c r="H86" s="134">
        <f t="shared" ref="H86" si="185">COUNT($P86:$XX86)</f>
        <v>4</v>
      </c>
      <c r="I86" s="132">
        <f t="shared" ref="I86" si="186">_xlfn.STDEV.P($P85:$XX86)/AVERAGE($P85:$XX86)</f>
        <v>0.13357966031353016</v>
      </c>
      <c r="J86" s="7">
        <f t="shared" ref="J86" si="187">IF(AND(H86&gt;2,
OR(L78="MÉDIA SANEADA",L78="MEDIANA SANEADA",
AND(L78="PREÇO ESTIMADO",NOT(AND(P80="Orçamento",COUNTA(P78:XX78)=COUNTIF(P80:XX80,"Orçamento")))))),
ROW(),0)</f>
        <v>86</v>
      </c>
      <c r="K86" s="66"/>
      <c r="L86" s="29" t="s">
        <v>361</v>
      </c>
      <c r="M86" s="30">
        <f t="shared" ref="M86" si="188">MEDIAN($P84:$XX84)</f>
        <v>48.354306305980003</v>
      </c>
      <c r="N86" s="71"/>
      <c r="O86" s="27" t="str">
        <f t="shared" ref="O86" si="189">"1 RODADA"</f>
        <v>1 RODADA</v>
      </c>
      <c r="P86" s="107">
        <f t="shared" ref="P86:AI86" si="190">IF(P84="","",IF((_xlfn.STDEV.P($P83:$XX84)/AVERAGE($P83:$XX84))&lt;=25%,P84,IF(OR(P84&gt;(AVERAGE($P83:$XX84)+_xlfn.STDEV.P($P83:$XX84)),P84&lt;(AVERAGE($P83:$XX84)-_xlfn.STDEV.P($P83:$XX84))),"DESCARTADO",P84)))</f>
        <v>44.481848341360688</v>
      </c>
      <c r="Q86" s="107">
        <f t="shared" si="190"/>
        <v>46.702894475829055</v>
      </c>
      <c r="R86" s="107">
        <f t="shared" si="190"/>
        <v>62.067695360038172</v>
      </c>
      <c r="S86" s="107">
        <f t="shared" si="190"/>
        <v>50.005718136130945</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f t="shared" si="48"/>
        <v>4</v>
      </c>
      <c r="C87" s="128">
        <f t="shared" si="49"/>
        <v>1</v>
      </c>
      <c r="D87" s="127">
        <f t="shared" si="49"/>
        <v>4</v>
      </c>
      <c r="E87" s="199"/>
      <c r="F87" s="93"/>
      <c r="G87" s="201"/>
      <c r="H87"/>
      <c r="I87"/>
      <c r="J87"/>
      <c r="L87" s="29" t="s">
        <v>38</v>
      </c>
      <c r="M87" s="30">
        <f t="shared" ref="M87" si="191">IFERROR(
IF(AND(H86&gt;2,I86&lt;=25%),AVERAGE(P85:XX86),
IF(AND(H88&gt;2,I88&lt;=25%),AVERAGE(P87:XX88),
IF(AND(H90&gt;2,I90&lt;=25%),AVERAGE(P89:XX90),
IF(AND(H92&gt;2,I92&lt;=25%),AVERAGE(P91:XX92),
IF(AND(H94&gt;2,I94&lt;=25%),AVERAGE(P93:XX94),
IF(AND(H96&gt;2,I96&lt;=25%),AVERAGE(P95:XX96),
IF(I84&lt;=25%,AVERAGE(P83:XX84),""))))))),"")</f>
        <v>50.81453907833972</v>
      </c>
      <c r="N87" s="71"/>
      <c r="O87" s="27" t="str">
        <f t="shared" ref="O87" si="192">"2 POND"</f>
        <v>2 POND</v>
      </c>
      <c r="P87" s="107">
        <f>IF(IFERROR(VLOOKUP(P80,'Tabela de Apoio'!$D:$E,2,FALSE),1)=1,"",P88)</f>
        <v>44.481848341360688</v>
      </c>
      <c r="Q87" s="107">
        <f>IF(IFERROR(VLOOKUP(Q80,'Tabela de Apoio'!$D:$E,2,FALSE),1)=1,"",Q88)</f>
        <v>46.702894475829055</v>
      </c>
      <c r="R87" s="107">
        <f>IF(IFERROR(VLOOKUP(R80,'Tabela de Apoio'!$D:$E,2,FALSE),1)=1,"",R88)</f>
        <v>62.067695360038172</v>
      </c>
      <c r="S87" s="107">
        <f>IF(IFERROR(VLOOKUP(S80,'Tabela de Apoio'!$D:$E,2,FALSE),1)=1,"",S88)</f>
        <v>50.005718136130945</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f t="shared" si="48"/>
        <v>4</v>
      </c>
      <c r="C88" s="128">
        <f t="shared" si="49"/>
        <v>1</v>
      </c>
      <c r="D88" s="127">
        <f t="shared" si="49"/>
        <v>4</v>
      </c>
      <c r="E88" s="199"/>
      <c r="F88" s="93"/>
      <c r="G88" s="201"/>
      <c r="H88" s="134">
        <f t="shared" ref="H88" si="193">COUNT($P88:$XX88)</f>
        <v>4</v>
      </c>
      <c r="I88" s="132">
        <f t="shared" ref="I88" si="194">_xlfn.STDEV.P($P87:$XX88)/AVERAGE($P87:$XX88)</f>
        <v>0.13357966031353016</v>
      </c>
      <c r="J88" s="7">
        <f t="shared" ref="J88" si="195">IF(AND(H88&gt;2,
OR(L78="MÉDIA SANEADA",L78="MEDIANA SANEADA",
AND(L78="PREÇO ESTIMADO",NOT(AND(P80="Orçamento",COUNTA(P78:XX78)=COUNTIF(P80:XX80,"Orçamento")))))),
ROW(),0)</f>
        <v>88</v>
      </c>
      <c r="K88" s="66"/>
      <c r="L88" s="29" t="s">
        <v>362</v>
      </c>
      <c r="M88" s="30">
        <f t="shared" ref="M88" si="196" xml:space="preserve">
IF(H86&gt;2,MEDIAN(P85:XX86),
IF(H88&gt;2,MEDIAN(P87:XX88),
IF(H90&gt;2,MEDIAN(P89:XX90),
IF(H92&gt;2,MEDIAN(P91:XX92),
IF(H94&gt;2,MEDIAN(P93:XX94),
IF(H96&gt;2,MEDIAN(P95:XX96),
MEDIAN(P83:XX84)))))))</f>
        <v>48.354306305980003</v>
      </c>
      <c r="N88" s="71"/>
      <c r="O88" s="27" t="str">
        <f t="shared" ref="O88" si="197">"2 RODADA"</f>
        <v>2 RODADA</v>
      </c>
      <c r="P88" s="107">
        <f t="shared" ref="P88:AI88" si="198">IF(P86="","",IF((_xlfn.STDEV.P($P85:$XX86)/AVERAGE($P85:$XX86))&lt;=25%,P86,IF(OR(P86&gt;(AVERAGE($P85:$XX86)+_xlfn.STDEV.P($P85:$XX86)),P86&lt;(AVERAGE($P85:$XX86)-_xlfn.STDEV.P($P85:$XX86))),"DESCARTADO",P86)))</f>
        <v>44.481848341360688</v>
      </c>
      <c r="Q88" s="107">
        <f t="shared" si="198"/>
        <v>46.702894475829055</v>
      </c>
      <c r="R88" s="107">
        <f t="shared" si="198"/>
        <v>62.067695360038172</v>
      </c>
      <c r="S88" s="107">
        <f t="shared" si="198"/>
        <v>50.005718136130945</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f t="shared" si="48"/>
        <v>4</v>
      </c>
      <c r="C89" s="128">
        <f t="shared" si="49"/>
        <v>1</v>
      </c>
      <c r="D89" s="127">
        <f t="shared" si="49"/>
        <v>4</v>
      </c>
      <c r="E89" s="199"/>
      <c r="F89" s="93"/>
      <c r="G89" s="201"/>
      <c r="H89"/>
      <c r="I89"/>
      <c r="J89"/>
      <c r="K89" s="66"/>
      <c r="L89" s="29" t="s">
        <v>359</v>
      </c>
      <c r="M89" s="30">
        <f t="shared" ref="M89" si="199">HARMEAN($P83:$XX84)</f>
        <v>49.998635580359256</v>
      </c>
      <c r="N89" s="71"/>
      <c r="O89" s="27" t="str">
        <f t="shared" ref="O89" si="200">"3 POND"</f>
        <v>3 POND</v>
      </c>
      <c r="P89" s="107">
        <f>IF(IFERROR(VLOOKUP(P80,'Tabela de Apoio'!$D:$E,2,FALSE),1)=1,"",P90)</f>
        <v>44.481848341360688</v>
      </c>
      <c r="Q89" s="107">
        <f>IF(IFERROR(VLOOKUP(Q80,'Tabela de Apoio'!$D:$E,2,FALSE),1)=1,"",Q90)</f>
        <v>46.702894475829055</v>
      </c>
      <c r="R89" s="107">
        <f>IF(IFERROR(VLOOKUP(R80,'Tabela de Apoio'!$D:$E,2,FALSE),1)=1,"",R90)</f>
        <v>62.067695360038172</v>
      </c>
      <c r="S89" s="107">
        <f>IF(IFERROR(VLOOKUP(S80,'Tabela de Apoio'!$D:$E,2,FALSE),1)=1,"",S90)</f>
        <v>50.005718136130945</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f t="shared" si="48"/>
        <v>4</v>
      </c>
      <c r="C90" s="128">
        <f t="shared" si="49"/>
        <v>1</v>
      </c>
      <c r="D90" s="127">
        <f t="shared" si="49"/>
        <v>4</v>
      </c>
      <c r="E90" s="199"/>
      <c r="F90" s="93"/>
      <c r="G90" s="201"/>
      <c r="H90" s="134">
        <f t="shared" ref="H90" si="201">COUNT($P90:$XX90)</f>
        <v>4</v>
      </c>
      <c r="I90" s="132">
        <f t="shared" ref="I90" si="202">_xlfn.STDEV.P($P89:$XX90)/AVERAGE($P89:$XX90)</f>
        <v>0.13357966031353016</v>
      </c>
      <c r="J90" s="7">
        <f t="shared" ref="J90" si="203">IF(AND(H90&gt;2,
OR(L78="MÉDIA SANEADA",L78="MEDIANA SANEADA",
AND(L78="PREÇO ESTIMADO",NOT(AND(P80="Orçamento",COUNTA(P78:XX78)=COUNTIF(P80:XX80,"Orçamento")))))),
ROW(),0)</f>
        <v>90</v>
      </c>
      <c r="K90" s="66"/>
      <c r="L90" s="29" t="s">
        <v>41</v>
      </c>
      <c r="M90" s="30">
        <f t="shared" ref="M90" si="204">IFERROR(_xlfn.QUARTILE.EXC($P84:$XX84,1),"")</f>
        <v>45.03710987497778</v>
      </c>
      <c r="N90" s="71"/>
      <c r="O90" s="27" t="str">
        <f t="shared" ref="O90" si="205">"3 RODADA"</f>
        <v>3 RODADA</v>
      </c>
      <c r="P90" s="107">
        <f t="shared" ref="P90:AI90" si="206">IF(P88="","",IF((_xlfn.STDEV.P($P87:$XX88)/AVERAGE($P87:$XX88))&lt;=25%,P88,IF(OR(P88&gt;(AVERAGE($P87:$XX88)+_xlfn.STDEV.P($P87:$XX88)),P88&lt;(AVERAGE($P87:$XX88)-_xlfn.STDEV.P($P87:$XX88))),"DESCARTADO",P88)))</f>
        <v>44.481848341360688</v>
      </c>
      <c r="Q90" s="107">
        <f t="shared" si="206"/>
        <v>46.702894475829055</v>
      </c>
      <c r="R90" s="107">
        <f t="shared" si="206"/>
        <v>62.067695360038172</v>
      </c>
      <c r="S90" s="107">
        <f t="shared" si="206"/>
        <v>50.005718136130945</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f t="shared" si="48"/>
        <v>4</v>
      </c>
      <c r="C91" s="128">
        <f t="shared" si="49"/>
        <v>1</v>
      </c>
      <c r="D91" s="127">
        <f t="shared" si="49"/>
        <v>4</v>
      </c>
      <c r="E91" s="199"/>
      <c r="F91" s="93"/>
      <c r="G91" s="201"/>
      <c r="H91"/>
      <c r="I91"/>
      <c r="J91"/>
      <c r="K91" s="66"/>
      <c r="L91" s="29" t="s">
        <v>39</v>
      </c>
      <c r="M91" s="30">
        <f t="shared" ref="M91" si="207">IFERROR(_xlfn.QUARTILE.EXC($P84:$XX84,3),"")</f>
        <v>59.052201054061364</v>
      </c>
      <c r="N91" s="71"/>
      <c r="O91" s="27" t="str">
        <f t="shared" ref="O91" si="208">"4 POND"</f>
        <v>4 POND</v>
      </c>
      <c r="P91" s="107">
        <f>IF(IFERROR(VLOOKUP(P80,'Tabela de Apoio'!$D:$E,2,FALSE),1)=1,"",P92)</f>
        <v>44.481848341360688</v>
      </c>
      <c r="Q91" s="107">
        <f>IF(IFERROR(VLOOKUP(Q80,'Tabela de Apoio'!$D:$E,2,FALSE),1)=1,"",Q92)</f>
        <v>46.702894475829055</v>
      </c>
      <c r="R91" s="107">
        <f>IF(IFERROR(VLOOKUP(R80,'Tabela de Apoio'!$D:$E,2,FALSE),1)=1,"",R92)</f>
        <v>62.067695360038172</v>
      </c>
      <c r="S91" s="107">
        <f>IF(IFERROR(VLOOKUP(S80,'Tabela de Apoio'!$D:$E,2,FALSE),1)=1,"",S92)</f>
        <v>50.005718136130945</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f t="shared" si="48"/>
        <v>4</v>
      </c>
      <c r="C92" s="128">
        <f t="shared" si="49"/>
        <v>1</v>
      </c>
      <c r="D92" s="127">
        <f t="shared" si="49"/>
        <v>4</v>
      </c>
      <c r="E92" s="199"/>
      <c r="F92" s="93"/>
      <c r="G92" s="201"/>
      <c r="H92" s="134">
        <f t="shared" ref="H92" si="209">COUNT($P92:$XX92)</f>
        <v>4</v>
      </c>
      <c r="I92" s="132">
        <f t="shared" ref="I92" si="210">_xlfn.STDEV.P($P91:$XX92)/AVERAGE($P91:$XX92)</f>
        <v>0.13357966031353016</v>
      </c>
      <c r="J92" s="7">
        <f t="shared" ref="J92" si="211">IF(AND(H92&gt;2,
OR(L78="MÉDIA SANEADA",L78="MEDIANA SANEADA",
AND(L78="PREÇO ESTIMADO",NOT(AND(P80="Orçamento",COUNTA(P78:XX78)=COUNTIF(P80:XX80,"Orçamento")))))),
ROW(),0)</f>
        <v>92</v>
      </c>
      <c r="K92" s="66"/>
      <c r="L92" s="29" t="s">
        <v>42</v>
      </c>
      <c r="M92" s="30">
        <f t="shared" ref="M92" si="212">MIN($P84:$XX84)</f>
        <v>44.481848341360688</v>
      </c>
      <c r="N92" s="71"/>
      <c r="O92" s="27" t="str">
        <f t="shared" ref="O92" si="213">"4 RODADA"</f>
        <v>4 RODADA</v>
      </c>
      <c r="P92" s="107">
        <f t="shared" ref="P92:AI92" si="214">IF(P90="","",IF((_xlfn.STDEV.P($P89:$XX90)/AVERAGE($P89:$XX90))&lt;=25%,P90,IF(OR(P90&gt;(AVERAGE($P89:$XX90)+_xlfn.STDEV.P($P89:$XX90)),P90&lt;(AVERAGE($P89:$XX90)-_xlfn.STDEV.P($P89:$XX90))),"DESCARTADO",P90)))</f>
        <v>44.481848341360688</v>
      </c>
      <c r="Q92" s="107">
        <f t="shared" si="214"/>
        <v>46.702894475829055</v>
      </c>
      <c r="R92" s="107">
        <f t="shared" si="214"/>
        <v>62.067695360038172</v>
      </c>
      <c r="S92" s="107">
        <f t="shared" si="214"/>
        <v>50.005718136130945</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f t="shared" si="48"/>
        <v>4</v>
      </c>
      <c r="C93" s="128">
        <f t="shared" si="49"/>
        <v>1</v>
      </c>
      <c r="D93" s="127">
        <f t="shared" si="49"/>
        <v>4</v>
      </c>
      <c r="E93" s="199"/>
      <c r="F93" s="93"/>
      <c r="G93" s="201"/>
      <c r="H93"/>
      <c r="I93"/>
      <c r="J93"/>
      <c r="K93" s="66"/>
      <c r="L93" s="29" t="s">
        <v>40</v>
      </c>
      <c r="M93" s="30">
        <f t="shared" ref="M93" si="215">MAX($P84:$XX84)</f>
        <v>62.067695360038172</v>
      </c>
      <c r="N93" s="71"/>
      <c r="O93" s="27" t="str">
        <f t="shared" ref="O93" si="216">"5 POND"</f>
        <v>5 POND</v>
      </c>
      <c r="P93" s="107">
        <f>IF(IFERROR(VLOOKUP(P80,'Tabela de Apoio'!$D:$E,2,FALSE),1)=1,"",P94)</f>
        <v>44.481848341360688</v>
      </c>
      <c r="Q93" s="107">
        <f>IF(IFERROR(VLOOKUP(Q80,'Tabela de Apoio'!$D:$E,2,FALSE),1)=1,"",Q94)</f>
        <v>46.702894475829055</v>
      </c>
      <c r="R93" s="107">
        <f>IF(IFERROR(VLOOKUP(R80,'Tabela de Apoio'!$D:$E,2,FALSE),1)=1,"",R94)</f>
        <v>62.067695360038172</v>
      </c>
      <c r="S93" s="107">
        <f>IF(IFERROR(VLOOKUP(S80,'Tabela de Apoio'!$D:$E,2,FALSE),1)=1,"",S94)</f>
        <v>50.005718136130945</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f t="shared" si="48"/>
        <v>4</v>
      </c>
      <c r="C94" s="128">
        <f t="shared" si="49"/>
        <v>1</v>
      </c>
      <c r="D94" s="127">
        <f t="shared" si="49"/>
        <v>4</v>
      </c>
      <c r="E94" s="199"/>
      <c r="F94" s="93"/>
      <c r="G94" s="201"/>
      <c r="H94" s="134">
        <f t="shared" ref="H94" si="217">COUNT($P94:$XX94)</f>
        <v>4</v>
      </c>
      <c r="I94" s="132">
        <f t="shared" ref="I94" si="218">_xlfn.STDEV.P($P93:$XX94)/AVERAGE($P93:$XX94)</f>
        <v>0.13357966031353016</v>
      </c>
      <c r="J94" s="7">
        <f t="shared" ref="J94" si="219">IF(AND(H94&gt;2,
OR(L78="MÉDIA SANEADA",L78="MEDIANA SANEADA",
AND(L78="PREÇO ESTIMADO",NOT(AND(P80="Orçamento",COUNTA(P78:XX78)=COUNTIF(P80:XX80,"Orçamento")))))),
ROW(),0)</f>
        <v>94</v>
      </c>
      <c r="K94" s="66"/>
      <c r="N94" s="71"/>
      <c r="O94" s="27" t="str">
        <f t="shared" ref="O94" si="220">"5 RODADA"</f>
        <v>5 RODADA</v>
      </c>
      <c r="P94" s="107">
        <f t="shared" ref="P94:AI94" si="221">IF(P92="","",IF((_xlfn.STDEV.P($P91:$XX92)/AVERAGE($P91:$XX92))&lt;=25%,P92,IF(OR(P92&gt;(AVERAGE($P91:$XX92)+_xlfn.STDEV.P($P91:$XX92)),P92&lt;(AVERAGE($P91:$XX92)-_xlfn.STDEV.P($P91:$XX92))),"DESCARTADO",P92)))</f>
        <v>44.481848341360688</v>
      </c>
      <c r="Q94" s="107">
        <f t="shared" si="221"/>
        <v>46.702894475829055</v>
      </c>
      <c r="R94" s="107">
        <f t="shared" si="221"/>
        <v>62.067695360038172</v>
      </c>
      <c r="S94" s="107">
        <f t="shared" si="221"/>
        <v>50.005718136130945</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f t="shared" si="48"/>
        <v>4</v>
      </c>
      <c r="C95" s="128">
        <f t="shared" si="49"/>
        <v>1</v>
      </c>
      <c r="D95" s="127">
        <f t="shared" si="49"/>
        <v>4</v>
      </c>
      <c r="E95" s="199"/>
      <c r="F95" s="93"/>
      <c r="G95" s="201"/>
      <c r="H95"/>
      <c r="I95"/>
      <c r="J95"/>
      <c r="K95" s="66"/>
      <c r="L95" s="22"/>
      <c r="M95" s="22"/>
      <c r="N95" s="71"/>
      <c r="O95" s="27" t="str">
        <f t="shared" ref="O95" si="222">"6 POND"</f>
        <v>6 POND</v>
      </c>
      <c r="P95" s="107">
        <f>IF(IFERROR(VLOOKUP(P80,'Tabela de Apoio'!$D:$E,2,FALSE),1)=1,"",P96)</f>
        <v>44.481848341360688</v>
      </c>
      <c r="Q95" s="107">
        <f>IF(IFERROR(VLOOKUP(Q80,'Tabela de Apoio'!$D:$E,2,FALSE),1)=1,"",Q96)</f>
        <v>46.702894475829055</v>
      </c>
      <c r="R95" s="107">
        <f>IF(IFERROR(VLOOKUP(R80,'Tabela de Apoio'!$D:$E,2,FALSE),1)=1,"",R96)</f>
        <v>62.067695360038172</v>
      </c>
      <c r="S95" s="107">
        <f>IF(IFERROR(VLOOKUP(S80,'Tabela de Apoio'!$D:$E,2,FALSE),1)=1,"",S96)</f>
        <v>50.005718136130945</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f t="shared" si="48"/>
        <v>4</v>
      </c>
      <c r="C96" s="128">
        <f t="shared" si="49"/>
        <v>1</v>
      </c>
      <c r="D96" s="127">
        <f t="shared" si="49"/>
        <v>4</v>
      </c>
      <c r="E96" s="199"/>
      <c r="F96" s="93"/>
      <c r="G96" s="201"/>
      <c r="H96" s="134">
        <f t="shared" ref="H96" si="223">COUNT($P96:$XX96)</f>
        <v>4</v>
      </c>
      <c r="I96" s="132">
        <f t="shared" ref="I96" si="224">_xlfn.STDEV.P($P95:$XX96)/AVERAGE($P95:$XX96)</f>
        <v>0.13357966031353016</v>
      </c>
      <c r="J96" s="7">
        <f t="shared" ref="J96" si="225">IF(AND(H96&gt;2,
OR(L78="MÉDIA SANEADA",L78="MEDIANA SANEADA",
AND(L78="PREÇO ESTIMADO",NOT(AND(P80="Orçamento",COUNTA(P78:XX78)=COUNTIF(P80:XX80,"Orçamento")))))),
ROW(),0)</f>
        <v>96</v>
      </c>
      <c r="N96" s="71"/>
      <c r="O96" s="27" t="str">
        <f t="shared" ref="O96" si="226">"6 RODADA"</f>
        <v>6 RODADA</v>
      </c>
      <c r="P96" s="107">
        <f t="shared" ref="P96:AI96" si="227">IFERROR(IF(P94="","",IF((_xlfn.STDEV.P($P93:$XX94)/AVERAGE($P93:$XX94))&lt;=25%,P94,IF(OR(P94&gt;(AVERAGE($P93:$XX94)+_xlfn.STDEV.P($P93:$XX94)),P94&lt;(AVERAGE($P93:$XX94)-_xlfn.STDEV.P($P93:$XX94))),"DESCARTADO",P94))),)</f>
        <v>44.481848341360688</v>
      </c>
      <c r="Q96" s="107">
        <f t="shared" si="227"/>
        <v>46.702894475829055</v>
      </c>
      <c r="R96" s="107">
        <f t="shared" si="227"/>
        <v>62.067695360038172</v>
      </c>
      <c r="S96" s="107">
        <f t="shared" si="227"/>
        <v>50.005718136130945</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f t="shared" si="48"/>
        <v>4</v>
      </c>
      <c r="C97" s="128">
        <f t="shared" si="49"/>
        <v>1</v>
      </c>
      <c r="D97" s="127">
        <f t="shared" si="49"/>
        <v>4</v>
      </c>
      <c r="E97" s="199"/>
      <c r="F97" s="136"/>
      <c r="G97" s="201"/>
      <c r="H97" s="204"/>
      <c r="I97" s="204"/>
      <c r="J97" s="205"/>
      <c r="K97" s="67"/>
      <c r="L97" s="1" t="s">
        <v>43</v>
      </c>
      <c r="M97" s="143">
        <f t="shared" ref="M97" si="228">IFERROR(ROUND(M78*M80,2),"")</f>
        <v>101365.95</v>
      </c>
      <c r="O97" s="27" t="s">
        <v>363</v>
      </c>
      <c r="P97" s="107">
        <f t="shared" ref="P97:AI118" si="229">INDEX(P84:P96,MATCH(MAX($J84:$J96),$J84:$J96,0))</f>
        <v>44.481848341360688</v>
      </c>
      <c r="Q97" s="107">
        <f t="shared" si="229"/>
        <v>46.702894475829055</v>
      </c>
      <c r="R97" s="107">
        <f t="shared" si="229"/>
        <v>62.067695360038172</v>
      </c>
      <c r="S97" s="107">
        <f t="shared" si="229"/>
        <v>50.005718136130945</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f t="shared" ref="B99" si="230">LARGE(IFERROR(IF(B97+1&gt;$H$8,"",B97+1),""),1)</f>
        <v>5</v>
      </c>
      <c r="C99" s="127">
        <f>IF(_xlfn.ISFORMULA(E103),MAX(INDEX('BASE FORMAÇÃO'!A:A,B99+1),1),E103)</f>
        <v>1</v>
      </c>
      <c r="D99" s="127">
        <f t="shared" ref="D99" si="231">IFERROR(IF(C99=C89,D89+1,1),1)</f>
        <v>5</v>
      </c>
      <c r="E99" s="38" t="s">
        <v>9</v>
      </c>
      <c r="F99" s="73"/>
      <c r="G99" s="38" t="s">
        <v>15</v>
      </c>
      <c r="H99" s="135">
        <f>INDEX('BASE FORMAÇÃO'!B:B,B99+1)</f>
        <v>0</v>
      </c>
      <c r="I99" s="181" t="s">
        <v>16</v>
      </c>
      <c r="J99" s="6">
        <f>INDEX('BASE FORMAÇÃO'!K:K,B99+1)</f>
        <v>0</v>
      </c>
      <c r="K99" s="65"/>
      <c r="L99" s="183" t="s">
        <v>10</v>
      </c>
      <c r="M99" s="185">
        <f t="shared" ref="M99" si="232">IF(OR(ISBLANK($O$8),ISBLANK($O$7),ISBLANK($H$8),ISBLANK($O$6),ISBLANK($O$5),ISBLANK($H$5)),"",IFERROR(IF(VLOOKUP(L99,L105:M114,2,FALSE)&lt;1,ROUND(VLOOKUP(L99,L105:M114,2,FALSE),4),ROUND(VLOOKUP(L99,L105:M114,2,FALSE),2)),""))</f>
        <v>111.44</v>
      </c>
      <c r="N99" s="69"/>
      <c r="O99" s="27" t="s">
        <v>17</v>
      </c>
      <c r="P99" s="113">
        <v>105</v>
      </c>
      <c r="Q99" s="113">
        <v>101.66</v>
      </c>
      <c r="R99" s="113">
        <v>120</v>
      </c>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f t="shared" ref="B100:D100" si="233">B99</f>
        <v>5</v>
      </c>
      <c r="C100" s="128">
        <f t="shared" si="233"/>
        <v>1</v>
      </c>
      <c r="D100" s="127">
        <f t="shared" si="233"/>
        <v>5</v>
      </c>
      <c r="E100" s="187">
        <f t="shared" ref="E100" si="234">D99</f>
        <v>5</v>
      </c>
      <c r="F100" s="92"/>
      <c r="G100" s="189" t="s">
        <v>1</v>
      </c>
      <c r="H100" s="192" t="str">
        <f>INDEX('BASE FORMAÇÃO'!C:C,B99+1)</f>
        <v>Banners modelo 3</v>
      </c>
      <c r="I100" s="192"/>
      <c r="J100" s="193"/>
      <c r="K100" s="66"/>
      <c r="L100" s="184"/>
      <c r="M100" s="186"/>
      <c r="N100" s="70"/>
      <c r="O100" s="27" t="s">
        <v>13</v>
      </c>
      <c r="P100" s="122">
        <v>46003</v>
      </c>
      <c r="Q100" s="122">
        <v>46190</v>
      </c>
      <c r="R100" s="122">
        <v>46008</v>
      </c>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f t="shared" ref="B101:D101" si="235">B100</f>
        <v>5</v>
      </c>
      <c r="C101" s="128">
        <f t="shared" si="235"/>
        <v>1</v>
      </c>
      <c r="D101" s="127">
        <f t="shared" si="235"/>
        <v>5</v>
      </c>
      <c r="E101" s="188"/>
      <c r="F101" s="93"/>
      <c r="G101" s="190"/>
      <c r="H101" s="194"/>
      <c r="I101" s="194"/>
      <c r="J101" s="195"/>
      <c r="K101" s="64"/>
      <c r="L101" s="130" t="s">
        <v>44</v>
      </c>
      <c r="M101" s="131">
        <f>INDEX('BASE FORMAÇÃO'!H:H,B103+1)</f>
        <v>1443</v>
      </c>
      <c r="N101" s="71"/>
      <c r="O101" s="27" t="s">
        <v>380</v>
      </c>
      <c r="P101" s="114" t="s">
        <v>12</v>
      </c>
      <c r="Q101" s="114" t="s">
        <v>12</v>
      </c>
      <c r="R101" s="114" t="s">
        <v>12</v>
      </c>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f t="shared" ref="B102:C102" si="236">B101</f>
        <v>5</v>
      </c>
      <c r="C102" s="128">
        <f t="shared" si="236"/>
        <v>1</v>
      </c>
      <c r="D102" s="127">
        <f t="shared" si="49"/>
        <v>5</v>
      </c>
      <c r="E102" s="38" t="s">
        <v>313</v>
      </c>
      <c r="F102" s="93"/>
      <c r="G102" s="191"/>
      <c r="H102" s="196"/>
      <c r="I102" s="196"/>
      <c r="J102" s="197"/>
      <c r="K102" s="64"/>
      <c r="L102" s="1" t="s">
        <v>2</v>
      </c>
      <c r="M102" s="6" t="str">
        <f>INDEX('BASE FORMAÇÃO'!D:D,B103+1)</f>
        <v>M2</v>
      </c>
      <c r="N102" s="71"/>
      <c r="O102" s="27" t="s">
        <v>381</v>
      </c>
      <c r="P102" s="115" t="s">
        <v>459</v>
      </c>
      <c r="Q102" s="115" t="s">
        <v>460</v>
      </c>
      <c r="R102" s="115" t="s">
        <v>460</v>
      </c>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f t="shared" ref="B103:C103" si="237">B101</f>
        <v>5</v>
      </c>
      <c r="C103" s="128">
        <f t="shared" si="237"/>
        <v>1</v>
      </c>
      <c r="D103" s="127">
        <f t="shared" si="49"/>
        <v>5</v>
      </c>
      <c r="E103" s="198">
        <f t="shared" ref="E103" si="238">C99</f>
        <v>1</v>
      </c>
      <c r="F103" s="93"/>
      <c r="G103" s="200" t="s">
        <v>304</v>
      </c>
      <c r="H103" s="202"/>
      <c r="I103" s="203"/>
      <c r="J103" s="203"/>
      <c r="K103" s="67"/>
      <c r="L103" s="28" t="s">
        <v>303</v>
      </c>
      <c r="M103" s="133">
        <f t="shared" ref="M103" si="239">IFERROR(INDEX(I105:I117,MATCH(MAX(J105:J117),J105:J117,0)),"")</f>
        <v>8.459008104082795E-2</v>
      </c>
      <c r="N103" s="71"/>
      <c r="O103" s="27" t="s">
        <v>18</v>
      </c>
      <c r="P103" s="106">
        <f>IF(P99="","",
IF(OR(P101="Orçamento",P100="",MAX('Tabela de Apoio'!$A:$A)&lt;=P100),
P99,
(INDEX('Tabela de Apoio'!$B:$B,MATCH('MAPA DE PREÇOS'!$O$8,'Tabela de Apoio'!$A:$A,1))/INDEX('Tabela de Apoio'!$B:$B,MATCH('MAPA DE PREÇOS'!P100,'Tabela de Apoio'!$A:$A,1)-1))*P99))</f>
        <v>108.61846688006679</v>
      </c>
      <c r="Q103" s="106">
        <f>IF(Q99="","",
IF(OR(Q101="Orçamento",Q100="",MAX('Tabela de Apoio'!$A:$A)&lt;=Q100),
Q99,
(INDEX('Tabela de Apoio'!$B:$B,MATCH('MAPA DE PREÇOS'!$O$8,'Tabela de Apoio'!$A:$A,1))/INDEX('Tabela de Apoio'!$B:$B,MATCH('MAPA DE PREÇOS'!Q100,'Tabela de Apoio'!$A:$A,1)-1))*Q99))</f>
        <v>101.56792233136782</v>
      </c>
      <c r="R103" s="106">
        <f>IF(R99="","",
IF(OR(R101="Orçamento",R100="",MAX('Tabela de Apoio'!$A:$A)&lt;=R100),
R99,
(INDEX('Tabela de Apoio'!$B:$B,MATCH('MAPA DE PREÇOS'!$O$8,'Tabela de Apoio'!$A:$A,1))/INDEX('Tabela de Apoio'!$B:$B,MATCH('MAPA DE PREÇOS'!R100,'Tabela de Apoio'!$A:$A,1)-1))*R99))</f>
        <v>124.13539072007634</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f t="shared" ref="B104" si="240">B103</f>
        <v>5</v>
      </c>
      <c r="C104" s="128">
        <f t="shared" ref="C104" si="241">C103</f>
        <v>1</v>
      </c>
      <c r="D104" s="127">
        <f t="shared" si="49"/>
        <v>5</v>
      </c>
      <c r="E104" s="199"/>
      <c r="F104" s="93"/>
      <c r="G104" s="201"/>
      <c r="H104"/>
      <c r="I104"/>
      <c r="J104"/>
      <c r="N104" s="71"/>
      <c r="O104" s="27" t="s">
        <v>375</v>
      </c>
      <c r="P104" s="107">
        <f>IF(IFERROR(VLOOKUP(P101,'Tabela de Apoio'!$D:$E,2,FALSE),1)=1,"",P105)</f>
        <v>108.61846688006679</v>
      </c>
      <c r="Q104" s="107">
        <f>IF(IFERROR(VLOOKUP(Q101,'Tabela de Apoio'!$D:$E,2,FALSE),1)=1,"",Q105)</f>
        <v>101.56792233136782</v>
      </c>
      <c r="R104" s="107">
        <f>IF(IFERROR(VLOOKUP(R101,'Tabela de Apoio'!$D:$E,2,FALSE),1)=1,"",R105)</f>
        <v>124.13539072007634</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f t="shared" ref="B105:C105" si="242">B104</f>
        <v>5</v>
      </c>
      <c r="C105" s="128">
        <f t="shared" si="242"/>
        <v>1</v>
      </c>
      <c r="D105" s="127">
        <f t="shared" si="49"/>
        <v>5</v>
      </c>
      <c r="E105" s="199"/>
      <c r="F105" s="93"/>
      <c r="G105" s="201"/>
      <c r="H105" s="134">
        <f t="shared" ref="H105" si="243">COUNT($P105:$XX105)</f>
        <v>3</v>
      </c>
      <c r="I105" s="132">
        <f t="shared" ref="I105" si="244">_xlfn.STDEV.P($P104:$XX105)/AVERAGE($P104:$XX105)</f>
        <v>8.459008104082795E-2</v>
      </c>
      <c r="J105" s="7">
        <f>ROW()</f>
        <v>105</v>
      </c>
      <c r="K105" s="67"/>
      <c r="L105" s="29" t="s">
        <v>10</v>
      </c>
      <c r="M105" s="30">
        <f t="shared" ref="M105" si="245">IFERROR(
IF(COUNTA(P99:AI99)=COUNTIF(P101:XX101,"Orçamento"),MIN(M110,M107),
IF(M108&lt;&gt;"",M108,
IF(M109&lt;&gt;"",M109,
M107
))),"")</f>
        <v>111.44059331050364</v>
      </c>
      <c r="N105" s="71"/>
      <c r="O105" s="27" t="s">
        <v>376</v>
      </c>
      <c r="P105" s="106">
        <f t="shared" ref="P105:AI105" si="246">IFERROR(IF(P103="",
            "",
            IF(COUNT($P103:$XX103)&lt;=4,
               P103,
               IF(OR(P103&gt;(QUARTILE($P103:$XX103,3)+(QUARTILE($P103:$XX103,3)-QUARTILE($P103:$XX103,1))),
                     P103&lt;(QUARTILE($P103:$XX103,1)-(QUARTILE($P103:$XX103,3)-QUARTILE($P103:$XX103,1)))
                  ),
               "DESCARTADO",P103)
             )
  ),P103)</f>
        <v>108.61846688006679</v>
      </c>
      <c r="Q105" s="106">
        <f t="shared" si="246"/>
        <v>101.56792233136782</v>
      </c>
      <c r="R105" s="106">
        <f t="shared" si="246"/>
        <v>124.13539072007634</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f t="shared" ref="B106:B160" si="247">B105</f>
        <v>5</v>
      </c>
      <c r="C106" s="128">
        <f t="shared" ref="C106:D169" si="248">C105</f>
        <v>1</v>
      </c>
      <c r="D106" s="127">
        <f t="shared" si="49"/>
        <v>5</v>
      </c>
      <c r="E106" s="199"/>
      <c r="F106" s="93"/>
      <c r="G106" s="201"/>
      <c r="H106"/>
      <c r="I106"/>
      <c r="J106"/>
      <c r="K106" s="66"/>
      <c r="L106" s="29" t="s">
        <v>360</v>
      </c>
      <c r="M106" s="30">
        <f t="shared" ref="M106" si="249">AVERAGE($P105:$XX105)</f>
        <v>111.44059331050364</v>
      </c>
      <c r="N106" s="71"/>
      <c r="O106" s="27" t="str">
        <f t="shared" ref="O106" si="250">"1 POND"</f>
        <v>1 POND</v>
      </c>
      <c r="P106" s="107">
        <f>IF(IFERROR(VLOOKUP(P101,'Tabela de Apoio'!$D:$E,2,FALSE),1)=1,"",P107)</f>
        <v>108.61846688006679</v>
      </c>
      <c r="Q106" s="107">
        <f>IF(IFERROR(VLOOKUP(Q101,'Tabela de Apoio'!$D:$E,2,FALSE),1)=1,"",Q107)</f>
        <v>101.56792233136782</v>
      </c>
      <c r="R106" s="107">
        <f>IF(IFERROR(VLOOKUP(R101,'Tabela de Apoio'!$D:$E,2,FALSE),1)=1,"",R107)</f>
        <v>124.13539072007634</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f t="shared" si="247"/>
        <v>5</v>
      </c>
      <c r="C107" s="128">
        <f t="shared" si="248"/>
        <v>1</v>
      </c>
      <c r="D107" s="127">
        <f t="shared" si="248"/>
        <v>5</v>
      </c>
      <c r="E107" s="199"/>
      <c r="F107" s="93"/>
      <c r="G107" s="201"/>
      <c r="H107" s="134">
        <f t="shared" ref="H107" si="251">COUNT($P107:$XX107)</f>
        <v>3</v>
      </c>
      <c r="I107" s="132">
        <f t="shared" ref="I107" si="252">_xlfn.STDEV.P($P106:$XX107)/AVERAGE($P106:$XX107)</f>
        <v>8.459008104082795E-2</v>
      </c>
      <c r="J107" s="7">
        <f t="shared" ref="J107" si="253">IF(AND(H107&gt;2,
OR(L99="MÉDIA SANEADA",L99="MEDIANA SANEADA",
AND(L99="PREÇO ESTIMADO",NOT(AND(P101="Orçamento",COUNTA(P99:XX99)=COUNTIF(P101:XX101,"Orçamento")))))),
ROW(),0)</f>
        <v>107</v>
      </c>
      <c r="K107" s="66"/>
      <c r="L107" s="29" t="s">
        <v>361</v>
      </c>
      <c r="M107" s="30">
        <f t="shared" ref="M107" si="254">MEDIAN($P105:$XX105)</f>
        <v>108.61846688006679</v>
      </c>
      <c r="N107" s="71"/>
      <c r="O107" s="27" t="str">
        <f t="shared" ref="O107" si="255">"1 RODADA"</f>
        <v>1 RODADA</v>
      </c>
      <c r="P107" s="107">
        <f t="shared" ref="P107:AI107" si="256">IF(P105="","",IF((_xlfn.STDEV.P($P104:$XX105)/AVERAGE($P104:$XX105))&lt;=25%,P105,IF(OR(P105&gt;(AVERAGE($P104:$XX105)+_xlfn.STDEV.P($P104:$XX105)),P105&lt;(AVERAGE($P104:$XX105)-_xlfn.STDEV.P($P104:$XX105))),"DESCARTADO",P105)))</f>
        <v>108.61846688006679</v>
      </c>
      <c r="Q107" s="107">
        <f t="shared" si="256"/>
        <v>101.56792233136782</v>
      </c>
      <c r="R107" s="107">
        <f t="shared" si="256"/>
        <v>124.13539072007634</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f t="shared" si="247"/>
        <v>5</v>
      </c>
      <c r="C108" s="128">
        <f t="shared" si="248"/>
        <v>1</v>
      </c>
      <c r="D108" s="127">
        <f t="shared" si="248"/>
        <v>5</v>
      </c>
      <c r="E108" s="199"/>
      <c r="F108" s="93"/>
      <c r="G108" s="201"/>
      <c r="H108"/>
      <c r="I108"/>
      <c r="J108"/>
      <c r="L108" s="29" t="s">
        <v>38</v>
      </c>
      <c r="M108" s="30">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111.44059331050364</v>
      </c>
      <c r="N108" s="71"/>
      <c r="O108" s="27" t="str">
        <f t="shared" ref="O108" si="258">"2 POND"</f>
        <v>2 POND</v>
      </c>
      <c r="P108" s="107">
        <f>IF(IFERROR(VLOOKUP(P101,'Tabela de Apoio'!$D:$E,2,FALSE),1)=1,"",P109)</f>
        <v>108.61846688006679</v>
      </c>
      <c r="Q108" s="107">
        <f>IF(IFERROR(VLOOKUP(Q101,'Tabela de Apoio'!$D:$E,2,FALSE),1)=1,"",Q109)</f>
        <v>101.56792233136782</v>
      </c>
      <c r="R108" s="107">
        <f>IF(IFERROR(VLOOKUP(R101,'Tabela de Apoio'!$D:$E,2,FALSE),1)=1,"",R109)</f>
        <v>124.13539072007634</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f t="shared" si="247"/>
        <v>5</v>
      </c>
      <c r="C109" s="128">
        <f t="shared" si="248"/>
        <v>1</v>
      </c>
      <c r="D109" s="127">
        <f t="shared" si="248"/>
        <v>5</v>
      </c>
      <c r="E109" s="199"/>
      <c r="F109" s="93"/>
      <c r="G109" s="201"/>
      <c r="H109" s="134">
        <f t="shared" ref="H109" si="259">COUNT($P109:$XX109)</f>
        <v>3</v>
      </c>
      <c r="I109" s="132">
        <f t="shared" ref="I109" si="260">_xlfn.STDEV.P($P108:$XX109)/AVERAGE($P108:$XX109)</f>
        <v>8.459008104082795E-2</v>
      </c>
      <c r="J109" s="7">
        <f t="shared" ref="J109" si="261">IF(AND(H109&gt;2,
OR(L99="MÉDIA SANEADA",L99="MEDIANA SANEADA",
AND(L99="PREÇO ESTIMADO",NOT(AND(P101="Orçamento",COUNTA(P99:XX99)=COUNTIF(P101:XX101,"Orçamento")))))),
ROW(),0)</f>
        <v>109</v>
      </c>
      <c r="K109" s="66"/>
      <c r="L109" s="29" t="s">
        <v>362</v>
      </c>
      <c r="M109" s="30">
        <f t="shared" ref="M109" si="262" xml:space="preserve">
IF(H107&gt;2,MEDIAN(P106:XX107),
IF(H109&gt;2,MEDIAN(P108:XX109),
IF(H111&gt;2,MEDIAN(P110:XX111),
IF(H113&gt;2,MEDIAN(P112:XX113),
IF(H115&gt;2,MEDIAN(P114:XX115),
IF(H117&gt;2,MEDIAN(P116:XX117),
MEDIAN(P104:XX105)))))))</f>
        <v>108.61846688006679</v>
      </c>
      <c r="N109" s="71"/>
      <c r="O109" s="27" t="str">
        <f t="shared" ref="O109" si="263">"2 RODADA"</f>
        <v>2 RODADA</v>
      </c>
      <c r="P109" s="107">
        <f t="shared" ref="P109:AI109" si="264">IF(P107="","",IF((_xlfn.STDEV.P($P106:$XX107)/AVERAGE($P106:$XX107))&lt;=25%,P107,IF(OR(P107&gt;(AVERAGE($P106:$XX107)+_xlfn.STDEV.P($P106:$XX107)),P107&lt;(AVERAGE($P106:$XX107)-_xlfn.STDEV.P($P106:$XX107))),"DESCARTADO",P107)))</f>
        <v>108.61846688006679</v>
      </c>
      <c r="Q109" s="107">
        <f t="shared" si="264"/>
        <v>101.56792233136782</v>
      </c>
      <c r="R109" s="107">
        <f t="shared" si="264"/>
        <v>124.13539072007634</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f t="shared" si="247"/>
        <v>5</v>
      </c>
      <c r="C110" s="128">
        <f t="shared" si="248"/>
        <v>1</v>
      </c>
      <c r="D110" s="127">
        <f t="shared" si="248"/>
        <v>5</v>
      </c>
      <c r="E110" s="199"/>
      <c r="F110" s="93"/>
      <c r="G110" s="201"/>
      <c r="H110"/>
      <c r="I110"/>
      <c r="J110"/>
      <c r="K110" s="66"/>
      <c r="L110" s="29" t="s">
        <v>359</v>
      </c>
      <c r="M110" s="30">
        <f t="shared" ref="M110" si="265">HARMEAN($P104:$XX105)</f>
        <v>110.66890192184457</v>
      </c>
      <c r="N110" s="71"/>
      <c r="O110" s="27" t="str">
        <f t="shared" ref="O110" si="266">"3 POND"</f>
        <v>3 POND</v>
      </c>
      <c r="P110" s="107">
        <f>IF(IFERROR(VLOOKUP(P101,'Tabela de Apoio'!$D:$E,2,FALSE),1)=1,"",P111)</f>
        <v>108.61846688006679</v>
      </c>
      <c r="Q110" s="107">
        <f>IF(IFERROR(VLOOKUP(Q101,'Tabela de Apoio'!$D:$E,2,FALSE),1)=1,"",Q111)</f>
        <v>101.56792233136782</v>
      </c>
      <c r="R110" s="107">
        <f>IF(IFERROR(VLOOKUP(R101,'Tabela de Apoio'!$D:$E,2,FALSE),1)=1,"",R111)</f>
        <v>124.13539072007634</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f t="shared" si="247"/>
        <v>5</v>
      </c>
      <c r="C111" s="128">
        <f t="shared" si="248"/>
        <v>1</v>
      </c>
      <c r="D111" s="127">
        <f t="shared" si="248"/>
        <v>5</v>
      </c>
      <c r="E111" s="199"/>
      <c r="F111" s="93"/>
      <c r="G111" s="201"/>
      <c r="H111" s="134">
        <f t="shared" ref="H111" si="267">COUNT($P111:$XX111)</f>
        <v>3</v>
      </c>
      <c r="I111" s="132">
        <f t="shared" ref="I111" si="268">_xlfn.STDEV.P($P110:$XX111)/AVERAGE($P110:$XX111)</f>
        <v>8.459008104082795E-2</v>
      </c>
      <c r="J111" s="7">
        <f t="shared" ref="J111" si="269">IF(AND(H111&gt;2,
OR(L99="MÉDIA SANEADA",L99="MEDIANA SANEADA",
AND(L99="PREÇO ESTIMADO",NOT(AND(P101="Orçamento",COUNTA(P99:XX99)=COUNTIF(P101:XX101,"Orçamento")))))),
ROW(),0)</f>
        <v>111</v>
      </c>
      <c r="K111" s="66"/>
      <c r="L111" s="29" t="s">
        <v>41</v>
      </c>
      <c r="M111" s="30">
        <f t="shared" ref="M111" si="270">IFERROR(_xlfn.QUARTILE.EXC($P105:$XX105,1),"")</f>
        <v>101.56792233136782</v>
      </c>
      <c r="N111" s="71"/>
      <c r="O111" s="27" t="str">
        <f t="shared" ref="O111" si="271">"3 RODADA"</f>
        <v>3 RODADA</v>
      </c>
      <c r="P111" s="107">
        <f t="shared" ref="P111:AI111" si="272">IF(P109="","",IF((_xlfn.STDEV.P($P108:$XX109)/AVERAGE($P108:$XX109))&lt;=25%,P109,IF(OR(P109&gt;(AVERAGE($P108:$XX109)+_xlfn.STDEV.P($P108:$XX109)),P109&lt;(AVERAGE($P108:$XX109)-_xlfn.STDEV.P($P108:$XX109))),"DESCARTADO",P109)))</f>
        <v>108.61846688006679</v>
      </c>
      <c r="Q111" s="107">
        <f t="shared" si="272"/>
        <v>101.56792233136782</v>
      </c>
      <c r="R111" s="107">
        <f t="shared" si="272"/>
        <v>124.13539072007634</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f t="shared" si="247"/>
        <v>5</v>
      </c>
      <c r="C112" s="128">
        <f t="shared" si="248"/>
        <v>1</v>
      </c>
      <c r="D112" s="127">
        <f t="shared" si="248"/>
        <v>5</v>
      </c>
      <c r="E112" s="199"/>
      <c r="F112" s="93"/>
      <c r="G112" s="201"/>
      <c r="H112"/>
      <c r="I112"/>
      <c r="J112"/>
      <c r="K112" s="66"/>
      <c r="L112" s="29" t="s">
        <v>39</v>
      </c>
      <c r="M112" s="30">
        <f t="shared" ref="M112" si="273">IFERROR(_xlfn.QUARTILE.EXC($P105:$XX105,3),"")</f>
        <v>124.13539072007634</v>
      </c>
      <c r="N112" s="71"/>
      <c r="O112" s="27" t="str">
        <f t="shared" ref="O112" si="274">"4 POND"</f>
        <v>4 POND</v>
      </c>
      <c r="P112" s="107">
        <f>IF(IFERROR(VLOOKUP(P101,'Tabela de Apoio'!$D:$E,2,FALSE),1)=1,"",P113)</f>
        <v>108.61846688006679</v>
      </c>
      <c r="Q112" s="107">
        <f>IF(IFERROR(VLOOKUP(Q101,'Tabela de Apoio'!$D:$E,2,FALSE),1)=1,"",Q113)</f>
        <v>101.56792233136782</v>
      </c>
      <c r="R112" s="107">
        <f>IF(IFERROR(VLOOKUP(R101,'Tabela de Apoio'!$D:$E,2,FALSE),1)=1,"",R113)</f>
        <v>124.13539072007634</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f t="shared" si="247"/>
        <v>5</v>
      </c>
      <c r="C113" s="128">
        <f t="shared" si="248"/>
        <v>1</v>
      </c>
      <c r="D113" s="127">
        <f t="shared" si="248"/>
        <v>5</v>
      </c>
      <c r="E113" s="199"/>
      <c r="F113" s="93"/>
      <c r="G113" s="201"/>
      <c r="H113" s="134">
        <f t="shared" ref="H113" si="275">COUNT($P113:$XX113)</f>
        <v>3</v>
      </c>
      <c r="I113" s="132">
        <f t="shared" ref="I113" si="276">_xlfn.STDEV.P($P112:$XX113)/AVERAGE($P112:$XX113)</f>
        <v>8.459008104082795E-2</v>
      </c>
      <c r="J113" s="7">
        <f t="shared" ref="J113" si="277">IF(AND(H113&gt;2,
OR(L99="MÉDIA SANEADA",L99="MEDIANA SANEADA",
AND(L99="PREÇO ESTIMADO",NOT(AND(P101="Orçamento",COUNTA(P99:XX99)=COUNTIF(P101:XX101,"Orçamento")))))),
ROW(),0)</f>
        <v>113</v>
      </c>
      <c r="K113" s="66"/>
      <c r="L113" s="29" t="s">
        <v>42</v>
      </c>
      <c r="M113" s="30">
        <f t="shared" ref="M113" si="278">MIN($P105:$XX105)</f>
        <v>101.56792233136782</v>
      </c>
      <c r="N113" s="71"/>
      <c r="O113" s="27" t="str">
        <f t="shared" ref="O113" si="279">"4 RODADA"</f>
        <v>4 RODADA</v>
      </c>
      <c r="P113" s="107">
        <f t="shared" ref="P113:AI113" si="280">IF(P111="","",IF((_xlfn.STDEV.P($P110:$XX111)/AVERAGE($P110:$XX111))&lt;=25%,P111,IF(OR(P111&gt;(AVERAGE($P110:$XX111)+_xlfn.STDEV.P($P110:$XX111)),P111&lt;(AVERAGE($P110:$XX111)-_xlfn.STDEV.P($P110:$XX111))),"DESCARTADO",P111)))</f>
        <v>108.61846688006679</v>
      </c>
      <c r="Q113" s="107">
        <f t="shared" si="280"/>
        <v>101.56792233136782</v>
      </c>
      <c r="R113" s="107">
        <f t="shared" si="280"/>
        <v>124.13539072007634</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f t="shared" si="247"/>
        <v>5</v>
      </c>
      <c r="C114" s="128">
        <f t="shared" si="248"/>
        <v>1</v>
      </c>
      <c r="D114" s="127">
        <f t="shared" si="248"/>
        <v>5</v>
      </c>
      <c r="E114" s="199"/>
      <c r="F114" s="93"/>
      <c r="G114" s="201"/>
      <c r="H114"/>
      <c r="I114"/>
      <c r="J114"/>
      <c r="K114" s="66"/>
      <c r="L114" s="29" t="s">
        <v>40</v>
      </c>
      <c r="M114" s="30">
        <f t="shared" ref="M114" si="281">MAX($P105:$XX105)</f>
        <v>124.13539072007634</v>
      </c>
      <c r="N114" s="71"/>
      <c r="O114" s="27" t="str">
        <f t="shared" ref="O114" si="282">"5 POND"</f>
        <v>5 POND</v>
      </c>
      <c r="P114" s="107">
        <f>IF(IFERROR(VLOOKUP(P101,'Tabela de Apoio'!$D:$E,2,FALSE),1)=1,"",P115)</f>
        <v>108.61846688006679</v>
      </c>
      <c r="Q114" s="107">
        <f>IF(IFERROR(VLOOKUP(Q101,'Tabela de Apoio'!$D:$E,2,FALSE),1)=1,"",Q115)</f>
        <v>101.56792233136782</v>
      </c>
      <c r="R114" s="107">
        <f>IF(IFERROR(VLOOKUP(R101,'Tabela de Apoio'!$D:$E,2,FALSE),1)=1,"",R115)</f>
        <v>124.13539072007634</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f t="shared" si="247"/>
        <v>5</v>
      </c>
      <c r="C115" s="128">
        <f t="shared" si="248"/>
        <v>1</v>
      </c>
      <c r="D115" s="127">
        <f t="shared" si="248"/>
        <v>5</v>
      </c>
      <c r="E115" s="199"/>
      <c r="F115" s="93"/>
      <c r="G115" s="201"/>
      <c r="H115" s="134">
        <f t="shared" ref="H115" si="283">COUNT($P115:$XX115)</f>
        <v>3</v>
      </c>
      <c r="I115" s="132">
        <f t="shared" ref="I115" si="284">_xlfn.STDEV.P($P114:$XX115)/AVERAGE($P114:$XX115)</f>
        <v>8.459008104082795E-2</v>
      </c>
      <c r="J115" s="7">
        <f t="shared" ref="J115" si="285">IF(AND(H115&gt;2,
OR(L99="MÉDIA SANEADA",L99="MEDIANA SANEADA",
AND(L99="PREÇO ESTIMADO",NOT(AND(P101="Orçamento",COUNTA(P99:XX99)=COUNTIF(P101:XX101,"Orçamento")))))),
ROW(),0)</f>
        <v>115</v>
      </c>
      <c r="K115" s="66"/>
      <c r="N115" s="71"/>
      <c r="O115" s="27" t="str">
        <f t="shared" ref="O115" si="286">"5 RODADA"</f>
        <v>5 RODADA</v>
      </c>
      <c r="P115" s="107">
        <f t="shared" ref="P115:AI115" si="287">IF(P113="","",IF((_xlfn.STDEV.P($P112:$XX113)/AVERAGE($P112:$XX113))&lt;=25%,P113,IF(OR(P113&gt;(AVERAGE($P112:$XX113)+_xlfn.STDEV.P($P112:$XX113)),P113&lt;(AVERAGE($P112:$XX113)-_xlfn.STDEV.P($P112:$XX113))),"DESCARTADO",P113)))</f>
        <v>108.61846688006679</v>
      </c>
      <c r="Q115" s="107">
        <f t="shared" si="287"/>
        <v>101.56792233136782</v>
      </c>
      <c r="R115" s="107">
        <f t="shared" si="287"/>
        <v>124.13539072007634</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f t="shared" si="247"/>
        <v>5</v>
      </c>
      <c r="C116" s="128">
        <f t="shared" si="248"/>
        <v>1</v>
      </c>
      <c r="D116" s="127">
        <f t="shared" si="248"/>
        <v>5</v>
      </c>
      <c r="E116" s="199"/>
      <c r="F116" s="93"/>
      <c r="G116" s="201"/>
      <c r="H116"/>
      <c r="I116"/>
      <c r="J116"/>
      <c r="K116" s="66"/>
      <c r="L116" s="22"/>
      <c r="M116" s="22"/>
      <c r="N116" s="71"/>
      <c r="O116" s="27" t="str">
        <f t="shared" ref="O116" si="288">"6 POND"</f>
        <v>6 POND</v>
      </c>
      <c r="P116" s="107">
        <f>IF(IFERROR(VLOOKUP(P101,'Tabela de Apoio'!$D:$E,2,FALSE),1)=1,"",P117)</f>
        <v>108.61846688006679</v>
      </c>
      <c r="Q116" s="107">
        <f>IF(IFERROR(VLOOKUP(Q101,'Tabela de Apoio'!$D:$E,2,FALSE),1)=1,"",Q117)</f>
        <v>101.56792233136782</v>
      </c>
      <c r="R116" s="107">
        <f>IF(IFERROR(VLOOKUP(R101,'Tabela de Apoio'!$D:$E,2,FALSE),1)=1,"",R117)</f>
        <v>124.13539072007634</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f t="shared" si="247"/>
        <v>5</v>
      </c>
      <c r="C117" s="128">
        <f t="shared" si="248"/>
        <v>1</v>
      </c>
      <c r="D117" s="127">
        <f t="shared" si="248"/>
        <v>5</v>
      </c>
      <c r="E117" s="199"/>
      <c r="F117" s="93"/>
      <c r="G117" s="201"/>
      <c r="H117" s="134">
        <f t="shared" ref="H117" si="289">COUNT($P117:$XX117)</f>
        <v>3</v>
      </c>
      <c r="I117" s="132">
        <f t="shared" ref="I117" si="290">_xlfn.STDEV.P($P116:$XX117)/AVERAGE($P116:$XX117)</f>
        <v>8.459008104082795E-2</v>
      </c>
      <c r="J117" s="7">
        <f t="shared" ref="J117" si="291">IF(AND(H117&gt;2,
OR(L99="MÉDIA SANEADA",L99="MEDIANA SANEADA",
AND(L99="PREÇO ESTIMADO",NOT(AND(P101="Orçamento",COUNTA(P99:XX99)=COUNTIF(P101:XX101,"Orçamento")))))),
ROW(),0)</f>
        <v>117</v>
      </c>
      <c r="N117" s="71"/>
      <c r="O117" s="27" t="str">
        <f t="shared" ref="O117" si="292">"6 RODADA"</f>
        <v>6 RODADA</v>
      </c>
      <c r="P117" s="107">
        <f t="shared" ref="P117:AI117" si="293">IFERROR(IF(P115="","",IF((_xlfn.STDEV.P($P114:$XX115)/AVERAGE($P114:$XX115))&lt;=25%,P115,IF(OR(P115&gt;(AVERAGE($P114:$XX115)+_xlfn.STDEV.P($P114:$XX115)),P115&lt;(AVERAGE($P114:$XX115)-_xlfn.STDEV.P($P114:$XX115))),"DESCARTADO",P115))),)</f>
        <v>108.61846688006679</v>
      </c>
      <c r="Q117" s="107">
        <f t="shared" si="293"/>
        <v>101.56792233136782</v>
      </c>
      <c r="R117" s="107">
        <f t="shared" si="293"/>
        <v>124.13539072007634</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f t="shared" si="247"/>
        <v>5</v>
      </c>
      <c r="C118" s="128">
        <f t="shared" si="248"/>
        <v>1</v>
      </c>
      <c r="D118" s="127">
        <f t="shared" si="248"/>
        <v>5</v>
      </c>
      <c r="E118" s="199"/>
      <c r="F118" s="136"/>
      <c r="G118" s="201"/>
      <c r="H118" s="204"/>
      <c r="I118" s="204"/>
      <c r="J118" s="205"/>
      <c r="K118" s="67"/>
      <c r="L118" s="1" t="s">
        <v>43</v>
      </c>
      <c r="M118" s="143">
        <f t="shared" ref="M118" si="294">IFERROR(ROUND(M99*M101,2),"")</f>
        <v>160807.92000000001</v>
      </c>
      <c r="O118" s="27" t="s">
        <v>363</v>
      </c>
      <c r="P118" s="107">
        <f t="shared" ref="P118:R118" si="295">INDEX(P105:P117,MATCH(MAX($J105:$J117),$J105:$J117,0))</f>
        <v>108.61846688006679</v>
      </c>
      <c r="Q118" s="107">
        <f t="shared" si="295"/>
        <v>101.56792233136782</v>
      </c>
      <c r="R118" s="107">
        <f t="shared" si="295"/>
        <v>124.13539072007634</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f t="shared" ref="B120" si="296">LARGE(IFERROR(IF(B118+1&gt;$H$8,"",B118+1),""),1)</f>
        <v>6</v>
      </c>
      <c r="C120" s="127">
        <f>IF(_xlfn.ISFORMULA(E124),MAX(INDEX('BASE FORMAÇÃO'!A:A,B120+1),1),E124)</f>
        <v>1</v>
      </c>
      <c r="D120" s="127">
        <f t="shared" ref="D120" si="297">IFERROR(IF(C120=C110,D110+1,1),1)</f>
        <v>6</v>
      </c>
      <c r="E120" s="38" t="s">
        <v>9</v>
      </c>
      <c r="F120" s="73"/>
      <c r="G120" s="38" t="s">
        <v>15</v>
      </c>
      <c r="H120" s="135">
        <f>INDEX('BASE FORMAÇÃO'!B:B,B120+1)</f>
        <v>0</v>
      </c>
      <c r="I120" s="181" t="s">
        <v>16</v>
      </c>
      <c r="J120" s="6">
        <f>INDEX('BASE FORMAÇÃO'!K:K,B120+1)</f>
        <v>0</v>
      </c>
      <c r="K120" s="65"/>
      <c r="L120" s="183" t="s">
        <v>10</v>
      </c>
      <c r="M120" s="185">
        <f t="shared" ref="M120" si="298">IF(OR(ISBLANK($O$8),ISBLANK($O$7),ISBLANK($H$8),ISBLANK($O$6),ISBLANK($O$5),ISBLANK($H$5)),"",IFERROR(IF(VLOOKUP(L120,L126:M135,2,FALSE)&lt;1,ROUND(VLOOKUP(L120,L126:M135,2,FALSE),4),ROUND(VLOOKUP(L120,L126:M135,2,FALSE),2)),""))</f>
        <v>106.12</v>
      </c>
      <c r="N120" s="69"/>
      <c r="O120" s="27" t="s">
        <v>17</v>
      </c>
      <c r="P120" s="113">
        <v>103.8</v>
      </c>
      <c r="Q120" s="113">
        <v>108</v>
      </c>
      <c r="R120" s="113">
        <v>92.46</v>
      </c>
      <c r="S120" s="113">
        <v>109</v>
      </c>
      <c r="T120" s="113">
        <v>100</v>
      </c>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f t="shared" ref="B121:D121" si="299">B120</f>
        <v>6</v>
      </c>
      <c r="C121" s="128">
        <f t="shared" si="299"/>
        <v>1</v>
      </c>
      <c r="D121" s="127">
        <f t="shared" si="299"/>
        <v>6</v>
      </c>
      <c r="E121" s="187">
        <f t="shared" ref="E121" si="300">D120</f>
        <v>6</v>
      </c>
      <c r="F121" s="92"/>
      <c r="G121" s="189" t="s">
        <v>1</v>
      </c>
      <c r="H121" s="192" t="str">
        <f>INDEX('BASE FORMAÇÃO'!C:C,B120+1)</f>
        <v>Suporte móvel banner convencional</v>
      </c>
      <c r="I121" s="192"/>
      <c r="J121" s="193"/>
      <c r="K121" s="66"/>
      <c r="L121" s="184"/>
      <c r="M121" s="186"/>
      <c r="N121" s="70"/>
      <c r="O121" s="27" t="s">
        <v>13</v>
      </c>
      <c r="P121" s="122">
        <v>46003</v>
      </c>
      <c r="Q121" s="122">
        <v>46231</v>
      </c>
      <c r="R121" s="122">
        <v>46199</v>
      </c>
      <c r="S121" s="122">
        <v>46184</v>
      </c>
      <c r="T121" s="122">
        <v>46146</v>
      </c>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f t="shared" ref="B122:D122" si="301">B121</f>
        <v>6</v>
      </c>
      <c r="C122" s="128">
        <f t="shared" si="301"/>
        <v>1</v>
      </c>
      <c r="D122" s="127">
        <f t="shared" si="301"/>
        <v>6</v>
      </c>
      <c r="E122" s="188"/>
      <c r="F122" s="93"/>
      <c r="G122" s="190"/>
      <c r="H122" s="194"/>
      <c r="I122" s="194"/>
      <c r="J122" s="195"/>
      <c r="K122" s="64"/>
      <c r="L122" s="130" t="s">
        <v>44</v>
      </c>
      <c r="M122" s="131">
        <f>INDEX('BASE FORMAÇÃO'!H:H,B124+1)</f>
        <v>818</v>
      </c>
      <c r="N122" s="71"/>
      <c r="O122" s="27" t="s">
        <v>380</v>
      </c>
      <c r="P122" s="114" t="s">
        <v>12</v>
      </c>
      <c r="Q122" s="114" t="s">
        <v>12</v>
      </c>
      <c r="R122" s="114" t="s">
        <v>12</v>
      </c>
      <c r="S122" s="114" t="s">
        <v>12</v>
      </c>
      <c r="T122" s="114" t="s">
        <v>12</v>
      </c>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f t="shared" ref="B123:C123" si="302">B122</f>
        <v>6</v>
      </c>
      <c r="C123" s="128">
        <f t="shared" si="302"/>
        <v>1</v>
      </c>
      <c r="D123" s="127">
        <f t="shared" si="248"/>
        <v>6</v>
      </c>
      <c r="E123" s="38" t="s">
        <v>313</v>
      </c>
      <c r="F123" s="93"/>
      <c r="G123" s="191"/>
      <c r="H123" s="196"/>
      <c r="I123" s="196"/>
      <c r="J123" s="197"/>
      <c r="K123" s="64"/>
      <c r="L123" s="1" t="s">
        <v>2</v>
      </c>
      <c r="M123" s="6" t="str">
        <f>INDEX('BASE FORMAÇÃO'!D:D,B124+1)</f>
        <v>UND</v>
      </c>
      <c r="N123" s="71"/>
      <c r="O123" s="27" t="s">
        <v>381</v>
      </c>
      <c r="P123" s="115" t="s">
        <v>459</v>
      </c>
      <c r="Q123" s="115" t="s">
        <v>460</v>
      </c>
      <c r="R123" s="115" t="s">
        <v>460</v>
      </c>
      <c r="S123" s="115" t="s">
        <v>460</v>
      </c>
      <c r="T123" s="115" t="s">
        <v>460</v>
      </c>
      <c r="U123" s="118"/>
      <c r="V123" s="118"/>
      <c r="W123" s="118"/>
      <c r="X123" s="118"/>
      <c r="Y123" s="118"/>
      <c r="Z123" s="118"/>
      <c r="AA123" s="118"/>
      <c r="AB123" s="118"/>
      <c r="AC123" s="118"/>
      <c r="AD123" s="118"/>
      <c r="AE123" s="118"/>
      <c r="AF123" s="118"/>
      <c r="AG123" s="118"/>
      <c r="AH123" s="118"/>
      <c r="AI123" s="118"/>
    </row>
    <row r="124" spans="1:167" x14ac:dyDescent="0.25">
      <c r="B124" s="128">
        <f t="shared" ref="B124:C124" si="303">B122</f>
        <v>6</v>
      </c>
      <c r="C124" s="128">
        <f t="shared" si="303"/>
        <v>1</v>
      </c>
      <c r="D124" s="127">
        <f t="shared" si="248"/>
        <v>6</v>
      </c>
      <c r="E124" s="198">
        <f t="shared" ref="E124" si="304">C120</f>
        <v>1</v>
      </c>
      <c r="F124" s="93"/>
      <c r="G124" s="200" t="s">
        <v>304</v>
      </c>
      <c r="H124" s="202"/>
      <c r="I124" s="203"/>
      <c r="J124" s="203"/>
      <c r="K124" s="67"/>
      <c r="L124" s="28" t="s">
        <v>303</v>
      </c>
      <c r="M124" s="133">
        <f t="shared" ref="M124" si="305">IFERROR(INDEX(I126:I138,MATCH(MAX(J126:J138),J126:J138,0)),"")</f>
        <v>3.1115706625046792E-2</v>
      </c>
      <c r="N124" s="71"/>
      <c r="O124" s="27" t="s">
        <v>18</v>
      </c>
      <c r="P124" s="106">
        <f>IF(P120="","",
IF(OR(P122="Orçamento",P121="",MAX('Tabela de Apoio'!$A:$A)&lt;=P121),
P120,
(INDEX('Tabela de Apoio'!$B:$B,MATCH('MAPA DE PREÇOS'!$O$8,'Tabela de Apoio'!$A:$A,1))/INDEX('Tabela de Apoio'!$B:$B,MATCH('MAPA DE PREÇOS'!P121,'Tabela de Apoio'!$A:$A,1)-1))*P120))</f>
        <v>107.37711297286603</v>
      </c>
      <c r="Q124" s="106">
        <f>IF(Q120="","",
IF(OR(Q122="Orçamento",Q121="",MAX('Tabela de Apoio'!$A:$A)&lt;=Q121),
Q120,
(INDEX('Tabela de Apoio'!$B:$B,MATCH('MAPA DE PREÇOS'!$O$8,'Tabela de Apoio'!$A:$A,1))/INDEX('Tabela de Apoio'!$B:$B,MATCH('MAPA DE PREÇOS'!Q121,'Tabela de Apoio'!$A:$A,1)-1))*Q120))</f>
        <v>107.729871922032</v>
      </c>
      <c r="R124" s="106">
        <f>IF(R120="","",
IF(OR(R122="Orçamento",R121="",MAX('Tabela de Apoio'!$A:$A)&lt;=R121),
R120,
(INDEX('Tabela de Apoio'!$B:$B,MATCH('MAPA DE PREÇOS'!$O$8,'Tabela de Apoio'!$A:$A,1))/INDEX('Tabela de Apoio'!$B:$B,MATCH('MAPA DE PREÇOS'!R121,'Tabela de Apoio'!$A:$A,1)-1))*R120))</f>
        <v>92.376255152058519</v>
      </c>
      <c r="S124" s="106">
        <f>IF(S120="","",
IF(OR(S122="Orçamento",S121="",MAX('Tabela de Apoio'!$A:$A)&lt;=S121),
S120,
(INDEX('Tabela de Apoio'!$B:$B,MATCH('MAPA DE PREÇOS'!$O$8,'Tabela de Apoio'!$A:$A,1))/INDEX('Tabela de Apoio'!$B:$B,MATCH('MAPA DE PREÇOS'!S121,'Tabela de Apoio'!$A:$A,1)-1))*S120))</f>
        <v>108.90127418964286</v>
      </c>
      <c r="T124" s="106">
        <f>IF(T120="","",
IF(OR(T122="Orçamento",T121="",MAX('Tabela de Apoio'!$A:$A)&lt;=T121),
T120,
(INDEX('Tabela de Apoio'!$B:$B,MATCH('MAPA DE PREÇOS'!$O$8,'Tabela de Apoio'!$A:$A,1))/INDEX('Tabela de Apoio'!$B:$B,MATCH('MAPA DE PREÇOS'!T121,'Tabela de Apoio'!$A:$A,1)-1))*T120))</f>
        <v>100.48893575510559</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f t="shared" ref="B125" si="306">B124</f>
        <v>6</v>
      </c>
      <c r="C125" s="128">
        <f t="shared" ref="C125" si="307">C124</f>
        <v>1</v>
      </c>
      <c r="D125" s="127">
        <f t="shared" si="248"/>
        <v>6</v>
      </c>
      <c r="E125" s="199"/>
      <c r="F125" s="93"/>
      <c r="G125" s="201"/>
      <c r="H125"/>
      <c r="I125"/>
      <c r="J125"/>
      <c r="N125" s="71"/>
      <c r="O125" s="27" t="s">
        <v>375</v>
      </c>
      <c r="P125" s="107">
        <f>IF(IFERROR(VLOOKUP(P122,'Tabela de Apoio'!$D:$E,2,FALSE),1)=1,"",P126)</f>
        <v>107.37711297286603</v>
      </c>
      <c r="Q125" s="107">
        <f>IF(IFERROR(VLOOKUP(Q122,'Tabela de Apoio'!$D:$E,2,FALSE),1)=1,"",Q126)</f>
        <v>107.729871922032</v>
      </c>
      <c r="R125" s="107" t="str">
        <f>IF(IFERROR(VLOOKUP(R122,'Tabela de Apoio'!$D:$E,2,FALSE),1)=1,"",R126)</f>
        <v>DESCARTADO</v>
      </c>
      <c r="S125" s="107">
        <f>IF(IFERROR(VLOOKUP(S122,'Tabela de Apoio'!$D:$E,2,FALSE),1)=1,"",S126)</f>
        <v>108.90127418964286</v>
      </c>
      <c r="T125" s="107">
        <f>IF(IFERROR(VLOOKUP(T122,'Tabela de Apoio'!$D:$E,2,FALSE),1)=1,"",T126)</f>
        <v>100.48893575510559</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f t="shared" ref="B126:C126" si="308">B125</f>
        <v>6</v>
      </c>
      <c r="C126" s="128">
        <f t="shared" si="308"/>
        <v>1</v>
      </c>
      <c r="D126" s="127">
        <f t="shared" si="248"/>
        <v>6</v>
      </c>
      <c r="E126" s="199"/>
      <c r="F126" s="93"/>
      <c r="G126" s="201"/>
      <c r="H126" s="134">
        <f t="shared" ref="H126" si="309">COUNT($P126:$XX126)</f>
        <v>4</v>
      </c>
      <c r="I126" s="132">
        <f t="shared" ref="I126" si="310">_xlfn.STDEV.P($P125:$XX126)/AVERAGE($P125:$XX126)</f>
        <v>3.1115706625046792E-2</v>
      </c>
      <c r="J126" s="7">
        <f>ROW()</f>
        <v>126</v>
      </c>
      <c r="K126" s="67"/>
      <c r="L126" s="29" t="s">
        <v>10</v>
      </c>
      <c r="M126" s="30">
        <f t="shared" ref="M126" si="311">IFERROR(
IF(COUNTA(P120:AI120)=COUNTIF(P122:XX122,"Orçamento"),MIN(M131,M128),
IF(M129&lt;&gt;"",M129,
IF(M130&lt;&gt;"",M130,
M128
))),"")</f>
        <v>106.12429870991161</v>
      </c>
      <c r="N126" s="71"/>
      <c r="O126" s="27" t="s">
        <v>376</v>
      </c>
      <c r="P126" s="106">
        <f t="shared" ref="P126:AI126" si="312">IFERROR(IF(P124="",
            "",
            IF(COUNT($P124:$XX124)&lt;=4,
               P124,
               IF(OR(P124&gt;(QUARTILE($P124:$XX124,3)+(QUARTILE($P124:$XX124,3)-QUARTILE($P124:$XX124,1))),
                     P124&lt;(QUARTILE($P124:$XX124,1)-(QUARTILE($P124:$XX124,3)-QUARTILE($P124:$XX124,1)))
                  ),
               "DESCARTADO",P124)
             )
  ),P124)</f>
        <v>107.37711297286603</v>
      </c>
      <c r="Q126" s="106">
        <f t="shared" si="312"/>
        <v>107.729871922032</v>
      </c>
      <c r="R126" s="106" t="str">
        <f t="shared" si="312"/>
        <v>DESCARTADO</v>
      </c>
      <c r="S126" s="106">
        <f t="shared" si="312"/>
        <v>108.90127418964286</v>
      </c>
      <c r="T126" s="106">
        <f t="shared" si="312"/>
        <v>100.48893575510559</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f t="shared" ref="B127" si="313">B126</f>
        <v>6</v>
      </c>
      <c r="C127" s="128">
        <f t="shared" ref="C127" si="314">C126</f>
        <v>1</v>
      </c>
      <c r="D127" s="127">
        <f t="shared" si="248"/>
        <v>6</v>
      </c>
      <c r="E127" s="199"/>
      <c r="F127" s="93"/>
      <c r="G127" s="201"/>
      <c r="H127"/>
      <c r="I127"/>
      <c r="J127"/>
      <c r="K127" s="66"/>
      <c r="L127" s="29" t="s">
        <v>360</v>
      </c>
      <c r="M127" s="30">
        <f t="shared" ref="M127" si="315">AVERAGE($P126:$XX126)</f>
        <v>106.12429870991161</v>
      </c>
      <c r="N127" s="71"/>
      <c r="O127" s="27" t="str">
        <f t="shared" ref="O127" si="316">"1 POND"</f>
        <v>1 POND</v>
      </c>
      <c r="P127" s="107">
        <f>IF(IFERROR(VLOOKUP(P122,'Tabela de Apoio'!$D:$E,2,FALSE),1)=1,"",P128)</f>
        <v>107.37711297286603</v>
      </c>
      <c r="Q127" s="107">
        <f>IF(IFERROR(VLOOKUP(Q122,'Tabela de Apoio'!$D:$E,2,FALSE),1)=1,"",Q128)</f>
        <v>107.729871922032</v>
      </c>
      <c r="R127" s="107" t="str">
        <f>IF(IFERROR(VLOOKUP(R122,'Tabela de Apoio'!$D:$E,2,FALSE),1)=1,"",R128)</f>
        <v>DESCARTADO</v>
      </c>
      <c r="S127" s="107">
        <f>IF(IFERROR(VLOOKUP(S122,'Tabela de Apoio'!$D:$E,2,FALSE),1)=1,"",S128)</f>
        <v>108.90127418964286</v>
      </c>
      <c r="T127" s="107">
        <f>IF(IFERROR(VLOOKUP(T122,'Tabela de Apoio'!$D:$E,2,FALSE),1)=1,"",T128)</f>
        <v>100.48893575510559</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f t="shared" si="247"/>
        <v>6</v>
      </c>
      <c r="C128" s="128">
        <f t="shared" si="248"/>
        <v>1</v>
      </c>
      <c r="D128" s="127">
        <f t="shared" si="248"/>
        <v>6</v>
      </c>
      <c r="E128" s="199"/>
      <c r="F128" s="93"/>
      <c r="G128" s="201"/>
      <c r="H128" s="134">
        <f t="shared" ref="H128" si="317">COUNT($P128:$XX128)</f>
        <v>4</v>
      </c>
      <c r="I128" s="132">
        <f t="shared" ref="I128" si="318">_xlfn.STDEV.P($P127:$XX128)/AVERAGE($P127:$XX128)</f>
        <v>3.1115706625046792E-2</v>
      </c>
      <c r="J128" s="7">
        <f t="shared" ref="J128" si="319">IF(AND(H128&gt;2,
OR(L120="MÉDIA SANEADA",L120="MEDIANA SANEADA",
AND(L120="PREÇO ESTIMADO",NOT(AND(P122="Orçamento",COUNTA(P120:XX120)=COUNTIF(P122:XX122,"Orçamento")))))),
ROW(),0)</f>
        <v>128</v>
      </c>
      <c r="K128" s="66"/>
      <c r="L128" s="29" t="s">
        <v>361</v>
      </c>
      <c r="M128" s="30">
        <f t="shared" ref="M128" si="320">MEDIAN($P126:$XX126)</f>
        <v>107.55349244744902</v>
      </c>
      <c r="N128" s="71"/>
      <c r="O128" s="27" t="str">
        <f t="shared" ref="O128" si="321">"1 RODADA"</f>
        <v>1 RODADA</v>
      </c>
      <c r="P128" s="107">
        <f t="shared" ref="P128:AI128" si="322">IF(P126="","",IF((_xlfn.STDEV.P($P125:$XX126)/AVERAGE($P125:$XX126))&lt;=25%,P126,IF(OR(P126&gt;(AVERAGE($P125:$XX126)+_xlfn.STDEV.P($P125:$XX126)),P126&lt;(AVERAGE($P125:$XX126)-_xlfn.STDEV.P($P125:$XX126))),"DESCARTADO",P126)))</f>
        <v>107.37711297286603</v>
      </c>
      <c r="Q128" s="107">
        <f t="shared" si="322"/>
        <v>107.729871922032</v>
      </c>
      <c r="R128" s="107" t="str">
        <f t="shared" si="322"/>
        <v>DESCARTADO</v>
      </c>
      <c r="S128" s="107">
        <f t="shared" si="322"/>
        <v>108.90127418964286</v>
      </c>
      <c r="T128" s="107">
        <f t="shared" si="322"/>
        <v>100.48893575510559</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f t="shared" si="247"/>
        <v>6</v>
      </c>
      <c r="C129" s="128">
        <f t="shared" si="248"/>
        <v>1</v>
      </c>
      <c r="D129" s="127">
        <f t="shared" si="248"/>
        <v>6</v>
      </c>
      <c r="E129" s="199"/>
      <c r="F129" s="93"/>
      <c r="G129" s="201"/>
      <c r="H129"/>
      <c r="I129"/>
      <c r="J129"/>
      <c r="L129" s="29" t="s">
        <v>38</v>
      </c>
      <c r="M129" s="30">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106.12429870991161</v>
      </c>
      <c r="N129" s="71"/>
      <c r="O129" s="27" t="str">
        <f t="shared" ref="O129" si="324">"2 POND"</f>
        <v>2 POND</v>
      </c>
      <c r="P129" s="107">
        <f>IF(IFERROR(VLOOKUP(P122,'Tabela de Apoio'!$D:$E,2,FALSE),1)=1,"",P130)</f>
        <v>107.37711297286603</v>
      </c>
      <c r="Q129" s="107">
        <f>IF(IFERROR(VLOOKUP(Q122,'Tabela de Apoio'!$D:$E,2,FALSE),1)=1,"",Q130)</f>
        <v>107.729871922032</v>
      </c>
      <c r="R129" s="107" t="str">
        <f>IF(IFERROR(VLOOKUP(R122,'Tabela de Apoio'!$D:$E,2,FALSE),1)=1,"",R130)</f>
        <v>DESCARTADO</v>
      </c>
      <c r="S129" s="107">
        <f>IF(IFERROR(VLOOKUP(S122,'Tabela de Apoio'!$D:$E,2,FALSE),1)=1,"",S130)</f>
        <v>108.90127418964286</v>
      </c>
      <c r="T129" s="107">
        <f>IF(IFERROR(VLOOKUP(T122,'Tabela de Apoio'!$D:$E,2,FALSE),1)=1,"",T130)</f>
        <v>100.48893575510559</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f t="shared" si="247"/>
        <v>6</v>
      </c>
      <c r="C130" s="128">
        <f t="shared" si="248"/>
        <v>1</v>
      </c>
      <c r="D130" s="127">
        <f t="shared" si="248"/>
        <v>6</v>
      </c>
      <c r="E130" s="199"/>
      <c r="F130" s="93"/>
      <c r="G130" s="201"/>
      <c r="H130" s="134">
        <f t="shared" ref="H130" si="325">COUNT($P130:$XX130)</f>
        <v>4</v>
      </c>
      <c r="I130" s="132">
        <f t="shared" ref="I130" si="326">_xlfn.STDEV.P($P129:$XX130)/AVERAGE($P129:$XX130)</f>
        <v>3.1115706625046792E-2</v>
      </c>
      <c r="J130" s="7">
        <f t="shared" ref="J130" si="327">IF(AND(H130&gt;2,
OR(L120="MÉDIA SANEADA",L120="MEDIANA SANEADA",
AND(L120="PREÇO ESTIMADO",NOT(AND(P122="Orçamento",COUNTA(P120:XX120)=COUNTIF(P122:XX122,"Orçamento")))))),
ROW(),0)</f>
        <v>130</v>
      </c>
      <c r="K130" s="66"/>
      <c r="L130" s="29" t="s">
        <v>362</v>
      </c>
      <c r="M130" s="30">
        <f t="shared" ref="M130" si="328" xml:space="preserve">
IF(H128&gt;2,MEDIAN(P127:XX128),
IF(H130&gt;2,MEDIAN(P129:XX130),
IF(H132&gt;2,MEDIAN(P131:XX132),
IF(H134&gt;2,MEDIAN(P133:XX134),
IF(H136&gt;2,MEDIAN(P135:XX136),
IF(H138&gt;2,MEDIAN(P137:XX138),
MEDIAN(P125:XX126)))))))</f>
        <v>107.55349244744902</v>
      </c>
      <c r="N130" s="71"/>
      <c r="O130" s="27" t="str">
        <f t="shared" ref="O130" si="329">"2 RODADA"</f>
        <v>2 RODADA</v>
      </c>
      <c r="P130" s="107">
        <f t="shared" ref="P130:AI130" si="330">IF(P128="","",IF((_xlfn.STDEV.P($P127:$XX128)/AVERAGE($P127:$XX128))&lt;=25%,P128,IF(OR(P128&gt;(AVERAGE($P127:$XX128)+_xlfn.STDEV.P($P127:$XX128)),P128&lt;(AVERAGE($P127:$XX128)-_xlfn.STDEV.P($P127:$XX128))),"DESCARTADO",P128)))</f>
        <v>107.37711297286603</v>
      </c>
      <c r="Q130" s="107">
        <f t="shared" si="330"/>
        <v>107.729871922032</v>
      </c>
      <c r="R130" s="107" t="str">
        <f t="shared" si="330"/>
        <v>DESCARTADO</v>
      </c>
      <c r="S130" s="107">
        <f t="shared" si="330"/>
        <v>108.90127418964286</v>
      </c>
      <c r="T130" s="107">
        <f t="shared" si="330"/>
        <v>100.48893575510559</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f t="shared" si="247"/>
        <v>6</v>
      </c>
      <c r="C131" s="128">
        <f t="shared" si="248"/>
        <v>1</v>
      </c>
      <c r="D131" s="127">
        <f t="shared" si="248"/>
        <v>6</v>
      </c>
      <c r="E131" s="199"/>
      <c r="F131" s="93"/>
      <c r="G131" s="201"/>
      <c r="H131"/>
      <c r="I131"/>
      <c r="J131"/>
      <c r="K131" s="66"/>
      <c r="L131" s="29" t="s">
        <v>359</v>
      </c>
      <c r="M131" s="30">
        <f t="shared" ref="M131" si="331">HARMEAN($P125:$XX126)</f>
        <v>106.01805848090612</v>
      </c>
      <c r="N131" s="71"/>
      <c r="O131" s="27" t="str">
        <f t="shared" ref="O131" si="332">"3 POND"</f>
        <v>3 POND</v>
      </c>
      <c r="P131" s="107">
        <f>IF(IFERROR(VLOOKUP(P122,'Tabela de Apoio'!$D:$E,2,FALSE),1)=1,"",P132)</f>
        <v>107.37711297286603</v>
      </c>
      <c r="Q131" s="107">
        <f>IF(IFERROR(VLOOKUP(Q122,'Tabela de Apoio'!$D:$E,2,FALSE),1)=1,"",Q132)</f>
        <v>107.729871922032</v>
      </c>
      <c r="R131" s="107" t="str">
        <f>IF(IFERROR(VLOOKUP(R122,'Tabela de Apoio'!$D:$E,2,FALSE),1)=1,"",R132)</f>
        <v>DESCARTADO</v>
      </c>
      <c r="S131" s="107">
        <f>IF(IFERROR(VLOOKUP(S122,'Tabela de Apoio'!$D:$E,2,FALSE),1)=1,"",S132)</f>
        <v>108.90127418964286</v>
      </c>
      <c r="T131" s="107">
        <f>IF(IFERROR(VLOOKUP(T122,'Tabela de Apoio'!$D:$E,2,FALSE),1)=1,"",T132)</f>
        <v>100.48893575510559</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f t="shared" si="247"/>
        <v>6</v>
      </c>
      <c r="C132" s="128">
        <f t="shared" si="248"/>
        <v>1</v>
      </c>
      <c r="D132" s="127">
        <f t="shared" si="248"/>
        <v>6</v>
      </c>
      <c r="E132" s="199"/>
      <c r="F132" s="93"/>
      <c r="G132" s="201"/>
      <c r="H132" s="134">
        <f t="shared" ref="H132" si="333">COUNT($P132:$XX132)</f>
        <v>4</v>
      </c>
      <c r="I132" s="132">
        <f t="shared" ref="I132" si="334">_xlfn.STDEV.P($P131:$XX132)/AVERAGE($P131:$XX132)</f>
        <v>3.1115706625046792E-2</v>
      </c>
      <c r="J132" s="7">
        <f t="shared" ref="J132" si="335">IF(AND(H132&gt;2,
OR(L120="MÉDIA SANEADA",L120="MEDIANA SANEADA",
AND(L120="PREÇO ESTIMADO",NOT(AND(P122="Orçamento",COUNTA(P120:XX120)=COUNTIF(P122:XX122,"Orçamento")))))),
ROW(),0)</f>
        <v>132</v>
      </c>
      <c r="K132" s="66"/>
      <c r="L132" s="29" t="s">
        <v>41</v>
      </c>
      <c r="M132" s="30">
        <f t="shared" ref="M132" si="336">IFERROR(_xlfn.QUARTILE.EXC($P126:$XX126,1),"")</f>
        <v>102.2109800595457</v>
      </c>
      <c r="N132" s="71"/>
      <c r="O132" s="27" t="str">
        <f t="shared" ref="O132" si="337">"3 RODADA"</f>
        <v>3 RODADA</v>
      </c>
      <c r="P132" s="107">
        <f t="shared" ref="P132:AI132" si="338">IF(P130="","",IF((_xlfn.STDEV.P($P129:$XX130)/AVERAGE($P129:$XX130))&lt;=25%,P130,IF(OR(P130&gt;(AVERAGE($P129:$XX130)+_xlfn.STDEV.P($P129:$XX130)),P130&lt;(AVERAGE($P129:$XX130)-_xlfn.STDEV.P($P129:$XX130))),"DESCARTADO",P130)))</f>
        <v>107.37711297286603</v>
      </c>
      <c r="Q132" s="107">
        <f t="shared" si="338"/>
        <v>107.729871922032</v>
      </c>
      <c r="R132" s="107" t="str">
        <f t="shared" si="338"/>
        <v>DESCARTADO</v>
      </c>
      <c r="S132" s="107">
        <f t="shared" si="338"/>
        <v>108.90127418964286</v>
      </c>
      <c r="T132" s="107">
        <f t="shared" si="338"/>
        <v>100.48893575510559</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f t="shared" si="247"/>
        <v>6</v>
      </c>
      <c r="C133" s="128">
        <f t="shared" si="248"/>
        <v>1</v>
      </c>
      <c r="D133" s="127">
        <f t="shared" si="248"/>
        <v>6</v>
      </c>
      <c r="E133" s="199"/>
      <c r="F133" s="93"/>
      <c r="G133" s="201"/>
      <c r="H133"/>
      <c r="I133"/>
      <c r="J133"/>
      <c r="K133" s="66"/>
      <c r="L133" s="29" t="s">
        <v>39</v>
      </c>
      <c r="M133" s="30">
        <f t="shared" ref="M133" si="339">IFERROR(_xlfn.QUARTILE.EXC($P126:$XX126,3),"")</f>
        <v>108.60842362274015</v>
      </c>
      <c r="N133" s="71"/>
      <c r="O133" s="27" t="str">
        <f t="shared" ref="O133" si="340">"4 POND"</f>
        <v>4 POND</v>
      </c>
      <c r="P133" s="107">
        <f>IF(IFERROR(VLOOKUP(P122,'Tabela de Apoio'!$D:$E,2,FALSE),1)=1,"",P134)</f>
        <v>107.37711297286603</v>
      </c>
      <c r="Q133" s="107">
        <f>IF(IFERROR(VLOOKUP(Q122,'Tabela de Apoio'!$D:$E,2,FALSE),1)=1,"",Q134)</f>
        <v>107.729871922032</v>
      </c>
      <c r="R133" s="107" t="str">
        <f>IF(IFERROR(VLOOKUP(R122,'Tabela de Apoio'!$D:$E,2,FALSE),1)=1,"",R134)</f>
        <v>DESCARTADO</v>
      </c>
      <c r="S133" s="107">
        <f>IF(IFERROR(VLOOKUP(S122,'Tabela de Apoio'!$D:$E,2,FALSE),1)=1,"",S134)</f>
        <v>108.90127418964286</v>
      </c>
      <c r="T133" s="107">
        <f>IF(IFERROR(VLOOKUP(T122,'Tabela de Apoio'!$D:$E,2,FALSE),1)=1,"",T134)</f>
        <v>100.48893575510559</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f t="shared" si="247"/>
        <v>6</v>
      </c>
      <c r="C134" s="128">
        <f t="shared" si="248"/>
        <v>1</v>
      </c>
      <c r="D134" s="127">
        <f t="shared" si="248"/>
        <v>6</v>
      </c>
      <c r="E134" s="199"/>
      <c r="F134" s="93"/>
      <c r="G134" s="201"/>
      <c r="H134" s="134">
        <f t="shared" ref="H134" si="341">COUNT($P134:$XX134)</f>
        <v>4</v>
      </c>
      <c r="I134" s="132">
        <f t="shared" ref="I134" si="342">_xlfn.STDEV.P($P133:$XX134)/AVERAGE($P133:$XX134)</f>
        <v>3.1115706625046792E-2</v>
      </c>
      <c r="J134" s="7">
        <f t="shared" ref="J134" si="343">IF(AND(H134&gt;2,
OR(L120="MÉDIA SANEADA",L120="MEDIANA SANEADA",
AND(L120="PREÇO ESTIMADO",NOT(AND(P122="Orçamento",COUNTA(P120:XX120)=COUNTIF(P122:XX122,"Orçamento")))))),
ROW(),0)</f>
        <v>134</v>
      </c>
      <c r="K134" s="66"/>
      <c r="L134" s="29" t="s">
        <v>42</v>
      </c>
      <c r="M134" s="30">
        <f t="shared" ref="M134" si="344">MIN($P126:$XX126)</f>
        <v>100.48893575510559</v>
      </c>
      <c r="N134" s="71"/>
      <c r="O134" s="27" t="str">
        <f t="shared" ref="O134" si="345">"4 RODADA"</f>
        <v>4 RODADA</v>
      </c>
      <c r="P134" s="107">
        <f t="shared" ref="P134:AI134" si="346">IF(P132="","",IF((_xlfn.STDEV.P($P131:$XX132)/AVERAGE($P131:$XX132))&lt;=25%,P132,IF(OR(P132&gt;(AVERAGE($P131:$XX132)+_xlfn.STDEV.P($P131:$XX132)),P132&lt;(AVERAGE($P131:$XX132)-_xlfn.STDEV.P($P131:$XX132))),"DESCARTADO",P132)))</f>
        <v>107.37711297286603</v>
      </c>
      <c r="Q134" s="107">
        <f t="shared" si="346"/>
        <v>107.729871922032</v>
      </c>
      <c r="R134" s="107" t="str">
        <f t="shared" si="346"/>
        <v>DESCARTADO</v>
      </c>
      <c r="S134" s="107">
        <f t="shared" si="346"/>
        <v>108.90127418964286</v>
      </c>
      <c r="T134" s="107">
        <f t="shared" si="346"/>
        <v>100.48893575510559</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f t="shared" si="247"/>
        <v>6</v>
      </c>
      <c r="C135" s="128">
        <f t="shared" si="248"/>
        <v>1</v>
      </c>
      <c r="D135" s="127">
        <f t="shared" si="248"/>
        <v>6</v>
      </c>
      <c r="E135" s="199"/>
      <c r="F135" s="93"/>
      <c r="G135" s="201"/>
      <c r="H135"/>
      <c r="I135"/>
      <c r="J135"/>
      <c r="K135" s="66"/>
      <c r="L135" s="29" t="s">
        <v>40</v>
      </c>
      <c r="M135" s="30">
        <f t="shared" ref="M135" si="347">MAX($P126:$XX126)</f>
        <v>108.90127418964286</v>
      </c>
      <c r="N135" s="71"/>
      <c r="O135" s="27" t="str">
        <f t="shared" ref="O135" si="348">"5 POND"</f>
        <v>5 POND</v>
      </c>
      <c r="P135" s="107">
        <f>IF(IFERROR(VLOOKUP(P122,'Tabela de Apoio'!$D:$E,2,FALSE),1)=1,"",P136)</f>
        <v>107.37711297286603</v>
      </c>
      <c r="Q135" s="107">
        <f>IF(IFERROR(VLOOKUP(Q122,'Tabela de Apoio'!$D:$E,2,FALSE),1)=1,"",Q136)</f>
        <v>107.729871922032</v>
      </c>
      <c r="R135" s="107" t="str">
        <f>IF(IFERROR(VLOOKUP(R122,'Tabela de Apoio'!$D:$E,2,FALSE),1)=1,"",R136)</f>
        <v>DESCARTADO</v>
      </c>
      <c r="S135" s="107">
        <f>IF(IFERROR(VLOOKUP(S122,'Tabela de Apoio'!$D:$E,2,FALSE),1)=1,"",S136)</f>
        <v>108.90127418964286</v>
      </c>
      <c r="T135" s="107">
        <f>IF(IFERROR(VLOOKUP(T122,'Tabela de Apoio'!$D:$E,2,FALSE),1)=1,"",T136)</f>
        <v>100.48893575510559</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f t="shared" si="247"/>
        <v>6</v>
      </c>
      <c r="C136" s="128">
        <f t="shared" si="248"/>
        <v>1</v>
      </c>
      <c r="D136" s="127">
        <f t="shared" si="248"/>
        <v>6</v>
      </c>
      <c r="E136" s="199"/>
      <c r="F136" s="93"/>
      <c r="G136" s="201"/>
      <c r="H136" s="134">
        <f t="shared" ref="H136" si="349">COUNT($P136:$XX136)</f>
        <v>4</v>
      </c>
      <c r="I136" s="132">
        <f t="shared" ref="I136" si="350">_xlfn.STDEV.P($P135:$XX136)/AVERAGE($P135:$XX136)</f>
        <v>3.1115706625046792E-2</v>
      </c>
      <c r="J136" s="7">
        <f t="shared" ref="J136" si="351">IF(AND(H136&gt;2,
OR(L120="MÉDIA SANEADA",L120="MEDIANA SANEADA",
AND(L120="PREÇO ESTIMADO",NOT(AND(P122="Orçamento",COUNTA(P120:XX120)=COUNTIF(P122:XX122,"Orçamento")))))),
ROW(),0)</f>
        <v>136</v>
      </c>
      <c r="K136" s="66"/>
      <c r="N136" s="71"/>
      <c r="O136" s="27" t="str">
        <f t="shared" ref="O136" si="352">"5 RODADA"</f>
        <v>5 RODADA</v>
      </c>
      <c r="P136" s="107">
        <f t="shared" ref="P136:AI136" si="353">IF(P134="","",IF((_xlfn.STDEV.P($P133:$XX134)/AVERAGE($P133:$XX134))&lt;=25%,P134,IF(OR(P134&gt;(AVERAGE($P133:$XX134)+_xlfn.STDEV.P($P133:$XX134)),P134&lt;(AVERAGE($P133:$XX134)-_xlfn.STDEV.P($P133:$XX134))),"DESCARTADO",P134)))</f>
        <v>107.37711297286603</v>
      </c>
      <c r="Q136" s="107">
        <f t="shared" si="353"/>
        <v>107.729871922032</v>
      </c>
      <c r="R136" s="107" t="str">
        <f t="shared" si="353"/>
        <v>DESCARTADO</v>
      </c>
      <c r="S136" s="107">
        <f t="shared" si="353"/>
        <v>108.90127418964286</v>
      </c>
      <c r="T136" s="107">
        <f t="shared" si="353"/>
        <v>100.48893575510559</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f t="shared" si="247"/>
        <v>6</v>
      </c>
      <c r="C137" s="128">
        <f t="shared" si="248"/>
        <v>1</v>
      </c>
      <c r="D137" s="127">
        <f t="shared" si="248"/>
        <v>6</v>
      </c>
      <c r="E137" s="199"/>
      <c r="F137" s="93"/>
      <c r="G137" s="201"/>
      <c r="H137"/>
      <c r="I137"/>
      <c r="J137"/>
      <c r="K137" s="66"/>
      <c r="L137" s="22"/>
      <c r="M137" s="22"/>
      <c r="N137" s="71"/>
      <c r="O137" s="27" t="str">
        <f t="shared" ref="O137" si="354">"6 POND"</f>
        <v>6 POND</v>
      </c>
      <c r="P137" s="107">
        <f>IF(IFERROR(VLOOKUP(P122,'Tabela de Apoio'!$D:$E,2,FALSE),1)=1,"",P138)</f>
        <v>107.37711297286603</v>
      </c>
      <c r="Q137" s="107">
        <f>IF(IFERROR(VLOOKUP(Q122,'Tabela de Apoio'!$D:$E,2,FALSE),1)=1,"",Q138)</f>
        <v>107.729871922032</v>
      </c>
      <c r="R137" s="107" t="str">
        <f>IF(IFERROR(VLOOKUP(R122,'Tabela de Apoio'!$D:$E,2,FALSE),1)=1,"",R138)</f>
        <v>DESCARTADO</v>
      </c>
      <c r="S137" s="107">
        <f>IF(IFERROR(VLOOKUP(S122,'Tabela de Apoio'!$D:$E,2,FALSE),1)=1,"",S138)</f>
        <v>108.90127418964286</v>
      </c>
      <c r="T137" s="107">
        <f>IF(IFERROR(VLOOKUP(T122,'Tabela de Apoio'!$D:$E,2,FALSE),1)=1,"",T138)</f>
        <v>100.48893575510559</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f t="shared" si="247"/>
        <v>6</v>
      </c>
      <c r="C138" s="128">
        <f t="shared" si="248"/>
        <v>1</v>
      </c>
      <c r="D138" s="127">
        <f t="shared" si="248"/>
        <v>6</v>
      </c>
      <c r="E138" s="199"/>
      <c r="F138" s="93"/>
      <c r="G138" s="201"/>
      <c r="H138" s="134">
        <f t="shared" ref="H138" si="355">COUNT($P138:$XX138)</f>
        <v>4</v>
      </c>
      <c r="I138" s="132">
        <f t="shared" ref="I138" si="356">_xlfn.STDEV.P($P137:$XX138)/AVERAGE($P137:$XX138)</f>
        <v>3.1115706625046792E-2</v>
      </c>
      <c r="J138" s="7">
        <f t="shared" ref="J138" si="357">IF(AND(H138&gt;2,
OR(L120="MÉDIA SANEADA",L120="MEDIANA SANEADA",
AND(L120="PREÇO ESTIMADO",NOT(AND(P122="Orçamento",COUNTA(P120:XX120)=COUNTIF(P122:XX122,"Orçamento")))))),
ROW(),0)</f>
        <v>138</v>
      </c>
      <c r="N138" s="71"/>
      <c r="O138" s="27" t="str">
        <f t="shared" ref="O138" si="358">"6 RODADA"</f>
        <v>6 RODADA</v>
      </c>
      <c r="P138" s="107">
        <f t="shared" ref="P138:AI138" si="359">IFERROR(IF(P136="","",IF((_xlfn.STDEV.P($P135:$XX136)/AVERAGE($P135:$XX136))&lt;=25%,P136,IF(OR(P136&gt;(AVERAGE($P135:$XX136)+_xlfn.STDEV.P($P135:$XX136)),P136&lt;(AVERAGE($P135:$XX136)-_xlfn.STDEV.P($P135:$XX136))),"DESCARTADO",P136))),)</f>
        <v>107.37711297286603</v>
      </c>
      <c r="Q138" s="107">
        <f t="shared" si="359"/>
        <v>107.729871922032</v>
      </c>
      <c r="R138" s="107" t="str">
        <f t="shared" si="359"/>
        <v>DESCARTADO</v>
      </c>
      <c r="S138" s="107">
        <f t="shared" si="359"/>
        <v>108.90127418964286</v>
      </c>
      <c r="T138" s="107">
        <f t="shared" si="359"/>
        <v>100.48893575510559</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f t="shared" si="247"/>
        <v>6</v>
      </c>
      <c r="C139" s="128">
        <f t="shared" si="248"/>
        <v>1</v>
      </c>
      <c r="D139" s="127">
        <f t="shared" si="248"/>
        <v>6</v>
      </c>
      <c r="E139" s="199"/>
      <c r="F139" s="136"/>
      <c r="G139" s="201"/>
      <c r="H139" s="204"/>
      <c r="I139" s="204"/>
      <c r="J139" s="205"/>
      <c r="K139" s="67"/>
      <c r="L139" s="1" t="s">
        <v>43</v>
      </c>
      <c r="M139" s="143">
        <f t="shared" ref="M139" si="360">IFERROR(ROUND(M120*M122,2),"")</f>
        <v>86806.16</v>
      </c>
      <c r="O139" s="27" t="s">
        <v>363</v>
      </c>
      <c r="P139" s="107">
        <f t="shared" ref="P139:AI160" si="361">INDEX(P126:P138,MATCH(MAX($J126:$J138),$J126:$J138,0))</f>
        <v>107.37711297286603</v>
      </c>
      <c r="Q139" s="107">
        <f t="shared" si="361"/>
        <v>107.729871922032</v>
      </c>
      <c r="R139" s="107" t="str">
        <f t="shared" si="361"/>
        <v>DESCARTADO</v>
      </c>
      <c r="S139" s="107">
        <f t="shared" si="361"/>
        <v>108.90127418964286</v>
      </c>
      <c r="T139" s="107">
        <f t="shared" si="361"/>
        <v>100.48893575510559</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f t="shared" ref="B141" si="362">LARGE(IFERROR(IF(B139+1&gt;$H$8,"",B139+1),""),1)</f>
        <v>7</v>
      </c>
      <c r="C141" s="127">
        <f>IF(_xlfn.ISFORMULA(E145),MAX(INDEX('BASE FORMAÇÃO'!A:A,B141+1),1),E145)</f>
        <v>1</v>
      </c>
      <c r="D141" s="127">
        <f t="shared" ref="D141" si="363">IFERROR(IF(C141=C131,D131+1,1),1)</f>
        <v>7</v>
      </c>
      <c r="E141" s="38" t="s">
        <v>9</v>
      </c>
      <c r="F141" s="73"/>
      <c r="G141" s="38" t="s">
        <v>15</v>
      </c>
      <c r="H141" s="135">
        <f>INDEX('BASE FORMAÇÃO'!B:B,B141+1)</f>
        <v>0</v>
      </c>
      <c r="I141" s="181" t="s">
        <v>16</v>
      </c>
      <c r="J141" s="6">
        <f>INDEX('BASE FORMAÇÃO'!K:K,B141+1)</f>
        <v>0</v>
      </c>
      <c r="K141" s="65"/>
      <c r="L141" s="183" t="s">
        <v>10</v>
      </c>
      <c r="M141" s="185">
        <f t="shared" ref="M141" si="364">IF(OR(ISBLANK($O$8),ISBLANK($O$7),ISBLANK($H$8),ISBLANK($O$6),ISBLANK($O$5),ISBLANK($H$5)),"",IFERROR(IF(VLOOKUP(L141,L147:M156,2,FALSE)&lt;1,ROUND(VLOOKUP(L141,L147:M156,2,FALSE),4),ROUND(VLOOKUP(L141,L147:M156,2,FALSE),2)),""))</f>
        <v>72.27</v>
      </c>
      <c r="N141" s="69"/>
      <c r="O141" s="27" t="s">
        <v>17</v>
      </c>
      <c r="P141" s="113">
        <v>39.5</v>
      </c>
      <c r="Q141" s="113">
        <v>120</v>
      </c>
      <c r="R141" s="113">
        <v>69.86</v>
      </c>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f t="shared" ref="B142:D142" si="365">B141</f>
        <v>7</v>
      </c>
      <c r="C142" s="128">
        <f t="shared" si="365"/>
        <v>1</v>
      </c>
      <c r="D142" s="127">
        <f t="shared" si="365"/>
        <v>7</v>
      </c>
      <c r="E142" s="187">
        <f t="shared" ref="E142" si="366">D141</f>
        <v>7</v>
      </c>
      <c r="F142" s="92"/>
      <c r="G142" s="189" t="s">
        <v>1</v>
      </c>
      <c r="H142" s="192" t="str">
        <f>INDEX('BASE FORMAÇÃO'!C:C,B141+1)</f>
        <v>Faixas de rua</v>
      </c>
      <c r="I142" s="192"/>
      <c r="J142" s="193"/>
      <c r="K142" s="66"/>
      <c r="L142" s="184"/>
      <c r="M142" s="186"/>
      <c r="N142" s="70"/>
      <c r="O142" s="27" t="s">
        <v>13</v>
      </c>
      <c r="P142" s="122">
        <v>46003</v>
      </c>
      <c r="Q142" s="122">
        <v>46167</v>
      </c>
      <c r="R142" s="122">
        <v>45993</v>
      </c>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f t="shared" ref="B143:D143" si="367">B142</f>
        <v>7</v>
      </c>
      <c r="C143" s="128">
        <f t="shared" si="367"/>
        <v>1</v>
      </c>
      <c r="D143" s="127">
        <f t="shared" si="367"/>
        <v>7</v>
      </c>
      <c r="E143" s="188"/>
      <c r="F143" s="93"/>
      <c r="G143" s="190"/>
      <c r="H143" s="194"/>
      <c r="I143" s="194"/>
      <c r="J143" s="195"/>
      <c r="K143" s="64"/>
      <c r="L143" s="130" t="s">
        <v>44</v>
      </c>
      <c r="M143" s="131">
        <f>INDEX('BASE FORMAÇÃO'!H:H,B145+1)</f>
        <v>1139</v>
      </c>
      <c r="N143" s="71"/>
      <c r="O143" s="27" t="s">
        <v>380</v>
      </c>
      <c r="P143" s="114" t="s">
        <v>12</v>
      </c>
      <c r="Q143" s="114" t="s">
        <v>12</v>
      </c>
      <c r="R143" s="114" t="s">
        <v>12</v>
      </c>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f t="shared" ref="B144:C144" si="368">B143</f>
        <v>7</v>
      </c>
      <c r="C144" s="128">
        <f t="shared" si="368"/>
        <v>1</v>
      </c>
      <c r="D144" s="127">
        <f t="shared" si="248"/>
        <v>7</v>
      </c>
      <c r="E144" s="38" t="s">
        <v>313</v>
      </c>
      <c r="F144" s="93"/>
      <c r="G144" s="191"/>
      <c r="H144" s="196"/>
      <c r="I144" s="196"/>
      <c r="J144" s="197"/>
      <c r="K144" s="64"/>
      <c r="L144" s="1" t="s">
        <v>2</v>
      </c>
      <c r="M144" s="6" t="str">
        <f>INDEX('BASE FORMAÇÃO'!D:D,B145+1)</f>
        <v>UND</v>
      </c>
      <c r="N144" s="71"/>
      <c r="O144" s="27" t="s">
        <v>381</v>
      </c>
      <c r="P144" s="115" t="s">
        <v>459</v>
      </c>
      <c r="Q144" s="115" t="s">
        <v>460</v>
      </c>
      <c r="R144" s="115" t="s">
        <v>460</v>
      </c>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f t="shared" ref="B145:C145" si="369">B143</f>
        <v>7</v>
      </c>
      <c r="C145" s="128">
        <f t="shared" si="369"/>
        <v>1</v>
      </c>
      <c r="D145" s="127">
        <f t="shared" si="248"/>
        <v>7</v>
      </c>
      <c r="E145" s="198">
        <f t="shared" ref="E145" si="370">C141</f>
        <v>1</v>
      </c>
      <c r="F145" s="93"/>
      <c r="G145" s="200" t="s">
        <v>304</v>
      </c>
      <c r="H145" s="202"/>
      <c r="I145" s="203"/>
      <c r="J145" s="203"/>
      <c r="K145" s="67"/>
      <c r="L145" s="28" t="s">
        <v>303</v>
      </c>
      <c r="M145" s="133">
        <f t="shared" ref="M145" si="371">IFERROR(INDEX(I147:I159,MATCH(MAX(J147:J159),J147:J159,0)),"")</f>
        <v>0.42090946066832702</v>
      </c>
      <c r="N145" s="71"/>
      <c r="O145" s="27" t="s">
        <v>18</v>
      </c>
      <c r="P145" s="106">
        <f>IF(P141="","",
IF(OR(P143="Orçamento",P142="",MAX('Tabela de Apoio'!$A:$A)&lt;=P142),
P141,
(INDEX('Tabela de Apoio'!$B:$B,MATCH('MAPA DE PREÇOS'!$O$8,'Tabela de Apoio'!$A:$A,1))/INDEX('Tabela de Apoio'!$B:$B,MATCH('MAPA DE PREÇOS'!P142,'Tabela de Apoio'!$A:$A,1)-1))*P141))</f>
        <v>40.861232778691793</v>
      </c>
      <c r="Q145" s="106">
        <f>IF(Q141="","",
IF(OR(Q143="Orçamento",Q142="",MAX('Tabela de Apoio'!$A:$A)&lt;=Q142),
Q141,
(INDEX('Tabela de Apoio'!$B:$B,MATCH('MAPA DE PREÇOS'!$O$8,'Tabela de Apoio'!$A:$A,1))/INDEX('Tabela de Apoio'!$B:$B,MATCH('MAPA DE PREÇOS'!Q142,'Tabela de Apoio'!$A:$A,1)-1))*Q141))</f>
        <v>120.5867229061267</v>
      </c>
      <c r="R145" s="106">
        <f>IF(R141="","",
IF(OR(R143="Orçamento",R142="",MAX('Tabela de Apoio'!$A:$A)&lt;=R142),
R141,
(INDEX('Tabela de Apoio'!$B:$B,MATCH('MAPA DE PREÇOS'!$O$8,'Tabela de Apoio'!$A:$A,1))/INDEX('Tabela de Apoio'!$B:$B,MATCH('MAPA DE PREÇOS'!R142,'Tabela de Apoio'!$A:$A,1)-1))*R141))</f>
        <v>72.267486630871105</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f t="shared" ref="B146" si="372">B145</f>
        <v>7</v>
      </c>
      <c r="C146" s="128">
        <f t="shared" ref="C146" si="373">C145</f>
        <v>1</v>
      </c>
      <c r="D146" s="127">
        <f t="shared" si="248"/>
        <v>7</v>
      </c>
      <c r="E146" s="199"/>
      <c r="F146" s="93"/>
      <c r="G146" s="201"/>
      <c r="H146"/>
      <c r="I146"/>
      <c r="J146"/>
      <c r="N146" s="71"/>
      <c r="O146" s="27" t="s">
        <v>375</v>
      </c>
      <c r="P146" s="107">
        <f>IF(IFERROR(VLOOKUP(P143,'Tabela de Apoio'!$D:$E,2,FALSE),1)=1,"",P147)</f>
        <v>40.861232778691793</v>
      </c>
      <c r="Q146" s="107">
        <f>IF(IFERROR(VLOOKUP(Q143,'Tabela de Apoio'!$D:$E,2,FALSE),1)=1,"",Q147)</f>
        <v>120.5867229061267</v>
      </c>
      <c r="R146" s="107">
        <f>IF(IFERROR(VLOOKUP(R143,'Tabela de Apoio'!$D:$E,2,FALSE),1)=1,"",R147)</f>
        <v>72.267486630871105</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f t="shared" ref="B147:C147" si="374">B146</f>
        <v>7</v>
      </c>
      <c r="C147" s="128">
        <f t="shared" si="374"/>
        <v>1</v>
      </c>
      <c r="D147" s="127">
        <f t="shared" si="248"/>
        <v>7</v>
      </c>
      <c r="E147" s="199"/>
      <c r="F147" s="93"/>
      <c r="G147" s="201"/>
      <c r="H147" s="134">
        <f t="shared" ref="H147" si="375">COUNT($P147:$XX147)</f>
        <v>3</v>
      </c>
      <c r="I147" s="132">
        <f t="shared" ref="I147" si="376">_xlfn.STDEV.P($P146:$XX147)/AVERAGE($P146:$XX147)</f>
        <v>0.42090946066832702</v>
      </c>
      <c r="J147" s="7">
        <f>ROW()</f>
        <v>147</v>
      </c>
      <c r="K147" s="67"/>
      <c r="L147" s="29" t="s">
        <v>10</v>
      </c>
      <c r="M147" s="30">
        <f t="shared" ref="M147" si="377">IFERROR(
IF(COUNTA(P141:AI141)=COUNTIF(P143:XX143,"Orçamento"),MIN(M152,M149),
IF(M150&lt;&gt;"",M150,
IF(M151&lt;&gt;"",M151,
M149
))),"")</f>
        <v>72.267486630871105</v>
      </c>
      <c r="N147" s="71"/>
      <c r="O147" s="27" t="s">
        <v>376</v>
      </c>
      <c r="P147" s="106">
        <f t="shared" ref="P147:AI147" si="378">IFERROR(IF(P145="",
            "",
            IF(COUNT($P145:$XX145)&lt;=4,
               P145,
               IF(OR(P145&gt;(QUARTILE($P145:$XX145,3)+(QUARTILE($P145:$XX145,3)-QUARTILE($P145:$XX145,1))),
                     P145&lt;(QUARTILE($P145:$XX145,1)-(QUARTILE($P145:$XX145,3)-QUARTILE($P145:$XX145,1)))
                  ),
               "DESCARTADO",P145)
             )
  ),P145)</f>
        <v>40.861232778691793</v>
      </c>
      <c r="Q147" s="106">
        <f t="shared" si="378"/>
        <v>120.5867229061267</v>
      </c>
      <c r="R147" s="106">
        <f t="shared" si="378"/>
        <v>72.267486630871105</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f t="shared" ref="B148" si="379">B147</f>
        <v>7</v>
      </c>
      <c r="C148" s="128">
        <f t="shared" ref="C148" si="380">C147</f>
        <v>1</v>
      </c>
      <c r="D148" s="127">
        <f t="shared" si="248"/>
        <v>7</v>
      </c>
      <c r="E148" s="199"/>
      <c r="F148" s="93"/>
      <c r="G148" s="201"/>
      <c r="H148"/>
      <c r="I148"/>
      <c r="J148"/>
      <c r="K148" s="66"/>
      <c r="L148" s="29" t="s">
        <v>360</v>
      </c>
      <c r="M148" s="30">
        <f t="shared" ref="M148" si="381">AVERAGE($P147:$XX147)</f>
        <v>77.905147438563191</v>
      </c>
      <c r="N148" s="71"/>
      <c r="O148" s="27" t="str">
        <f t="shared" ref="O148" si="382">"1 POND"</f>
        <v>1 POND</v>
      </c>
      <c r="P148" s="107" t="str">
        <f>IF(IFERROR(VLOOKUP(P143,'Tabela de Apoio'!$D:$E,2,FALSE),1)=1,"",P149)</f>
        <v>DESCARTADO</v>
      </c>
      <c r="Q148" s="107" t="str">
        <f>IF(IFERROR(VLOOKUP(Q143,'Tabela de Apoio'!$D:$E,2,FALSE),1)=1,"",Q149)</f>
        <v>DESCARTADO</v>
      </c>
      <c r="R148" s="107">
        <f>IF(IFERROR(VLOOKUP(R143,'Tabela de Apoio'!$D:$E,2,FALSE),1)=1,"",R149)</f>
        <v>72.267486630871105</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f t="shared" si="247"/>
        <v>7</v>
      </c>
      <c r="C149" s="128">
        <f t="shared" si="248"/>
        <v>1</v>
      </c>
      <c r="D149" s="127">
        <f t="shared" si="248"/>
        <v>7</v>
      </c>
      <c r="E149" s="199"/>
      <c r="F149" s="93"/>
      <c r="G149" s="201"/>
      <c r="H149" s="134">
        <f t="shared" ref="H149" si="383">COUNT($P149:$XX149)</f>
        <v>1</v>
      </c>
      <c r="I149" s="132">
        <f t="shared" ref="I149" si="384">_xlfn.STDEV.P($P148:$XX149)/AVERAGE($P148:$XX149)</f>
        <v>0</v>
      </c>
      <c r="J149" s="7">
        <f t="shared" ref="J149" si="385">IF(AND(H149&gt;2,
OR(L141="MÉDIA SANEADA",L141="MEDIANA SANEADA",
AND(L141="PREÇO ESTIMADO",NOT(AND(P143="Orçamento",COUNTA(P141:XX141)=COUNTIF(P143:XX143,"Orçamento")))))),
ROW(),0)</f>
        <v>0</v>
      </c>
      <c r="K149" s="66"/>
      <c r="L149" s="29" t="s">
        <v>361</v>
      </c>
      <c r="M149" s="30">
        <f t="shared" ref="M149" si="386">MEDIAN($P147:$XX147)</f>
        <v>72.267486630871105</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DESCARTADO</v>
      </c>
      <c r="Q149" s="107" t="str">
        <f t="shared" si="388"/>
        <v>DESCARTADO</v>
      </c>
      <c r="R149" s="107">
        <f t="shared" si="388"/>
        <v>72.267486630871105</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f t="shared" si="247"/>
        <v>7</v>
      </c>
      <c r="C150" s="128">
        <f t="shared" si="248"/>
        <v>1</v>
      </c>
      <c r="D150" s="127">
        <f t="shared" si="248"/>
        <v>7</v>
      </c>
      <c r="E150" s="199"/>
      <c r="F150" s="93"/>
      <c r="G150" s="201"/>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DESCARTADO</v>
      </c>
      <c r="Q150" s="107" t="str">
        <f>IF(IFERROR(VLOOKUP(Q143,'Tabela de Apoio'!$D:$E,2,FALSE),1)=1,"",Q151)</f>
        <v>DESCARTADO</v>
      </c>
      <c r="R150" s="107">
        <f>IF(IFERROR(VLOOKUP(R143,'Tabela de Apoio'!$D:$E,2,FALSE),1)=1,"",R151)</f>
        <v>72.267486630871105</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f t="shared" si="247"/>
        <v>7</v>
      </c>
      <c r="C151" s="128">
        <f t="shared" si="248"/>
        <v>1</v>
      </c>
      <c r="D151" s="127">
        <f t="shared" si="248"/>
        <v>7</v>
      </c>
      <c r="E151" s="199"/>
      <c r="F151" s="93"/>
      <c r="G151" s="201"/>
      <c r="H151" s="134">
        <f t="shared" ref="H151" si="391">COUNT($P151:$XX151)</f>
        <v>1</v>
      </c>
      <c r="I151" s="132">
        <f t="shared" ref="I151" si="392">_xlfn.STDEV.P($P150:$XX151)/AVERAGE($P150:$XX151)</f>
        <v>0</v>
      </c>
      <c r="J151" s="7">
        <f t="shared" ref="J151" si="393">IF(AND(H151&gt;2,
OR(L141="MÉDIA SANEADA",L141="MEDIANA SANEADA",
AND(L141="PREÇO ESTIMADO",NOT(AND(P143="Orçamento",COUNTA(P141:XX141)=COUNTIF(P143:XX143,"Orçamento")))))),
ROW(),0)</f>
        <v>0</v>
      </c>
      <c r="K151" s="66"/>
      <c r="L151" s="29" t="s">
        <v>362</v>
      </c>
      <c r="M151" s="30">
        <f t="shared" ref="M151" si="394" xml:space="preserve">
IF(H149&gt;2,MEDIAN(P148:XX149),
IF(H151&gt;2,MEDIAN(P150:XX151),
IF(H153&gt;2,MEDIAN(P152:XX153),
IF(H155&gt;2,MEDIAN(P154:XX155),
IF(H157&gt;2,MEDIAN(P156:XX157),
IF(H159&gt;2,MEDIAN(P158:XX159),
MEDIAN(P146:XX147)))))))</f>
        <v>72.267486630871105</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DESCARTADO</v>
      </c>
      <c r="Q151" s="107" t="str">
        <f t="shared" si="396"/>
        <v>DESCARTADO</v>
      </c>
      <c r="R151" s="107">
        <f t="shared" si="396"/>
        <v>72.267486630871105</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f t="shared" si="247"/>
        <v>7</v>
      </c>
      <c r="C152" s="128">
        <f t="shared" si="248"/>
        <v>1</v>
      </c>
      <c r="D152" s="127">
        <f t="shared" si="248"/>
        <v>7</v>
      </c>
      <c r="E152" s="199"/>
      <c r="F152" s="93"/>
      <c r="G152" s="201"/>
      <c r="H152"/>
      <c r="I152"/>
      <c r="J152"/>
      <c r="K152" s="66"/>
      <c r="L152" s="29" t="s">
        <v>359</v>
      </c>
      <c r="M152" s="30">
        <f t="shared" ref="M152" si="397">HARMEAN($P146:$XX147)</f>
        <v>64.373064462002105</v>
      </c>
      <c r="N152" s="71"/>
      <c r="O152" s="27" t="str">
        <f t="shared" ref="O152" si="398">"3 POND"</f>
        <v>3 POND</v>
      </c>
      <c r="P152" s="107" t="str">
        <f>IF(IFERROR(VLOOKUP(P143,'Tabela de Apoio'!$D:$E,2,FALSE),1)=1,"",P153)</f>
        <v>DESCARTADO</v>
      </c>
      <c r="Q152" s="107" t="str">
        <f>IF(IFERROR(VLOOKUP(Q143,'Tabela de Apoio'!$D:$E,2,FALSE),1)=1,"",Q153)</f>
        <v>DESCARTADO</v>
      </c>
      <c r="R152" s="107">
        <f>IF(IFERROR(VLOOKUP(R143,'Tabela de Apoio'!$D:$E,2,FALSE),1)=1,"",R153)</f>
        <v>72.267486630871105</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f t="shared" si="247"/>
        <v>7</v>
      </c>
      <c r="C153" s="128">
        <f t="shared" si="248"/>
        <v>1</v>
      </c>
      <c r="D153" s="127">
        <f t="shared" si="248"/>
        <v>7</v>
      </c>
      <c r="E153" s="199"/>
      <c r="F153" s="93"/>
      <c r="G153" s="201"/>
      <c r="H153" s="134">
        <f t="shared" ref="H153" si="399">COUNT($P153:$XX153)</f>
        <v>1</v>
      </c>
      <c r="I153" s="132">
        <f t="shared" ref="I153" si="400">_xlfn.STDEV.P($P152:$XX153)/AVERAGE($P152:$XX153)</f>
        <v>0</v>
      </c>
      <c r="J153" s="7">
        <f t="shared" ref="J153" si="401">IF(AND(H153&gt;2,
OR(L141="MÉDIA SANEADA",L141="MEDIANA SANEADA",
AND(L141="PREÇO ESTIMADO",NOT(AND(P143="Orçamento",COUNTA(P141:XX141)=COUNTIF(P143:XX143,"Orçamento")))))),
ROW(),0)</f>
        <v>0</v>
      </c>
      <c r="K153" s="66"/>
      <c r="L153" s="29" t="s">
        <v>41</v>
      </c>
      <c r="M153" s="30">
        <f t="shared" ref="M153" si="402">IFERROR(_xlfn.QUARTILE.EXC($P147:$XX147,1),"")</f>
        <v>40.861232778691793</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DESCARTADO</v>
      </c>
      <c r="Q153" s="107" t="str">
        <f t="shared" si="404"/>
        <v>DESCARTADO</v>
      </c>
      <c r="R153" s="107">
        <f t="shared" si="404"/>
        <v>72.267486630871105</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f t="shared" si="247"/>
        <v>7</v>
      </c>
      <c r="C154" s="128">
        <f t="shared" si="248"/>
        <v>1</v>
      </c>
      <c r="D154" s="127">
        <f t="shared" si="248"/>
        <v>7</v>
      </c>
      <c r="E154" s="199"/>
      <c r="F154" s="93"/>
      <c r="G154" s="201"/>
      <c r="H154"/>
      <c r="I154"/>
      <c r="J154"/>
      <c r="K154" s="66"/>
      <c r="L154" s="29" t="s">
        <v>39</v>
      </c>
      <c r="M154" s="30">
        <f t="shared" ref="M154" si="405">IFERROR(_xlfn.QUARTILE.EXC($P147:$XX147,3),"")</f>
        <v>120.5867229061267</v>
      </c>
      <c r="N154" s="71"/>
      <c r="O154" s="27" t="str">
        <f t="shared" ref="O154" si="406">"4 POND"</f>
        <v>4 POND</v>
      </c>
      <c r="P154" s="107" t="str">
        <f>IF(IFERROR(VLOOKUP(P143,'Tabela de Apoio'!$D:$E,2,FALSE),1)=1,"",P155)</f>
        <v>DESCARTADO</v>
      </c>
      <c r="Q154" s="107" t="str">
        <f>IF(IFERROR(VLOOKUP(Q143,'Tabela de Apoio'!$D:$E,2,FALSE),1)=1,"",Q155)</f>
        <v>DESCARTADO</v>
      </c>
      <c r="R154" s="107">
        <f>IF(IFERROR(VLOOKUP(R143,'Tabela de Apoio'!$D:$E,2,FALSE),1)=1,"",R155)</f>
        <v>72.267486630871105</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f t="shared" si="247"/>
        <v>7</v>
      </c>
      <c r="C155" s="128">
        <f t="shared" si="248"/>
        <v>1</v>
      </c>
      <c r="D155" s="127">
        <f t="shared" si="248"/>
        <v>7</v>
      </c>
      <c r="E155" s="199"/>
      <c r="F155" s="93"/>
      <c r="G155" s="201"/>
      <c r="H155" s="134">
        <f t="shared" ref="H155" si="407">COUNT($P155:$XX155)</f>
        <v>1</v>
      </c>
      <c r="I155" s="132">
        <f t="shared" ref="I155" si="408">_xlfn.STDEV.P($P154:$XX155)/AVERAGE($P154:$XX155)</f>
        <v>0</v>
      </c>
      <c r="J155" s="7">
        <f t="shared" ref="J155" si="409">IF(AND(H155&gt;2,
OR(L141="MÉDIA SANEADA",L141="MEDIANA SANEADA",
AND(L141="PREÇO ESTIMADO",NOT(AND(P143="Orçamento",COUNTA(P141:XX141)=COUNTIF(P143:XX143,"Orçamento")))))),
ROW(),0)</f>
        <v>0</v>
      </c>
      <c r="K155" s="66"/>
      <c r="L155" s="29" t="s">
        <v>42</v>
      </c>
      <c r="M155" s="30">
        <f t="shared" ref="M155" si="410">MIN($P147:$XX147)</f>
        <v>40.861232778691793</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DESCARTADO</v>
      </c>
      <c r="Q155" s="107" t="str">
        <f t="shared" si="412"/>
        <v>DESCARTADO</v>
      </c>
      <c r="R155" s="107">
        <f t="shared" si="412"/>
        <v>72.267486630871105</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f t="shared" si="247"/>
        <v>7</v>
      </c>
      <c r="C156" s="128">
        <f t="shared" si="248"/>
        <v>1</v>
      </c>
      <c r="D156" s="127">
        <f t="shared" si="248"/>
        <v>7</v>
      </c>
      <c r="E156" s="199"/>
      <c r="F156" s="93"/>
      <c r="G156" s="201"/>
      <c r="H156"/>
      <c r="I156"/>
      <c r="J156"/>
      <c r="K156" s="66"/>
      <c r="L156" s="29" t="s">
        <v>40</v>
      </c>
      <c r="M156" s="30">
        <f t="shared" ref="M156" si="413">MAX($P147:$XX147)</f>
        <v>120.5867229061267</v>
      </c>
      <c r="N156" s="71"/>
      <c r="O156" s="27" t="str">
        <f t="shared" ref="O156" si="414">"5 POND"</f>
        <v>5 POND</v>
      </c>
      <c r="P156" s="107" t="str">
        <f>IF(IFERROR(VLOOKUP(P143,'Tabela de Apoio'!$D:$E,2,FALSE),1)=1,"",P157)</f>
        <v>DESCARTADO</v>
      </c>
      <c r="Q156" s="107" t="str">
        <f>IF(IFERROR(VLOOKUP(Q143,'Tabela de Apoio'!$D:$E,2,FALSE),1)=1,"",Q157)</f>
        <v>DESCARTADO</v>
      </c>
      <c r="R156" s="107">
        <f>IF(IFERROR(VLOOKUP(R143,'Tabela de Apoio'!$D:$E,2,FALSE),1)=1,"",R157)</f>
        <v>72.267486630871105</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f t="shared" si="247"/>
        <v>7</v>
      </c>
      <c r="C157" s="128">
        <f t="shared" si="248"/>
        <v>1</v>
      </c>
      <c r="D157" s="127">
        <f t="shared" si="248"/>
        <v>7</v>
      </c>
      <c r="E157" s="199"/>
      <c r="F157" s="93"/>
      <c r="G157" s="201"/>
      <c r="H157" s="134">
        <f t="shared" ref="H157" si="415">COUNT($P157:$XX157)</f>
        <v>1</v>
      </c>
      <c r="I157" s="132">
        <f t="shared" ref="I157" si="416">_xlfn.STDEV.P($P156:$XX157)/AVERAGE($P156:$XX157)</f>
        <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DESCARTADO</v>
      </c>
      <c r="Q157" s="107" t="str">
        <f t="shared" si="419"/>
        <v>DESCARTADO</v>
      </c>
      <c r="R157" s="107">
        <f t="shared" si="419"/>
        <v>72.267486630871105</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f t="shared" si="247"/>
        <v>7</v>
      </c>
      <c r="C158" s="128">
        <f t="shared" si="248"/>
        <v>1</v>
      </c>
      <c r="D158" s="127">
        <f t="shared" si="248"/>
        <v>7</v>
      </c>
      <c r="E158" s="199"/>
      <c r="F158" s="93"/>
      <c r="G158" s="201"/>
      <c r="H158"/>
      <c r="I158"/>
      <c r="J158"/>
      <c r="K158" s="66"/>
      <c r="L158" s="22"/>
      <c r="M158" s="22"/>
      <c r="N158" s="71"/>
      <c r="O158" s="27" t="str">
        <f t="shared" ref="O158" si="420">"6 POND"</f>
        <v>6 POND</v>
      </c>
      <c r="P158" s="107" t="str">
        <f>IF(IFERROR(VLOOKUP(P143,'Tabela de Apoio'!$D:$E,2,FALSE),1)=1,"",P159)</f>
        <v>DESCARTADO</v>
      </c>
      <c r="Q158" s="107" t="str">
        <f>IF(IFERROR(VLOOKUP(Q143,'Tabela de Apoio'!$D:$E,2,FALSE),1)=1,"",Q159)</f>
        <v>DESCARTADO</v>
      </c>
      <c r="R158" s="107">
        <f>IF(IFERROR(VLOOKUP(R143,'Tabela de Apoio'!$D:$E,2,FALSE),1)=1,"",R159)</f>
        <v>72.267486630871105</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f t="shared" si="247"/>
        <v>7</v>
      </c>
      <c r="C159" s="128">
        <f t="shared" si="248"/>
        <v>1</v>
      </c>
      <c r="D159" s="127">
        <f t="shared" si="248"/>
        <v>7</v>
      </c>
      <c r="E159" s="199"/>
      <c r="F159" s="93"/>
      <c r="G159" s="201"/>
      <c r="H159" s="134">
        <f t="shared" ref="H159" si="421">COUNT($P159:$XX159)</f>
        <v>1</v>
      </c>
      <c r="I159" s="132">
        <f t="shared" ref="I159" si="422">_xlfn.STDEV.P($P158:$XX159)/AVERAGE($P158:$XX159)</f>
        <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DESCARTADO</v>
      </c>
      <c r="Q159" s="107" t="str">
        <f t="shared" si="425"/>
        <v>DESCARTADO</v>
      </c>
      <c r="R159" s="107">
        <f t="shared" si="425"/>
        <v>72.267486630871105</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f t="shared" si="247"/>
        <v>7</v>
      </c>
      <c r="C160" s="128">
        <f t="shared" si="248"/>
        <v>1</v>
      </c>
      <c r="D160" s="127">
        <f t="shared" si="248"/>
        <v>7</v>
      </c>
      <c r="E160" s="199"/>
      <c r="F160" s="136"/>
      <c r="G160" s="201"/>
      <c r="H160" s="204"/>
      <c r="I160" s="204"/>
      <c r="J160" s="205"/>
      <c r="K160" s="67"/>
      <c r="L160" s="1" t="s">
        <v>43</v>
      </c>
      <c r="M160" s="143">
        <f t="shared" ref="M160" si="426">IFERROR(ROUND(M141*M143,2),"")</f>
        <v>82315.53</v>
      </c>
      <c r="O160" s="27" t="s">
        <v>363</v>
      </c>
      <c r="P160" s="107">
        <f t="shared" ref="P160:R160" si="427">INDEX(P147:P159,MATCH(MAX($J147:$J159),$J147:$J159,0))</f>
        <v>40.861232778691793</v>
      </c>
      <c r="Q160" s="107">
        <f t="shared" si="427"/>
        <v>120.5867229061267</v>
      </c>
      <c r="R160" s="107">
        <f t="shared" si="427"/>
        <v>72.267486630871105</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f t="shared" ref="B162" si="428">LARGE(IFERROR(IF(B160+1&gt;$H$8,"",B160+1),""),1)</f>
        <v>8</v>
      </c>
      <c r="C162" s="127">
        <f>IF(_xlfn.ISFORMULA(E166),MAX(INDEX('BASE FORMAÇÃO'!A:A,B162+1),1),E166)</f>
        <v>1</v>
      </c>
      <c r="D162" s="127">
        <f t="shared" ref="D162" si="429">IFERROR(IF(C162=C152,D152+1,1),1)</f>
        <v>8</v>
      </c>
      <c r="E162" s="38" t="s">
        <v>9</v>
      </c>
      <c r="F162" s="73"/>
      <c r="G162" s="38" t="s">
        <v>15</v>
      </c>
      <c r="H162" s="135">
        <f>INDEX('BASE FORMAÇÃO'!B:B,B162+1)</f>
        <v>0</v>
      </c>
      <c r="I162" s="181" t="s">
        <v>16</v>
      </c>
      <c r="J162" s="6">
        <f>INDEX('BASE FORMAÇÃO'!K:K,B162+1)</f>
        <v>0</v>
      </c>
      <c r="K162" s="65"/>
      <c r="L162" s="183" t="s">
        <v>10</v>
      </c>
      <c r="M162" s="185">
        <f t="shared" ref="M162" si="430">IF(OR(ISBLANK($O$8),ISBLANK($O$7),ISBLANK($H$8),ISBLANK($O$6),ISBLANK($O$5),ISBLANK($H$5)),"",IFERROR(IF(VLOOKUP(L162,L168:M177,2,FALSE)&lt;1,ROUND(VLOOKUP(L162,L168:M177,2,FALSE),4),ROUND(VLOOKUP(L162,L168:M177,2,FALSE),2)),""))</f>
        <v>72.27</v>
      </c>
      <c r="N162" s="69"/>
      <c r="O162" s="27" t="s">
        <v>17</v>
      </c>
      <c r="P162" s="113">
        <v>39</v>
      </c>
      <c r="Q162" s="113">
        <v>120</v>
      </c>
      <c r="R162" s="113">
        <v>69.86</v>
      </c>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f t="shared" ref="B163:D163" si="431">B162</f>
        <v>8</v>
      </c>
      <c r="C163" s="128">
        <f t="shared" si="431"/>
        <v>1</v>
      </c>
      <c r="D163" s="127">
        <f t="shared" si="431"/>
        <v>8</v>
      </c>
      <c r="E163" s="187">
        <f t="shared" ref="E163" si="432">D162</f>
        <v>8</v>
      </c>
      <c r="F163" s="92"/>
      <c r="G163" s="189" t="s">
        <v>1</v>
      </c>
      <c r="H163" s="192" t="str">
        <f>INDEX('BASE FORMAÇÃO'!C:C,B162+1)</f>
        <v>Faixas de mesa</v>
      </c>
      <c r="I163" s="192"/>
      <c r="J163" s="193"/>
      <c r="K163" s="66"/>
      <c r="L163" s="184"/>
      <c r="M163" s="186"/>
      <c r="N163" s="70"/>
      <c r="O163" s="27" t="s">
        <v>13</v>
      </c>
      <c r="P163" s="122">
        <v>46003</v>
      </c>
      <c r="Q163" s="122">
        <v>46167</v>
      </c>
      <c r="R163" s="122">
        <v>45993</v>
      </c>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f t="shared" ref="B164:D164" si="433">B163</f>
        <v>8</v>
      </c>
      <c r="C164" s="128">
        <f t="shared" si="433"/>
        <v>1</v>
      </c>
      <c r="D164" s="127">
        <f t="shared" si="433"/>
        <v>8</v>
      </c>
      <c r="E164" s="188"/>
      <c r="F164" s="93"/>
      <c r="G164" s="190"/>
      <c r="H164" s="194"/>
      <c r="I164" s="194"/>
      <c r="J164" s="195"/>
      <c r="K164" s="64"/>
      <c r="L164" s="130" t="s">
        <v>44</v>
      </c>
      <c r="M164" s="131">
        <f>INDEX('BASE FORMAÇÃO'!H:H,B166+1)</f>
        <v>383</v>
      </c>
      <c r="N164" s="71"/>
      <c r="O164" s="27" t="s">
        <v>380</v>
      </c>
      <c r="P164" s="114" t="s">
        <v>12</v>
      </c>
      <c r="Q164" s="114" t="s">
        <v>12</v>
      </c>
      <c r="R164" s="114" t="s">
        <v>12</v>
      </c>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f t="shared" ref="B165:C165" si="434">B164</f>
        <v>8</v>
      </c>
      <c r="C165" s="128">
        <f t="shared" si="434"/>
        <v>1</v>
      </c>
      <c r="D165" s="127">
        <f t="shared" si="248"/>
        <v>8</v>
      </c>
      <c r="E165" s="38" t="s">
        <v>313</v>
      </c>
      <c r="F165" s="93"/>
      <c r="G165" s="191"/>
      <c r="H165" s="196"/>
      <c r="I165" s="196"/>
      <c r="J165" s="197"/>
      <c r="K165" s="64"/>
      <c r="L165" s="1" t="s">
        <v>2</v>
      </c>
      <c r="M165" s="6" t="str">
        <f>INDEX('BASE FORMAÇÃO'!D:D,B166+1)</f>
        <v>UND</v>
      </c>
      <c r="N165" s="71"/>
      <c r="O165" s="27" t="s">
        <v>381</v>
      </c>
      <c r="P165" s="115" t="s">
        <v>459</v>
      </c>
      <c r="Q165" s="115" t="s">
        <v>460</v>
      </c>
      <c r="R165" s="115" t="s">
        <v>460</v>
      </c>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f t="shared" ref="B166:C166" si="435">B164</f>
        <v>8</v>
      </c>
      <c r="C166" s="128">
        <f t="shared" si="435"/>
        <v>1</v>
      </c>
      <c r="D166" s="127">
        <f t="shared" si="248"/>
        <v>8</v>
      </c>
      <c r="E166" s="198">
        <f t="shared" ref="E166" si="436">C162</f>
        <v>1</v>
      </c>
      <c r="F166" s="93"/>
      <c r="G166" s="200" t="s">
        <v>304</v>
      </c>
      <c r="H166" s="202" t="s">
        <v>463</v>
      </c>
      <c r="I166" s="203"/>
      <c r="J166" s="203"/>
      <c r="K166" s="67"/>
      <c r="L166" s="28" t="s">
        <v>303</v>
      </c>
      <c r="M166" s="133">
        <f t="shared" ref="M166" si="437">IFERROR(INDEX(I168:I180,MATCH(MAX(J168:J180),J168:J180,0)),"")</f>
        <v>0.42435288265238991</v>
      </c>
      <c r="N166" s="71"/>
      <c r="O166" s="27" t="s">
        <v>18</v>
      </c>
      <c r="P166" s="106">
        <f>IF(P162="","",
IF(OR(P164="Orçamento",P163="",MAX('Tabela de Apoio'!$A:$A)&lt;=P163),
P162,
(INDEX('Tabela de Apoio'!$B:$B,MATCH('MAPA DE PREÇOS'!$O$8,'Tabela de Apoio'!$A:$A,1))/INDEX('Tabela de Apoio'!$B:$B,MATCH('MAPA DE PREÇOS'!P163,'Tabela de Apoio'!$A:$A,1)-1))*P162))</f>
        <v>40.344001984024807</v>
      </c>
      <c r="Q166" s="106">
        <f>IF(Q162="","",
IF(OR(Q164="Orçamento",Q163="",MAX('Tabela de Apoio'!$A:$A)&lt;=Q163),
Q162,
(INDEX('Tabela de Apoio'!$B:$B,MATCH('MAPA DE PREÇOS'!$O$8,'Tabela de Apoio'!$A:$A,1))/INDEX('Tabela de Apoio'!$B:$B,MATCH('MAPA DE PREÇOS'!Q163,'Tabela de Apoio'!$A:$A,1)-1))*Q162))</f>
        <v>120.5867229061267</v>
      </c>
      <c r="R166" s="106">
        <f>IF(R162="","",
IF(OR(R164="Orçamento",R163="",MAX('Tabela de Apoio'!$A:$A)&lt;=R163),
R162,
(INDEX('Tabela de Apoio'!$B:$B,MATCH('MAPA DE PREÇOS'!$O$8,'Tabela de Apoio'!$A:$A,1))/INDEX('Tabela de Apoio'!$B:$B,MATCH('MAPA DE PREÇOS'!R163,'Tabela de Apoio'!$A:$A,1)-1))*R162))</f>
        <v>72.267486630871105</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f t="shared" ref="B167" si="438">B166</f>
        <v>8</v>
      </c>
      <c r="C167" s="128">
        <f t="shared" ref="C167" si="439">C166</f>
        <v>1</v>
      </c>
      <c r="D167" s="127">
        <f t="shared" si="248"/>
        <v>8</v>
      </c>
      <c r="E167" s="199"/>
      <c r="F167" s="93"/>
      <c r="G167" s="201"/>
      <c r="H167"/>
      <c r="I167"/>
      <c r="J167"/>
      <c r="N167" s="71"/>
      <c r="O167" s="27" t="s">
        <v>375</v>
      </c>
      <c r="P167" s="107">
        <f>IF(IFERROR(VLOOKUP(P164,'Tabela de Apoio'!$D:$E,2,FALSE),1)=1,"",P168)</f>
        <v>40.344001984024807</v>
      </c>
      <c r="Q167" s="107">
        <f>IF(IFERROR(VLOOKUP(Q164,'Tabela de Apoio'!$D:$E,2,FALSE),1)=1,"",Q168)</f>
        <v>120.5867229061267</v>
      </c>
      <c r="R167" s="107">
        <f>IF(IFERROR(VLOOKUP(R164,'Tabela de Apoio'!$D:$E,2,FALSE),1)=1,"",R168)</f>
        <v>72.267486630871105</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f t="shared" ref="B168:C168" si="440">B167</f>
        <v>8</v>
      </c>
      <c r="C168" s="128">
        <f t="shared" si="440"/>
        <v>1</v>
      </c>
      <c r="D168" s="127">
        <f t="shared" si="248"/>
        <v>8</v>
      </c>
      <c r="E168" s="199"/>
      <c r="F168" s="93"/>
      <c r="G168" s="201"/>
      <c r="H168" s="134">
        <f t="shared" ref="H168" si="441">COUNT($P168:$XX168)</f>
        <v>3</v>
      </c>
      <c r="I168" s="132">
        <f t="shared" ref="I168" si="442">_xlfn.STDEV.P($P167:$XX168)/AVERAGE($P167:$XX168)</f>
        <v>0.42435288265238991</v>
      </c>
      <c r="J168" s="7">
        <f>ROW()</f>
        <v>168</v>
      </c>
      <c r="K168" s="67"/>
      <c r="L168" s="29" t="s">
        <v>10</v>
      </c>
      <c r="M168" s="30">
        <f t="shared" ref="M168" si="443">IFERROR(
IF(COUNTA(P162:AI162)=COUNTIF(P164:XX164,"Orçamento"),MIN(M173,M170),
IF(M171&lt;&gt;"",M171,
IF(M172&lt;&gt;"",M172,
M170
))),"")</f>
        <v>72.267486630871105</v>
      </c>
      <c r="N168" s="71"/>
      <c r="O168" s="27" t="s">
        <v>376</v>
      </c>
      <c r="P168" s="106">
        <f t="shared" ref="P168:AI168" si="444">IFERROR(IF(P166="",
            "",
            IF(COUNT($P166:$XX166)&lt;=4,
               P166,
               IF(OR(P166&gt;(QUARTILE($P166:$XX166,3)+(QUARTILE($P166:$XX166,3)-QUARTILE($P166:$XX166,1))),
                     P166&lt;(QUARTILE($P166:$XX166,1)-(QUARTILE($P166:$XX166,3)-QUARTILE($P166:$XX166,1)))
                  ),
               "DESCARTADO",P166)
             )
  ),P166)</f>
        <v>40.344001984024807</v>
      </c>
      <c r="Q168" s="106">
        <f t="shared" si="444"/>
        <v>120.5867229061267</v>
      </c>
      <c r="R168" s="106">
        <f t="shared" si="444"/>
        <v>72.267486630871105</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f t="shared" ref="B169:B223" si="445">B168</f>
        <v>8</v>
      </c>
      <c r="C169" s="128">
        <f t="shared" ref="C169:D232" si="446">C168</f>
        <v>1</v>
      </c>
      <c r="D169" s="127">
        <f t="shared" si="248"/>
        <v>8</v>
      </c>
      <c r="E169" s="199"/>
      <c r="F169" s="93"/>
      <c r="G169" s="201"/>
      <c r="H169"/>
      <c r="I169"/>
      <c r="J169"/>
      <c r="K169" s="66"/>
      <c r="L169" s="29" t="s">
        <v>360</v>
      </c>
      <c r="M169" s="30">
        <f t="shared" ref="M169" si="447">AVERAGE($P168:$XX168)</f>
        <v>77.732737173674209</v>
      </c>
      <c r="N169" s="71"/>
      <c r="O169" s="27" t="str">
        <f t="shared" ref="O169" si="448">"1 POND"</f>
        <v>1 POND</v>
      </c>
      <c r="P169" s="107" t="str">
        <f>IF(IFERROR(VLOOKUP(P164,'Tabela de Apoio'!$D:$E,2,FALSE),1)=1,"",P170)</f>
        <v>DESCARTADO</v>
      </c>
      <c r="Q169" s="107" t="str">
        <f>IF(IFERROR(VLOOKUP(Q164,'Tabela de Apoio'!$D:$E,2,FALSE),1)=1,"",Q170)</f>
        <v>DESCARTADO</v>
      </c>
      <c r="R169" s="107">
        <f>IF(IFERROR(VLOOKUP(R164,'Tabela de Apoio'!$D:$E,2,FALSE),1)=1,"",R170)</f>
        <v>72.267486630871105</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f t="shared" si="445"/>
        <v>8</v>
      </c>
      <c r="C170" s="128">
        <f t="shared" si="446"/>
        <v>1</v>
      </c>
      <c r="D170" s="127">
        <f t="shared" si="446"/>
        <v>8</v>
      </c>
      <c r="E170" s="199"/>
      <c r="F170" s="93"/>
      <c r="G170" s="201"/>
      <c r="H170" s="134">
        <f t="shared" ref="H170" si="449">COUNT($P170:$XX170)</f>
        <v>1</v>
      </c>
      <c r="I170" s="132">
        <f t="shared" ref="I170" si="450">_xlfn.STDEV.P($P169:$XX170)/AVERAGE($P169:$XX170)</f>
        <v>0</v>
      </c>
      <c r="J170" s="7">
        <f t="shared" ref="J170" si="451">IF(AND(H170&gt;2,
OR(L162="MÉDIA SANEADA",L162="MEDIANA SANEADA",
AND(L162="PREÇO ESTIMADO",NOT(AND(P164="Orçamento",COUNTA(P162:XX162)=COUNTIF(P164:XX164,"Orçamento")))))),
ROW(),0)</f>
        <v>0</v>
      </c>
      <c r="K170" s="66"/>
      <c r="L170" s="29" t="s">
        <v>361</v>
      </c>
      <c r="M170" s="30">
        <f t="shared" ref="M170" si="452">MEDIAN($P168:$XX168)</f>
        <v>72.267486630871105</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DESCARTADO</v>
      </c>
      <c r="Q170" s="107" t="str">
        <f t="shared" si="454"/>
        <v>DESCARTADO</v>
      </c>
      <c r="R170" s="107">
        <f t="shared" si="454"/>
        <v>72.267486630871105</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f t="shared" si="445"/>
        <v>8</v>
      </c>
      <c r="C171" s="128">
        <f t="shared" si="446"/>
        <v>1</v>
      </c>
      <c r="D171" s="127">
        <f t="shared" si="446"/>
        <v>8</v>
      </c>
      <c r="E171" s="199"/>
      <c r="F171" s="93"/>
      <c r="G171" s="201"/>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DESCARTADO</v>
      </c>
      <c r="Q171" s="107" t="str">
        <f>IF(IFERROR(VLOOKUP(Q164,'Tabela de Apoio'!$D:$E,2,FALSE),1)=1,"",Q172)</f>
        <v>DESCARTADO</v>
      </c>
      <c r="R171" s="107">
        <f>IF(IFERROR(VLOOKUP(R164,'Tabela de Apoio'!$D:$E,2,FALSE),1)=1,"",R172)</f>
        <v>72.267486630871105</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f t="shared" si="445"/>
        <v>8</v>
      </c>
      <c r="C172" s="128">
        <f t="shared" si="446"/>
        <v>1</v>
      </c>
      <c r="D172" s="127">
        <f t="shared" si="446"/>
        <v>8</v>
      </c>
      <c r="E172" s="199"/>
      <c r="F172" s="93"/>
      <c r="G172" s="201"/>
      <c r="H172" s="134">
        <f t="shared" ref="H172" si="457">COUNT($P172:$XX172)</f>
        <v>1</v>
      </c>
      <c r="I172" s="132">
        <f t="shared" ref="I172" si="458">_xlfn.STDEV.P($P171:$XX172)/AVERAGE($P171:$XX172)</f>
        <v>0</v>
      </c>
      <c r="J172" s="7">
        <f t="shared" ref="J172" si="459">IF(AND(H172&gt;2,
OR(L162="MÉDIA SANEADA",L162="MEDIANA SANEADA",
AND(L162="PREÇO ESTIMADO",NOT(AND(P164="Orçamento",COUNTA(P162:XX162)=COUNTIF(P164:XX164,"Orçamento")))))),
ROW(),0)</f>
        <v>0</v>
      </c>
      <c r="K172" s="66"/>
      <c r="L172" s="29" t="s">
        <v>362</v>
      </c>
      <c r="M172" s="30">
        <f t="shared" ref="M172" si="460" xml:space="preserve">
IF(H170&gt;2,MEDIAN(P169:XX170),
IF(H172&gt;2,MEDIAN(P171:XX172),
IF(H174&gt;2,MEDIAN(P173:XX174),
IF(H176&gt;2,MEDIAN(P175:XX176),
IF(H178&gt;2,MEDIAN(P177:XX178),
IF(H180&gt;2,MEDIAN(P179:XX180),
MEDIAN(P167:XX168)))))))</f>
        <v>72.267486630871105</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DESCARTADO</v>
      </c>
      <c r="Q172" s="107" t="str">
        <f t="shared" si="462"/>
        <v>DESCARTADO</v>
      </c>
      <c r="R172" s="107">
        <f t="shared" si="462"/>
        <v>72.267486630871105</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f t="shared" si="445"/>
        <v>8</v>
      </c>
      <c r="C173" s="128">
        <f t="shared" si="446"/>
        <v>1</v>
      </c>
      <c r="D173" s="127">
        <f t="shared" si="446"/>
        <v>8</v>
      </c>
      <c r="E173" s="199"/>
      <c r="F173" s="93"/>
      <c r="G173" s="201"/>
      <c r="H173"/>
      <c r="I173"/>
      <c r="J173"/>
      <c r="K173" s="66"/>
      <c r="L173" s="29" t="s">
        <v>359</v>
      </c>
      <c r="M173" s="30">
        <f t="shared" ref="M173" si="463">HARMEAN($P167:$XX168)</f>
        <v>63.942570610252069</v>
      </c>
      <c r="N173" s="71"/>
      <c r="O173" s="27" t="str">
        <f t="shared" ref="O173" si="464">"3 POND"</f>
        <v>3 POND</v>
      </c>
      <c r="P173" s="107" t="str">
        <f>IF(IFERROR(VLOOKUP(P164,'Tabela de Apoio'!$D:$E,2,FALSE),1)=1,"",P174)</f>
        <v>DESCARTADO</v>
      </c>
      <c r="Q173" s="107" t="str">
        <f>IF(IFERROR(VLOOKUP(Q164,'Tabela de Apoio'!$D:$E,2,FALSE),1)=1,"",Q174)</f>
        <v>DESCARTADO</v>
      </c>
      <c r="R173" s="107">
        <f>IF(IFERROR(VLOOKUP(R164,'Tabela de Apoio'!$D:$E,2,FALSE),1)=1,"",R174)</f>
        <v>72.267486630871105</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f t="shared" si="445"/>
        <v>8</v>
      </c>
      <c r="C174" s="128">
        <f t="shared" si="446"/>
        <v>1</v>
      </c>
      <c r="D174" s="127">
        <f t="shared" si="446"/>
        <v>8</v>
      </c>
      <c r="E174" s="199"/>
      <c r="F174" s="93"/>
      <c r="G174" s="201"/>
      <c r="H174" s="134">
        <f t="shared" ref="H174" si="465">COUNT($P174:$XX174)</f>
        <v>1</v>
      </c>
      <c r="I174" s="132">
        <f t="shared" ref="I174" si="466">_xlfn.STDEV.P($P173:$XX174)/AVERAGE($P173:$XX174)</f>
        <v>0</v>
      </c>
      <c r="J174" s="7">
        <f t="shared" ref="J174" si="467">IF(AND(H174&gt;2,
OR(L162="MÉDIA SANEADA",L162="MEDIANA SANEADA",
AND(L162="PREÇO ESTIMADO",NOT(AND(P164="Orçamento",COUNTA(P162:XX162)=COUNTIF(P164:XX164,"Orçamento")))))),
ROW(),0)</f>
        <v>0</v>
      </c>
      <c r="K174" s="66"/>
      <c r="L174" s="29" t="s">
        <v>41</v>
      </c>
      <c r="M174" s="30">
        <f t="shared" ref="M174" si="468">IFERROR(_xlfn.QUARTILE.EXC($P168:$XX168,1),"")</f>
        <v>40.344001984024807</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DESCARTADO</v>
      </c>
      <c r="Q174" s="107" t="str">
        <f t="shared" si="470"/>
        <v>DESCARTADO</v>
      </c>
      <c r="R174" s="107">
        <f t="shared" si="470"/>
        <v>72.267486630871105</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f t="shared" si="445"/>
        <v>8</v>
      </c>
      <c r="C175" s="128">
        <f t="shared" si="446"/>
        <v>1</v>
      </c>
      <c r="D175" s="127">
        <f t="shared" si="446"/>
        <v>8</v>
      </c>
      <c r="E175" s="199"/>
      <c r="F175" s="93"/>
      <c r="G175" s="201"/>
      <c r="H175"/>
      <c r="I175"/>
      <c r="J175"/>
      <c r="K175" s="66"/>
      <c r="L175" s="29" t="s">
        <v>39</v>
      </c>
      <c r="M175" s="30">
        <f t="shared" ref="M175" si="471">IFERROR(_xlfn.QUARTILE.EXC($P168:$XX168,3),"")</f>
        <v>120.5867229061267</v>
      </c>
      <c r="N175" s="71"/>
      <c r="O175" s="27" t="str">
        <f t="shared" ref="O175" si="472">"4 POND"</f>
        <v>4 POND</v>
      </c>
      <c r="P175" s="107" t="str">
        <f>IF(IFERROR(VLOOKUP(P164,'Tabela de Apoio'!$D:$E,2,FALSE),1)=1,"",P176)</f>
        <v>DESCARTADO</v>
      </c>
      <c r="Q175" s="107" t="str">
        <f>IF(IFERROR(VLOOKUP(Q164,'Tabela de Apoio'!$D:$E,2,FALSE),1)=1,"",Q176)</f>
        <v>DESCARTADO</v>
      </c>
      <c r="R175" s="107">
        <f>IF(IFERROR(VLOOKUP(R164,'Tabela de Apoio'!$D:$E,2,FALSE),1)=1,"",R176)</f>
        <v>72.267486630871105</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f t="shared" si="445"/>
        <v>8</v>
      </c>
      <c r="C176" s="128">
        <f t="shared" si="446"/>
        <v>1</v>
      </c>
      <c r="D176" s="127">
        <f t="shared" si="446"/>
        <v>8</v>
      </c>
      <c r="E176" s="199"/>
      <c r="F176" s="93"/>
      <c r="G176" s="201"/>
      <c r="H176" s="134">
        <f t="shared" ref="H176" si="473">COUNT($P176:$XX176)</f>
        <v>1</v>
      </c>
      <c r="I176" s="132">
        <f t="shared" ref="I176" si="474">_xlfn.STDEV.P($P175:$XX176)/AVERAGE($P175:$XX176)</f>
        <v>0</v>
      </c>
      <c r="J176" s="7">
        <f t="shared" ref="J176" si="475">IF(AND(H176&gt;2,
OR(L162="MÉDIA SANEADA",L162="MEDIANA SANEADA",
AND(L162="PREÇO ESTIMADO",NOT(AND(P164="Orçamento",COUNTA(P162:XX162)=COUNTIF(P164:XX164,"Orçamento")))))),
ROW(),0)</f>
        <v>0</v>
      </c>
      <c r="K176" s="66"/>
      <c r="L176" s="29" t="s">
        <v>42</v>
      </c>
      <c r="M176" s="30">
        <f t="shared" ref="M176" si="476">MIN($P168:$XX168)</f>
        <v>40.344001984024807</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DESCARTADO</v>
      </c>
      <c r="Q176" s="107" t="str">
        <f t="shared" si="478"/>
        <v>DESCARTADO</v>
      </c>
      <c r="R176" s="107">
        <f t="shared" si="478"/>
        <v>72.267486630871105</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f t="shared" si="445"/>
        <v>8</v>
      </c>
      <c r="C177" s="128">
        <f t="shared" si="446"/>
        <v>1</v>
      </c>
      <c r="D177" s="127">
        <f t="shared" si="446"/>
        <v>8</v>
      </c>
      <c r="E177" s="199"/>
      <c r="F177" s="93"/>
      <c r="G177" s="201"/>
      <c r="H177"/>
      <c r="I177"/>
      <c r="J177"/>
      <c r="K177" s="66"/>
      <c r="L177" s="29" t="s">
        <v>40</v>
      </c>
      <c r="M177" s="30">
        <f t="shared" ref="M177" si="479">MAX($P168:$XX168)</f>
        <v>120.5867229061267</v>
      </c>
      <c r="N177" s="71"/>
      <c r="O177" s="27" t="str">
        <f t="shared" ref="O177" si="480">"5 POND"</f>
        <v>5 POND</v>
      </c>
      <c r="P177" s="107" t="str">
        <f>IF(IFERROR(VLOOKUP(P164,'Tabela de Apoio'!$D:$E,2,FALSE),1)=1,"",P178)</f>
        <v>DESCARTADO</v>
      </c>
      <c r="Q177" s="107" t="str">
        <f>IF(IFERROR(VLOOKUP(Q164,'Tabela de Apoio'!$D:$E,2,FALSE),1)=1,"",Q178)</f>
        <v>DESCARTADO</v>
      </c>
      <c r="R177" s="107">
        <f>IF(IFERROR(VLOOKUP(R164,'Tabela de Apoio'!$D:$E,2,FALSE),1)=1,"",R178)</f>
        <v>72.267486630871105</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f t="shared" si="445"/>
        <v>8</v>
      </c>
      <c r="C178" s="128">
        <f t="shared" si="446"/>
        <v>1</v>
      </c>
      <c r="D178" s="127">
        <f t="shared" si="446"/>
        <v>8</v>
      </c>
      <c r="E178" s="199"/>
      <c r="F178" s="93"/>
      <c r="G178" s="201"/>
      <c r="H178" s="134">
        <f t="shared" ref="H178" si="481">COUNT($P178:$XX178)</f>
        <v>1</v>
      </c>
      <c r="I178" s="132">
        <f t="shared" ref="I178" si="482">_xlfn.STDEV.P($P177:$XX178)/AVERAGE($P177:$XX178)</f>
        <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DESCARTADO</v>
      </c>
      <c r="Q178" s="107" t="str">
        <f t="shared" si="485"/>
        <v>DESCARTADO</v>
      </c>
      <c r="R178" s="107">
        <f t="shared" si="485"/>
        <v>72.267486630871105</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f t="shared" si="445"/>
        <v>8</v>
      </c>
      <c r="C179" s="128">
        <f t="shared" si="446"/>
        <v>1</v>
      </c>
      <c r="D179" s="127">
        <f t="shared" si="446"/>
        <v>8</v>
      </c>
      <c r="E179" s="199"/>
      <c r="F179" s="93"/>
      <c r="G179" s="201"/>
      <c r="H179"/>
      <c r="I179"/>
      <c r="J179"/>
      <c r="K179" s="66"/>
      <c r="L179" s="22"/>
      <c r="M179" s="22"/>
      <c r="N179" s="71"/>
      <c r="O179" s="27" t="str">
        <f t="shared" ref="O179" si="486">"6 POND"</f>
        <v>6 POND</v>
      </c>
      <c r="P179" s="107" t="str">
        <f>IF(IFERROR(VLOOKUP(P164,'Tabela de Apoio'!$D:$E,2,FALSE),1)=1,"",P180)</f>
        <v>DESCARTADO</v>
      </c>
      <c r="Q179" s="107" t="str">
        <f>IF(IFERROR(VLOOKUP(Q164,'Tabela de Apoio'!$D:$E,2,FALSE),1)=1,"",Q180)</f>
        <v>DESCARTADO</v>
      </c>
      <c r="R179" s="107">
        <f>IF(IFERROR(VLOOKUP(R164,'Tabela de Apoio'!$D:$E,2,FALSE),1)=1,"",R180)</f>
        <v>72.267486630871105</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f t="shared" si="445"/>
        <v>8</v>
      </c>
      <c r="C180" s="128">
        <f t="shared" si="446"/>
        <v>1</v>
      </c>
      <c r="D180" s="127">
        <f t="shared" si="446"/>
        <v>8</v>
      </c>
      <c r="E180" s="199"/>
      <c r="F180" s="93"/>
      <c r="G180" s="201"/>
      <c r="H180" s="134">
        <f t="shared" ref="H180" si="487">COUNT($P180:$XX180)</f>
        <v>1</v>
      </c>
      <c r="I180" s="132">
        <f t="shared" ref="I180" si="488">_xlfn.STDEV.P($P179:$XX180)/AVERAGE($P179:$XX180)</f>
        <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DESCARTADO</v>
      </c>
      <c r="Q180" s="107" t="str">
        <f t="shared" si="491"/>
        <v>DESCARTADO</v>
      </c>
      <c r="R180" s="107">
        <f t="shared" si="491"/>
        <v>72.267486630871105</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f t="shared" si="445"/>
        <v>8</v>
      </c>
      <c r="C181" s="128">
        <f t="shared" si="446"/>
        <v>1</v>
      </c>
      <c r="D181" s="127">
        <f t="shared" si="446"/>
        <v>8</v>
      </c>
      <c r="E181" s="199"/>
      <c r="F181" s="136"/>
      <c r="G181" s="201"/>
      <c r="H181" s="204"/>
      <c r="I181" s="204"/>
      <c r="J181" s="205"/>
      <c r="K181" s="67"/>
      <c r="L181" s="1" t="s">
        <v>43</v>
      </c>
      <c r="M181" s="143">
        <f t="shared" ref="M181" si="492">IFERROR(ROUND(M162*M164,2),"")</f>
        <v>27679.41</v>
      </c>
      <c r="O181" s="27" t="s">
        <v>363</v>
      </c>
      <c r="P181" s="107">
        <f t="shared" ref="P181:AI202" si="493">INDEX(P168:P180,MATCH(MAX($J168:$J180),$J168:$J180,0))</f>
        <v>40.344001984024807</v>
      </c>
      <c r="Q181" s="107">
        <f t="shared" si="493"/>
        <v>120.5867229061267</v>
      </c>
      <c r="R181" s="107">
        <f t="shared" si="493"/>
        <v>72.267486630871105</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f t="shared" ref="B183" si="494">LARGE(IFERROR(IF(B181+1&gt;$H$8,"",B181+1),""),1)</f>
        <v>9</v>
      </c>
      <c r="C183" s="127">
        <f>IF(_xlfn.ISFORMULA(E187),MAX(INDEX('BASE FORMAÇÃO'!A:A,B183+1),1),E187)</f>
        <v>1</v>
      </c>
      <c r="D183" s="127">
        <f t="shared" ref="D183" si="495">IFERROR(IF(C183=C173,D173+1,1),1)</f>
        <v>9</v>
      </c>
      <c r="E183" s="38" t="s">
        <v>9</v>
      </c>
      <c r="F183" s="73"/>
      <c r="G183" s="38" t="s">
        <v>15</v>
      </c>
      <c r="H183" s="135">
        <f>INDEX('BASE FORMAÇÃO'!B:B,B183+1)</f>
        <v>0</v>
      </c>
      <c r="I183" s="181" t="s">
        <v>16</v>
      </c>
      <c r="J183" s="6">
        <f>INDEX('BASE FORMAÇÃO'!K:K,B183+1)</f>
        <v>0</v>
      </c>
      <c r="K183" s="65"/>
      <c r="L183" s="183" t="s">
        <v>10</v>
      </c>
      <c r="M183" s="185">
        <f t="shared" ref="M183" si="496">IF(OR(ISBLANK($O$8),ISBLANK($O$7),ISBLANK($H$8),ISBLANK($O$6),ISBLANK($O$5),ISBLANK($H$5)),"",IFERROR(IF(VLOOKUP(L183,L189:M198,2,FALSE)&lt;1,ROUND(VLOOKUP(L183,L189:M198,2,FALSE),4),ROUND(VLOOKUP(L183,L189:M198,2,FALSE),2)),""))</f>
        <v>55.98</v>
      </c>
      <c r="N183" s="69"/>
      <c r="O183" s="27" t="s">
        <v>17</v>
      </c>
      <c r="P183" s="113">
        <v>45</v>
      </c>
      <c r="Q183" s="113">
        <v>75</v>
      </c>
      <c r="R183" s="113">
        <v>50</v>
      </c>
      <c r="S183" s="113">
        <v>52</v>
      </c>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f t="shared" ref="B184:D184" si="497">B183</f>
        <v>9</v>
      </c>
      <c r="C184" s="128">
        <f t="shared" si="497"/>
        <v>1</v>
      </c>
      <c r="D184" s="127">
        <f t="shared" si="497"/>
        <v>9</v>
      </c>
      <c r="E184" s="187">
        <f t="shared" ref="E184" si="498">D183</f>
        <v>9</v>
      </c>
      <c r="F184" s="92"/>
      <c r="G184" s="189" t="s">
        <v>1</v>
      </c>
      <c r="H184" s="192" t="str">
        <f>INDEX('BASE FORMAÇÃO'!C:C,B183+1)</f>
        <v>Outdoors</v>
      </c>
      <c r="I184" s="192"/>
      <c r="J184" s="193"/>
      <c r="K184" s="66"/>
      <c r="L184" s="184"/>
      <c r="M184" s="186"/>
      <c r="N184" s="70"/>
      <c r="O184" s="27" t="s">
        <v>13</v>
      </c>
      <c r="P184" s="122">
        <v>46003</v>
      </c>
      <c r="Q184" s="122">
        <v>46231</v>
      </c>
      <c r="R184" s="122">
        <v>46202</v>
      </c>
      <c r="S184" s="122">
        <v>46140</v>
      </c>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f t="shared" ref="B185:D185" si="499">B184</f>
        <v>9</v>
      </c>
      <c r="C185" s="128">
        <f t="shared" si="499"/>
        <v>1</v>
      </c>
      <c r="D185" s="127">
        <f t="shared" si="499"/>
        <v>9</v>
      </c>
      <c r="E185" s="188"/>
      <c r="F185" s="93"/>
      <c r="G185" s="190"/>
      <c r="H185" s="194"/>
      <c r="I185" s="194"/>
      <c r="J185" s="195"/>
      <c r="K185" s="64"/>
      <c r="L185" s="130" t="s">
        <v>44</v>
      </c>
      <c r="M185" s="131">
        <f>INDEX('BASE FORMAÇÃO'!H:H,B187+1)</f>
        <v>791</v>
      </c>
      <c r="N185" s="71"/>
      <c r="O185" s="27" t="s">
        <v>380</v>
      </c>
      <c r="P185" s="114" t="s">
        <v>12</v>
      </c>
      <c r="Q185" s="114" t="s">
        <v>12</v>
      </c>
      <c r="R185" s="114" t="s">
        <v>12</v>
      </c>
      <c r="S185" s="114" t="s">
        <v>12</v>
      </c>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f t="shared" ref="B186:C186" si="500">B185</f>
        <v>9</v>
      </c>
      <c r="C186" s="128">
        <f t="shared" si="500"/>
        <v>1</v>
      </c>
      <c r="D186" s="127">
        <f t="shared" si="446"/>
        <v>9</v>
      </c>
      <c r="E186" s="38" t="s">
        <v>313</v>
      </c>
      <c r="F186" s="93"/>
      <c r="G186" s="191"/>
      <c r="H186" s="196"/>
      <c r="I186" s="196"/>
      <c r="J186" s="197"/>
      <c r="K186" s="64"/>
      <c r="L186" s="1" t="s">
        <v>2</v>
      </c>
      <c r="M186" s="6" t="str">
        <f>INDEX('BASE FORMAÇÃO'!D:D,B187+1)</f>
        <v>M2</v>
      </c>
      <c r="N186" s="71"/>
      <c r="O186" s="27" t="s">
        <v>381</v>
      </c>
      <c r="P186" s="115" t="s">
        <v>459</v>
      </c>
      <c r="Q186" s="115" t="s">
        <v>460</v>
      </c>
      <c r="R186" s="115" t="s">
        <v>460</v>
      </c>
      <c r="S186" s="115" t="s">
        <v>460</v>
      </c>
      <c r="T186" s="115"/>
      <c r="U186" s="118"/>
      <c r="V186" s="118"/>
      <c r="W186" s="118"/>
      <c r="X186" s="118"/>
      <c r="Y186" s="118"/>
      <c r="Z186" s="118"/>
      <c r="AA186" s="118"/>
      <c r="AB186" s="118"/>
      <c r="AC186" s="118"/>
      <c r="AD186" s="118"/>
      <c r="AE186" s="118"/>
      <c r="AF186" s="118"/>
      <c r="AG186" s="118"/>
      <c r="AH186" s="118"/>
      <c r="AI186" s="118"/>
    </row>
    <row r="187" spans="1:167" x14ac:dyDescent="0.25">
      <c r="B187" s="128">
        <f t="shared" ref="B187:C187" si="501">B185</f>
        <v>9</v>
      </c>
      <c r="C187" s="128">
        <f t="shared" si="501"/>
        <v>1</v>
      </c>
      <c r="D187" s="127">
        <f t="shared" si="446"/>
        <v>9</v>
      </c>
      <c r="E187" s="198">
        <f t="shared" ref="E187" si="502">C183</f>
        <v>1</v>
      </c>
      <c r="F187" s="93"/>
      <c r="G187" s="200" t="s">
        <v>304</v>
      </c>
      <c r="H187" s="202"/>
      <c r="I187" s="203"/>
      <c r="J187" s="203"/>
      <c r="K187" s="67"/>
      <c r="L187" s="28" t="s">
        <v>303</v>
      </c>
      <c r="M187" s="133">
        <f t="shared" ref="M187" si="503">IFERROR(INDEX(I189:I201,MATCH(MAX(J189:J201),J189:J201,0)),"")</f>
        <v>0.19796678643063348</v>
      </c>
      <c r="N187" s="71"/>
      <c r="O187" s="27" t="s">
        <v>18</v>
      </c>
      <c r="P187" s="106">
        <f>IF(P183="","",
IF(OR(P185="Orçamento",P184="",MAX('Tabela de Apoio'!$A:$A)&lt;=P184),
P183,
(INDEX('Tabela de Apoio'!$B:$B,MATCH('MAPA DE PREÇOS'!$O$8,'Tabela de Apoio'!$A:$A,1))/INDEX('Tabela de Apoio'!$B:$B,MATCH('MAPA DE PREÇOS'!P184,'Tabela de Apoio'!$A:$A,1)-1))*P183))</f>
        <v>46.550771520028626</v>
      </c>
      <c r="Q187" s="106">
        <f>IF(Q183="","",
IF(OR(Q185="Orçamento",Q184="",MAX('Tabela de Apoio'!$A:$A)&lt;=Q184),
Q183,
(INDEX('Tabela de Apoio'!$B:$B,MATCH('MAPA DE PREÇOS'!$O$8,'Tabela de Apoio'!$A:$A,1))/INDEX('Tabela de Apoio'!$B:$B,MATCH('MAPA DE PREÇOS'!Q184,'Tabela de Apoio'!$A:$A,1)-1))*Q183))</f>
        <v>74.812411056966667</v>
      </c>
      <c r="R187" s="106">
        <f>IF(R183="","",
IF(OR(R185="Orçamento",R184="",MAX('Tabela de Apoio'!$A:$A)&lt;=R184),
R183,
(INDEX('Tabela de Apoio'!$B:$B,MATCH('MAPA DE PREÇOS'!$O$8,'Tabela de Apoio'!$A:$A,1))/INDEX('Tabela de Apoio'!$B:$B,MATCH('MAPA DE PREÇOS'!R184,'Tabela de Apoio'!$A:$A,1)-1))*R183))</f>
        <v>49.954712931028837</v>
      </c>
      <c r="S187" s="106">
        <f>IF(S183="","",
IF(OR(S185="Orçamento",S184="",MAX('Tabela de Apoio'!$A:$A)&lt;=S184),
S183,
(INDEX('Tabela de Apoio'!$B:$B,MATCH('MAPA DE PREÇOS'!$O$8,'Tabela de Apoio'!$A:$A,1))/INDEX('Tabela de Apoio'!$B:$B,MATCH('MAPA DE PREÇOS'!S184,'Tabela de Apoio'!$A:$A,1)-1))*S183))</f>
        <v>52.604384317602609</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f t="shared" ref="B188" si="504">B187</f>
        <v>9</v>
      </c>
      <c r="C188" s="128">
        <f t="shared" ref="C188" si="505">C187</f>
        <v>1</v>
      </c>
      <c r="D188" s="127">
        <f t="shared" si="446"/>
        <v>9</v>
      </c>
      <c r="E188" s="199"/>
      <c r="F188" s="93"/>
      <c r="G188" s="201"/>
      <c r="H188"/>
      <c r="I188"/>
      <c r="J188"/>
      <c r="N188" s="71"/>
      <c r="O188" s="27" t="s">
        <v>375</v>
      </c>
      <c r="P188" s="107">
        <f>IF(IFERROR(VLOOKUP(P185,'Tabela de Apoio'!$D:$E,2,FALSE),1)=1,"",P189)</f>
        <v>46.550771520028626</v>
      </c>
      <c r="Q188" s="107">
        <f>IF(IFERROR(VLOOKUP(Q185,'Tabela de Apoio'!$D:$E,2,FALSE),1)=1,"",Q189)</f>
        <v>74.812411056966667</v>
      </c>
      <c r="R188" s="107">
        <f>IF(IFERROR(VLOOKUP(R185,'Tabela de Apoio'!$D:$E,2,FALSE),1)=1,"",R189)</f>
        <v>49.954712931028837</v>
      </c>
      <c r="S188" s="107">
        <f>IF(IFERROR(VLOOKUP(S185,'Tabela de Apoio'!$D:$E,2,FALSE),1)=1,"",S189)</f>
        <v>52.604384317602609</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f t="shared" ref="B189:C189" si="506">B188</f>
        <v>9</v>
      </c>
      <c r="C189" s="128">
        <f t="shared" si="506"/>
        <v>1</v>
      </c>
      <c r="D189" s="127">
        <f t="shared" si="446"/>
        <v>9</v>
      </c>
      <c r="E189" s="199"/>
      <c r="F189" s="93"/>
      <c r="G189" s="201"/>
      <c r="H189" s="134">
        <f t="shared" ref="H189" si="507">COUNT($P189:$XX189)</f>
        <v>4</v>
      </c>
      <c r="I189" s="132">
        <f t="shared" ref="I189" si="508">_xlfn.STDEV.P($P188:$XX189)/AVERAGE($P188:$XX189)</f>
        <v>0.19796678643063348</v>
      </c>
      <c r="J189" s="7">
        <f>ROW()</f>
        <v>189</v>
      </c>
      <c r="K189" s="67"/>
      <c r="L189" s="29" t="s">
        <v>10</v>
      </c>
      <c r="M189" s="30">
        <f t="shared" ref="M189" si="509">IFERROR(
IF(COUNTA(P183:AI183)=COUNTIF(P185:XX185,"Orçamento"),MIN(M194,M191),
IF(M192&lt;&gt;"",M192,
IF(M193&lt;&gt;"",M193,
M191
))),"")</f>
        <v>55.980569956406683</v>
      </c>
      <c r="N189" s="71"/>
      <c r="O189" s="27" t="s">
        <v>376</v>
      </c>
      <c r="P189" s="106">
        <f t="shared" ref="P189:AI189" si="510">IFERROR(IF(P187="",
            "",
            IF(COUNT($P187:$XX187)&lt;=4,
               P187,
               IF(OR(P187&gt;(QUARTILE($P187:$XX187,3)+(QUARTILE($P187:$XX187,3)-QUARTILE($P187:$XX187,1))),
                     P187&lt;(QUARTILE($P187:$XX187,1)-(QUARTILE($P187:$XX187,3)-QUARTILE($P187:$XX187,1)))
                  ),
               "DESCARTADO",P187)
             )
  ),P187)</f>
        <v>46.550771520028626</v>
      </c>
      <c r="Q189" s="106">
        <f t="shared" si="510"/>
        <v>74.812411056966667</v>
      </c>
      <c r="R189" s="106">
        <f t="shared" si="510"/>
        <v>49.954712931028837</v>
      </c>
      <c r="S189" s="106">
        <f t="shared" si="510"/>
        <v>52.604384317602609</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f t="shared" ref="B190" si="511">B189</f>
        <v>9</v>
      </c>
      <c r="C190" s="128">
        <f t="shared" ref="C190" si="512">C189</f>
        <v>1</v>
      </c>
      <c r="D190" s="127">
        <f t="shared" si="446"/>
        <v>9</v>
      </c>
      <c r="E190" s="199"/>
      <c r="F190" s="93"/>
      <c r="G190" s="201"/>
      <c r="H190"/>
      <c r="I190"/>
      <c r="J190"/>
      <c r="K190" s="66"/>
      <c r="L190" s="29" t="s">
        <v>360</v>
      </c>
      <c r="M190" s="30">
        <f t="shared" ref="M190" si="513">AVERAGE($P189:$XX189)</f>
        <v>55.980569956406683</v>
      </c>
      <c r="N190" s="71"/>
      <c r="O190" s="27" t="str">
        <f t="shared" ref="O190" si="514">"1 POND"</f>
        <v>1 POND</v>
      </c>
      <c r="P190" s="107">
        <f>IF(IFERROR(VLOOKUP(P185,'Tabela de Apoio'!$D:$E,2,FALSE),1)=1,"",P191)</f>
        <v>46.550771520028626</v>
      </c>
      <c r="Q190" s="107">
        <f>IF(IFERROR(VLOOKUP(Q185,'Tabela de Apoio'!$D:$E,2,FALSE),1)=1,"",Q191)</f>
        <v>74.812411056966667</v>
      </c>
      <c r="R190" s="107">
        <f>IF(IFERROR(VLOOKUP(R185,'Tabela de Apoio'!$D:$E,2,FALSE),1)=1,"",R191)</f>
        <v>49.954712931028837</v>
      </c>
      <c r="S190" s="107">
        <f>IF(IFERROR(VLOOKUP(S185,'Tabela de Apoio'!$D:$E,2,FALSE),1)=1,"",S191)</f>
        <v>52.604384317602609</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f t="shared" si="445"/>
        <v>9</v>
      </c>
      <c r="C191" s="128">
        <f t="shared" si="446"/>
        <v>1</v>
      </c>
      <c r="D191" s="127">
        <f t="shared" si="446"/>
        <v>9</v>
      </c>
      <c r="E191" s="199"/>
      <c r="F191" s="93"/>
      <c r="G191" s="201"/>
      <c r="H191" s="134">
        <f t="shared" ref="H191" si="515">COUNT($P191:$XX191)</f>
        <v>4</v>
      </c>
      <c r="I191" s="132">
        <f t="shared" ref="I191" si="516">_xlfn.STDEV.P($P190:$XX191)/AVERAGE($P190:$XX191)</f>
        <v>0.19796678643063348</v>
      </c>
      <c r="J191" s="7">
        <f t="shared" ref="J191" si="517">IF(AND(H191&gt;2,
OR(L183="MÉDIA SANEADA",L183="MEDIANA SANEADA",
AND(L183="PREÇO ESTIMADO",NOT(AND(P185="Orçamento",COUNTA(P183:XX183)=COUNTIF(P185:XX185,"Orçamento")))))),
ROW(),0)</f>
        <v>191</v>
      </c>
      <c r="K191" s="66"/>
      <c r="L191" s="29" t="s">
        <v>361</v>
      </c>
      <c r="M191" s="30">
        <f t="shared" ref="M191" si="518">MEDIAN($P189:$XX189)</f>
        <v>51.279548624315723</v>
      </c>
      <c r="N191" s="71"/>
      <c r="O191" s="27" t="str">
        <f t="shared" ref="O191" si="519">"1 RODADA"</f>
        <v>1 RODADA</v>
      </c>
      <c r="P191" s="107">
        <f t="shared" ref="P191:AI191" si="520">IF(P189="","",IF((_xlfn.STDEV.P($P188:$XX189)/AVERAGE($P188:$XX189))&lt;=25%,P189,IF(OR(P189&gt;(AVERAGE($P188:$XX189)+_xlfn.STDEV.P($P188:$XX189)),P189&lt;(AVERAGE($P188:$XX189)-_xlfn.STDEV.P($P188:$XX189))),"DESCARTADO",P189)))</f>
        <v>46.550771520028626</v>
      </c>
      <c r="Q191" s="107">
        <f t="shared" si="520"/>
        <v>74.812411056966667</v>
      </c>
      <c r="R191" s="107">
        <f t="shared" si="520"/>
        <v>49.954712931028837</v>
      </c>
      <c r="S191" s="107">
        <f t="shared" si="520"/>
        <v>52.604384317602609</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f t="shared" si="445"/>
        <v>9</v>
      </c>
      <c r="C192" s="128">
        <f t="shared" si="446"/>
        <v>1</v>
      </c>
      <c r="D192" s="127">
        <f t="shared" si="446"/>
        <v>9</v>
      </c>
      <c r="E192" s="199"/>
      <c r="F192" s="93"/>
      <c r="G192" s="201"/>
      <c r="H192"/>
      <c r="I192"/>
      <c r="J192"/>
      <c r="L192" s="29" t="s">
        <v>38</v>
      </c>
      <c r="M192" s="30">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55.980569956406683</v>
      </c>
      <c r="N192" s="71"/>
      <c r="O192" s="27" t="str">
        <f t="shared" ref="O192" si="522">"2 POND"</f>
        <v>2 POND</v>
      </c>
      <c r="P192" s="107">
        <f>IF(IFERROR(VLOOKUP(P185,'Tabela de Apoio'!$D:$E,2,FALSE),1)=1,"",P193)</f>
        <v>46.550771520028626</v>
      </c>
      <c r="Q192" s="107">
        <f>IF(IFERROR(VLOOKUP(Q185,'Tabela de Apoio'!$D:$E,2,FALSE),1)=1,"",Q193)</f>
        <v>74.812411056966667</v>
      </c>
      <c r="R192" s="107">
        <f>IF(IFERROR(VLOOKUP(R185,'Tabela de Apoio'!$D:$E,2,FALSE),1)=1,"",R193)</f>
        <v>49.954712931028837</v>
      </c>
      <c r="S192" s="107">
        <f>IF(IFERROR(VLOOKUP(S185,'Tabela de Apoio'!$D:$E,2,FALSE),1)=1,"",S193)</f>
        <v>52.604384317602609</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f t="shared" si="445"/>
        <v>9</v>
      </c>
      <c r="C193" s="128">
        <f t="shared" si="446"/>
        <v>1</v>
      </c>
      <c r="D193" s="127">
        <f t="shared" si="446"/>
        <v>9</v>
      </c>
      <c r="E193" s="199"/>
      <c r="F193" s="93"/>
      <c r="G193" s="201"/>
      <c r="H193" s="134">
        <f t="shared" ref="H193" si="523">COUNT($P193:$XX193)</f>
        <v>4</v>
      </c>
      <c r="I193" s="132">
        <f t="shared" ref="I193" si="524">_xlfn.STDEV.P($P192:$XX193)/AVERAGE($P192:$XX193)</f>
        <v>0.19796678643063348</v>
      </c>
      <c r="J193" s="7">
        <f t="shared" ref="J193" si="525">IF(AND(H193&gt;2,
OR(L183="MÉDIA SANEADA",L183="MEDIANA SANEADA",
AND(L183="PREÇO ESTIMADO",NOT(AND(P185="Orçamento",COUNTA(P183:XX183)=COUNTIF(P185:XX185,"Orçamento")))))),
ROW(),0)</f>
        <v>193</v>
      </c>
      <c r="K193" s="66"/>
      <c r="L193" s="29" t="s">
        <v>362</v>
      </c>
      <c r="M193" s="30">
        <f t="shared" ref="M193" si="526" xml:space="preserve">
IF(H191&gt;2,MEDIAN(P190:XX191),
IF(H193&gt;2,MEDIAN(P192:XX193),
IF(H195&gt;2,MEDIAN(P194:XX195),
IF(H197&gt;2,MEDIAN(P196:XX197),
IF(H199&gt;2,MEDIAN(P198:XX199),
IF(H201&gt;2,MEDIAN(P200:XX201),
MEDIAN(P188:XX189)))))))</f>
        <v>51.279548624315723</v>
      </c>
      <c r="N193" s="71"/>
      <c r="O193" s="27" t="str">
        <f t="shared" ref="O193" si="527">"2 RODADA"</f>
        <v>2 RODADA</v>
      </c>
      <c r="P193" s="107">
        <f t="shared" ref="P193:AI193" si="528">IF(P191="","",IF((_xlfn.STDEV.P($P190:$XX191)/AVERAGE($P190:$XX191))&lt;=25%,P191,IF(OR(P191&gt;(AVERAGE($P190:$XX191)+_xlfn.STDEV.P($P190:$XX191)),P191&lt;(AVERAGE($P190:$XX191)-_xlfn.STDEV.P($P190:$XX191))),"DESCARTADO",P191)))</f>
        <v>46.550771520028626</v>
      </c>
      <c r="Q193" s="107">
        <f t="shared" si="528"/>
        <v>74.812411056966667</v>
      </c>
      <c r="R193" s="107">
        <f t="shared" si="528"/>
        <v>49.954712931028837</v>
      </c>
      <c r="S193" s="107">
        <f t="shared" si="528"/>
        <v>52.604384317602609</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f t="shared" si="445"/>
        <v>9</v>
      </c>
      <c r="C194" s="128">
        <f t="shared" si="446"/>
        <v>1</v>
      </c>
      <c r="D194" s="127">
        <f t="shared" si="446"/>
        <v>9</v>
      </c>
      <c r="E194" s="199"/>
      <c r="F194" s="93"/>
      <c r="G194" s="201"/>
      <c r="H194"/>
      <c r="I194"/>
      <c r="J194"/>
      <c r="K194" s="66"/>
      <c r="L194" s="29" t="s">
        <v>359</v>
      </c>
      <c r="M194" s="30">
        <f t="shared" ref="M194" si="529">HARMEAN($P188:$XX189)</f>
        <v>54.144313527210016</v>
      </c>
      <c r="N194" s="71"/>
      <c r="O194" s="27" t="str">
        <f t="shared" ref="O194" si="530">"3 POND"</f>
        <v>3 POND</v>
      </c>
      <c r="P194" s="107">
        <f>IF(IFERROR(VLOOKUP(P185,'Tabela de Apoio'!$D:$E,2,FALSE),1)=1,"",P195)</f>
        <v>46.550771520028626</v>
      </c>
      <c r="Q194" s="107">
        <f>IF(IFERROR(VLOOKUP(Q185,'Tabela de Apoio'!$D:$E,2,FALSE),1)=1,"",Q195)</f>
        <v>74.812411056966667</v>
      </c>
      <c r="R194" s="107">
        <f>IF(IFERROR(VLOOKUP(R185,'Tabela de Apoio'!$D:$E,2,FALSE),1)=1,"",R195)</f>
        <v>49.954712931028837</v>
      </c>
      <c r="S194" s="107">
        <f>IF(IFERROR(VLOOKUP(S185,'Tabela de Apoio'!$D:$E,2,FALSE),1)=1,"",S195)</f>
        <v>52.604384317602609</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f t="shared" si="445"/>
        <v>9</v>
      </c>
      <c r="C195" s="128">
        <f t="shared" si="446"/>
        <v>1</v>
      </c>
      <c r="D195" s="127">
        <f t="shared" si="446"/>
        <v>9</v>
      </c>
      <c r="E195" s="199"/>
      <c r="F195" s="93"/>
      <c r="G195" s="201"/>
      <c r="H195" s="134">
        <f t="shared" ref="H195" si="531">COUNT($P195:$XX195)</f>
        <v>4</v>
      </c>
      <c r="I195" s="132">
        <f t="shared" ref="I195" si="532">_xlfn.STDEV.P($P194:$XX195)/AVERAGE($P194:$XX195)</f>
        <v>0.19796678643063348</v>
      </c>
      <c r="J195" s="7">
        <f t="shared" ref="J195" si="533">IF(AND(H195&gt;2,
OR(L183="MÉDIA SANEADA",L183="MEDIANA SANEADA",
AND(L183="PREÇO ESTIMADO",NOT(AND(P185="Orçamento",COUNTA(P183:XX183)=COUNTIF(P185:XX185,"Orçamento")))))),
ROW(),0)</f>
        <v>195</v>
      </c>
      <c r="K195" s="66"/>
      <c r="L195" s="29" t="s">
        <v>41</v>
      </c>
      <c r="M195" s="30">
        <f t="shared" ref="M195" si="534">IFERROR(_xlfn.QUARTILE.EXC($P189:$XX189,1),"")</f>
        <v>47.401756872778677</v>
      </c>
      <c r="N195" s="71"/>
      <c r="O195" s="27" t="str">
        <f t="shared" ref="O195" si="535">"3 RODADA"</f>
        <v>3 RODADA</v>
      </c>
      <c r="P195" s="107">
        <f t="shared" ref="P195:AI195" si="536">IF(P193="","",IF((_xlfn.STDEV.P($P192:$XX193)/AVERAGE($P192:$XX193))&lt;=25%,P193,IF(OR(P193&gt;(AVERAGE($P192:$XX193)+_xlfn.STDEV.P($P192:$XX193)),P193&lt;(AVERAGE($P192:$XX193)-_xlfn.STDEV.P($P192:$XX193))),"DESCARTADO",P193)))</f>
        <v>46.550771520028626</v>
      </c>
      <c r="Q195" s="107">
        <f t="shared" si="536"/>
        <v>74.812411056966667</v>
      </c>
      <c r="R195" s="107">
        <f t="shared" si="536"/>
        <v>49.954712931028837</v>
      </c>
      <c r="S195" s="107">
        <f t="shared" si="536"/>
        <v>52.604384317602609</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f t="shared" si="445"/>
        <v>9</v>
      </c>
      <c r="C196" s="128">
        <f t="shared" si="446"/>
        <v>1</v>
      </c>
      <c r="D196" s="127">
        <f t="shared" si="446"/>
        <v>9</v>
      </c>
      <c r="E196" s="199"/>
      <c r="F196" s="93"/>
      <c r="G196" s="201"/>
      <c r="H196"/>
      <c r="I196"/>
      <c r="J196"/>
      <c r="K196" s="66"/>
      <c r="L196" s="29" t="s">
        <v>39</v>
      </c>
      <c r="M196" s="30">
        <f t="shared" ref="M196" si="537">IFERROR(_xlfn.QUARTILE.EXC($P189:$XX189,3),"")</f>
        <v>69.260404372125649</v>
      </c>
      <c r="N196" s="71"/>
      <c r="O196" s="27" t="str">
        <f t="shared" ref="O196" si="538">"4 POND"</f>
        <v>4 POND</v>
      </c>
      <c r="P196" s="107">
        <f>IF(IFERROR(VLOOKUP(P185,'Tabela de Apoio'!$D:$E,2,FALSE),1)=1,"",P197)</f>
        <v>46.550771520028626</v>
      </c>
      <c r="Q196" s="107">
        <f>IF(IFERROR(VLOOKUP(Q185,'Tabela de Apoio'!$D:$E,2,FALSE),1)=1,"",Q197)</f>
        <v>74.812411056966667</v>
      </c>
      <c r="R196" s="107">
        <f>IF(IFERROR(VLOOKUP(R185,'Tabela de Apoio'!$D:$E,2,FALSE),1)=1,"",R197)</f>
        <v>49.954712931028837</v>
      </c>
      <c r="S196" s="107">
        <f>IF(IFERROR(VLOOKUP(S185,'Tabela de Apoio'!$D:$E,2,FALSE),1)=1,"",S197)</f>
        <v>52.604384317602609</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f t="shared" si="445"/>
        <v>9</v>
      </c>
      <c r="C197" s="128">
        <f t="shared" si="446"/>
        <v>1</v>
      </c>
      <c r="D197" s="127">
        <f t="shared" si="446"/>
        <v>9</v>
      </c>
      <c r="E197" s="199"/>
      <c r="F197" s="93"/>
      <c r="G197" s="201"/>
      <c r="H197" s="134">
        <f t="shared" ref="H197" si="539">COUNT($P197:$XX197)</f>
        <v>4</v>
      </c>
      <c r="I197" s="132">
        <f t="shared" ref="I197" si="540">_xlfn.STDEV.P($P196:$XX197)/AVERAGE($P196:$XX197)</f>
        <v>0.19796678643063348</v>
      </c>
      <c r="J197" s="7">
        <f t="shared" ref="J197" si="541">IF(AND(H197&gt;2,
OR(L183="MÉDIA SANEADA",L183="MEDIANA SANEADA",
AND(L183="PREÇO ESTIMADO",NOT(AND(P185="Orçamento",COUNTA(P183:XX183)=COUNTIF(P185:XX185,"Orçamento")))))),
ROW(),0)</f>
        <v>197</v>
      </c>
      <c r="K197" s="66"/>
      <c r="L197" s="29" t="s">
        <v>42</v>
      </c>
      <c r="M197" s="30">
        <f t="shared" ref="M197" si="542">MIN($P189:$XX189)</f>
        <v>46.550771520028626</v>
      </c>
      <c r="N197" s="71"/>
      <c r="O197" s="27" t="str">
        <f t="shared" ref="O197" si="543">"4 RODADA"</f>
        <v>4 RODADA</v>
      </c>
      <c r="P197" s="107">
        <f t="shared" ref="P197:AI197" si="544">IF(P195="","",IF((_xlfn.STDEV.P($P194:$XX195)/AVERAGE($P194:$XX195))&lt;=25%,P195,IF(OR(P195&gt;(AVERAGE($P194:$XX195)+_xlfn.STDEV.P($P194:$XX195)),P195&lt;(AVERAGE($P194:$XX195)-_xlfn.STDEV.P($P194:$XX195))),"DESCARTADO",P195)))</f>
        <v>46.550771520028626</v>
      </c>
      <c r="Q197" s="107">
        <f t="shared" si="544"/>
        <v>74.812411056966667</v>
      </c>
      <c r="R197" s="107">
        <f t="shared" si="544"/>
        <v>49.954712931028837</v>
      </c>
      <c r="S197" s="107">
        <f t="shared" si="544"/>
        <v>52.604384317602609</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f t="shared" si="445"/>
        <v>9</v>
      </c>
      <c r="C198" s="128">
        <f t="shared" si="446"/>
        <v>1</v>
      </c>
      <c r="D198" s="127">
        <f t="shared" si="446"/>
        <v>9</v>
      </c>
      <c r="E198" s="199"/>
      <c r="F198" s="93"/>
      <c r="G198" s="201"/>
      <c r="H198"/>
      <c r="I198"/>
      <c r="J198"/>
      <c r="K198" s="66"/>
      <c r="L198" s="29" t="s">
        <v>40</v>
      </c>
      <c r="M198" s="30">
        <f t="shared" ref="M198" si="545">MAX($P189:$XX189)</f>
        <v>74.812411056966667</v>
      </c>
      <c r="N198" s="71"/>
      <c r="O198" s="27" t="str">
        <f t="shared" ref="O198" si="546">"5 POND"</f>
        <v>5 POND</v>
      </c>
      <c r="P198" s="107">
        <f>IF(IFERROR(VLOOKUP(P185,'Tabela de Apoio'!$D:$E,2,FALSE),1)=1,"",P199)</f>
        <v>46.550771520028626</v>
      </c>
      <c r="Q198" s="107">
        <f>IF(IFERROR(VLOOKUP(Q185,'Tabela de Apoio'!$D:$E,2,FALSE),1)=1,"",Q199)</f>
        <v>74.812411056966667</v>
      </c>
      <c r="R198" s="107">
        <f>IF(IFERROR(VLOOKUP(R185,'Tabela de Apoio'!$D:$E,2,FALSE),1)=1,"",R199)</f>
        <v>49.954712931028837</v>
      </c>
      <c r="S198" s="107">
        <f>IF(IFERROR(VLOOKUP(S185,'Tabela de Apoio'!$D:$E,2,FALSE),1)=1,"",S199)</f>
        <v>52.604384317602609</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f t="shared" si="445"/>
        <v>9</v>
      </c>
      <c r="C199" s="128">
        <f t="shared" si="446"/>
        <v>1</v>
      </c>
      <c r="D199" s="127">
        <f t="shared" si="446"/>
        <v>9</v>
      </c>
      <c r="E199" s="199"/>
      <c r="F199" s="93"/>
      <c r="G199" s="201"/>
      <c r="H199" s="134">
        <f t="shared" ref="H199" si="547">COUNT($P199:$XX199)</f>
        <v>4</v>
      </c>
      <c r="I199" s="132">
        <f t="shared" ref="I199" si="548">_xlfn.STDEV.P($P198:$XX199)/AVERAGE($P198:$XX199)</f>
        <v>0.19796678643063348</v>
      </c>
      <c r="J199" s="7">
        <f t="shared" ref="J199" si="549">IF(AND(H199&gt;2,
OR(L183="MÉDIA SANEADA",L183="MEDIANA SANEADA",
AND(L183="PREÇO ESTIMADO",NOT(AND(P185="Orçamento",COUNTA(P183:XX183)=COUNTIF(P185:XX185,"Orçamento")))))),
ROW(),0)</f>
        <v>199</v>
      </c>
      <c r="K199" s="66"/>
      <c r="N199" s="71"/>
      <c r="O199" s="27" t="str">
        <f t="shared" ref="O199" si="550">"5 RODADA"</f>
        <v>5 RODADA</v>
      </c>
      <c r="P199" s="107">
        <f t="shared" ref="P199:AI199" si="551">IF(P197="","",IF((_xlfn.STDEV.P($P196:$XX197)/AVERAGE($P196:$XX197))&lt;=25%,P197,IF(OR(P197&gt;(AVERAGE($P196:$XX197)+_xlfn.STDEV.P($P196:$XX197)),P197&lt;(AVERAGE($P196:$XX197)-_xlfn.STDEV.P($P196:$XX197))),"DESCARTADO",P197)))</f>
        <v>46.550771520028626</v>
      </c>
      <c r="Q199" s="107">
        <f t="shared" si="551"/>
        <v>74.812411056966667</v>
      </c>
      <c r="R199" s="107">
        <f t="shared" si="551"/>
        <v>49.954712931028837</v>
      </c>
      <c r="S199" s="107">
        <f t="shared" si="551"/>
        <v>52.604384317602609</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f t="shared" si="445"/>
        <v>9</v>
      </c>
      <c r="C200" s="128">
        <f t="shared" si="446"/>
        <v>1</v>
      </c>
      <c r="D200" s="127">
        <f t="shared" si="446"/>
        <v>9</v>
      </c>
      <c r="E200" s="199"/>
      <c r="F200" s="93"/>
      <c r="G200" s="201"/>
      <c r="H200"/>
      <c r="I200"/>
      <c r="J200"/>
      <c r="K200" s="66"/>
      <c r="L200" s="22"/>
      <c r="M200" s="22"/>
      <c r="N200" s="71"/>
      <c r="O200" s="27" t="str">
        <f t="shared" ref="O200" si="552">"6 POND"</f>
        <v>6 POND</v>
      </c>
      <c r="P200" s="107">
        <f>IF(IFERROR(VLOOKUP(P185,'Tabela de Apoio'!$D:$E,2,FALSE),1)=1,"",P201)</f>
        <v>46.550771520028626</v>
      </c>
      <c r="Q200" s="107">
        <f>IF(IFERROR(VLOOKUP(Q185,'Tabela de Apoio'!$D:$E,2,FALSE),1)=1,"",Q201)</f>
        <v>74.812411056966667</v>
      </c>
      <c r="R200" s="107">
        <f>IF(IFERROR(VLOOKUP(R185,'Tabela de Apoio'!$D:$E,2,FALSE),1)=1,"",R201)</f>
        <v>49.954712931028837</v>
      </c>
      <c r="S200" s="107">
        <f>IF(IFERROR(VLOOKUP(S185,'Tabela de Apoio'!$D:$E,2,FALSE),1)=1,"",S201)</f>
        <v>52.604384317602609</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f t="shared" si="445"/>
        <v>9</v>
      </c>
      <c r="C201" s="128">
        <f t="shared" si="446"/>
        <v>1</v>
      </c>
      <c r="D201" s="127">
        <f t="shared" si="446"/>
        <v>9</v>
      </c>
      <c r="E201" s="199"/>
      <c r="F201" s="93"/>
      <c r="G201" s="201"/>
      <c r="H201" s="134">
        <f t="shared" ref="H201" si="553">COUNT($P201:$XX201)</f>
        <v>4</v>
      </c>
      <c r="I201" s="132">
        <f t="shared" ref="I201" si="554">_xlfn.STDEV.P($P200:$XX201)/AVERAGE($P200:$XX201)</f>
        <v>0.19796678643063348</v>
      </c>
      <c r="J201" s="7">
        <f t="shared" ref="J201" si="555">IF(AND(H201&gt;2,
OR(L183="MÉDIA SANEADA",L183="MEDIANA SANEADA",
AND(L183="PREÇO ESTIMADO",NOT(AND(P185="Orçamento",COUNTA(P183:XX183)=COUNTIF(P185:XX185,"Orçamento")))))),
ROW(),0)</f>
        <v>201</v>
      </c>
      <c r="N201" s="71"/>
      <c r="O201" s="27" t="str">
        <f t="shared" ref="O201" si="556">"6 RODADA"</f>
        <v>6 RODADA</v>
      </c>
      <c r="P201" s="107">
        <f t="shared" ref="P201:AI201" si="557">IFERROR(IF(P199="","",IF((_xlfn.STDEV.P($P198:$XX199)/AVERAGE($P198:$XX199))&lt;=25%,P199,IF(OR(P199&gt;(AVERAGE($P198:$XX199)+_xlfn.STDEV.P($P198:$XX199)),P199&lt;(AVERAGE($P198:$XX199)-_xlfn.STDEV.P($P198:$XX199))),"DESCARTADO",P199))),)</f>
        <v>46.550771520028626</v>
      </c>
      <c r="Q201" s="107">
        <f t="shared" si="557"/>
        <v>74.812411056966667</v>
      </c>
      <c r="R201" s="107">
        <f t="shared" si="557"/>
        <v>49.954712931028837</v>
      </c>
      <c r="S201" s="107">
        <f t="shared" si="557"/>
        <v>52.604384317602609</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f t="shared" si="445"/>
        <v>9</v>
      </c>
      <c r="C202" s="128">
        <f t="shared" si="446"/>
        <v>1</v>
      </c>
      <c r="D202" s="127">
        <f t="shared" si="446"/>
        <v>9</v>
      </c>
      <c r="E202" s="199"/>
      <c r="F202" s="136"/>
      <c r="G202" s="201"/>
      <c r="H202" s="204"/>
      <c r="I202" s="204"/>
      <c r="J202" s="205"/>
      <c r="K202" s="67"/>
      <c r="L202" s="1" t="s">
        <v>43</v>
      </c>
      <c r="M202" s="143">
        <f t="shared" ref="M202" si="558">IFERROR(ROUND(M183*M185,2),"")</f>
        <v>44280.18</v>
      </c>
      <c r="O202" s="27" t="s">
        <v>363</v>
      </c>
      <c r="P202" s="107">
        <f t="shared" ref="P202:R202" si="559">INDEX(P189:P201,MATCH(MAX($J189:$J201),$J189:$J201,0))</f>
        <v>46.550771520028626</v>
      </c>
      <c r="Q202" s="107">
        <f t="shared" si="559"/>
        <v>74.812411056966667</v>
      </c>
      <c r="R202" s="107">
        <f t="shared" si="559"/>
        <v>49.954712931028837</v>
      </c>
      <c r="S202" s="107">
        <f t="shared" si="493"/>
        <v>52.604384317602609</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f t="shared" ref="B204" si="560">LARGE(IFERROR(IF(B202+1&gt;$H$8,"",B202+1),""),1)</f>
        <v>10</v>
      </c>
      <c r="C204" s="127">
        <f>IF(_xlfn.ISFORMULA(E208),MAX(INDEX('BASE FORMAÇÃO'!A:A,B204+1),1),E208)</f>
        <v>1</v>
      </c>
      <c r="D204" s="127">
        <f t="shared" ref="D204" si="561">IFERROR(IF(C204=C194,D194+1,1),1)</f>
        <v>10</v>
      </c>
      <c r="E204" s="38" t="s">
        <v>9</v>
      </c>
      <c r="F204" s="73"/>
      <c r="G204" s="38" t="s">
        <v>15</v>
      </c>
      <c r="H204" s="135">
        <f>INDEX('BASE FORMAÇÃO'!B:B,B204+1)</f>
        <v>0</v>
      </c>
      <c r="I204" s="181" t="s">
        <v>16</v>
      </c>
      <c r="J204" s="6">
        <f>INDEX('BASE FORMAÇÃO'!K:K,B204+1)</f>
        <v>0</v>
      </c>
      <c r="K204" s="65"/>
      <c r="L204" s="183" t="s">
        <v>10</v>
      </c>
      <c r="M204" s="185">
        <f t="shared" ref="M204" si="562">IF(OR(ISBLANK($O$8),ISBLANK($O$7),ISBLANK($H$8),ISBLANK($O$6),ISBLANK($O$5),ISBLANK($H$5)),"",IFERROR(IF(VLOOKUP(L204,L210:M219,2,FALSE)&lt;1,ROUND(VLOOKUP(L204,L210:M219,2,FALSE),4),ROUND(VLOOKUP(L204,L210:M219,2,FALSE),2)),""))</f>
        <v>62.42</v>
      </c>
      <c r="N204" s="69"/>
      <c r="O204" s="27" t="s">
        <v>17</v>
      </c>
      <c r="P204" s="113">
        <v>44</v>
      </c>
      <c r="Q204" s="113">
        <v>66</v>
      </c>
      <c r="R204" s="113">
        <v>55.83</v>
      </c>
      <c r="S204" s="113">
        <v>58</v>
      </c>
      <c r="T204" s="113">
        <v>70</v>
      </c>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f t="shared" ref="B205:D205" si="563">B204</f>
        <v>10</v>
      </c>
      <c r="C205" s="128">
        <f t="shared" si="563"/>
        <v>1</v>
      </c>
      <c r="D205" s="127">
        <f t="shared" si="563"/>
        <v>10</v>
      </c>
      <c r="E205" s="187">
        <f t="shared" ref="E205" si="564">D204</f>
        <v>10</v>
      </c>
      <c r="F205" s="92"/>
      <c r="G205" s="189" t="s">
        <v>1</v>
      </c>
      <c r="H205" s="192" t="str">
        <f>INDEX('BASE FORMAÇÃO'!C:C,B204+1)</f>
        <v>Cartazes</v>
      </c>
      <c r="I205" s="192"/>
      <c r="J205" s="193"/>
      <c r="K205" s="66"/>
      <c r="L205" s="184"/>
      <c r="M205" s="186"/>
      <c r="N205" s="70"/>
      <c r="O205" s="27" t="s">
        <v>13</v>
      </c>
      <c r="P205" s="122">
        <v>46003</v>
      </c>
      <c r="Q205" s="122">
        <v>46247</v>
      </c>
      <c r="R205" s="122">
        <v>46247</v>
      </c>
      <c r="S205" s="122">
        <v>46212</v>
      </c>
      <c r="T205" s="122">
        <v>46239</v>
      </c>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f t="shared" ref="B206:D206" si="565">B205</f>
        <v>10</v>
      </c>
      <c r="C206" s="128">
        <f t="shared" si="565"/>
        <v>1</v>
      </c>
      <c r="D206" s="127">
        <f t="shared" si="565"/>
        <v>10</v>
      </c>
      <c r="E206" s="188"/>
      <c r="F206" s="93"/>
      <c r="G206" s="190"/>
      <c r="H206" s="194"/>
      <c r="I206" s="194"/>
      <c r="J206" s="195"/>
      <c r="K206" s="64"/>
      <c r="L206" s="130" t="s">
        <v>44</v>
      </c>
      <c r="M206" s="131">
        <f>INDEX('BASE FORMAÇÃO'!H:H,B208+1)</f>
        <v>13166</v>
      </c>
      <c r="N206" s="71"/>
      <c r="O206" s="27" t="s">
        <v>380</v>
      </c>
      <c r="P206" s="114" t="s">
        <v>12</v>
      </c>
      <c r="Q206" s="114" t="s">
        <v>12</v>
      </c>
      <c r="R206" s="114" t="s">
        <v>12</v>
      </c>
      <c r="S206" s="114" t="s">
        <v>12</v>
      </c>
      <c r="T206" s="114" t="s">
        <v>12</v>
      </c>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f t="shared" ref="B207:C207" si="566">B206</f>
        <v>10</v>
      </c>
      <c r="C207" s="128">
        <f t="shared" si="566"/>
        <v>1</v>
      </c>
      <c r="D207" s="127">
        <f t="shared" si="446"/>
        <v>10</v>
      </c>
      <c r="E207" s="38" t="s">
        <v>313</v>
      </c>
      <c r="F207" s="93"/>
      <c r="G207" s="191"/>
      <c r="H207" s="196"/>
      <c r="I207" s="196"/>
      <c r="J207" s="197"/>
      <c r="K207" s="64"/>
      <c r="L207" s="1" t="s">
        <v>2</v>
      </c>
      <c r="M207" s="6" t="str">
        <f>INDEX('BASE FORMAÇÃO'!D:D,B208+1)</f>
        <v>M2</v>
      </c>
      <c r="N207" s="71"/>
      <c r="O207" s="27" t="s">
        <v>381</v>
      </c>
      <c r="P207" s="115" t="s">
        <v>459</v>
      </c>
      <c r="Q207" s="115" t="s">
        <v>460</v>
      </c>
      <c r="R207" s="115" t="s">
        <v>460</v>
      </c>
      <c r="S207" s="115" t="s">
        <v>460</v>
      </c>
      <c r="T207" s="115" t="s">
        <v>460</v>
      </c>
      <c r="U207" s="118"/>
      <c r="V207" s="118"/>
      <c r="W207" s="118"/>
      <c r="X207" s="118"/>
      <c r="Y207" s="118"/>
      <c r="Z207" s="118"/>
      <c r="AA207" s="118"/>
      <c r="AB207" s="118"/>
      <c r="AC207" s="118"/>
      <c r="AD207" s="118"/>
      <c r="AE207" s="118"/>
      <c r="AF207" s="118"/>
      <c r="AG207" s="118"/>
      <c r="AH207" s="118"/>
      <c r="AI207" s="118"/>
    </row>
    <row r="208" spans="1:167" x14ac:dyDescent="0.25">
      <c r="B208" s="128">
        <f t="shared" ref="B208:C208" si="567">B206</f>
        <v>10</v>
      </c>
      <c r="C208" s="128">
        <f t="shared" si="567"/>
        <v>1</v>
      </c>
      <c r="D208" s="127">
        <f t="shared" si="446"/>
        <v>10</v>
      </c>
      <c r="E208" s="198">
        <f t="shared" ref="E208" si="568">C204</f>
        <v>1</v>
      </c>
      <c r="F208" s="93"/>
      <c r="G208" s="200" t="s">
        <v>304</v>
      </c>
      <c r="H208" s="202"/>
      <c r="I208" s="203"/>
      <c r="J208" s="203"/>
      <c r="K208" s="67"/>
      <c r="L208" s="28" t="s">
        <v>303</v>
      </c>
      <c r="M208" s="133">
        <f t="shared" ref="M208" si="569">IFERROR(INDEX(I210:I222,MATCH(MAX(J210:J222),J210:J222,0)),"")</f>
        <v>9.2910453500117243E-2</v>
      </c>
      <c r="N208" s="71"/>
      <c r="O208" s="27" t="s">
        <v>18</v>
      </c>
      <c r="P208" s="106">
        <f>IF(P204="","",
IF(OR(P206="Orçamento",P205="",MAX('Tabela de Apoio'!$A:$A)&lt;=P205),
P204,
(INDEX('Tabela de Apoio'!$B:$B,MATCH('MAPA DE PREÇOS'!$O$8,'Tabela de Apoio'!$A:$A,1))/INDEX('Tabela de Apoio'!$B:$B,MATCH('MAPA DE PREÇOS'!P205,'Tabela de Apoio'!$A:$A,1)-1))*P204))</f>
        <v>45.516309930694661</v>
      </c>
      <c r="Q208" s="106">
        <f>IF(Q204="","",
IF(OR(Q206="Orçamento",Q205="",MAX('Tabela de Apoio'!$A:$A)&lt;=Q205),
Q204,
(INDEX('Tabela de Apoio'!$B:$B,MATCH('MAPA DE PREÇOS'!$O$8,'Tabela de Apoio'!$A:$A,1))/INDEX('Tabela de Apoio'!$B:$B,MATCH('MAPA DE PREÇOS'!Q205,'Tabela de Apoio'!$A:$A,1)-1))*Q204))</f>
        <v>66</v>
      </c>
      <c r="R208" s="106">
        <f>IF(R204="","",
IF(OR(R206="Orçamento",R205="",MAX('Tabela de Apoio'!$A:$A)&lt;=R205),
R204,
(INDEX('Tabela de Apoio'!$B:$B,MATCH('MAPA DE PREÇOS'!$O$8,'Tabela de Apoio'!$A:$A,1))/INDEX('Tabela de Apoio'!$B:$B,MATCH('MAPA DE PREÇOS'!R205,'Tabela de Apoio'!$A:$A,1)-1))*R204))</f>
        <v>55.83</v>
      </c>
      <c r="S208" s="106">
        <f>IF(S204="","",
IF(OR(S206="Orçamento",S205="",MAX('Tabela de Apoio'!$A:$A)&lt;=S205),
S204,
(INDEX('Tabela de Apoio'!$B:$B,MATCH('MAPA DE PREÇOS'!$O$8,'Tabela de Apoio'!$A:$A,1))/INDEX('Tabela de Apoio'!$B:$B,MATCH('MAPA DE PREÇOS'!S205,'Tabela de Apoio'!$A:$A,1)-1))*S204))</f>
        <v>57.854931217387552</v>
      </c>
      <c r="T208" s="106">
        <f>IF(T204="","",
IF(OR(T206="Orçamento",T205="",MAX('Tabela de Apoio'!$A:$A)&lt;=T205),
T204,
(INDEX('Tabela de Apoio'!$B:$B,MATCH('MAPA DE PREÇOS'!$O$8,'Tabela de Apoio'!$A:$A,1))/INDEX('Tabela de Apoio'!$B:$B,MATCH('MAPA DE PREÇOS'!T205,'Tabela de Apoio'!$A:$A,1)-1))*T204))</f>
        <v>70</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f t="shared" ref="B209" si="570">B208</f>
        <v>10</v>
      </c>
      <c r="C209" s="128">
        <f t="shared" ref="C209" si="571">C208</f>
        <v>1</v>
      </c>
      <c r="D209" s="127">
        <f t="shared" si="446"/>
        <v>10</v>
      </c>
      <c r="E209" s="199"/>
      <c r="F209" s="93"/>
      <c r="G209" s="201"/>
      <c r="H209"/>
      <c r="I209"/>
      <c r="J209"/>
      <c r="N209" s="71"/>
      <c r="O209" s="27" t="s">
        <v>375</v>
      </c>
      <c r="P209" s="107" t="str">
        <f>IF(IFERROR(VLOOKUP(P206,'Tabela de Apoio'!$D:$E,2,FALSE),1)=1,"",P210)</f>
        <v>DESCARTADO</v>
      </c>
      <c r="Q209" s="107">
        <f>IF(IFERROR(VLOOKUP(Q206,'Tabela de Apoio'!$D:$E,2,FALSE),1)=1,"",Q210)</f>
        <v>66</v>
      </c>
      <c r="R209" s="107">
        <f>IF(IFERROR(VLOOKUP(R206,'Tabela de Apoio'!$D:$E,2,FALSE),1)=1,"",R210)</f>
        <v>55.83</v>
      </c>
      <c r="S209" s="107">
        <f>IF(IFERROR(VLOOKUP(S206,'Tabela de Apoio'!$D:$E,2,FALSE),1)=1,"",S210)</f>
        <v>57.854931217387552</v>
      </c>
      <c r="T209" s="107">
        <f>IF(IFERROR(VLOOKUP(T206,'Tabela de Apoio'!$D:$E,2,FALSE),1)=1,"",T210)</f>
        <v>70</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f t="shared" ref="B210:C210" si="572">B209</f>
        <v>10</v>
      </c>
      <c r="C210" s="128">
        <f t="shared" si="572"/>
        <v>1</v>
      </c>
      <c r="D210" s="127">
        <f t="shared" si="446"/>
        <v>10</v>
      </c>
      <c r="E210" s="199"/>
      <c r="F210" s="93"/>
      <c r="G210" s="201"/>
      <c r="H210" s="134">
        <f t="shared" ref="H210" si="573">COUNT($P210:$XX210)</f>
        <v>4</v>
      </c>
      <c r="I210" s="132">
        <f t="shared" ref="I210" si="574">_xlfn.STDEV.P($P209:$XX210)/AVERAGE($P209:$XX210)</f>
        <v>9.2910453500117243E-2</v>
      </c>
      <c r="J210" s="7">
        <f>ROW()</f>
        <v>210</v>
      </c>
      <c r="K210" s="67"/>
      <c r="L210" s="29" t="s">
        <v>10</v>
      </c>
      <c r="M210" s="30">
        <f t="shared" ref="M210" si="575">IFERROR(
IF(COUNTA(P204:AI204)=COUNTIF(P206:XX206,"Orçamento"),MIN(M215,M212),
IF(M213&lt;&gt;"",M213,
IF(M214&lt;&gt;"",M214,
M212
))),"")</f>
        <v>62.421232804346886</v>
      </c>
      <c r="N210" s="71"/>
      <c r="O210" s="27" t="s">
        <v>376</v>
      </c>
      <c r="P210" s="106" t="str">
        <f t="shared" ref="P210:AI210" si="576">IFERROR(IF(P208="",
            "",
            IF(COUNT($P208:$XX208)&lt;=4,
               P208,
               IF(OR(P208&gt;(QUARTILE($P208:$XX208,3)+(QUARTILE($P208:$XX208,3)-QUARTILE($P208:$XX208,1))),
                     P208&lt;(QUARTILE($P208:$XX208,1)-(QUARTILE($P208:$XX208,3)-QUARTILE($P208:$XX208,1)))
                  ),
               "DESCARTADO",P208)
             )
  ),P208)</f>
        <v>DESCARTADO</v>
      </c>
      <c r="Q210" s="106">
        <f t="shared" si="576"/>
        <v>66</v>
      </c>
      <c r="R210" s="106">
        <f t="shared" si="576"/>
        <v>55.83</v>
      </c>
      <c r="S210" s="106">
        <f t="shared" si="576"/>
        <v>57.854931217387552</v>
      </c>
      <c r="T210" s="106">
        <f t="shared" si="576"/>
        <v>70</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f t="shared" ref="B211" si="577">B210</f>
        <v>10</v>
      </c>
      <c r="C211" s="128">
        <f t="shared" ref="C211" si="578">C210</f>
        <v>1</v>
      </c>
      <c r="D211" s="127">
        <f t="shared" si="446"/>
        <v>10</v>
      </c>
      <c r="E211" s="199"/>
      <c r="F211" s="93"/>
      <c r="G211" s="201"/>
      <c r="H211"/>
      <c r="I211"/>
      <c r="J211"/>
      <c r="K211" s="66"/>
      <c r="L211" s="29" t="s">
        <v>360</v>
      </c>
      <c r="M211" s="30">
        <f t="shared" ref="M211" si="579">AVERAGE($P210:$XX210)</f>
        <v>62.421232804346886</v>
      </c>
      <c r="N211" s="71"/>
      <c r="O211" s="27" t="str">
        <f t="shared" ref="O211" si="580">"1 POND"</f>
        <v>1 POND</v>
      </c>
      <c r="P211" s="107" t="str">
        <f>IF(IFERROR(VLOOKUP(P206,'Tabela de Apoio'!$D:$E,2,FALSE),1)=1,"",P212)</f>
        <v>DESCARTADO</v>
      </c>
      <c r="Q211" s="107">
        <f>IF(IFERROR(VLOOKUP(Q206,'Tabela de Apoio'!$D:$E,2,FALSE),1)=1,"",Q212)</f>
        <v>66</v>
      </c>
      <c r="R211" s="107">
        <f>IF(IFERROR(VLOOKUP(R206,'Tabela de Apoio'!$D:$E,2,FALSE),1)=1,"",R212)</f>
        <v>55.83</v>
      </c>
      <c r="S211" s="107">
        <f>IF(IFERROR(VLOOKUP(S206,'Tabela de Apoio'!$D:$E,2,FALSE),1)=1,"",S212)</f>
        <v>57.854931217387552</v>
      </c>
      <c r="T211" s="107">
        <f>IF(IFERROR(VLOOKUP(T206,'Tabela de Apoio'!$D:$E,2,FALSE),1)=1,"",T212)</f>
        <v>70</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f t="shared" si="445"/>
        <v>10</v>
      </c>
      <c r="C212" s="128">
        <f t="shared" si="446"/>
        <v>1</v>
      </c>
      <c r="D212" s="127">
        <f t="shared" si="446"/>
        <v>10</v>
      </c>
      <c r="E212" s="199"/>
      <c r="F212" s="93"/>
      <c r="G212" s="201"/>
      <c r="H212" s="134">
        <f t="shared" ref="H212" si="581">COUNT($P212:$XX212)</f>
        <v>4</v>
      </c>
      <c r="I212" s="132">
        <f t="shared" ref="I212" si="582">_xlfn.STDEV.P($P211:$XX212)/AVERAGE($P211:$XX212)</f>
        <v>9.2910453500117243E-2</v>
      </c>
      <c r="J212" s="7">
        <f t="shared" ref="J212" si="583">IF(AND(H212&gt;2,
OR(L204="MÉDIA SANEADA",L204="MEDIANA SANEADA",
AND(L204="PREÇO ESTIMADO",NOT(AND(P206="Orçamento",COUNTA(P204:XX204)=COUNTIF(P206:XX206,"Orçamento")))))),
ROW(),0)</f>
        <v>212</v>
      </c>
      <c r="K212" s="66"/>
      <c r="L212" s="29" t="s">
        <v>361</v>
      </c>
      <c r="M212" s="30">
        <f t="shared" ref="M212" si="584">MEDIAN($P210:$XX210)</f>
        <v>61.92746560869378</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DESCARTADO</v>
      </c>
      <c r="Q212" s="107">
        <f t="shared" si="586"/>
        <v>66</v>
      </c>
      <c r="R212" s="107">
        <f t="shared" si="586"/>
        <v>55.83</v>
      </c>
      <c r="S212" s="107">
        <f t="shared" si="586"/>
        <v>57.854931217387552</v>
      </c>
      <c r="T212" s="107">
        <f t="shared" si="586"/>
        <v>70</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f t="shared" si="445"/>
        <v>10</v>
      </c>
      <c r="C213" s="128">
        <f t="shared" si="446"/>
        <v>1</v>
      </c>
      <c r="D213" s="127">
        <f t="shared" si="446"/>
        <v>10</v>
      </c>
      <c r="E213" s="199"/>
      <c r="F213" s="93"/>
      <c r="G213" s="201"/>
      <c r="H213"/>
      <c r="I213"/>
      <c r="J213"/>
      <c r="L213" s="29" t="s">
        <v>38</v>
      </c>
      <c r="M213" s="30">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62.421232804346886</v>
      </c>
      <c r="N213" s="71"/>
      <c r="O213" s="27" t="str">
        <f t="shared" ref="O213" si="588">"2 POND"</f>
        <v>2 POND</v>
      </c>
      <c r="P213" s="107" t="str">
        <f>IF(IFERROR(VLOOKUP(P206,'Tabela de Apoio'!$D:$E,2,FALSE),1)=1,"",P214)</f>
        <v>DESCARTADO</v>
      </c>
      <c r="Q213" s="107">
        <f>IF(IFERROR(VLOOKUP(Q206,'Tabela de Apoio'!$D:$E,2,FALSE),1)=1,"",Q214)</f>
        <v>66</v>
      </c>
      <c r="R213" s="107">
        <f>IF(IFERROR(VLOOKUP(R206,'Tabela de Apoio'!$D:$E,2,FALSE),1)=1,"",R214)</f>
        <v>55.83</v>
      </c>
      <c r="S213" s="107">
        <f>IF(IFERROR(VLOOKUP(S206,'Tabela de Apoio'!$D:$E,2,FALSE),1)=1,"",S214)</f>
        <v>57.854931217387552</v>
      </c>
      <c r="T213" s="107">
        <f>IF(IFERROR(VLOOKUP(T206,'Tabela de Apoio'!$D:$E,2,FALSE),1)=1,"",T214)</f>
        <v>70</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f t="shared" si="445"/>
        <v>10</v>
      </c>
      <c r="C214" s="128">
        <f t="shared" si="446"/>
        <v>1</v>
      </c>
      <c r="D214" s="127">
        <f t="shared" si="446"/>
        <v>10</v>
      </c>
      <c r="E214" s="199"/>
      <c r="F214" s="93"/>
      <c r="G214" s="201"/>
      <c r="H214" s="134">
        <f t="shared" ref="H214" si="589">COUNT($P214:$XX214)</f>
        <v>4</v>
      </c>
      <c r="I214" s="132">
        <f t="shared" ref="I214" si="590">_xlfn.STDEV.P($P213:$XX214)/AVERAGE($P213:$XX214)</f>
        <v>9.2910453500117243E-2</v>
      </c>
      <c r="J214" s="7">
        <f t="shared" ref="J214" si="591">IF(AND(H214&gt;2,
OR(L204="MÉDIA SANEADA",L204="MEDIANA SANEADA",
AND(L204="PREÇO ESTIMADO",NOT(AND(P206="Orçamento",COUNTA(P204:XX204)=COUNTIF(P206:XX206,"Orçamento")))))),
ROW(),0)</f>
        <v>214</v>
      </c>
      <c r="K214" s="66"/>
      <c r="L214" s="29" t="s">
        <v>362</v>
      </c>
      <c r="M214" s="30">
        <f t="shared" ref="M214" si="592" xml:space="preserve">
IF(H212&gt;2,MEDIAN(P211:XX212),
IF(H214&gt;2,MEDIAN(P213:XX214),
IF(H216&gt;2,MEDIAN(P215:XX216),
IF(H218&gt;2,MEDIAN(P217:XX218),
IF(H220&gt;2,MEDIAN(P219:XX220),
IF(H222&gt;2,MEDIAN(P221:XX222),
MEDIAN(P209:XX210)))))))</f>
        <v>61.92746560869378</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DESCARTADO</v>
      </c>
      <c r="Q214" s="107">
        <f t="shared" si="594"/>
        <v>66</v>
      </c>
      <c r="R214" s="107">
        <f t="shared" si="594"/>
        <v>55.83</v>
      </c>
      <c r="S214" s="107">
        <f t="shared" si="594"/>
        <v>57.854931217387552</v>
      </c>
      <c r="T214" s="107">
        <f t="shared" si="594"/>
        <v>70</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f t="shared" si="445"/>
        <v>10</v>
      </c>
      <c r="C215" s="128">
        <f t="shared" si="446"/>
        <v>1</v>
      </c>
      <c r="D215" s="127">
        <f t="shared" si="446"/>
        <v>10</v>
      </c>
      <c r="E215" s="199"/>
      <c r="F215" s="93"/>
      <c r="G215" s="201"/>
      <c r="H215"/>
      <c r="I215"/>
      <c r="J215"/>
      <c r="K215" s="66"/>
      <c r="L215" s="29" t="s">
        <v>359</v>
      </c>
      <c r="M215" s="30">
        <f t="shared" ref="M215" si="595">HARMEAN($P209:$XX210)</f>
        <v>61.887547409593459</v>
      </c>
      <c r="N215" s="71"/>
      <c r="O215" s="27" t="str">
        <f t="shared" ref="O215" si="596">"3 POND"</f>
        <v>3 POND</v>
      </c>
      <c r="P215" s="107" t="str">
        <f>IF(IFERROR(VLOOKUP(P206,'Tabela de Apoio'!$D:$E,2,FALSE),1)=1,"",P216)</f>
        <v>DESCARTADO</v>
      </c>
      <c r="Q215" s="107">
        <f>IF(IFERROR(VLOOKUP(Q206,'Tabela de Apoio'!$D:$E,2,FALSE),1)=1,"",Q216)</f>
        <v>66</v>
      </c>
      <c r="R215" s="107">
        <f>IF(IFERROR(VLOOKUP(R206,'Tabela de Apoio'!$D:$E,2,FALSE),1)=1,"",R216)</f>
        <v>55.83</v>
      </c>
      <c r="S215" s="107">
        <f>IF(IFERROR(VLOOKUP(S206,'Tabela de Apoio'!$D:$E,2,FALSE),1)=1,"",S216)</f>
        <v>57.854931217387552</v>
      </c>
      <c r="T215" s="107">
        <f>IF(IFERROR(VLOOKUP(T206,'Tabela de Apoio'!$D:$E,2,FALSE),1)=1,"",T216)</f>
        <v>70</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f t="shared" si="445"/>
        <v>10</v>
      </c>
      <c r="C216" s="128">
        <f t="shared" si="446"/>
        <v>1</v>
      </c>
      <c r="D216" s="127">
        <f t="shared" si="446"/>
        <v>10</v>
      </c>
      <c r="E216" s="199"/>
      <c r="F216" s="93"/>
      <c r="G216" s="201"/>
      <c r="H216" s="134">
        <f t="shared" ref="H216" si="597">COUNT($P216:$XX216)</f>
        <v>4</v>
      </c>
      <c r="I216" s="132">
        <f t="shared" ref="I216" si="598">_xlfn.STDEV.P($P215:$XX216)/AVERAGE($P215:$XX216)</f>
        <v>9.2910453500117243E-2</v>
      </c>
      <c r="J216" s="7">
        <f t="shared" ref="J216" si="599">IF(AND(H216&gt;2,
OR(L204="MÉDIA SANEADA",L204="MEDIANA SANEADA",
AND(L204="PREÇO ESTIMADO",NOT(AND(P206="Orçamento",COUNTA(P204:XX204)=COUNTIF(P206:XX206,"Orçamento")))))),
ROW(),0)</f>
        <v>216</v>
      </c>
      <c r="K216" s="66"/>
      <c r="L216" s="29" t="s">
        <v>41</v>
      </c>
      <c r="M216" s="30">
        <f t="shared" ref="M216" si="600">IFERROR(_xlfn.QUARTILE.EXC($P210:$XX210,1),"")</f>
        <v>56.336232804346885</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DESCARTADO</v>
      </c>
      <c r="Q216" s="107">
        <f t="shared" si="602"/>
        <v>66</v>
      </c>
      <c r="R216" s="107">
        <f t="shared" si="602"/>
        <v>55.83</v>
      </c>
      <c r="S216" s="107">
        <f t="shared" si="602"/>
        <v>57.854931217387552</v>
      </c>
      <c r="T216" s="107">
        <f t="shared" si="602"/>
        <v>70</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f t="shared" si="445"/>
        <v>10</v>
      </c>
      <c r="C217" s="128">
        <f t="shared" si="446"/>
        <v>1</v>
      </c>
      <c r="D217" s="127">
        <f t="shared" si="446"/>
        <v>10</v>
      </c>
      <c r="E217" s="199"/>
      <c r="F217" s="93"/>
      <c r="G217" s="201"/>
      <c r="H217"/>
      <c r="I217"/>
      <c r="J217"/>
      <c r="K217" s="66"/>
      <c r="L217" s="29" t="s">
        <v>39</v>
      </c>
      <c r="M217" s="30">
        <f t="shared" ref="M217" si="603">IFERROR(_xlfn.QUARTILE.EXC($P210:$XX210,3),"")</f>
        <v>69</v>
      </c>
      <c r="N217" s="71"/>
      <c r="O217" s="27" t="str">
        <f t="shared" ref="O217" si="604">"4 POND"</f>
        <v>4 POND</v>
      </c>
      <c r="P217" s="107" t="str">
        <f>IF(IFERROR(VLOOKUP(P206,'Tabela de Apoio'!$D:$E,2,FALSE),1)=1,"",P218)</f>
        <v>DESCARTADO</v>
      </c>
      <c r="Q217" s="107">
        <f>IF(IFERROR(VLOOKUP(Q206,'Tabela de Apoio'!$D:$E,2,FALSE),1)=1,"",Q218)</f>
        <v>66</v>
      </c>
      <c r="R217" s="107">
        <f>IF(IFERROR(VLOOKUP(R206,'Tabela de Apoio'!$D:$E,2,FALSE),1)=1,"",R218)</f>
        <v>55.83</v>
      </c>
      <c r="S217" s="107">
        <f>IF(IFERROR(VLOOKUP(S206,'Tabela de Apoio'!$D:$E,2,FALSE),1)=1,"",S218)</f>
        <v>57.854931217387552</v>
      </c>
      <c r="T217" s="107">
        <f>IF(IFERROR(VLOOKUP(T206,'Tabela de Apoio'!$D:$E,2,FALSE),1)=1,"",T218)</f>
        <v>70</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f t="shared" si="445"/>
        <v>10</v>
      </c>
      <c r="C218" s="128">
        <f t="shared" si="446"/>
        <v>1</v>
      </c>
      <c r="D218" s="127">
        <f t="shared" si="446"/>
        <v>10</v>
      </c>
      <c r="E218" s="199"/>
      <c r="F218" s="93"/>
      <c r="G218" s="201"/>
      <c r="H218" s="134">
        <f t="shared" ref="H218" si="605">COUNT($P218:$XX218)</f>
        <v>4</v>
      </c>
      <c r="I218" s="132">
        <f t="shared" ref="I218" si="606">_xlfn.STDEV.P($P217:$XX218)/AVERAGE($P217:$XX218)</f>
        <v>9.2910453500117243E-2</v>
      </c>
      <c r="J218" s="7">
        <f t="shared" ref="J218" si="607">IF(AND(H218&gt;2,
OR(L204="MÉDIA SANEADA",L204="MEDIANA SANEADA",
AND(L204="PREÇO ESTIMADO",NOT(AND(P206="Orçamento",COUNTA(P204:XX204)=COUNTIF(P206:XX206,"Orçamento")))))),
ROW(),0)</f>
        <v>218</v>
      </c>
      <c r="K218" s="66"/>
      <c r="L218" s="29" t="s">
        <v>42</v>
      </c>
      <c r="M218" s="30">
        <f t="shared" ref="M218" si="608">MIN($P210:$XX210)</f>
        <v>55.83</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DESCARTADO</v>
      </c>
      <c r="Q218" s="107">
        <f t="shared" si="610"/>
        <v>66</v>
      </c>
      <c r="R218" s="107">
        <f t="shared" si="610"/>
        <v>55.83</v>
      </c>
      <c r="S218" s="107">
        <f t="shared" si="610"/>
        <v>57.854931217387552</v>
      </c>
      <c r="T218" s="107">
        <f t="shared" si="610"/>
        <v>70</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f t="shared" si="445"/>
        <v>10</v>
      </c>
      <c r="C219" s="128">
        <f t="shared" si="446"/>
        <v>1</v>
      </c>
      <c r="D219" s="127">
        <f t="shared" si="446"/>
        <v>10</v>
      </c>
      <c r="E219" s="199"/>
      <c r="F219" s="93"/>
      <c r="G219" s="201"/>
      <c r="H219"/>
      <c r="I219"/>
      <c r="J219"/>
      <c r="K219" s="66"/>
      <c r="L219" s="29" t="s">
        <v>40</v>
      </c>
      <c r="M219" s="30">
        <f t="shared" ref="M219" si="611">MAX($P210:$XX210)</f>
        <v>70</v>
      </c>
      <c r="N219" s="71"/>
      <c r="O219" s="27" t="str">
        <f t="shared" ref="O219" si="612">"5 POND"</f>
        <v>5 POND</v>
      </c>
      <c r="P219" s="107" t="str">
        <f>IF(IFERROR(VLOOKUP(P206,'Tabela de Apoio'!$D:$E,2,FALSE),1)=1,"",P220)</f>
        <v>DESCARTADO</v>
      </c>
      <c r="Q219" s="107">
        <f>IF(IFERROR(VLOOKUP(Q206,'Tabela de Apoio'!$D:$E,2,FALSE),1)=1,"",Q220)</f>
        <v>66</v>
      </c>
      <c r="R219" s="107">
        <f>IF(IFERROR(VLOOKUP(R206,'Tabela de Apoio'!$D:$E,2,FALSE),1)=1,"",R220)</f>
        <v>55.83</v>
      </c>
      <c r="S219" s="107">
        <f>IF(IFERROR(VLOOKUP(S206,'Tabela de Apoio'!$D:$E,2,FALSE),1)=1,"",S220)</f>
        <v>57.854931217387552</v>
      </c>
      <c r="T219" s="107">
        <f>IF(IFERROR(VLOOKUP(T206,'Tabela de Apoio'!$D:$E,2,FALSE),1)=1,"",T220)</f>
        <v>70</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f t="shared" si="445"/>
        <v>10</v>
      </c>
      <c r="C220" s="128">
        <f t="shared" si="446"/>
        <v>1</v>
      </c>
      <c r="D220" s="127">
        <f t="shared" si="446"/>
        <v>10</v>
      </c>
      <c r="E220" s="199"/>
      <c r="F220" s="93"/>
      <c r="G220" s="201"/>
      <c r="H220" s="134">
        <f t="shared" ref="H220" si="613">COUNT($P220:$XX220)</f>
        <v>4</v>
      </c>
      <c r="I220" s="132">
        <f t="shared" ref="I220" si="614">_xlfn.STDEV.P($P219:$XX220)/AVERAGE($P219:$XX220)</f>
        <v>9.2910453500117243E-2</v>
      </c>
      <c r="J220" s="7">
        <f t="shared" ref="J220" si="615">IF(AND(H220&gt;2,
OR(L204="MÉDIA SANEADA",L204="MEDIANA SANEADA",
AND(L204="PREÇO ESTIMADO",NOT(AND(P206="Orçamento",COUNTA(P204:XX204)=COUNTIF(P206:XX206,"Orçamento")))))),
ROW(),0)</f>
        <v>220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DESCARTADO</v>
      </c>
      <c r="Q220" s="107">
        <f t="shared" si="617"/>
        <v>66</v>
      </c>
      <c r="R220" s="107">
        <f t="shared" si="617"/>
        <v>55.83</v>
      </c>
      <c r="S220" s="107">
        <f t="shared" si="617"/>
        <v>57.854931217387552</v>
      </c>
      <c r="T220" s="107">
        <f t="shared" si="617"/>
        <v>70</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f t="shared" si="445"/>
        <v>10</v>
      </c>
      <c r="C221" s="128">
        <f t="shared" si="446"/>
        <v>1</v>
      </c>
      <c r="D221" s="127">
        <f t="shared" si="446"/>
        <v>10</v>
      </c>
      <c r="E221" s="199"/>
      <c r="F221" s="93"/>
      <c r="G221" s="201"/>
      <c r="H221"/>
      <c r="I221"/>
      <c r="J221"/>
      <c r="K221" s="66"/>
      <c r="L221" s="22"/>
      <c r="M221" s="22"/>
      <c r="N221" s="71"/>
      <c r="O221" s="27" t="str">
        <f t="shared" ref="O221" si="618">"6 POND"</f>
        <v>6 POND</v>
      </c>
      <c r="P221" s="107" t="str">
        <f>IF(IFERROR(VLOOKUP(P206,'Tabela de Apoio'!$D:$E,2,FALSE),1)=1,"",P222)</f>
        <v>DESCARTADO</v>
      </c>
      <c r="Q221" s="107">
        <f>IF(IFERROR(VLOOKUP(Q206,'Tabela de Apoio'!$D:$E,2,FALSE),1)=1,"",Q222)</f>
        <v>66</v>
      </c>
      <c r="R221" s="107">
        <f>IF(IFERROR(VLOOKUP(R206,'Tabela de Apoio'!$D:$E,2,FALSE),1)=1,"",R222)</f>
        <v>55.83</v>
      </c>
      <c r="S221" s="107">
        <f>IF(IFERROR(VLOOKUP(S206,'Tabela de Apoio'!$D:$E,2,FALSE),1)=1,"",S222)</f>
        <v>57.854931217387552</v>
      </c>
      <c r="T221" s="107">
        <f>IF(IFERROR(VLOOKUP(T206,'Tabela de Apoio'!$D:$E,2,FALSE),1)=1,"",T222)</f>
        <v>70</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f t="shared" si="445"/>
        <v>10</v>
      </c>
      <c r="C222" s="128">
        <f t="shared" si="446"/>
        <v>1</v>
      </c>
      <c r="D222" s="127">
        <f t="shared" si="446"/>
        <v>10</v>
      </c>
      <c r="E222" s="199"/>
      <c r="F222" s="93"/>
      <c r="G222" s="201"/>
      <c r="H222" s="134">
        <f t="shared" ref="H222" si="619">COUNT($P222:$XX222)</f>
        <v>4</v>
      </c>
      <c r="I222" s="132">
        <f t="shared" ref="I222" si="620">_xlfn.STDEV.P($P221:$XX222)/AVERAGE($P221:$XX222)</f>
        <v>9.2910453500117243E-2</v>
      </c>
      <c r="J222" s="7">
        <f t="shared" ref="J222" si="621">IF(AND(H222&gt;2,
OR(L204="MÉDIA SANEADA",L204="MEDIANA SANEADA",
AND(L204="PREÇO ESTIMADO",NOT(AND(P206="Orçamento",COUNTA(P204:XX204)=COUNTIF(P206:XX206,"Orçamento")))))),
ROW(),0)</f>
        <v>222</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DESCARTADO</v>
      </c>
      <c r="Q222" s="107">
        <f t="shared" si="623"/>
        <v>66</v>
      </c>
      <c r="R222" s="107">
        <f t="shared" si="623"/>
        <v>55.83</v>
      </c>
      <c r="S222" s="107">
        <f t="shared" si="623"/>
        <v>57.854931217387552</v>
      </c>
      <c r="T222" s="107">
        <f t="shared" si="623"/>
        <v>70</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f t="shared" si="445"/>
        <v>10</v>
      </c>
      <c r="C223" s="128">
        <f t="shared" si="446"/>
        <v>1</v>
      </c>
      <c r="D223" s="127">
        <f t="shared" si="446"/>
        <v>10</v>
      </c>
      <c r="E223" s="199"/>
      <c r="F223" s="136"/>
      <c r="G223" s="201"/>
      <c r="H223" s="204"/>
      <c r="I223" s="204"/>
      <c r="J223" s="205"/>
      <c r="K223" s="67"/>
      <c r="L223" s="1" t="s">
        <v>43</v>
      </c>
      <c r="M223" s="143">
        <f t="shared" ref="M223" si="624">IFERROR(ROUND(M204*M206,2),"")</f>
        <v>821821.72</v>
      </c>
      <c r="O223" s="27" t="s">
        <v>363</v>
      </c>
      <c r="P223" s="107" t="str">
        <f t="shared" ref="P223:AI244" si="625">INDEX(P210:P222,MATCH(MAX($J210:$J222),$J210:$J222,0))</f>
        <v>DESCARTADO</v>
      </c>
      <c r="Q223" s="107">
        <f t="shared" si="625"/>
        <v>66</v>
      </c>
      <c r="R223" s="107">
        <f t="shared" si="625"/>
        <v>55.83</v>
      </c>
      <c r="S223" s="107">
        <f t="shared" si="625"/>
        <v>57.854931217387552</v>
      </c>
      <c r="T223" s="107">
        <f t="shared" si="625"/>
        <v>70</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f t="shared" ref="B225" si="626">LARGE(IFERROR(IF(B223+1&gt;$H$8,"",B223+1),""),1)</f>
        <v>11</v>
      </c>
      <c r="C225" s="127">
        <f>IF(_xlfn.ISFORMULA(E229),MAX(INDEX('BASE FORMAÇÃO'!A:A,B225+1),1),E229)</f>
        <v>1</v>
      </c>
      <c r="D225" s="127">
        <f t="shared" ref="D225" si="627">IFERROR(IF(C225=C215,D215+1,1),1)</f>
        <v>11</v>
      </c>
      <c r="E225" s="38" t="s">
        <v>9</v>
      </c>
      <c r="F225" s="73"/>
      <c r="G225" s="38" t="s">
        <v>15</v>
      </c>
      <c r="H225" s="135">
        <f>INDEX('BASE FORMAÇÃO'!B:B,B225+1)</f>
        <v>0</v>
      </c>
      <c r="I225" s="181" t="s">
        <v>16</v>
      </c>
      <c r="J225" s="6">
        <f>INDEX('BASE FORMAÇÃO'!K:K,B225+1)</f>
        <v>0</v>
      </c>
      <c r="K225" s="65"/>
      <c r="L225" s="183" t="s">
        <v>10</v>
      </c>
      <c r="M225" s="185">
        <f t="shared" ref="M225" si="628">IF(OR(ISBLANK($O$8),ISBLANK($O$7),ISBLANK($H$8),ISBLANK($O$6),ISBLANK($O$5),ISBLANK($H$5)),"",IFERROR(IF(VLOOKUP(L225,L231:M240,2,FALSE)&lt;1,ROUND(VLOOKUP(L225,L231:M240,2,FALSE),4),ROUND(VLOOKUP(L225,L231:M240,2,FALSE),2)),""))</f>
        <v>34.5</v>
      </c>
      <c r="N225" s="69"/>
      <c r="O225" s="27" t="s">
        <v>17</v>
      </c>
      <c r="P225" s="113">
        <v>26.99</v>
      </c>
      <c r="Q225" s="113">
        <v>34.5</v>
      </c>
      <c r="R225" s="113">
        <v>55</v>
      </c>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f t="shared" ref="B226:D226" si="629">B225</f>
        <v>11</v>
      </c>
      <c r="C226" s="128">
        <f t="shared" si="629"/>
        <v>1</v>
      </c>
      <c r="D226" s="127">
        <f t="shared" si="629"/>
        <v>11</v>
      </c>
      <c r="E226" s="187">
        <f t="shared" ref="E226" si="630">D225</f>
        <v>11</v>
      </c>
      <c r="F226" s="92"/>
      <c r="G226" s="189" t="s">
        <v>1</v>
      </c>
      <c r="H226" s="192" t="str">
        <f>INDEX('BASE FORMAÇÃO'!C:C,B225+1)</f>
        <v>Adesivos lixeiras</v>
      </c>
      <c r="I226" s="192"/>
      <c r="J226" s="193"/>
      <c r="K226" s="66"/>
      <c r="L226" s="184"/>
      <c r="M226" s="186"/>
      <c r="N226" s="70"/>
      <c r="O226" s="27" t="s">
        <v>13</v>
      </c>
      <c r="P226" s="122">
        <v>46003</v>
      </c>
      <c r="Q226" s="122">
        <v>46246</v>
      </c>
      <c r="R226" s="122">
        <v>45950</v>
      </c>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f t="shared" ref="B227:D227" si="631">B226</f>
        <v>11</v>
      </c>
      <c r="C227" s="128">
        <f t="shared" si="631"/>
        <v>1</v>
      </c>
      <c r="D227" s="127">
        <f t="shared" si="631"/>
        <v>11</v>
      </c>
      <c r="E227" s="188"/>
      <c r="F227" s="93"/>
      <c r="G227" s="190"/>
      <c r="H227" s="194"/>
      <c r="I227" s="194"/>
      <c r="J227" s="195"/>
      <c r="K227" s="64"/>
      <c r="L227" s="130" t="s">
        <v>44</v>
      </c>
      <c r="M227" s="131">
        <f>INDEX('BASE FORMAÇÃO'!H:H,B229+1)</f>
        <v>5181</v>
      </c>
      <c r="N227" s="71"/>
      <c r="O227" s="27" t="s">
        <v>380</v>
      </c>
      <c r="P227" s="114" t="s">
        <v>12</v>
      </c>
      <c r="Q227" s="114" t="s">
        <v>12</v>
      </c>
      <c r="R227" s="114" t="s">
        <v>12</v>
      </c>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f t="shared" ref="B228:C228" si="632">B227</f>
        <v>11</v>
      </c>
      <c r="C228" s="128">
        <f t="shared" si="632"/>
        <v>1</v>
      </c>
      <c r="D228" s="127">
        <f t="shared" si="446"/>
        <v>11</v>
      </c>
      <c r="E228" s="38" t="s">
        <v>313</v>
      </c>
      <c r="F228" s="93"/>
      <c r="G228" s="191"/>
      <c r="H228" s="196"/>
      <c r="I228" s="196"/>
      <c r="J228" s="197"/>
      <c r="K228" s="64"/>
      <c r="L228" s="1" t="s">
        <v>2</v>
      </c>
      <c r="M228" s="6" t="str">
        <f>INDEX('BASE FORMAÇÃO'!D:D,B229+1)</f>
        <v>M2</v>
      </c>
      <c r="N228" s="71"/>
      <c r="O228" s="27" t="s">
        <v>381</v>
      </c>
      <c r="P228" s="115" t="s">
        <v>459</v>
      </c>
      <c r="Q228" s="115" t="s">
        <v>460</v>
      </c>
      <c r="R228" s="115" t="s">
        <v>460</v>
      </c>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f t="shared" ref="B229:C229" si="633">B227</f>
        <v>11</v>
      </c>
      <c r="C229" s="128">
        <f t="shared" si="633"/>
        <v>1</v>
      </c>
      <c r="D229" s="127">
        <f t="shared" si="446"/>
        <v>11</v>
      </c>
      <c r="E229" s="198">
        <f t="shared" ref="E229" si="634">C225</f>
        <v>1</v>
      </c>
      <c r="F229" s="93"/>
      <c r="G229" s="200" t="s">
        <v>304</v>
      </c>
      <c r="H229" s="202"/>
      <c r="I229" s="203"/>
      <c r="J229" s="203"/>
      <c r="K229" s="67"/>
      <c r="L229" s="28" t="s">
        <v>303</v>
      </c>
      <c r="M229" s="133">
        <f t="shared" ref="M229" si="635">IFERROR(INDEX(I231:I243,MATCH(MAX(J231:J243),J231:J243,0)),"")</f>
        <v>0.31321840366519765</v>
      </c>
      <c r="N229" s="71"/>
      <c r="O229" s="27" t="s">
        <v>18</v>
      </c>
      <c r="P229" s="106">
        <f>IF(P225="","",
IF(OR(P227="Orçamento",P226="",MAX('Tabela de Apoio'!$A:$A)&lt;=P226),
P225,
(INDEX('Tabela de Apoio'!$B:$B,MATCH('MAPA DE PREÇOS'!$O$8,'Tabela de Apoio'!$A:$A,1))/INDEX('Tabela de Apoio'!$B:$B,MATCH('MAPA DE PREÇOS'!P226,'Tabela de Apoio'!$A:$A,1)-1))*P225))</f>
        <v>27.920118296123835</v>
      </c>
      <c r="Q229" s="106">
        <f>IF(Q225="","",
IF(OR(Q227="Orçamento",Q226="",MAX('Tabela de Apoio'!$A:$A)&lt;=Q226),
Q225,
(INDEX('Tabela de Apoio'!$B:$B,MATCH('MAPA DE PREÇOS'!$O$8,'Tabela de Apoio'!$A:$A,1))/INDEX('Tabela de Apoio'!$B:$B,MATCH('MAPA DE PREÇOS'!Q226,'Tabela de Apoio'!$A:$A,1)-1))*Q225))</f>
        <v>34.5</v>
      </c>
      <c r="R229" s="106">
        <f>IF(R225="","",
IF(OR(R227="Orçamento",R226="",MAX('Tabela de Apoio'!$A:$A)&lt;=R226),
R225,
(INDEX('Tabela de Apoio'!$B:$B,MATCH('MAPA DE PREÇOS'!$O$8,'Tabela de Apoio'!$A:$A,1))/INDEX('Tabela de Apoio'!$B:$B,MATCH('MAPA DE PREÇOS'!R226,'Tabela de Apoio'!$A:$A,1)-1))*R225))</f>
        <v>57.049086432234546</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f t="shared" ref="B230" si="636">B229</f>
        <v>11</v>
      </c>
      <c r="C230" s="128">
        <f t="shared" ref="C230" si="637">C229</f>
        <v>1</v>
      </c>
      <c r="D230" s="127">
        <f t="shared" si="446"/>
        <v>11</v>
      </c>
      <c r="E230" s="199"/>
      <c r="F230" s="93"/>
      <c r="G230" s="201"/>
      <c r="H230"/>
      <c r="I230"/>
      <c r="J230"/>
      <c r="N230" s="71"/>
      <c r="O230" s="27" t="s">
        <v>375</v>
      </c>
      <c r="P230" s="107">
        <f>IF(IFERROR(VLOOKUP(P227,'Tabela de Apoio'!$D:$E,2,FALSE),1)=1,"",P231)</f>
        <v>27.920118296123835</v>
      </c>
      <c r="Q230" s="107">
        <f>IF(IFERROR(VLOOKUP(Q227,'Tabela de Apoio'!$D:$E,2,FALSE),1)=1,"",Q231)</f>
        <v>34.5</v>
      </c>
      <c r="R230" s="107">
        <f>IF(IFERROR(VLOOKUP(R227,'Tabela de Apoio'!$D:$E,2,FALSE),1)=1,"",R231)</f>
        <v>57.049086432234546</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f t="shared" ref="B231:C231" si="638">B230</f>
        <v>11</v>
      </c>
      <c r="C231" s="128">
        <f t="shared" si="638"/>
        <v>1</v>
      </c>
      <c r="D231" s="127">
        <f t="shared" si="446"/>
        <v>11</v>
      </c>
      <c r="E231" s="199"/>
      <c r="F231" s="93"/>
      <c r="G231" s="201"/>
      <c r="H231" s="134">
        <f t="shared" ref="H231" si="639">COUNT($P231:$XX231)</f>
        <v>3</v>
      </c>
      <c r="I231" s="132">
        <f t="shared" ref="I231" si="640">_xlfn.STDEV.P($P230:$XX231)/AVERAGE($P230:$XX231)</f>
        <v>0.31321840366519765</v>
      </c>
      <c r="J231" s="7">
        <f>ROW()</f>
        <v>231</v>
      </c>
      <c r="K231" s="67"/>
      <c r="L231" s="29" t="s">
        <v>10</v>
      </c>
      <c r="M231" s="30">
        <f t="shared" ref="M231" si="641">IFERROR(
IF(COUNTA(P225:AI225)=COUNTIF(P227:XX227,"Orçamento"),MIN(M236,M233),
IF(M234&lt;&gt;"",M234,
IF(M235&lt;&gt;"",M235,
M233
))),"")</f>
        <v>34.5</v>
      </c>
      <c r="N231" s="71"/>
      <c r="O231" s="27" t="s">
        <v>376</v>
      </c>
      <c r="P231" s="106">
        <f t="shared" ref="P231:AI231" si="642">IFERROR(IF(P229="",
            "",
            IF(COUNT($P229:$XX229)&lt;=4,
               P229,
               IF(OR(P229&gt;(QUARTILE($P229:$XX229,3)+(QUARTILE($P229:$XX229,3)-QUARTILE($P229:$XX229,1))),
                     P229&lt;(QUARTILE($P229:$XX229,1)-(QUARTILE($P229:$XX229,3)-QUARTILE($P229:$XX229,1)))
                  ),
               "DESCARTADO",P229)
             )
  ),P229)</f>
        <v>27.920118296123835</v>
      </c>
      <c r="Q231" s="106">
        <f t="shared" si="642"/>
        <v>34.5</v>
      </c>
      <c r="R231" s="106">
        <f t="shared" si="642"/>
        <v>57.049086432234546</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f t="shared" ref="B232:B286" si="643">B231</f>
        <v>11</v>
      </c>
      <c r="C232" s="128">
        <f t="shared" ref="C232:D295" si="644">C231</f>
        <v>1</v>
      </c>
      <c r="D232" s="127">
        <f t="shared" si="446"/>
        <v>11</v>
      </c>
      <c r="E232" s="199"/>
      <c r="F232" s="93"/>
      <c r="G232" s="201"/>
      <c r="H232"/>
      <c r="I232"/>
      <c r="J232"/>
      <c r="K232" s="66"/>
      <c r="L232" s="29" t="s">
        <v>360</v>
      </c>
      <c r="M232" s="30">
        <f t="shared" ref="M232" si="645">AVERAGE($P231:$XX231)</f>
        <v>39.823068242786128</v>
      </c>
      <c r="N232" s="71"/>
      <c r="O232" s="27" t="str">
        <f t="shared" ref="O232" si="646">"1 POND"</f>
        <v>1 POND</v>
      </c>
      <c r="P232" s="107">
        <f>IF(IFERROR(VLOOKUP(P227,'Tabela de Apoio'!$D:$E,2,FALSE),1)=1,"",P233)</f>
        <v>27.920118296123835</v>
      </c>
      <c r="Q232" s="107">
        <f>IF(IFERROR(VLOOKUP(Q227,'Tabela de Apoio'!$D:$E,2,FALSE),1)=1,"",Q233)</f>
        <v>34.5</v>
      </c>
      <c r="R232" s="107" t="str">
        <f>IF(IFERROR(VLOOKUP(R227,'Tabela de Apoio'!$D:$E,2,FALSE),1)=1,"",R233)</f>
        <v>DESCARTADO</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f t="shared" si="643"/>
        <v>11</v>
      </c>
      <c r="C233" s="128">
        <f t="shared" si="644"/>
        <v>1</v>
      </c>
      <c r="D233" s="127">
        <f t="shared" si="644"/>
        <v>11</v>
      </c>
      <c r="E233" s="199"/>
      <c r="F233" s="93"/>
      <c r="G233" s="201"/>
      <c r="H233" s="134">
        <f t="shared" ref="H233" si="647">COUNT($P233:$XX233)</f>
        <v>2</v>
      </c>
      <c r="I233" s="132">
        <f t="shared" ref="I233" si="648">_xlfn.STDEV.P($P232:$XX233)/AVERAGE($P232:$XX233)</f>
        <v>0.10541283617344208</v>
      </c>
      <c r="J233" s="7">
        <f t="shared" ref="J233" si="649">IF(AND(H233&gt;2,
OR(L225="MÉDIA SANEADA",L225="MEDIANA SANEADA",
AND(L225="PREÇO ESTIMADO",NOT(AND(P227="Orçamento",COUNTA(P225:XX225)=COUNTIF(P227:XX227,"Orçamento")))))),
ROW(),0)</f>
        <v>0</v>
      </c>
      <c r="K233" s="66"/>
      <c r="L233" s="29" t="s">
        <v>361</v>
      </c>
      <c r="M233" s="30">
        <f t="shared" ref="M233" si="650">MEDIAN($P231:$XX231)</f>
        <v>34.5</v>
      </c>
      <c r="N233" s="71"/>
      <c r="O233" s="27" t="str">
        <f t="shared" ref="O233" si="651">"1 RODADA"</f>
        <v>1 RODADA</v>
      </c>
      <c r="P233" s="107">
        <f t="shared" ref="P233:AI233" si="652">IF(P231="","",IF((_xlfn.STDEV.P($P230:$XX231)/AVERAGE($P230:$XX231))&lt;=25%,P231,IF(OR(P231&gt;(AVERAGE($P230:$XX231)+_xlfn.STDEV.P($P230:$XX231)),P231&lt;(AVERAGE($P230:$XX231)-_xlfn.STDEV.P($P230:$XX231))),"DESCARTADO",P231)))</f>
        <v>27.920118296123835</v>
      </c>
      <c r="Q233" s="107">
        <f t="shared" si="652"/>
        <v>34.5</v>
      </c>
      <c r="R233" s="107" t="str">
        <f t="shared" si="652"/>
        <v>DESCARTADO</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f t="shared" si="643"/>
        <v>11</v>
      </c>
      <c r="C234" s="128">
        <f t="shared" si="644"/>
        <v>1</v>
      </c>
      <c r="D234" s="127">
        <f t="shared" si="644"/>
        <v>11</v>
      </c>
      <c r="E234" s="199"/>
      <c r="F234" s="93"/>
      <c r="G234" s="201"/>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f>IF(IFERROR(VLOOKUP(P227,'Tabela de Apoio'!$D:$E,2,FALSE),1)=1,"",P235)</f>
        <v>27.920118296123835</v>
      </c>
      <c r="Q234" s="107">
        <f>IF(IFERROR(VLOOKUP(Q227,'Tabela de Apoio'!$D:$E,2,FALSE),1)=1,"",Q235)</f>
        <v>34.5</v>
      </c>
      <c r="R234" s="107" t="str">
        <f>IF(IFERROR(VLOOKUP(R227,'Tabela de Apoio'!$D:$E,2,FALSE),1)=1,"",R235)</f>
        <v>DESCARTADO</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f t="shared" si="643"/>
        <v>11</v>
      </c>
      <c r="C235" s="128">
        <f t="shared" si="644"/>
        <v>1</v>
      </c>
      <c r="D235" s="127">
        <f t="shared" si="644"/>
        <v>11</v>
      </c>
      <c r="E235" s="199"/>
      <c r="F235" s="93"/>
      <c r="G235" s="201"/>
      <c r="H235" s="134">
        <f t="shared" ref="H235" si="655">COUNT($P235:$XX235)</f>
        <v>2</v>
      </c>
      <c r="I235" s="132">
        <f t="shared" ref="I235" si="656">_xlfn.STDEV.P($P234:$XX235)/AVERAGE($P234:$XX235)</f>
        <v>0.10541283617344208</v>
      </c>
      <c r="J235" s="7">
        <f t="shared" ref="J235" si="657">IF(AND(H235&gt;2,
OR(L225="MÉDIA SANEADA",L225="MEDIANA SANEADA",
AND(L225="PREÇO ESTIMADO",NOT(AND(P227="Orçamento",COUNTA(P225:XX225)=COUNTIF(P227:XX227,"Orçamento")))))),
ROW(),0)</f>
        <v>0</v>
      </c>
      <c r="K235" s="66"/>
      <c r="L235" s="29" t="s">
        <v>362</v>
      </c>
      <c r="M235" s="30">
        <f t="shared" ref="M235" si="658" xml:space="preserve">
IF(H233&gt;2,MEDIAN(P232:XX233),
IF(H235&gt;2,MEDIAN(P234:XX235),
IF(H237&gt;2,MEDIAN(P236:XX237),
IF(H239&gt;2,MEDIAN(P238:XX239),
IF(H241&gt;2,MEDIAN(P240:XX241),
IF(H243&gt;2,MEDIAN(P242:XX243),
MEDIAN(P230:XX231)))))))</f>
        <v>34.5</v>
      </c>
      <c r="N235" s="71"/>
      <c r="O235" s="27" t="str">
        <f t="shared" ref="O235" si="659">"2 RODADA"</f>
        <v>2 RODADA</v>
      </c>
      <c r="P235" s="107">
        <f t="shared" ref="P235:AI235" si="660">IF(P233="","",IF((_xlfn.STDEV.P($P232:$XX233)/AVERAGE($P232:$XX233))&lt;=25%,P233,IF(OR(P233&gt;(AVERAGE($P232:$XX233)+_xlfn.STDEV.P($P232:$XX233)),P233&lt;(AVERAGE($P232:$XX233)-_xlfn.STDEV.P($P232:$XX233))),"DESCARTADO",P233)))</f>
        <v>27.920118296123835</v>
      </c>
      <c r="Q235" s="107">
        <f t="shared" si="660"/>
        <v>34.5</v>
      </c>
      <c r="R235" s="107" t="str">
        <f t="shared" si="660"/>
        <v>DESCARTADO</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f t="shared" si="643"/>
        <v>11</v>
      </c>
      <c r="C236" s="128">
        <f t="shared" si="644"/>
        <v>1</v>
      </c>
      <c r="D236" s="127">
        <f t="shared" si="644"/>
        <v>11</v>
      </c>
      <c r="E236" s="199"/>
      <c r="F236" s="93"/>
      <c r="G236" s="201"/>
      <c r="H236"/>
      <c r="I236"/>
      <c r="J236"/>
      <c r="K236" s="66"/>
      <c r="L236" s="29" t="s">
        <v>359</v>
      </c>
      <c r="M236" s="30">
        <f t="shared" ref="M236" si="661">HARMEAN($P230:$XX231)</f>
        <v>36.438395191991894</v>
      </c>
      <c r="N236" s="71"/>
      <c r="O236" s="27" t="str">
        <f t="shared" ref="O236" si="662">"3 POND"</f>
        <v>3 POND</v>
      </c>
      <c r="P236" s="107">
        <f>IF(IFERROR(VLOOKUP(P227,'Tabela de Apoio'!$D:$E,2,FALSE),1)=1,"",P237)</f>
        <v>27.920118296123835</v>
      </c>
      <c r="Q236" s="107">
        <f>IF(IFERROR(VLOOKUP(Q227,'Tabela de Apoio'!$D:$E,2,FALSE),1)=1,"",Q237)</f>
        <v>34.5</v>
      </c>
      <c r="R236" s="107" t="str">
        <f>IF(IFERROR(VLOOKUP(R227,'Tabela de Apoio'!$D:$E,2,FALSE),1)=1,"",R237)</f>
        <v>DESCARTADO</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f t="shared" si="643"/>
        <v>11</v>
      </c>
      <c r="C237" s="128">
        <f t="shared" si="644"/>
        <v>1</v>
      </c>
      <c r="D237" s="127">
        <f t="shared" si="644"/>
        <v>11</v>
      </c>
      <c r="E237" s="199"/>
      <c r="F237" s="93"/>
      <c r="G237" s="201"/>
      <c r="H237" s="134">
        <f t="shared" ref="H237" si="663">COUNT($P237:$XX237)</f>
        <v>2</v>
      </c>
      <c r="I237" s="132">
        <f t="shared" ref="I237" si="664">_xlfn.STDEV.P($P236:$XX237)/AVERAGE($P236:$XX237)</f>
        <v>0.10541283617344208</v>
      </c>
      <c r="J237" s="7">
        <f t="shared" ref="J237" si="665">IF(AND(H237&gt;2,
OR(L225="MÉDIA SANEADA",L225="MEDIANA SANEADA",
AND(L225="PREÇO ESTIMADO",NOT(AND(P227="Orçamento",COUNTA(P225:XX225)=COUNTIF(P227:XX227,"Orçamento")))))),
ROW(),0)</f>
        <v>0</v>
      </c>
      <c r="K237" s="66"/>
      <c r="L237" s="29" t="s">
        <v>41</v>
      </c>
      <c r="M237" s="30">
        <f t="shared" ref="M237" si="666">IFERROR(_xlfn.QUARTILE.EXC($P231:$XX231,1),"")</f>
        <v>27.920118296123835</v>
      </c>
      <c r="N237" s="71"/>
      <c r="O237" s="27" t="str">
        <f t="shared" ref="O237" si="667">"3 RODADA"</f>
        <v>3 RODADA</v>
      </c>
      <c r="P237" s="107">
        <f t="shared" ref="P237:AI237" si="668">IF(P235="","",IF((_xlfn.STDEV.P($P234:$XX235)/AVERAGE($P234:$XX235))&lt;=25%,P235,IF(OR(P235&gt;(AVERAGE($P234:$XX235)+_xlfn.STDEV.P($P234:$XX235)),P235&lt;(AVERAGE($P234:$XX235)-_xlfn.STDEV.P($P234:$XX235))),"DESCARTADO",P235)))</f>
        <v>27.920118296123835</v>
      </c>
      <c r="Q237" s="107">
        <f t="shared" si="668"/>
        <v>34.5</v>
      </c>
      <c r="R237" s="107" t="str">
        <f t="shared" si="668"/>
        <v>DESCARTADO</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f t="shared" si="643"/>
        <v>11</v>
      </c>
      <c r="C238" s="128">
        <f t="shared" si="644"/>
        <v>1</v>
      </c>
      <c r="D238" s="127">
        <f t="shared" si="644"/>
        <v>11</v>
      </c>
      <c r="E238" s="199"/>
      <c r="F238" s="93"/>
      <c r="G238" s="201"/>
      <c r="H238"/>
      <c r="I238"/>
      <c r="J238"/>
      <c r="K238" s="66"/>
      <c r="L238" s="29" t="s">
        <v>39</v>
      </c>
      <c r="M238" s="30">
        <f t="shared" ref="M238" si="669">IFERROR(_xlfn.QUARTILE.EXC($P231:$XX231,3),"")</f>
        <v>57.049086432234546</v>
      </c>
      <c r="N238" s="71"/>
      <c r="O238" s="27" t="str">
        <f t="shared" ref="O238" si="670">"4 POND"</f>
        <v>4 POND</v>
      </c>
      <c r="P238" s="107">
        <f>IF(IFERROR(VLOOKUP(P227,'Tabela de Apoio'!$D:$E,2,FALSE),1)=1,"",P239)</f>
        <v>27.920118296123835</v>
      </c>
      <c r="Q238" s="107">
        <f>IF(IFERROR(VLOOKUP(Q227,'Tabela de Apoio'!$D:$E,2,FALSE),1)=1,"",Q239)</f>
        <v>34.5</v>
      </c>
      <c r="R238" s="107" t="str">
        <f>IF(IFERROR(VLOOKUP(R227,'Tabela de Apoio'!$D:$E,2,FALSE),1)=1,"",R239)</f>
        <v>DESCARTADO</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f t="shared" si="643"/>
        <v>11</v>
      </c>
      <c r="C239" s="128">
        <f t="shared" si="644"/>
        <v>1</v>
      </c>
      <c r="D239" s="127">
        <f t="shared" si="644"/>
        <v>11</v>
      </c>
      <c r="E239" s="199"/>
      <c r="F239" s="93"/>
      <c r="G239" s="201"/>
      <c r="H239" s="134">
        <f t="shared" ref="H239" si="671">COUNT($P239:$XX239)</f>
        <v>2</v>
      </c>
      <c r="I239" s="132">
        <f t="shared" ref="I239" si="672">_xlfn.STDEV.P($P238:$XX239)/AVERAGE($P238:$XX239)</f>
        <v>0.10541283617344208</v>
      </c>
      <c r="J239" s="7">
        <f t="shared" ref="J239" si="673">IF(AND(H239&gt;2,
OR(L225="MÉDIA SANEADA",L225="MEDIANA SANEADA",
AND(L225="PREÇO ESTIMADO",NOT(AND(P227="Orçamento",COUNTA(P225:XX225)=COUNTIF(P227:XX227,"Orçamento")))))),
ROW(),0)</f>
        <v>0</v>
      </c>
      <c r="K239" s="66"/>
      <c r="L239" s="29" t="s">
        <v>42</v>
      </c>
      <c r="M239" s="30">
        <f t="shared" ref="M239" si="674">MIN($P231:$XX231)</f>
        <v>27.920118296123835</v>
      </c>
      <c r="N239" s="71"/>
      <c r="O239" s="27" t="str">
        <f t="shared" ref="O239" si="675">"4 RODADA"</f>
        <v>4 RODADA</v>
      </c>
      <c r="P239" s="107">
        <f t="shared" ref="P239:AI239" si="676">IF(P237="","",IF((_xlfn.STDEV.P($P236:$XX237)/AVERAGE($P236:$XX237))&lt;=25%,P237,IF(OR(P237&gt;(AVERAGE($P236:$XX237)+_xlfn.STDEV.P($P236:$XX237)),P237&lt;(AVERAGE($P236:$XX237)-_xlfn.STDEV.P($P236:$XX237))),"DESCARTADO",P237)))</f>
        <v>27.920118296123835</v>
      </c>
      <c r="Q239" s="107">
        <f t="shared" si="676"/>
        <v>34.5</v>
      </c>
      <c r="R239" s="107" t="str">
        <f t="shared" si="676"/>
        <v>DESCARTADO</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f t="shared" si="643"/>
        <v>11</v>
      </c>
      <c r="C240" s="128">
        <f t="shared" si="644"/>
        <v>1</v>
      </c>
      <c r="D240" s="127">
        <f t="shared" si="644"/>
        <v>11</v>
      </c>
      <c r="E240" s="199"/>
      <c r="F240" s="93"/>
      <c r="G240" s="201"/>
      <c r="H240"/>
      <c r="I240"/>
      <c r="J240"/>
      <c r="K240" s="66"/>
      <c r="L240" s="29" t="s">
        <v>40</v>
      </c>
      <c r="M240" s="30">
        <f t="shared" ref="M240" si="677">MAX($P231:$XX231)</f>
        <v>57.049086432234546</v>
      </c>
      <c r="N240" s="71"/>
      <c r="O240" s="27" t="str">
        <f t="shared" ref="O240" si="678">"5 POND"</f>
        <v>5 POND</v>
      </c>
      <c r="P240" s="107">
        <f>IF(IFERROR(VLOOKUP(P227,'Tabela de Apoio'!$D:$E,2,FALSE),1)=1,"",P241)</f>
        <v>27.920118296123835</v>
      </c>
      <c r="Q240" s="107">
        <f>IF(IFERROR(VLOOKUP(Q227,'Tabela de Apoio'!$D:$E,2,FALSE),1)=1,"",Q241)</f>
        <v>34.5</v>
      </c>
      <c r="R240" s="107" t="str">
        <f>IF(IFERROR(VLOOKUP(R227,'Tabela de Apoio'!$D:$E,2,FALSE),1)=1,"",R241)</f>
        <v>DESCARTADO</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f t="shared" si="643"/>
        <v>11</v>
      </c>
      <c r="C241" s="128">
        <f t="shared" si="644"/>
        <v>1</v>
      </c>
      <c r="D241" s="127">
        <f t="shared" si="644"/>
        <v>11</v>
      </c>
      <c r="E241" s="199"/>
      <c r="F241" s="93"/>
      <c r="G241" s="201"/>
      <c r="H241" s="134">
        <f t="shared" ref="H241" si="679">COUNT($P241:$XX241)</f>
        <v>2</v>
      </c>
      <c r="I241" s="132">
        <f t="shared" ref="I241" si="680">_xlfn.STDEV.P($P240:$XX241)/AVERAGE($P240:$XX241)</f>
        <v>0.10541283617344208</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f t="shared" ref="P241:AI241" si="683">IF(P239="","",IF((_xlfn.STDEV.P($P238:$XX239)/AVERAGE($P238:$XX239))&lt;=25%,P239,IF(OR(P239&gt;(AVERAGE($P238:$XX239)+_xlfn.STDEV.P($P238:$XX239)),P239&lt;(AVERAGE($P238:$XX239)-_xlfn.STDEV.P($P238:$XX239))),"DESCARTADO",P239)))</f>
        <v>27.920118296123835</v>
      </c>
      <c r="Q241" s="107">
        <f t="shared" si="683"/>
        <v>34.5</v>
      </c>
      <c r="R241" s="107" t="str">
        <f t="shared" si="683"/>
        <v>DESCARTADO</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f t="shared" si="643"/>
        <v>11</v>
      </c>
      <c r="C242" s="128">
        <f t="shared" si="644"/>
        <v>1</v>
      </c>
      <c r="D242" s="127">
        <f t="shared" si="644"/>
        <v>11</v>
      </c>
      <c r="E242" s="199"/>
      <c r="F242" s="93"/>
      <c r="G242" s="201"/>
      <c r="H242"/>
      <c r="I242"/>
      <c r="J242"/>
      <c r="K242" s="66"/>
      <c r="L242" s="22"/>
      <c r="M242" s="22"/>
      <c r="N242" s="71"/>
      <c r="O242" s="27" t="str">
        <f t="shared" ref="O242" si="684">"6 POND"</f>
        <v>6 POND</v>
      </c>
      <c r="P242" s="107">
        <f>IF(IFERROR(VLOOKUP(P227,'Tabela de Apoio'!$D:$E,2,FALSE),1)=1,"",P243)</f>
        <v>27.920118296123835</v>
      </c>
      <c r="Q242" s="107">
        <f>IF(IFERROR(VLOOKUP(Q227,'Tabela de Apoio'!$D:$E,2,FALSE),1)=1,"",Q243)</f>
        <v>34.5</v>
      </c>
      <c r="R242" s="107" t="str">
        <f>IF(IFERROR(VLOOKUP(R227,'Tabela de Apoio'!$D:$E,2,FALSE),1)=1,"",R243)</f>
        <v>DESCARTADO</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f t="shared" si="643"/>
        <v>11</v>
      </c>
      <c r="C243" s="128">
        <f t="shared" si="644"/>
        <v>1</v>
      </c>
      <c r="D243" s="127">
        <f t="shared" si="644"/>
        <v>11</v>
      </c>
      <c r="E243" s="199"/>
      <c r="F243" s="93"/>
      <c r="G243" s="201"/>
      <c r="H243" s="134">
        <f t="shared" ref="H243" si="685">COUNT($P243:$XX243)</f>
        <v>2</v>
      </c>
      <c r="I243" s="132">
        <f t="shared" ref="I243" si="686">_xlfn.STDEV.P($P242:$XX243)/AVERAGE($P242:$XX243)</f>
        <v>0.10541283617344208</v>
      </c>
      <c r="J243" s="7">
        <f t="shared" ref="J243" si="687">IF(AND(H243&gt;2,
OR(L225="MÉDIA SANEADA",L225="MEDIANA SANEADA",
AND(L225="PREÇO ESTIMADO",NOT(AND(P227="Orçamento",COUNTA(P225:XX225)=COUNTIF(P227:XX227,"Orçamento")))))),
ROW(),0)</f>
        <v>0</v>
      </c>
      <c r="N243" s="71"/>
      <c r="O243" s="27" t="str">
        <f t="shared" ref="O243" si="688">"6 RODADA"</f>
        <v>6 RODADA</v>
      </c>
      <c r="P243" s="107">
        <f t="shared" ref="P243:AI243" si="689">IFERROR(IF(P241="","",IF((_xlfn.STDEV.P($P240:$XX241)/AVERAGE($P240:$XX241))&lt;=25%,P241,IF(OR(P241&gt;(AVERAGE($P240:$XX241)+_xlfn.STDEV.P($P240:$XX241)),P241&lt;(AVERAGE($P240:$XX241)-_xlfn.STDEV.P($P240:$XX241))),"DESCARTADO",P241))),)</f>
        <v>27.920118296123835</v>
      </c>
      <c r="Q243" s="107">
        <f t="shared" si="689"/>
        <v>34.5</v>
      </c>
      <c r="R243" s="107" t="str">
        <f t="shared" si="689"/>
        <v>DESCARTADO</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f t="shared" si="643"/>
        <v>11</v>
      </c>
      <c r="C244" s="128">
        <f t="shared" si="644"/>
        <v>1</v>
      </c>
      <c r="D244" s="127">
        <f t="shared" si="644"/>
        <v>11</v>
      </c>
      <c r="E244" s="199"/>
      <c r="F244" s="136"/>
      <c r="G244" s="201"/>
      <c r="H244" s="204"/>
      <c r="I244" s="204"/>
      <c r="J244" s="205"/>
      <c r="K244" s="67"/>
      <c r="L244" s="1" t="s">
        <v>43</v>
      </c>
      <c r="M244" s="143">
        <f t="shared" ref="M244" si="690">IFERROR(ROUND(M225*M227,2),"")</f>
        <v>178744.5</v>
      </c>
      <c r="O244" s="27" t="s">
        <v>363</v>
      </c>
      <c r="P244" s="107">
        <f t="shared" ref="P244:R244" si="691">INDEX(P231:P243,MATCH(MAX($J231:$J243),$J231:$J243,0))</f>
        <v>27.920118296123835</v>
      </c>
      <c r="Q244" s="107">
        <f t="shared" si="691"/>
        <v>34.5</v>
      </c>
      <c r="R244" s="107">
        <f t="shared" si="691"/>
        <v>57.049086432234546</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f t="shared" ref="B246" si="692">LARGE(IFERROR(IF(B244+1&gt;$H$8,"",B244+1),""),1)</f>
        <v>12</v>
      </c>
      <c r="C246" s="127">
        <f>IF(_xlfn.ISFORMULA(E250),MAX(INDEX('BASE FORMAÇÃO'!A:A,B246+1),1),E250)</f>
        <v>1</v>
      </c>
      <c r="D246" s="127">
        <f t="shared" ref="D246" si="693">IFERROR(IF(C246=C236,D236+1,1),1)</f>
        <v>12</v>
      </c>
      <c r="E246" s="38" t="s">
        <v>9</v>
      </c>
      <c r="F246" s="73"/>
      <c r="G246" s="38" t="s">
        <v>15</v>
      </c>
      <c r="H246" s="135">
        <f>INDEX('BASE FORMAÇÃO'!B:B,B246+1)</f>
        <v>0</v>
      </c>
      <c r="I246" s="181" t="s">
        <v>16</v>
      </c>
      <c r="J246" s="6">
        <f>INDEX('BASE FORMAÇÃO'!K:K,B246+1)</f>
        <v>0</v>
      </c>
      <c r="K246" s="65"/>
      <c r="L246" s="183" t="s">
        <v>10</v>
      </c>
      <c r="M246" s="185">
        <f t="shared" ref="M246" si="694">IF(OR(ISBLANK($O$8),ISBLANK($O$7),ISBLANK($H$8),ISBLANK($O$6),ISBLANK($O$5),ISBLANK($H$5)),"",IFERROR(IF(VLOOKUP(L246,L252:M261,2,FALSE)&lt;1,ROUND(VLOOKUP(L246,L252:M261,2,FALSE),4),ROUND(VLOOKUP(L246,L252:M261,2,FALSE),2)),""))</f>
        <v>76.34</v>
      </c>
      <c r="N246" s="69"/>
      <c r="O246" s="27" t="s">
        <v>17</v>
      </c>
      <c r="P246" s="113">
        <v>69.900000000000006</v>
      </c>
      <c r="Q246" s="113">
        <v>89</v>
      </c>
      <c r="R246" s="113">
        <v>72.3</v>
      </c>
      <c r="S246" s="113">
        <v>70</v>
      </c>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f t="shared" ref="B247:D247" si="695">B246</f>
        <v>12</v>
      </c>
      <c r="C247" s="128">
        <f t="shared" si="695"/>
        <v>1</v>
      </c>
      <c r="D247" s="127">
        <f t="shared" si="695"/>
        <v>12</v>
      </c>
      <c r="E247" s="187">
        <f t="shared" ref="E247" si="696">D246</f>
        <v>12</v>
      </c>
      <c r="F247" s="92"/>
      <c r="G247" s="189" t="s">
        <v>1</v>
      </c>
      <c r="H247" s="192" t="str">
        <f>INDEX('BASE FORMAÇÃO'!C:C,B246+1)</f>
        <v>Adesivos refletivos para carro</v>
      </c>
      <c r="I247" s="192"/>
      <c r="J247" s="193"/>
      <c r="K247" s="66"/>
      <c r="L247" s="184"/>
      <c r="M247" s="186"/>
      <c r="N247" s="70"/>
      <c r="O247" s="27" t="s">
        <v>13</v>
      </c>
      <c r="P247" s="122">
        <v>46003</v>
      </c>
      <c r="Q247" s="122">
        <v>46251</v>
      </c>
      <c r="R247" s="122">
        <v>46226</v>
      </c>
      <c r="S247" s="122">
        <v>46058</v>
      </c>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f t="shared" ref="B248:D248" si="697">B247</f>
        <v>12</v>
      </c>
      <c r="C248" s="128">
        <f t="shared" si="697"/>
        <v>1</v>
      </c>
      <c r="D248" s="127">
        <f t="shared" si="697"/>
        <v>12</v>
      </c>
      <c r="E248" s="188"/>
      <c r="F248" s="93"/>
      <c r="G248" s="190"/>
      <c r="H248" s="194"/>
      <c r="I248" s="194"/>
      <c r="J248" s="195"/>
      <c r="K248" s="64"/>
      <c r="L248" s="130" t="s">
        <v>44</v>
      </c>
      <c r="M248" s="131">
        <f>INDEX('BASE FORMAÇÃO'!H:H,B250+1)</f>
        <v>1979</v>
      </c>
      <c r="N248" s="71"/>
      <c r="O248" s="27" t="s">
        <v>380</v>
      </c>
      <c r="P248" s="114" t="s">
        <v>12</v>
      </c>
      <c r="Q248" s="114" t="s">
        <v>12</v>
      </c>
      <c r="R248" s="114" t="s">
        <v>12</v>
      </c>
      <c r="S248" s="114" t="s">
        <v>12</v>
      </c>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f t="shared" ref="B249:C249" si="698">B248</f>
        <v>12</v>
      </c>
      <c r="C249" s="128">
        <f t="shared" si="698"/>
        <v>1</v>
      </c>
      <c r="D249" s="127">
        <f t="shared" si="644"/>
        <v>12</v>
      </c>
      <c r="E249" s="38" t="s">
        <v>313</v>
      </c>
      <c r="F249" s="93"/>
      <c r="G249" s="191"/>
      <c r="H249" s="196"/>
      <c r="I249" s="196"/>
      <c r="J249" s="197"/>
      <c r="K249" s="64"/>
      <c r="L249" s="1" t="s">
        <v>2</v>
      </c>
      <c r="M249" s="6" t="str">
        <f>INDEX('BASE FORMAÇÃO'!D:D,B250+1)</f>
        <v>M2</v>
      </c>
      <c r="N249" s="71"/>
      <c r="O249" s="27" t="s">
        <v>381</v>
      </c>
      <c r="P249" s="115" t="s">
        <v>459</v>
      </c>
      <c r="Q249" s="115" t="s">
        <v>460</v>
      </c>
      <c r="R249" s="115" t="s">
        <v>460</v>
      </c>
      <c r="S249" s="115" t="s">
        <v>460</v>
      </c>
      <c r="T249" s="115"/>
      <c r="U249" s="118"/>
      <c r="V249" s="118"/>
      <c r="W249" s="118"/>
      <c r="X249" s="118"/>
      <c r="Y249" s="118"/>
      <c r="Z249" s="118"/>
      <c r="AA249" s="118"/>
      <c r="AB249" s="118"/>
      <c r="AC249" s="118"/>
      <c r="AD249" s="118"/>
      <c r="AE249" s="118"/>
      <c r="AF249" s="118"/>
      <c r="AG249" s="118"/>
      <c r="AH249" s="118"/>
      <c r="AI249" s="118"/>
    </row>
    <row r="250" spans="1:167" x14ac:dyDescent="0.25">
      <c r="B250" s="128">
        <f t="shared" ref="B250:C250" si="699">B248</f>
        <v>12</v>
      </c>
      <c r="C250" s="128">
        <f t="shared" si="699"/>
        <v>1</v>
      </c>
      <c r="D250" s="127">
        <f t="shared" si="644"/>
        <v>12</v>
      </c>
      <c r="E250" s="198">
        <f t="shared" ref="E250" si="700">C246</f>
        <v>1</v>
      </c>
      <c r="F250" s="93"/>
      <c r="G250" s="200" t="s">
        <v>304</v>
      </c>
      <c r="H250" s="202"/>
      <c r="I250" s="203"/>
      <c r="J250" s="203"/>
      <c r="K250" s="67"/>
      <c r="L250" s="28" t="s">
        <v>303</v>
      </c>
      <c r="M250" s="133">
        <f t="shared" ref="M250" si="701">IFERROR(INDEX(I252:I264,MATCH(MAX(J252:J264),J252:J264,0)),"")</f>
        <v>9.5751020004251619E-2</v>
      </c>
      <c r="N250" s="71"/>
      <c r="O250" s="27" t="s">
        <v>18</v>
      </c>
      <c r="P250" s="106">
        <f>IF(P246="","",
IF(OR(P248="Orçamento",P247="",MAX('Tabela de Apoio'!$A:$A)&lt;=P247),
P246,
(INDEX('Tabela de Apoio'!$B:$B,MATCH('MAPA DE PREÇOS'!$O$8,'Tabela de Apoio'!$A:$A,1))/INDEX('Tabela de Apoio'!$B:$B,MATCH('MAPA DE PREÇOS'!P247,'Tabela de Apoio'!$A:$A,1)-1))*P246))</f>
        <v>72.308865094444471</v>
      </c>
      <c r="Q250" s="106">
        <f>IF(Q246="","",
IF(OR(Q248="Orçamento",Q247="",MAX('Tabela de Apoio'!$A:$A)&lt;=Q247),
Q246,
(INDEX('Tabela de Apoio'!$B:$B,MATCH('MAPA DE PREÇOS'!$O$8,'Tabela de Apoio'!$A:$A,1))/INDEX('Tabela de Apoio'!$B:$B,MATCH('MAPA DE PREÇOS'!Q247,'Tabela de Apoio'!$A:$A,1)-1))*Q246))</f>
        <v>89</v>
      </c>
      <c r="R250" s="106">
        <f>IF(R246="","",
IF(OR(R248="Orçamento",R247="",MAX('Tabela de Apoio'!$A:$A)&lt;=R247),
R246,
(INDEX('Tabela de Apoio'!$B:$B,MATCH('MAPA DE PREÇOS'!$O$8,'Tabela de Apoio'!$A:$A,1))/INDEX('Tabela de Apoio'!$B:$B,MATCH('MAPA DE PREÇOS'!R247,'Tabela de Apoio'!$A:$A,1)-1))*R246))</f>
        <v>72.119164258915859</v>
      </c>
      <c r="S250" s="106">
        <f>IF(S246="","",
IF(OR(S248="Orçamento",S247="",MAX('Tabela de Apoio'!$A:$A)&lt;=S247),
S246,
(INDEX('Tabela de Apoio'!$B:$B,MATCH('MAPA DE PREÇOS'!$O$8,'Tabela de Apoio'!$A:$A,1))/INDEX('Tabela de Apoio'!$B:$B,MATCH('MAPA DE PREÇOS'!S247,'Tabela de Apoio'!$A:$A,1)-1))*S246))</f>
        <v>71.936758520784295</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f t="shared" ref="B251" si="702">B250</f>
        <v>12</v>
      </c>
      <c r="C251" s="128">
        <f t="shared" ref="C251" si="703">C250</f>
        <v>1</v>
      </c>
      <c r="D251" s="127">
        <f t="shared" si="644"/>
        <v>12</v>
      </c>
      <c r="E251" s="199"/>
      <c r="F251" s="93"/>
      <c r="G251" s="201"/>
      <c r="H251"/>
      <c r="I251"/>
      <c r="J251"/>
      <c r="N251" s="71"/>
      <c r="O251" s="27" t="s">
        <v>375</v>
      </c>
      <c r="P251" s="107">
        <f>IF(IFERROR(VLOOKUP(P248,'Tabela de Apoio'!$D:$E,2,FALSE),1)=1,"",P252)</f>
        <v>72.308865094444471</v>
      </c>
      <c r="Q251" s="107">
        <f>IF(IFERROR(VLOOKUP(Q248,'Tabela de Apoio'!$D:$E,2,FALSE),1)=1,"",Q252)</f>
        <v>89</v>
      </c>
      <c r="R251" s="107">
        <f>IF(IFERROR(VLOOKUP(R248,'Tabela de Apoio'!$D:$E,2,FALSE),1)=1,"",R252)</f>
        <v>72.119164258915859</v>
      </c>
      <c r="S251" s="107">
        <f>IF(IFERROR(VLOOKUP(S248,'Tabela de Apoio'!$D:$E,2,FALSE),1)=1,"",S252)</f>
        <v>71.936758520784295</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f t="shared" ref="B252:C252" si="704">B251</f>
        <v>12</v>
      </c>
      <c r="C252" s="128">
        <f t="shared" si="704"/>
        <v>1</v>
      </c>
      <c r="D252" s="127">
        <f t="shared" si="644"/>
        <v>12</v>
      </c>
      <c r="E252" s="199"/>
      <c r="F252" s="93"/>
      <c r="G252" s="201"/>
      <c r="H252" s="134">
        <f t="shared" ref="H252" si="705">COUNT($P252:$XX252)</f>
        <v>4</v>
      </c>
      <c r="I252" s="132">
        <f t="shared" ref="I252" si="706">_xlfn.STDEV.P($P251:$XX252)/AVERAGE($P251:$XX252)</f>
        <v>9.5751020004251619E-2</v>
      </c>
      <c r="J252" s="7">
        <f>ROW()</f>
        <v>252</v>
      </c>
      <c r="K252" s="67"/>
      <c r="L252" s="29" t="s">
        <v>10</v>
      </c>
      <c r="M252" s="30">
        <f t="shared" ref="M252" si="707">IFERROR(
IF(COUNTA(P246:AI246)=COUNTIF(P248:XX248,"Orçamento"),MIN(M257,M254),
IF(M255&lt;&gt;"",M255,
IF(M256&lt;&gt;"",M256,
M254
))),"")</f>
        <v>76.341196968536153</v>
      </c>
      <c r="N252" s="71"/>
      <c r="O252" s="27" t="s">
        <v>376</v>
      </c>
      <c r="P252" s="106">
        <f t="shared" ref="P252:AI252" si="708">IFERROR(IF(P250="",
            "",
            IF(COUNT($P250:$XX250)&lt;=4,
               P250,
               IF(OR(P250&gt;(QUARTILE($P250:$XX250,3)+(QUARTILE($P250:$XX250,3)-QUARTILE($P250:$XX250,1))),
                     P250&lt;(QUARTILE($P250:$XX250,1)-(QUARTILE($P250:$XX250,3)-QUARTILE($P250:$XX250,1)))
                  ),
               "DESCARTADO",P250)
             )
  ),P250)</f>
        <v>72.308865094444471</v>
      </c>
      <c r="Q252" s="106">
        <f t="shared" si="708"/>
        <v>89</v>
      </c>
      <c r="R252" s="106">
        <f t="shared" si="708"/>
        <v>72.119164258915859</v>
      </c>
      <c r="S252" s="106">
        <f t="shared" si="708"/>
        <v>71.936758520784295</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f t="shared" ref="B253" si="709">B252</f>
        <v>12</v>
      </c>
      <c r="C253" s="128">
        <f t="shared" ref="C253" si="710">C252</f>
        <v>1</v>
      </c>
      <c r="D253" s="127">
        <f t="shared" si="644"/>
        <v>12</v>
      </c>
      <c r="E253" s="199"/>
      <c r="F253" s="93"/>
      <c r="G253" s="201"/>
      <c r="H253"/>
      <c r="I253"/>
      <c r="J253"/>
      <c r="K253" s="66"/>
      <c r="L253" s="29" t="s">
        <v>360</v>
      </c>
      <c r="M253" s="30">
        <f t="shared" ref="M253" si="711">AVERAGE($P252:$XX252)</f>
        <v>76.341196968536153</v>
      </c>
      <c r="N253" s="71"/>
      <c r="O253" s="27" t="str">
        <f t="shared" ref="O253" si="712">"1 POND"</f>
        <v>1 POND</v>
      </c>
      <c r="P253" s="107">
        <f>IF(IFERROR(VLOOKUP(P248,'Tabela de Apoio'!$D:$E,2,FALSE),1)=1,"",P254)</f>
        <v>72.308865094444471</v>
      </c>
      <c r="Q253" s="107">
        <f>IF(IFERROR(VLOOKUP(Q248,'Tabela de Apoio'!$D:$E,2,FALSE),1)=1,"",Q254)</f>
        <v>89</v>
      </c>
      <c r="R253" s="107">
        <f>IF(IFERROR(VLOOKUP(R248,'Tabela de Apoio'!$D:$E,2,FALSE),1)=1,"",R254)</f>
        <v>72.119164258915859</v>
      </c>
      <c r="S253" s="107">
        <f>IF(IFERROR(VLOOKUP(S248,'Tabela de Apoio'!$D:$E,2,FALSE),1)=1,"",S254)</f>
        <v>71.936758520784295</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f t="shared" si="643"/>
        <v>12</v>
      </c>
      <c r="C254" s="128">
        <f t="shared" si="644"/>
        <v>1</v>
      </c>
      <c r="D254" s="127">
        <f t="shared" si="644"/>
        <v>12</v>
      </c>
      <c r="E254" s="199"/>
      <c r="F254" s="93"/>
      <c r="G254" s="201"/>
      <c r="H254" s="134">
        <f t="shared" ref="H254" si="713">COUNT($P254:$XX254)</f>
        <v>4</v>
      </c>
      <c r="I254" s="132">
        <f t="shared" ref="I254" si="714">_xlfn.STDEV.P($P253:$XX254)/AVERAGE($P253:$XX254)</f>
        <v>9.5751020004251619E-2</v>
      </c>
      <c r="J254" s="7">
        <f t="shared" ref="J254" si="715">IF(AND(H254&gt;2,
OR(L246="MÉDIA SANEADA",L246="MEDIANA SANEADA",
AND(L246="PREÇO ESTIMADO",NOT(AND(P248="Orçamento",COUNTA(P246:XX246)=COUNTIF(P248:XX248,"Orçamento")))))),
ROW(),0)</f>
        <v>254</v>
      </c>
      <c r="K254" s="66"/>
      <c r="L254" s="29" t="s">
        <v>361</v>
      </c>
      <c r="M254" s="30">
        <f t="shared" ref="M254" si="716">MEDIAN($P252:$XX252)</f>
        <v>72.214014676680165</v>
      </c>
      <c r="N254" s="71"/>
      <c r="O254" s="27" t="str">
        <f t="shared" ref="O254" si="717">"1 RODADA"</f>
        <v>1 RODADA</v>
      </c>
      <c r="P254" s="107">
        <f t="shared" ref="P254:AI254" si="718">IF(P252="","",IF((_xlfn.STDEV.P($P251:$XX252)/AVERAGE($P251:$XX252))&lt;=25%,P252,IF(OR(P252&gt;(AVERAGE($P251:$XX252)+_xlfn.STDEV.P($P251:$XX252)),P252&lt;(AVERAGE($P251:$XX252)-_xlfn.STDEV.P($P251:$XX252))),"DESCARTADO",P252)))</f>
        <v>72.308865094444471</v>
      </c>
      <c r="Q254" s="107">
        <f t="shared" si="718"/>
        <v>89</v>
      </c>
      <c r="R254" s="107">
        <f t="shared" si="718"/>
        <v>72.119164258915859</v>
      </c>
      <c r="S254" s="107">
        <f t="shared" si="718"/>
        <v>71.936758520784295</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f t="shared" si="643"/>
        <v>12</v>
      </c>
      <c r="C255" s="128">
        <f t="shared" si="644"/>
        <v>1</v>
      </c>
      <c r="D255" s="127">
        <f t="shared" si="644"/>
        <v>12</v>
      </c>
      <c r="E255" s="199"/>
      <c r="F255" s="93"/>
      <c r="G255" s="201"/>
      <c r="H255"/>
      <c r="I255"/>
      <c r="J255"/>
      <c r="L255" s="29" t="s">
        <v>38</v>
      </c>
      <c r="M255" s="30">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76.341196968536153</v>
      </c>
      <c r="N255" s="71"/>
      <c r="O255" s="27" t="str">
        <f t="shared" ref="O255" si="720">"2 POND"</f>
        <v>2 POND</v>
      </c>
      <c r="P255" s="107">
        <f>IF(IFERROR(VLOOKUP(P248,'Tabela de Apoio'!$D:$E,2,FALSE),1)=1,"",P256)</f>
        <v>72.308865094444471</v>
      </c>
      <c r="Q255" s="107">
        <f>IF(IFERROR(VLOOKUP(Q248,'Tabela de Apoio'!$D:$E,2,FALSE),1)=1,"",Q256)</f>
        <v>89</v>
      </c>
      <c r="R255" s="107">
        <f>IF(IFERROR(VLOOKUP(R248,'Tabela de Apoio'!$D:$E,2,FALSE),1)=1,"",R256)</f>
        <v>72.119164258915859</v>
      </c>
      <c r="S255" s="107">
        <f>IF(IFERROR(VLOOKUP(S248,'Tabela de Apoio'!$D:$E,2,FALSE),1)=1,"",S256)</f>
        <v>71.936758520784295</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f t="shared" si="643"/>
        <v>12</v>
      </c>
      <c r="C256" s="128">
        <f t="shared" si="644"/>
        <v>1</v>
      </c>
      <c r="D256" s="127">
        <f t="shared" si="644"/>
        <v>12</v>
      </c>
      <c r="E256" s="199"/>
      <c r="F256" s="93"/>
      <c r="G256" s="201"/>
      <c r="H256" s="134">
        <f t="shared" ref="H256" si="721">COUNT($P256:$XX256)</f>
        <v>4</v>
      </c>
      <c r="I256" s="132">
        <f t="shared" ref="I256" si="722">_xlfn.STDEV.P($P255:$XX256)/AVERAGE($P255:$XX256)</f>
        <v>9.5751020004251619E-2</v>
      </c>
      <c r="J256" s="7">
        <f t="shared" ref="J256" si="723">IF(AND(H256&gt;2,
OR(L246="MÉDIA SANEADA",L246="MEDIANA SANEADA",
AND(L246="PREÇO ESTIMADO",NOT(AND(P248="Orçamento",COUNTA(P246:XX246)=COUNTIF(P248:XX248,"Orçamento")))))),
ROW(),0)</f>
        <v>256</v>
      </c>
      <c r="K256" s="66"/>
      <c r="L256" s="29" t="s">
        <v>362</v>
      </c>
      <c r="M256" s="30">
        <f t="shared" ref="M256" si="724" xml:space="preserve">
IF(H254&gt;2,MEDIAN(P253:XX254),
IF(H256&gt;2,MEDIAN(P255:XX256),
IF(H258&gt;2,MEDIAN(P257:XX258),
IF(H260&gt;2,MEDIAN(P259:XX260),
IF(H262&gt;2,MEDIAN(P261:XX262),
IF(H264&gt;2,MEDIAN(P263:XX264),
MEDIAN(P251:XX252)))))))</f>
        <v>72.214014676680165</v>
      </c>
      <c r="N256" s="71"/>
      <c r="O256" s="27" t="str">
        <f t="shared" ref="O256" si="725">"2 RODADA"</f>
        <v>2 RODADA</v>
      </c>
      <c r="P256" s="107">
        <f t="shared" ref="P256:AI256" si="726">IF(P254="","",IF((_xlfn.STDEV.P($P253:$XX254)/AVERAGE($P253:$XX254))&lt;=25%,P254,IF(OR(P254&gt;(AVERAGE($P253:$XX254)+_xlfn.STDEV.P($P253:$XX254)),P254&lt;(AVERAGE($P253:$XX254)-_xlfn.STDEV.P($P253:$XX254))),"DESCARTADO",P254)))</f>
        <v>72.308865094444471</v>
      </c>
      <c r="Q256" s="107">
        <f t="shared" si="726"/>
        <v>89</v>
      </c>
      <c r="R256" s="107">
        <f t="shared" si="726"/>
        <v>72.119164258915859</v>
      </c>
      <c r="S256" s="107">
        <f t="shared" si="726"/>
        <v>71.936758520784295</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f t="shared" si="643"/>
        <v>12</v>
      </c>
      <c r="C257" s="128">
        <f t="shared" si="644"/>
        <v>1</v>
      </c>
      <c r="D257" s="127">
        <f t="shared" si="644"/>
        <v>12</v>
      </c>
      <c r="E257" s="199"/>
      <c r="F257" s="93"/>
      <c r="G257" s="201"/>
      <c r="H257"/>
      <c r="I257"/>
      <c r="J257"/>
      <c r="K257" s="66"/>
      <c r="L257" s="29" t="s">
        <v>359</v>
      </c>
      <c r="M257" s="30">
        <f t="shared" ref="M257" si="727">HARMEAN($P251:$XX252)</f>
        <v>75.710891827589094</v>
      </c>
      <c r="N257" s="71"/>
      <c r="O257" s="27" t="str">
        <f t="shared" ref="O257" si="728">"3 POND"</f>
        <v>3 POND</v>
      </c>
      <c r="P257" s="107">
        <f>IF(IFERROR(VLOOKUP(P248,'Tabela de Apoio'!$D:$E,2,FALSE),1)=1,"",P258)</f>
        <v>72.308865094444471</v>
      </c>
      <c r="Q257" s="107">
        <f>IF(IFERROR(VLOOKUP(Q248,'Tabela de Apoio'!$D:$E,2,FALSE),1)=1,"",Q258)</f>
        <v>89</v>
      </c>
      <c r="R257" s="107">
        <f>IF(IFERROR(VLOOKUP(R248,'Tabela de Apoio'!$D:$E,2,FALSE),1)=1,"",R258)</f>
        <v>72.119164258915859</v>
      </c>
      <c r="S257" s="107">
        <f>IF(IFERROR(VLOOKUP(S248,'Tabela de Apoio'!$D:$E,2,FALSE),1)=1,"",S258)</f>
        <v>71.936758520784295</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f t="shared" si="643"/>
        <v>12</v>
      </c>
      <c r="C258" s="128">
        <f t="shared" si="644"/>
        <v>1</v>
      </c>
      <c r="D258" s="127">
        <f t="shared" si="644"/>
        <v>12</v>
      </c>
      <c r="E258" s="199"/>
      <c r="F258" s="93"/>
      <c r="G258" s="201"/>
      <c r="H258" s="134">
        <f t="shared" ref="H258" si="729">COUNT($P258:$XX258)</f>
        <v>4</v>
      </c>
      <c r="I258" s="132">
        <f t="shared" ref="I258" si="730">_xlfn.STDEV.P($P257:$XX258)/AVERAGE($P257:$XX258)</f>
        <v>9.5751020004251619E-2</v>
      </c>
      <c r="J258" s="7">
        <f t="shared" ref="J258" si="731">IF(AND(H258&gt;2,
OR(L246="MÉDIA SANEADA",L246="MEDIANA SANEADA",
AND(L246="PREÇO ESTIMADO",NOT(AND(P248="Orçamento",COUNTA(P246:XX246)=COUNTIF(P248:XX248,"Orçamento")))))),
ROW(),0)</f>
        <v>258</v>
      </c>
      <c r="K258" s="66"/>
      <c r="L258" s="29" t="s">
        <v>41</v>
      </c>
      <c r="M258" s="30">
        <f t="shared" ref="M258" si="732">IFERROR(_xlfn.QUARTILE.EXC($P252:$XX252,1),"")</f>
        <v>71.982359955317179</v>
      </c>
      <c r="N258" s="71"/>
      <c r="O258" s="27" t="str">
        <f t="shared" ref="O258" si="733">"3 RODADA"</f>
        <v>3 RODADA</v>
      </c>
      <c r="P258" s="107">
        <f t="shared" ref="P258:AI258" si="734">IF(P256="","",IF((_xlfn.STDEV.P($P255:$XX256)/AVERAGE($P255:$XX256))&lt;=25%,P256,IF(OR(P256&gt;(AVERAGE($P255:$XX256)+_xlfn.STDEV.P($P255:$XX256)),P256&lt;(AVERAGE($P255:$XX256)-_xlfn.STDEV.P($P255:$XX256))),"DESCARTADO",P256)))</f>
        <v>72.308865094444471</v>
      </c>
      <c r="Q258" s="107">
        <f t="shared" si="734"/>
        <v>89</v>
      </c>
      <c r="R258" s="107">
        <f t="shared" si="734"/>
        <v>72.119164258915859</v>
      </c>
      <c r="S258" s="107">
        <f t="shared" si="734"/>
        <v>71.936758520784295</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f t="shared" si="643"/>
        <v>12</v>
      </c>
      <c r="C259" s="128">
        <f t="shared" si="644"/>
        <v>1</v>
      </c>
      <c r="D259" s="127">
        <f t="shared" si="644"/>
        <v>12</v>
      </c>
      <c r="E259" s="199"/>
      <c r="F259" s="93"/>
      <c r="G259" s="201"/>
      <c r="H259"/>
      <c r="I259"/>
      <c r="J259"/>
      <c r="K259" s="66"/>
      <c r="L259" s="29" t="s">
        <v>39</v>
      </c>
      <c r="M259" s="30">
        <f t="shared" ref="M259" si="735">IFERROR(_xlfn.QUARTILE.EXC($P252:$XX252,3),"")</f>
        <v>84.827216273611114</v>
      </c>
      <c r="N259" s="71"/>
      <c r="O259" s="27" t="str">
        <f t="shared" ref="O259" si="736">"4 POND"</f>
        <v>4 POND</v>
      </c>
      <c r="P259" s="107">
        <f>IF(IFERROR(VLOOKUP(P248,'Tabela de Apoio'!$D:$E,2,FALSE),1)=1,"",P260)</f>
        <v>72.308865094444471</v>
      </c>
      <c r="Q259" s="107">
        <f>IF(IFERROR(VLOOKUP(Q248,'Tabela de Apoio'!$D:$E,2,FALSE),1)=1,"",Q260)</f>
        <v>89</v>
      </c>
      <c r="R259" s="107">
        <f>IF(IFERROR(VLOOKUP(R248,'Tabela de Apoio'!$D:$E,2,FALSE),1)=1,"",R260)</f>
        <v>72.119164258915859</v>
      </c>
      <c r="S259" s="107">
        <f>IF(IFERROR(VLOOKUP(S248,'Tabela de Apoio'!$D:$E,2,FALSE),1)=1,"",S260)</f>
        <v>71.936758520784295</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f t="shared" si="643"/>
        <v>12</v>
      </c>
      <c r="C260" s="128">
        <f t="shared" si="644"/>
        <v>1</v>
      </c>
      <c r="D260" s="127">
        <f t="shared" si="644"/>
        <v>12</v>
      </c>
      <c r="E260" s="199"/>
      <c r="F260" s="93"/>
      <c r="G260" s="201"/>
      <c r="H260" s="134">
        <f t="shared" ref="H260" si="737">COUNT($P260:$XX260)</f>
        <v>4</v>
      </c>
      <c r="I260" s="132">
        <f t="shared" ref="I260" si="738">_xlfn.STDEV.P($P259:$XX260)/AVERAGE($P259:$XX260)</f>
        <v>9.5751020004251619E-2</v>
      </c>
      <c r="J260" s="7">
        <f t="shared" ref="J260" si="739">IF(AND(H260&gt;2,
OR(L246="MÉDIA SANEADA",L246="MEDIANA SANEADA",
AND(L246="PREÇO ESTIMADO",NOT(AND(P248="Orçamento",COUNTA(P246:XX246)=COUNTIF(P248:XX248,"Orçamento")))))),
ROW(),0)</f>
        <v>260</v>
      </c>
      <c r="K260" s="66"/>
      <c r="L260" s="29" t="s">
        <v>42</v>
      </c>
      <c r="M260" s="30">
        <f t="shared" ref="M260" si="740">MIN($P252:$XX252)</f>
        <v>71.936758520784295</v>
      </c>
      <c r="N260" s="71"/>
      <c r="O260" s="27" t="str">
        <f t="shared" ref="O260" si="741">"4 RODADA"</f>
        <v>4 RODADA</v>
      </c>
      <c r="P260" s="107">
        <f t="shared" ref="P260:AI260" si="742">IF(P258="","",IF((_xlfn.STDEV.P($P257:$XX258)/AVERAGE($P257:$XX258))&lt;=25%,P258,IF(OR(P258&gt;(AVERAGE($P257:$XX258)+_xlfn.STDEV.P($P257:$XX258)),P258&lt;(AVERAGE($P257:$XX258)-_xlfn.STDEV.P($P257:$XX258))),"DESCARTADO",P258)))</f>
        <v>72.308865094444471</v>
      </c>
      <c r="Q260" s="107">
        <f t="shared" si="742"/>
        <v>89</v>
      </c>
      <c r="R260" s="107">
        <f t="shared" si="742"/>
        <v>72.119164258915859</v>
      </c>
      <c r="S260" s="107">
        <f t="shared" si="742"/>
        <v>71.936758520784295</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f t="shared" si="643"/>
        <v>12</v>
      </c>
      <c r="C261" s="128">
        <f t="shared" si="644"/>
        <v>1</v>
      </c>
      <c r="D261" s="127">
        <f t="shared" si="644"/>
        <v>12</v>
      </c>
      <c r="E261" s="199"/>
      <c r="F261" s="93"/>
      <c r="G261" s="201"/>
      <c r="H261"/>
      <c r="I261"/>
      <c r="J261"/>
      <c r="K261" s="66"/>
      <c r="L261" s="29" t="s">
        <v>40</v>
      </c>
      <c r="M261" s="30">
        <f t="shared" ref="M261" si="743">MAX($P252:$XX252)</f>
        <v>89</v>
      </c>
      <c r="N261" s="71"/>
      <c r="O261" s="27" t="str">
        <f t="shared" ref="O261" si="744">"5 POND"</f>
        <v>5 POND</v>
      </c>
      <c r="P261" s="107">
        <f>IF(IFERROR(VLOOKUP(P248,'Tabela de Apoio'!$D:$E,2,FALSE),1)=1,"",P262)</f>
        <v>72.308865094444471</v>
      </c>
      <c r="Q261" s="107">
        <f>IF(IFERROR(VLOOKUP(Q248,'Tabela de Apoio'!$D:$E,2,FALSE),1)=1,"",Q262)</f>
        <v>89</v>
      </c>
      <c r="R261" s="107">
        <f>IF(IFERROR(VLOOKUP(R248,'Tabela de Apoio'!$D:$E,2,FALSE),1)=1,"",R262)</f>
        <v>72.119164258915859</v>
      </c>
      <c r="S261" s="107">
        <f>IF(IFERROR(VLOOKUP(S248,'Tabela de Apoio'!$D:$E,2,FALSE),1)=1,"",S262)</f>
        <v>71.936758520784295</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f t="shared" si="643"/>
        <v>12</v>
      </c>
      <c r="C262" s="128">
        <f t="shared" si="644"/>
        <v>1</v>
      </c>
      <c r="D262" s="127">
        <f t="shared" si="644"/>
        <v>12</v>
      </c>
      <c r="E262" s="199"/>
      <c r="F262" s="93"/>
      <c r="G262" s="201"/>
      <c r="H262" s="134">
        <f t="shared" ref="H262" si="745">COUNT($P262:$XX262)</f>
        <v>4</v>
      </c>
      <c r="I262" s="132">
        <f t="shared" ref="I262" si="746">_xlfn.STDEV.P($P261:$XX262)/AVERAGE($P261:$XX262)</f>
        <v>9.5751020004251619E-2</v>
      </c>
      <c r="J262" s="7">
        <f t="shared" ref="J262" si="747">IF(AND(H262&gt;2,
OR(L246="MÉDIA SANEADA",L246="MEDIANA SANEADA",
AND(L246="PREÇO ESTIMADO",NOT(AND(P248="Orçamento",COUNTA(P246:XX246)=COUNTIF(P248:XX248,"Orçamento")))))),
ROW(),0)</f>
        <v>262</v>
      </c>
      <c r="K262" s="66"/>
      <c r="N262" s="71"/>
      <c r="O262" s="27" t="str">
        <f t="shared" ref="O262" si="748">"5 RODADA"</f>
        <v>5 RODADA</v>
      </c>
      <c r="P262" s="107">
        <f t="shared" ref="P262:AI262" si="749">IF(P260="","",IF((_xlfn.STDEV.P($P259:$XX260)/AVERAGE($P259:$XX260))&lt;=25%,P260,IF(OR(P260&gt;(AVERAGE($P259:$XX260)+_xlfn.STDEV.P($P259:$XX260)),P260&lt;(AVERAGE($P259:$XX260)-_xlfn.STDEV.P($P259:$XX260))),"DESCARTADO",P260)))</f>
        <v>72.308865094444471</v>
      </c>
      <c r="Q262" s="107">
        <f t="shared" si="749"/>
        <v>89</v>
      </c>
      <c r="R262" s="107">
        <f t="shared" si="749"/>
        <v>72.119164258915859</v>
      </c>
      <c r="S262" s="107">
        <f t="shared" si="749"/>
        <v>71.936758520784295</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f t="shared" si="643"/>
        <v>12</v>
      </c>
      <c r="C263" s="128">
        <f t="shared" si="644"/>
        <v>1</v>
      </c>
      <c r="D263" s="127">
        <f t="shared" si="644"/>
        <v>12</v>
      </c>
      <c r="E263" s="199"/>
      <c r="F263" s="93"/>
      <c r="G263" s="201"/>
      <c r="H263"/>
      <c r="I263"/>
      <c r="J263"/>
      <c r="K263" s="66"/>
      <c r="L263" s="22"/>
      <c r="M263" s="22"/>
      <c r="N263" s="71"/>
      <c r="O263" s="27" t="str">
        <f t="shared" ref="O263" si="750">"6 POND"</f>
        <v>6 POND</v>
      </c>
      <c r="P263" s="107">
        <f>IF(IFERROR(VLOOKUP(P248,'Tabela de Apoio'!$D:$E,2,FALSE),1)=1,"",P264)</f>
        <v>72.308865094444471</v>
      </c>
      <c r="Q263" s="107">
        <f>IF(IFERROR(VLOOKUP(Q248,'Tabela de Apoio'!$D:$E,2,FALSE),1)=1,"",Q264)</f>
        <v>89</v>
      </c>
      <c r="R263" s="107">
        <f>IF(IFERROR(VLOOKUP(R248,'Tabela de Apoio'!$D:$E,2,FALSE),1)=1,"",R264)</f>
        <v>72.119164258915859</v>
      </c>
      <c r="S263" s="107">
        <f>IF(IFERROR(VLOOKUP(S248,'Tabela de Apoio'!$D:$E,2,FALSE),1)=1,"",S264)</f>
        <v>71.936758520784295</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f t="shared" si="643"/>
        <v>12</v>
      </c>
      <c r="C264" s="128">
        <f t="shared" si="644"/>
        <v>1</v>
      </c>
      <c r="D264" s="127">
        <f t="shared" si="644"/>
        <v>12</v>
      </c>
      <c r="E264" s="199"/>
      <c r="F264" s="93"/>
      <c r="G264" s="201"/>
      <c r="H264" s="134">
        <f t="shared" ref="H264" si="751">COUNT($P264:$XX264)</f>
        <v>4</v>
      </c>
      <c r="I264" s="132">
        <f t="shared" ref="I264" si="752">_xlfn.STDEV.P($P263:$XX264)/AVERAGE($P263:$XX264)</f>
        <v>9.5751020004251619E-2</v>
      </c>
      <c r="J264" s="7">
        <f t="shared" ref="J264" si="753">IF(AND(H264&gt;2,
OR(L246="MÉDIA SANEADA",L246="MEDIANA SANEADA",
AND(L246="PREÇO ESTIMADO",NOT(AND(P248="Orçamento",COUNTA(P246:XX246)=COUNTIF(P248:XX248,"Orçamento")))))),
ROW(),0)</f>
        <v>264</v>
      </c>
      <c r="N264" s="71"/>
      <c r="O264" s="27" t="str">
        <f t="shared" ref="O264" si="754">"6 RODADA"</f>
        <v>6 RODADA</v>
      </c>
      <c r="P264" s="107">
        <f t="shared" ref="P264:AI264" si="755">IFERROR(IF(P262="","",IF((_xlfn.STDEV.P($P261:$XX262)/AVERAGE($P261:$XX262))&lt;=25%,P262,IF(OR(P262&gt;(AVERAGE($P261:$XX262)+_xlfn.STDEV.P($P261:$XX262)),P262&lt;(AVERAGE($P261:$XX262)-_xlfn.STDEV.P($P261:$XX262))),"DESCARTADO",P262))),)</f>
        <v>72.308865094444471</v>
      </c>
      <c r="Q264" s="107">
        <f t="shared" si="755"/>
        <v>89</v>
      </c>
      <c r="R264" s="107">
        <f t="shared" si="755"/>
        <v>72.119164258915859</v>
      </c>
      <c r="S264" s="107">
        <f t="shared" si="755"/>
        <v>71.936758520784295</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f t="shared" si="643"/>
        <v>12</v>
      </c>
      <c r="C265" s="128">
        <f t="shared" si="644"/>
        <v>1</v>
      </c>
      <c r="D265" s="127">
        <f t="shared" si="644"/>
        <v>12</v>
      </c>
      <c r="E265" s="199"/>
      <c r="F265" s="136"/>
      <c r="G265" s="201"/>
      <c r="H265" s="204"/>
      <c r="I265" s="204"/>
      <c r="J265" s="205"/>
      <c r="K265" s="67"/>
      <c r="L265" s="1" t="s">
        <v>43</v>
      </c>
      <c r="M265" s="143">
        <f t="shared" ref="M265" si="756">IFERROR(ROUND(M246*M248,2),"")</f>
        <v>151076.85999999999</v>
      </c>
      <c r="O265" s="27" t="s">
        <v>363</v>
      </c>
      <c r="P265" s="107">
        <f t="shared" ref="P265:AI286" si="757">INDEX(P252:P264,MATCH(MAX($J252:$J264),$J252:$J264,0))</f>
        <v>72.308865094444471</v>
      </c>
      <c r="Q265" s="107">
        <f t="shared" si="757"/>
        <v>89</v>
      </c>
      <c r="R265" s="107">
        <f t="shared" si="757"/>
        <v>72.119164258915859</v>
      </c>
      <c r="S265" s="107">
        <f t="shared" si="757"/>
        <v>71.936758520784295</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f t="shared" ref="B267" si="758">LARGE(IFERROR(IF(B265+1&gt;$H$8,"",B265+1),""),1)</f>
        <v>13</v>
      </c>
      <c r="C267" s="127">
        <f>IF(_xlfn.ISFORMULA(E271),MAX(INDEX('BASE FORMAÇÃO'!A:A,B267+1),1),E271)</f>
        <v>1</v>
      </c>
      <c r="D267" s="127">
        <f t="shared" ref="D267" si="759">IFERROR(IF(C267=C257,D257+1,1),1)</f>
        <v>13</v>
      </c>
      <c r="E267" s="38" t="s">
        <v>9</v>
      </c>
      <c r="F267" s="73"/>
      <c r="G267" s="38" t="s">
        <v>15</v>
      </c>
      <c r="H267" s="135">
        <f>INDEX('BASE FORMAÇÃO'!B:B,B267+1)</f>
        <v>0</v>
      </c>
      <c r="I267" s="181" t="s">
        <v>16</v>
      </c>
      <c r="J267" s="6">
        <f>INDEX('BASE FORMAÇÃO'!K:K,B267+1)</f>
        <v>0</v>
      </c>
      <c r="K267" s="65"/>
      <c r="L267" s="183" t="s">
        <v>10</v>
      </c>
      <c r="M267" s="185">
        <f t="shared" ref="M267" si="760">IF(OR(ISBLANK($O$8),ISBLANK($O$7),ISBLANK($H$8),ISBLANK($O$6),ISBLANK($O$5),ISBLANK($H$5)),"",IFERROR(IF(VLOOKUP(L267,L273:M282,2,FALSE)&lt;1,ROUND(VLOOKUP(L267,L273:M282,2,FALSE),4),ROUND(VLOOKUP(L267,L273:M282,2,FALSE),2)),""))</f>
        <v>3651.14</v>
      </c>
      <c r="N267" s="69"/>
      <c r="O267" s="27" t="s">
        <v>17</v>
      </c>
      <c r="P267" s="113">
        <v>3000</v>
      </c>
      <c r="Q267" s="113">
        <v>3240.21</v>
      </c>
      <c r="R267" s="113">
        <v>4384</v>
      </c>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f t="shared" ref="B268:D268" si="761">B267</f>
        <v>13</v>
      </c>
      <c r="C268" s="128">
        <f t="shared" si="761"/>
        <v>1</v>
      </c>
      <c r="D268" s="127">
        <f t="shared" si="761"/>
        <v>13</v>
      </c>
      <c r="E268" s="187">
        <f t="shared" ref="E268" si="762">D267</f>
        <v>13</v>
      </c>
      <c r="F268" s="92"/>
      <c r="G268" s="189" t="s">
        <v>1</v>
      </c>
      <c r="H268" s="192" t="str">
        <f>INDEX('BASE FORMAÇÃO'!C:C,B267+1)</f>
        <v>Totens</v>
      </c>
      <c r="I268" s="192"/>
      <c r="J268" s="193"/>
      <c r="K268" s="66"/>
      <c r="L268" s="184"/>
      <c r="M268" s="186"/>
      <c r="N268" s="70"/>
      <c r="O268" s="27" t="s">
        <v>13</v>
      </c>
      <c r="P268" s="122">
        <v>46003</v>
      </c>
      <c r="Q268" s="122">
        <v>46058</v>
      </c>
      <c r="R268" s="122">
        <v>46030</v>
      </c>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f t="shared" ref="B269:D269" si="763">B268</f>
        <v>13</v>
      </c>
      <c r="C269" s="128">
        <f t="shared" si="763"/>
        <v>1</v>
      </c>
      <c r="D269" s="127">
        <f t="shared" si="763"/>
        <v>13</v>
      </c>
      <c r="E269" s="188"/>
      <c r="F269" s="93"/>
      <c r="G269" s="190"/>
      <c r="H269" s="194"/>
      <c r="I269" s="194"/>
      <c r="J269" s="195"/>
      <c r="K269" s="64"/>
      <c r="L269" s="130" t="s">
        <v>44</v>
      </c>
      <c r="M269" s="131">
        <f>INDEX('BASE FORMAÇÃO'!H:H,B271+1)</f>
        <v>399</v>
      </c>
      <c r="N269" s="71"/>
      <c r="O269" s="27" t="s">
        <v>380</v>
      </c>
      <c r="P269" s="114" t="s">
        <v>12</v>
      </c>
      <c r="Q269" s="114" t="s">
        <v>12</v>
      </c>
      <c r="R269" s="114" t="s">
        <v>12</v>
      </c>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f t="shared" ref="B270:C270" si="764">B269</f>
        <v>13</v>
      </c>
      <c r="C270" s="128">
        <f t="shared" si="764"/>
        <v>1</v>
      </c>
      <c r="D270" s="127">
        <f t="shared" si="644"/>
        <v>13</v>
      </c>
      <c r="E270" s="38" t="s">
        <v>313</v>
      </c>
      <c r="F270" s="93"/>
      <c r="G270" s="191"/>
      <c r="H270" s="196"/>
      <c r="I270" s="196"/>
      <c r="J270" s="197"/>
      <c r="K270" s="64"/>
      <c r="L270" s="1" t="s">
        <v>2</v>
      </c>
      <c r="M270" s="6" t="str">
        <f>INDEX('BASE FORMAÇÃO'!D:D,B271+1)</f>
        <v>UND</v>
      </c>
      <c r="N270" s="71"/>
      <c r="O270" s="27" t="s">
        <v>381</v>
      </c>
      <c r="P270" s="115" t="s">
        <v>459</v>
      </c>
      <c r="Q270" s="115" t="s">
        <v>460</v>
      </c>
      <c r="R270" s="115" t="s">
        <v>460</v>
      </c>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f t="shared" ref="B271:C271" si="765">B269</f>
        <v>13</v>
      </c>
      <c r="C271" s="128">
        <f t="shared" si="765"/>
        <v>1</v>
      </c>
      <c r="D271" s="127">
        <f t="shared" si="644"/>
        <v>13</v>
      </c>
      <c r="E271" s="198">
        <f t="shared" ref="E271" si="766">C267</f>
        <v>1</v>
      </c>
      <c r="F271" s="93"/>
      <c r="G271" s="200" t="s">
        <v>304</v>
      </c>
      <c r="H271" s="202"/>
      <c r="I271" s="203"/>
      <c r="J271" s="203"/>
      <c r="K271" s="67"/>
      <c r="L271" s="28" t="s">
        <v>303</v>
      </c>
      <c r="M271" s="133">
        <f t="shared" ref="M271" si="767">IFERROR(INDEX(I273:I285,MATCH(MAX(J273:J285),J273:J285,0)),"")</f>
        <v>0.17019685953766275</v>
      </c>
      <c r="N271" s="71"/>
      <c r="O271" s="27" t="s">
        <v>18</v>
      </c>
      <c r="P271" s="106">
        <f>IF(P267="","",
IF(OR(P269="Orçamento",P268="",MAX('Tabela de Apoio'!$A:$A)&lt;=P268),
P267,
(INDEX('Tabela de Apoio'!$B:$B,MATCH('MAPA DE PREÇOS'!$O$8,'Tabela de Apoio'!$A:$A,1))/INDEX('Tabela de Apoio'!$B:$B,MATCH('MAPA DE PREÇOS'!P268,'Tabela de Apoio'!$A:$A,1)-1))*P267))</f>
        <v>3103.3847680019085</v>
      </c>
      <c r="Q271" s="106">
        <f>IF(Q267="","",
IF(OR(Q269="Orçamento",Q268="",MAX('Tabela de Apoio'!$A:$A)&lt;=Q268),
Q267,
(INDEX('Tabela de Apoio'!$B:$B,MATCH('MAPA DE PREÇOS'!$O$8,'Tabela de Apoio'!$A:$A,1))/INDEX('Tabela de Apoio'!$B:$B,MATCH('MAPA DE PREÇOS'!Q268,'Tabela de Apoio'!$A:$A,1)-1))*Q267))</f>
        <v>3329.8600618090072</v>
      </c>
      <c r="R271" s="106">
        <f>IF(R267="","",
IF(OR(R269="Orçamento",R268="",MAX('Tabela de Apoio'!$A:$A)&lt;=R268),
R267,
(INDEX('Tabela de Apoio'!$B:$B,MATCH('MAPA DE PREÇOS'!$O$8,'Tabela de Apoio'!$A:$A,1))/INDEX('Tabela de Apoio'!$B:$B,MATCH('MAPA DE PREÇOS'!R268,'Tabela de Apoio'!$A:$A,1)-1))*R267))</f>
        <v>4520.1633760125569</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f t="shared" ref="B272" si="768">B271</f>
        <v>13</v>
      </c>
      <c r="C272" s="128">
        <f t="shared" ref="C272" si="769">C271</f>
        <v>1</v>
      </c>
      <c r="D272" s="127">
        <f t="shared" si="644"/>
        <v>13</v>
      </c>
      <c r="E272" s="199"/>
      <c r="F272" s="93"/>
      <c r="G272" s="201"/>
      <c r="H272"/>
      <c r="I272"/>
      <c r="J272"/>
      <c r="N272" s="71"/>
      <c r="O272" s="27" t="s">
        <v>375</v>
      </c>
      <c r="P272" s="107">
        <f>IF(IFERROR(VLOOKUP(P269,'Tabela de Apoio'!$D:$E,2,FALSE),1)=1,"",P273)</f>
        <v>3103.3847680019085</v>
      </c>
      <c r="Q272" s="107">
        <f>IF(IFERROR(VLOOKUP(Q269,'Tabela de Apoio'!$D:$E,2,FALSE),1)=1,"",Q273)</f>
        <v>3329.8600618090072</v>
      </c>
      <c r="R272" s="107">
        <f>IF(IFERROR(VLOOKUP(R269,'Tabela de Apoio'!$D:$E,2,FALSE),1)=1,"",R273)</f>
        <v>4520.1633760125569</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f t="shared" ref="B273:C273" si="770">B272</f>
        <v>13</v>
      </c>
      <c r="C273" s="128">
        <f t="shared" si="770"/>
        <v>1</v>
      </c>
      <c r="D273" s="127">
        <f t="shared" si="644"/>
        <v>13</v>
      </c>
      <c r="E273" s="199"/>
      <c r="F273" s="93"/>
      <c r="G273" s="201"/>
      <c r="H273" s="134">
        <f t="shared" ref="H273" si="771">COUNT($P273:$XX273)</f>
        <v>3</v>
      </c>
      <c r="I273" s="132">
        <f t="shared" ref="I273" si="772">_xlfn.STDEV.P($P272:$XX273)/AVERAGE($P272:$XX273)</f>
        <v>0.17019685953766275</v>
      </c>
      <c r="J273" s="7">
        <f>ROW()</f>
        <v>273</v>
      </c>
      <c r="K273" s="67"/>
      <c r="L273" s="29" t="s">
        <v>10</v>
      </c>
      <c r="M273" s="30">
        <f t="shared" ref="M273" si="773">IFERROR(
IF(COUNTA(P267:AI267)=COUNTIF(P269:XX269,"Orçamento"),MIN(M278,M275),
IF(M276&lt;&gt;"",M276,
IF(M277&lt;&gt;"",M277,
M275
))),"")</f>
        <v>3651.1360686078237</v>
      </c>
      <c r="N273" s="71"/>
      <c r="O273" s="27" t="s">
        <v>376</v>
      </c>
      <c r="P273" s="106">
        <f t="shared" ref="P273:AI273" si="774">IFERROR(IF(P271="",
            "",
            IF(COUNT($P271:$XX271)&lt;=4,
               P271,
               IF(OR(P271&gt;(QUARTILE($P271:$XX271,3)+(QUARTILE($P271:$XX271,3)-QUARTILE($P271:$XX271,1))),
                     P271&lt;(QUARTILE($P271:$XX271,1)-(QUARTILE($P271:$XX271,3)-QUARTILE($P271:$XX271,1)))
                  ),
               "DESCARTADO",P271)
             )
  ),P271)</f>
        <v>3103.3847680019085</v>
      </c>
      <c r="Q273" s="106">
        <f t="shared" si="774"/>
        <v>3329.8600618090072</v>
      </c>
      <c r="R273" s="106">
        <f t="shared" si="774"/>
        <v>4520.1633760125569</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f t="shared" ref="B274" si="775">B273</f>
        <v>13</v>
      </c>
      <c r="C274" s="128">
        <f t="shared" ref="C274" si="776">C273</f>
        <v>1</v>
      </c>
      <c r="D274" s="127">
        <f t="shared" si="644"/>
        <v>13</v>
      </c>
      <c r="E274" s="199"/>
      <c r="F274" s="93"/>
      <c r="G274" s="201"/>
      <c r="H274"/>
      <c r="I274"/>
      <c r="J274"/>
      <c r="K274" s="66"/>
      <c r="L274" s="29" t="s">
        <v>360</v>
      </c>
      <c r="M274" s="30">
        <f t="shared" ref="M274" si="777">AVERAGE($P273:$XX273)</f>
        <v>3651.1360686078242</v>
      </c>
      <c r="N274" s="71"/>
      <c r="O274" s="27" t="str">
        <f t="shared" ref="O274" si="778">"1 POND"</f>
        <v>1 POND</v>
      </c>
      <c r="P274" s="107">
        <f>IF(IFERROR(VLOOKUP(P269,'Tabela de Apoio'!$D:$E,2,FALSE),1)=1,"",P275)</f>
        <v>3103.3847680019085</v>
      </c>
      <c r="Q274" s="107">
        <f>IF(IFERROR(VLOOKUP(Q269,'Tabela de Apoio'!$D:$E,2,FALSE),1)=1,"",Q275)</f>
        <v>3329.8600618090072</v>
      </c>
      <c r="R274" s="107">
        <f>IF(IFERROR(VLOOKUP(R269,'Tabela de Apoio'!$D:$E,2,FALSE),1)=1,"",R275)</f>
        <v>4520.1633760125569</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f t="shared" si="643"/>
        <v>13</v>
      </c>
      <c r="C275" s="128">
        <f t="shared" si="644"/>
        <v>1</v>
      </c>
      <c r="D275" s="127">
        <f t="shared" si="644"/>
        <v>13</v>
      </c>
      <c r="E275" s="199"/>
      <c r="F275" s="93"/>
      <c r="G275" s="201"/>
      <c r="H275" s="134">
        <f t="shared" ref="H275" si="779">COUNT($P275:$XX275)</f>
        <v>3</v>
      </c>
      <c r="I275" s="132">
        <f t="shared" ref="I275" si="780">_xlfn.STDEV.P($P274:$XX275)/AVERAGE($P274:$XX275)</f>
        <v>0.17019685953766275</v>
      </c>
      <c r="J275" s="7">
        <f t="shared" ref="J275" si="781">IF(AND(H275&gt;2,
OR(L267="MÉDIA SANEADA",L267="MEDIANA SANEADA",
AND(L267="PREÇO ESTIMADO",NOT(AND(P269="Orçamento",COUNTA(P267:XX267)=COUNTIF(P269:XX269,"Orçamento")))))),
ROW(),0)</f>
        <v>275</v>
      </c>
      <c r="K275" s="66"/>
      <c r="L275" s="29" t="s">
        <v>361</v>
      </c>
      <c r="M275" s="30">
        <f t="shared" ref="M275" si="782">MEDIAN($P273:$XX273)</f>
        <v>3329.8600618090072</v>
      </c>
      <c r="N275" s="71"/>
      <c r="O275" s="27" t="str">
        <f t="shared" ref="O275" si="783">"1 RODADA"</f>
        <v>1 RODADA</v>
      </c>
      <c r="P275" s="107">
        <f t="shared" ref="P275:AI275" si="784">IF(P273="","",IF((_xlfn.STDEV.P($P272:$XX273)/AVERAGE($P272:$XX273))&lt;=25%,P273,IF(OR(P273&gt;(AVERAGE($P272:$XX273)+_xlfn.STDEV.P($P272:$XX273)),P273&lt;(AVERAGE($P272:$XX273)-_xlfn.STDEV.P($P272:$XX273))),"DESCARTADO",P273)))</f>
        <v>3103.3847680019085</v>
      </c>
      <c r="Q275" s="107">
        <f t="shared" si="784"/>
        <v>3329.8600618090072</v>
      </c>
      <c r="R275" s="107">
        <f t="shared" si="784"/>
        <v>4520.1633760125569</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f t="shared" si="643"/>
        <v>13</v>
      </c>
      <c r="C276" s="128">
        <f t="shared" si="644"/>
        <v>1</v>
      </c>
      <c r="D276" s="127">
        <f t="shared" si="644"/>
        <v>13</v>
      </c>
      <c r="E276" s="199"/>
      <c r="F276" s="93"/>
      <c r="G276" s="201"/>
      <c r="H276"/>
      <c r="I276"/>
      <c r="J276"/>
      <c r="L276" s="29" t="s">
        <v>38</v>
      </c>
      <c r="M276" s="30">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3651.1360686078237</v>
      </c>
      <c r="N276" s="71"/>
      <c r="O276" s="27" t="str">
        <f t="shared" ref="O276" si="786">"2 POND"</f>
        <v>2 POND</v>
      </c>
      <c r="P276" s="107">
        <f>IF(IFERROR(VLOOKUP(P269,'Tabela de Apoio'!$D:$E,2,FALSE),1)=1,"",P277)</f>
        <v>3103.3847680019085</v>
      </c>
      <c r="Q276" s="107">
        <f>IF(IFERROR(VLOOKUP(Q269,'Tabela de Apoio'!$D:$E,2,FALSE),1)=1,"",Q277)</f>
        <v>3329.8600618090072</v>
      </c>
      <c r="R276" s="107">
        <f>IF(IFERROR(VLOOKUP(R269,'Tabela de Apoio'!$D:$E,2,FALSE),1)=1,"",R277)</f>
        <v>4520.1633760125569</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f t="shared" si="643"/>
        <v>13</v>
      </c>
      <c r="C277" s="128">
        <f t="shared" si="644"/>
        <v>1</v>
      </c>
      <c r="D277" s="127">
        <f t="shared" si="644"/>
        <v>13</v>
      </c>
      <c r="E277" s="199"/>
      <c r="F277" s="93"/>
      <c r="G277" s="201"/>
      <c r="H277" s="134">
        <f t="shared" ref="H277" si="787">COUNT($P277:$XX277)</f>
        <v>3</v>
      </c>
      <c r="I277" s="132">
        <f t="shared" ref="I277" si="788">_xlfn.STDEV.P($P276:$XX277)/AVERAGE($P276:$XX277)</f>
        <v>0.17019685953766275</v>
      </c>
      <c r="J277" s="7">
        <f t="shared" ref="J277" si="789">IF(AND(H277&gt;2,
OR(L267="MÉDIA SANEADA",L267="MEDIANA SANEADA",
AND(L267="PREÇO ESTIMADO",NOT(AND(P269="Orçamento",COUNTA(P267:XX267)=COUNTIF(P269:XX269,"Orçamento")))))),
ROW(),0)</f>
        <v>277</v>
      </c>
      <c r="K277" s="66"/>
      <c r="L277" s="29" t="s">
        <v>362</v>
      </c>
      <c r="M277" s="30">
        <f t="shared" ref="M277" si="790" xml:space="preserve">
IF(H275&gt;2,MEDIAN(P274:XX275),
IF(H277&gt;2,MEDIAN(P276:XX277),
IF(H279&gt;2,MEDIAN(P278:XX279),
IF(H281&gt;2,MEDIAN(P280:XX281),
IF(H283&gt;2,MEDIAN(P282:XX283),
IF(H285&gt;2,MEDIAN(P284:XX285),
MEDIAN(P272:XX273)))))))</f>
        <v>3329.8600618090072</v>
      </c>
      <c r="N277" s="71"/>
      <c r="O277" s="27" t="str">
        <f t="shared" ref="O277" si="791">"2 RODADA"</f>
        <v>2 RODADA</v>
      </c>
      <c r="P277" s="107">
        <f t="shared" ref="P277:AI277" si="792">IF(P275="","",IF((_xlfn.STDEV.P($P274:$XX275)/AVERAGE($P274:$XX275))&lt;=25%,P275,IF(OR(P275&gt;(AVERAGE($P274:$XX275)+_xlfn.STDEV.P($P274:$XX275)),P275&lt;(AVERAGE($P274:$XX275)-_xlfn.STDEV.P($P274:$XX275))),"DESCARTADO",P275)))</f>
        <v>3103.3847680019085</v>
      </c>
      <c r="Q277" s="107">
        <f t="shared" si="792"/>
        <v>3329.8600618090072</v>
      </c>
      <c r="R277" s="107">
        <f t="shared" si="792"/>
        <v>4520.1633760125569</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f t="shared" si="643"/>
        <v>13</v>
      </c>
      <c r="C278" s="128">
        <f t="shared" si="644"/>
        <v>1</v>
      </c>
      <c r="D278" s="127">
        <f t="shared" si="644"/>
        <v>13</v>
      </c>
      <c r="E278" s="199"/>
      <c r="F278" s="93"/>
      <c r="G278" s="201"/>
      <c r="H278"/>
      <c r="I278"/>
      <c r="J278"/>
      <c r="K278" s="66"/>
      <c r="L278" s="29" t="s">
        <v>359</v>
      </c>
      <c r="M278" s="30">
        <f t="shared" ref="M278" si="793">HARMEAN($P272:$XX273)</f>
        <v>3555.459991856716</v>
      </c>
      <c r="N278" s="71"/>
      <c r="O278" s="27" t="str">
        <f t="shared" ref="O278" si="794">"3 POND"</f>
        <v>3 POND</v>
      </c>
      <c r="P278" s="107">
        <f>IF(IFERROR(VLOOKUP(P269,'Tabela de Apoio'!$D:$E,2,FALSE),1)=1,"",P279)</f>
        <v>3103.3847680019085</v>
      </c>
      <c r="Q278" s="107">
        <f>IF(IFERROR(VLOOKUP(Q269,'Tabela de Apoio'!$D:$E,2,FALSE),1)=1,"",Q279)</f>
        <v>3329.8600618090072</v>
      </c>
      <c r="R278" s="107">
        <f>IF(IFERROR(VLOOKUP(R269,'Tabela de Apoio'!$D:$E,2,FALSE),1)=1,"",R279)</f>
        <v>4520.1633760125569</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f t="shared" si="643"/>
        <v>13</v>
      </c>
      <c r="C279" s="128">
        <f t="shared" si="644"/>
        <v>1</v>
      </c>
      <c r="D279" s="127">
        <f t="shared" si="644"/>
        <v>13</v>
      </c>
      <c r="E279" s="199"/>
      <c r="F279" s="93"/>
      <c r="G279" s="201"/>
      <c r="H279" s="134">
        <f t="shared" ref="H279" si="795">COUNT($P279:$XX279)</f>
        <v>3</v>
      </c>
      <c r="I279" s="132">
        <f t="shared" ref="I279" si="796">_xlfn.STDEV.P($P278:$XX279)/AVERAGE($P278:$XX279)</f>
        <v>0.17019685953766275</v>
      </c>
      <c r="J279" s="7">
        <f t="shared" ref="J279" si="797">IF(AND(H279&gt;2,
OR(L267="MÉDIA SANEADA",L267="MEDIANA SANEADA",
AND(L267="PREÇO ESTIMADO",NOT(AND(P269="Orçamento",COUNTA(P267:XX267)=COUNTIF(P269:XX269,"Orçamento")))))),
ROW(),0)</f>
        <v>279</v>
      </c>
      <c r="K279" s="66"/>
      <c r="L279" s="29" t="s">
        <v>41</v>
      </c>
      <c r="M279" s="30">
        <f t="shared" ref="M279" si="798">IFERROR(_xlfn.QUARTILE.EXC($P273:$XX273,1),"")</f>
        <v>3103.3847680019085</v>
      </c>
      <c r="N279" s="71"/>
      <c r="O279" s="27" t="str">
        <f t="shared" ref="O279" si="799">"3 RODADA"</f>
        <v>3 RODADA</v>
      </c>
      <c r="P279" s="107">
        <f t="shared" ref="P279:AI279" si="800">IF(P277="","",IF((_xlfn.STDEV.P($P276:$XX277)/AVERAGE($P276:$XX277))&lt;=25%,P277,IF(OR(P277&gt;(AVERAGE($P276:$XX277)+_xlfn.STDEV.P($P276:$XX277)),P277&lt;(AVERAGE($P276:$XX277)-_xlfn.STDEV.P($P276:$XX277))),"DESCARTADO",P277)))</f>
        <v>3103.3847680019085</v>
      </c>
      <c r="Q279" s="107">
        <f t="shared" si="800"/>
        <v>3329.8600618090072</v>
      </c>
      <c r="R279" s="107">
        <f t="shared" si="800"/>
        <v>4520.1633760125569</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f t="shared" si="643"/>
        <v>13</v>
      </c>
      <c r="C280" s="128">
        <f t="shared" si="644"/>
        <v>1</v>
      </c>
      <c r="D280" s="127">
        <f t="shared" si="644"/>
        <v>13</v>
      </c>
      <c r="E280" s="199"/>
      <c r="F280" s="93"/>
      <c r="G280" s="201"/>
      <c r="H280"/>
      <c r="I280"/>
      <c r="J280"/>
      <c r="K280" s="66"/>
      <c r="L280" s="29" t="s">
        <v>39</v>
      </c>
      <c r="M280" s="30">
        <f t="shared" ref="M280" si="801">IFERROR(_xlfn.QUARTILE.EXC($P273:$XX273,3),"")</f>
        <v>4520.1633760125569</v>
      </c>
      <c r="N280" s="71"/>
      <c r="O280" s="27" t="str">
        <f t="shared" ref="O280" si="802">"4 POND"</f>
        <v>4 POND</v>
      </c>
      <c r="P280" s="107">
        <f>IF(IFERROR(VLOOKUP(P269,'Tabela de Apoio'!$D:$E,2,FALSE),1)=1,"",P281)</f>
        <v>3103.3847680019085</v>
      </c>
      <c r="Q280" s="107">
        <f>IF(IFERROR(VLOOKUP(Q269,'Tabela de Apoio'!$D:$E,2,FALSE),1)=1,"",Q281)</f>
        <v>3329.8600618090072</v>
      </c>
      <c r="R280" s="107">
        <f>IF(IFERROR(VLOOKUP(R269,'Tabela de Apoio'!$D:$E,2,FALSE),1)=1,"",R281)</f>
        <v>4520.1633760125569</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f t="shared" si="643"/>
        <v>13</v>
      </c>
      <c r="C281" s="128">
        <f t="shared" si="644"/>
        <v>1</v>
      </c>
      <c r="D281" s="127">
        <f t="shared" si="644"/>
        <v>13</v>
      </c>
      <c r="E281" s="199"/>
      <c r="F281" s="93"/>
      <c r="G281" s="201"/>
      <c r="H281" s="134">
        <f t="shared" ref="H281" si="803">COUNT($P281:$XX281)</f>
        <v>3</v>
      </c>
      <c r="I281" s="132">
        <f t="shared" ref="I281" si="804">_xlfn.STDEV.P($P280:$XX281)/AVERAGE($P280:$XX281)</f>
        <v>0.17019685953766275</v>
      </c>
      <c r="J281" s="7">
        <f t="shared" ref="J281" si="805">IF(AND(H281&gt;2,
OR(L267="MÉDIA SANEADA",L267="MEDIANA SANEADA",
AND(L267="PREÇO ESTIMADO",NOT(AND(P269="Orçamento",COUNTA(P267:XX267)=COUNTIF(P269:XX269,"Orçamento")))))),
ROW(),0)</f>
        <v>281</v>
      </c>
      <c r="K281" s="66"/>
      <c r="L281" s="29" t="s">
        <v>42</v>
      </c>
      <c r="M281" s="30">
        <f t="shared" ref="M281" si="806">MIN($P273:$XX273)</f>
        <v>3103.3847680019085</v>
      </c>
      <c r="N281" s="71"/>
      <c r="O281" s="27" t="str">
        <f t="shared" ref="O281" si="807">"4 RODADA"</f>
        <v>4 RODADA</v>
      </c>
      <c r="P281" s="107">
        <f t="shared" ref="P281:AI281" si="808">IF(P279="","",IF((_xlfn.STDEV.P($P278:$XX279)/AVERAGE($P278:$XX279))&lt;=25%,P279,IF(OR(P279&gt;(AVERAGE($P278:$XX279)+_xlfn.STDEV.P($P278:$XX279)),P279&lt;(AVERAGE($P278:$XX279)-_xlfn.STDEV.P($P278:$XX279))),"DESCARTADO",P279)))</f>
        <v>3103.3847680019085</v>
      </c>
      <c r="Q281" s="107">
        <f t="shared" si="808"/>
        <v>3329.8600618090072</v>
      </c>
      <c r="R281" s="107">
        <f t="shared" si="808"/>
        <v>4520.1633760125569</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f t="shared" si="643"/>
        <v>13</v>
      </c>
      <c r="C282" s="128">
        <f t="shared" si="644"/>
        <v>1</v>
      </c>
      <c r="D282" s="127">
        <f t="shared" si="644"/>
        <v>13</v>
      </c>
      <c r="E282" s="199"/>
      <c r="F282" s="93"/>
      <c r="G282" s="201"/>
      <c r="H282"/>
      <c r="I282"/>
      <c r="J282"/>
      <c r="K282" s="66"/>
      <c r="L282" s="29" t="s">
        <v>40</v>
      </c>
      <c r="M282" s="30">
        <f t="shared" ref="M282" si="809">MAX($P273:$XX273)</f>
        <v>4520.1633760125569</v>
      </c>
      <c r="N282" s="71"/>
      <c r="O282" s="27" t="str">
        <f t="shared" ref="O282" si="810">"5 POND"</f>
        <v>5 POND</v>
      </c>
      <c r="P282" s="107">
        <f>IF(IFERROR(VLOOKUP(P269,'Tabela de Apoio'!$D:$E,2,FALSE),1)=1,"",P283)</f>
        <v>3103.3847680019085</v>
      </c>
      <c r="Q282" s="107">
        <f>IF(IFERROR(VLOOKUP(Q269,'Tabela de Apoio'!$D:$E,2,FALSE),1)=1,"",Q283)</f>
        <v>3329.8600618090072</v>
      </c>
      <c r="R282" s="107">
        <f>IF(IFERROR(VLOOKUP(R269,'Tabela de Apoio'!$D:$E,2,FALSE),1)=1,"",R283)</f>
        <v>4520.1633760125569</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f t="shared" si="643"/>
        <v>13</v>
      </c>
      <c r="C283" s="128">
        <f t="shared" si="644"/>
        <v>1</v>
      </c>
      <c r="D283" s="127">
        <f t="shared" si="644"/>
        <v>13</v>
      </c>
      <c r="E283" s="199"/>
      <c r="F283" s="93"/>
      <c r="G283" s="201"/>
      <c r="H283" s="134">
        <f t="shared" ref="H283" si="811">COUNT($P283:$XX283)</f>
        <v>3</v>
      </c>
      <c r="I283" s="132">
        <f t="shared" ref="I283" si="812">_xlfn.STDEV.P($P282:$XX283)/AVERAGE($P282:$XX283)</f>
        <v>0.17019685953766275</v>
      </c>
      <c r="J283" s="7">
        <f t="shared" ref="J283" si="813">IF(AND(H283&gt;2,
OR(L267="MÉDIA SANEADA",L267="MEDIANA SANEADA",
AND(L267="PREÇO ESTIMADO",NOT(AND(P269="Orçamento",COUNTA(P267:XX267)=COUNTIF(P269:XX269,"Orçamento")))))),
ROW(),0)</f>
        <v>283</v>
      </c>
      <c r="K283" s="66"/>
      <c r="N283" s="71"/>
      <c r="O283" s="27" t="str">
        <f t="shared" ref="O283" si="814">"5 RODADA"</f>
        <v>5 RODADA</v>
      </c>
      <c r="P283" s="107">
        <f t="shared" ref="P283:AI283" si="815">IF(P281="","",IF((_xlfn.STDEV.P($P280:$XX281)/AVERAGE($P280:$XX281))&lt;=25%,P281,IF(OR(P281&gt;(AVERAGE($P280:$XX281)+_xlfn.STDEV.P($P280:$XX281)),P281&lt;(AVERAGE($P280:$XX281)-_xlfn.STDEV.P($P280:$XX281))),"DESCARTADO",P281)))</f>
        <v>3103.3847680019085</v>
      </c>
      <c r="Q283" s="107">
        <f t="shared" si="815"/>
        <v>3329.8600618090072</v>
      </c>
      <c r="R283" s="107">
        <f t="shared" si="815"/>
        <v>4520.1633760125569</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f t="shared" si="643"/>
        <v>13</v>
      </c>
      <c r="C284" s="128">
        <f t="shared" si="644"/>
        <v>1</v>
      </c>
      <c r="D284" s="127">
        <f t="shared" si="644"/>
        <v>13</v>
      </c>
      <c r="E284" s="199"/>
      <c r="F284" s="93"/>
      <c r="G284" s="201"/>
      <c r="H284"/>
      <c r="I284"/>
      <c r="J284"/>
      <c r="K284" s="66"/>
      <c r="L284" s="22"/>
      <c r="M284" s="22"/>
      <c r="N284" s="71"/>
      <c r="O284" s="27" t="str">
        <f t="shared" ref="O284" si="816">"6 POND"</f>
        <v>6 POND</v>
      </c>
      <c r="P284" s="107">
        <f>IF(IFERROR(VLOOKUP(P269,'Tabela de Apoio'!$D:$E,2,FALSE),1)=1,"",P285)</f>
        <v>3103.3847680019085</v>
      </c>
      <c r="Q284" s="107">
        <f>IF(IFERROR(VLOOKUP(Q269,'Tabela de Apoio'!$D:$E,2,FALSE),1)=1,"",Q285)</f>
        <v>3329.8600618090072</v>
      </c>
      <c r="R284" s="107">
        <f>IF(IFERROR(VLOOKUP(R269,'Tabela de Apoio'!$D:$E,2,FALSE),1)=1,"",R285)</f>
        <v>4520.1633760125569</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f t="shared" si="643"/>
        <v>13</v>
      </c>
      <c r="C285" s="128">
        <f t="shared" si="644"/>
        <v>1</v>
      </c>
      <c r="D285" s="127">
        <f t="shared" si="644"/>
        <v>13</v>
      </c>
      <c r="E285" s="199"/>
      <c r="F285" s="93"/>
      <c r="G285" s="201"/>
      <c r="H285" s="134">
        <f t="shared" ref="H285" si="817">COUNT($P285:$XX285)</f>
        <v>3</v>
      </c>
      <c r="I285" s="132">
        <f t="shared" ref="I285" si="818">_xlfn.STDEV.P($P284:$XX285)/AVERAGE($P284:$XX285)</f>
        <v>0.17019685953766275</v>
      </c>
      <c r="J285" s="7">
        <f t="shared" ref="J285" si="819">IF(AND(H285&gt;2,
OR(L267="MÉDIA SANEADA",L267="MEDIANA SANEADA",
AND(L267="PREÇO ESTIMADO",NOT(AND(P269="Orçamento",COUNTA(P267:XX267)=COUNTIF(P269:XX269,"Orçamento")))))),
ROW(),0)</f>
        <v>285</v>
      </c>
      <c r="N285" s="71"/>
      <c r="O285" s="27" t="str">
        <f t="shared" ref="O285" si="820">"6 RODADA"</f>
        <v>6 RODADA</v>
      </c>
      <c r="P285" s="107">
        <f t="shared" ref="P285:AI285" si="821">IFERROR(IF(P283="","",IF((_xlfn.STDEV.P($P282:$XX283)/AVERAGE($P282:$XX283))&lt;=25%,P283,IF(OR(P283&gt;(AVERAGE($P282:$XX283)+_xlfn.STDEV.P($P282:$XX283)),P283&lt;(AVERAGE($P282:$XX283)-_xlfn.STDEV.P($P282:$XX283))),"DESCARTADO",P283))),)</f>
        <v>3103.3847680019085</v>
      </c>
      <c r="Q285" s="107">
        <f t="shared" si="821"/>
        <v>3329.8600618090072</v>
      </c>
      <c r="R285" s="107">
        <f t="shared" si="821"/>
        <v>4520.1633760125569</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f t="shared" si="643"/>
        <v>13</v>
      </c>
      <c r="C286" s="128">
        <f t="shared" si="644"/>
        <v>1</v>
      </c>
      <c r="D286" s="127">
        <f t="shared" si="644"/>
        <v>13</v>
      </c>
      <c r="E286" s="199"/>
      <c r="F286" s="136"/>
      <c r="G286" s="201"/>
      <c r="H286" s="204"/>
      <c r="I286" s="204"/>
      <c r="J286" s="205"/>
      <c r="K286" s="67"/>
      <c r="L286" s="1" t="s">
        <v>43</v>
      </c>
      <c r="M286" s="143">
        <f t="shared" ref="M286" si="822">IFERROR(ROUND(M267*M269,2),"")</f>
        <v>1456804.86</v>
      </c>
      <c r="O286" s="27" t="s">
        <v>363</v>
      </c>
      <c r="P286" s="107">
        <f t="shared" ref="P286:R286" si="823">INDEX(P273:P285,MATCH(MAX($J273:$J285),$J273:$J285,0))</f>
        <v>3103.3847680019085</v>
      </c>
      <c r="Q286" s="107">
        <f t="shared" si="823"/>
        <v>3329.8600618090072</v>
      </c>
      <c r="R286" s="107">
        <f t="shared" si="823"/>
        <v>4520.1633760125569</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f t="shared" ref="B288" si="824">LARGE(IFERROR(IF(B286+1&gt;$H$8,"",B286+1),""),1)</f>
        <v>14</v>
      </c>
      <c r="C288" s="127">
        <f>IF(_xlfn.ISFORMULA(E292),MAX(INDEX('BASE FORMAÇÃO'!A:A,B288+1),1),E292)</f>
        <v>1</v>
      </c>
      <c r="D288" s="127">
        <f t="shared" ref="D288" si="825">IFERROR(IF(C288=C278,D278+1,1),1)</f>
        <v>14</v>
      </c>
      <c r="E288" s="38" t="s">
        <v>9</v>
      </c>
      <c r="F288" s="73"/>
      <c r="G288" s="38" t="s">
        <v>15</v>
      </c>
      <c r="H288" s="135">
        <f>INDEX('BASE FORMAÇÃO'!B:B,B288+1)</f>
        <v>0</v>
      </c>
      <c r="I288" s="181" t="s">
        <v>16</v>
      </c>
      <c r="J288" s="6">
        <f>INDEX('BASE FORMAÇÃO'!K:K,B288+1)</f>
        <v>0</v>
      </c>
      <c r="K288" s="65"/>
      <c r="L288" s="183" t="s">
        <v>10</v>
      </c>
      <c r="M288" s="185">
        <f t="shared" ref="M288" si="826">IF(OR(ISBLANK($O$8),ISBLANK($O$7),ISBLANK($H$8),ISBLANK($O$6),ISBLANK($O$5),ISBLANK($H$5)),"",IFERROR(IF(VLOOKUP(L288,L294:M303,2,FALSE)&lt;1,ROUND(VLOOKUP(L288,L294:M303,2,FALSE),4),ROUND(VLOOKUP(L288,L294:M303,2,FALSE),2)),""))</f>
        <v>251.43</v>
      </c>
      <c r="N288" s="69"/>
      <c r="O288" s="27" t="s">
        <v>17</v>
      </c>
      <c r="P288" s="113">
        <v>235</v>
      </c>
      <c r="Q288" s="113">
        <v>380</v>
      </c>
      <c r="R288" s="113">
        <v>260</v>
      </c>
      <c r="S288" s="113">
        <v>120</v>
      </c>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f t="shared" ref="B289:D289" si="827">B288</f>
        <v>14</v>
      </c>
      <c r="C289" s="128">
        <f t="shared" si="827"/>
        <v>1</v>
      </c>
      <c r="D289" s="127">
        <f t="shared" si="827"/>
        <v>14</v>
      </c>
      <c r="E289" s="187">
        <f t="shared" ref="E289" si="828">D288</f>
        <v>14</v>
      </c>
      <c r="F289" s="92"/>
      <c r="G289" s="189" t="s">
        <v>1</v>
      </c>
      <c r="H289" s="192" t="str">
        <f>INDEX('BASE FORMAÇÃO'!C:C,B288+1)</f>
        <v>Placas de Fachada modelo 1</v>
      </c>
      <c r="I289" s="192"/>
      <c r="J289" s="193"/>
      <c r="K289" s="66"/>
      <c r="L289" s="184"/>
      <c r="M289" s="186"/>
      <c r="N289" s="70"/>
      <c r="O289" s="27" t="s">
        <v>13</v>
      </c>
      <c r="P289" s="122">
        <v>46003</v>
      </c>
      <c r="Q289" s="122">
        <v>46281</v>
      </c>
      <c r="R289" s="122">
        <v>46182</v>
      </c>
      <c r="S289" s="122">
        <v>46139</v>
      </c>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f t="shared" ref="B290:D290" si="829">B289</f>
        <v>14</v>
      </c>
      <c r="C290" s="128">
        <f t="shared" si="829"/>
        <v>1</v>
      </c>
      <c r="D290" s="127">
        <f t="shared" si="829"/>
        <v>14</v>
      </c>
      <c r="E290" s="188"/>
      <c r="F290" s="93"/>
      <c r="G290" s="190"/>
      <c r="H290" s="194"/>
      <c r="I290" s="194"/>
      <c r="J290" s="195"/>
      <c r="K290" s="64"/>
      <c r="L290" s="130" t="s">
        <v>44</v>
      </c>
      <c r="M290" s="131">
        <f>INDEX('BASE FORMAÇÃO'!H:H,B292+1)</f>
        <v>743</v>
      </c>
      <c r="N290" s="71"/>
      <c r="O290" s="27" t="s">
        <v>380</v>
      </c>
      <c r="P290" s="114" t="s">
        <v>12</v>
      </c>
      <c r="Q290" s="114" t="s">
        <v>12</v>
      </c>
      <c r="R290" s="114" t="s">
        <v>12</v>
      </c>
      <c r="S290" s="114" t="s">
        <v>12</v>
      </c>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f t="shared" ref="B291:C291" si="830">B290</f>
        <v>14</v>
      </c>
      <c r="C291" s="128">
        <f t="shared" si="830"/>
        <v>1</v>
      </c>
      <c r="D291" s="127">
        <f t="shared" si="644"/>
        <v>14</v>
      </c>
      <c r="E291" s="38" t="s">
        <v>313</v>
      </c>
      <c r="F291" s="93"/>
      <c r="G291" s="191"/>
      <c r="H291" s="196"/>
      <c r="I291" s="196"/>
      <c r="J291" s="197"/>
      <c r="K291" s="64"/>
      <c r="L291" s="1" t="s">
        <v>2</v>
      </c>
      <c r="M291" s="6" t="str">
        <f>INDEX('BASE FORMAÇÃO'!D:D,B292+1)</f>
        <v>M2</v>
      </c>
      <c r="N291" s="71"/>
      <c r="O291" s="27" t="s">
        <v>381</v>
      </c>
      <c r="P291" s="115" t="s">
        <v>459</v>
      </c>
      <c r="Q291" s="115" t="s">
        <v>460</v>
      </c>
      <c r="R291" s="115" t="s">
        <v>460</v>
      </c>
      <c r="S291" s="115" t="s">
        <v>460</v>
      </c>
      <c r="T291" s="115"/>
      <c r="U291" s="118"/>
      <c r="V291" s="118"/>
      <c r="W291" s="118"/>
      <c r="X291" s="118"/>
      <c r="Y291" s="118"/>
      <c r="Z291" s="118"/>
      <c r="AA291" s="118"/>
      <c r="AB291" s="118"/>
      <c r="AC291" s="118"/>
      <c r="AD291" s="118"/>
      <c r="AE291" s="118"/>
      <c r="AF291" s="118"/>
      <c r="AG291" s="118"/>
      <c r="AH291" s="118"/>
      <c r="AI291" s="118"/>
    </row>
    <row r="292" spans="1:167" x14ac:dyDescent="0.25">
      <c r="B292" s="128">
        <f t="shared" ref="B292:C292" si="831">B290</f>
        <v>14</v>
      </c>
      <c r="C292" s="128">
        <f t="shared" si="831"/>
        <v>1</v>
      </c>
      <c r="D292" s="127">
        <f t="shared" si="644"/>
        <v>14</v>
      </c>
      <c r="E292" s="198">
        <f t="shared" ref="E292" si="832">C288</f>
        <v>1</v>
      </c>
      <c r="F292" s="93"/>
      <c r="G292" s="200" t="s">
        <v>304</v>
      </c>
      <c r="H292" s="202"/>
      <c r="I292" s="203"/>
      <c r="J292" s="203"/>
      <c r="K292" s="67"/>
      <c r="L292" s="28" t="s">
        <v>303</v>
      </c>
      <c r="M292" s="133">
        <f t="shared" ref="M292" si="833">IFERROR(INDEX(I294:I306,MATCH(MAX(J294:J306),J294:J306,0)),"")</f>
        <v>0.36493093124451897</v>
      </c>
      <c r="N292" s="71"/>
      <c r="O292" s="27" t="s">
        <v>18</v>
      </c>
      <c r="P292" s="106">
        <f>IF(P288="","",
IF(OR(P290="Orçamento",P289="",MAX('Tabela de Apoio'!$A:$A)&lt;=P289),
P288,
(INDEX('Tabela de Apoio'!$B:$B,MATCH('MAPA DE PREÇOS'!$O$8,'Tabela de Apoio'!$A:$A,1))/INDEX('Tabela de Apoio'!$B:$B,MATCH('MAPA DE PREÇOS'!P289,'Tabela de Apoio'!$A:$A,1)-1))*P288))</f>
        <v>243.09847349348283</v>
      </c>
      <c r="Q292" s="106">
        <f>IF(Q288="","",
IF(OR(Q290="Orçamento",Q289="",MAX('Tabela de Apoio'!$A:$A)&lt;=Q289),
Q288,
(INDEX('Tabela de Apoio'!$B:$B,MATCH('MAPA DE PREÇOS'!$O$8,'Tabela de Apoio'!$A:$A,1))/INDEX('Tabela de Apoio'!$B:$B,MATCH('MAPA DE PREÇOS'!Q289,'Tabela de Apoio'!$A:$A,1)-1))*Q288))</f>
        <v>380</v>
      </c>
      <c r="R292" s="106">
        <f>IF(R288="","",
IF(OR(R290="Orçamento",R289="",MAX('Tabela de Apoio'!$A:$A)&lt;=R289),
R288,
(INDEX('Tabela de Apoio'!$B:$B,MATCH('MAPA DE PREÇOS'!$O$8,'Tabela de Apoio'!$A:$A,1))/INDEX('Tabela de Apoio'!$B:$B,MATCH('MAPA DE PREÇOS'!R289,'Tabela de Apoio'!$A:$A,1)-1))*R288))</f>
        <v>259.76450724134997</v>
      </c>
      <c r="S292" s="106">
        <f>IF(S288="","",
IF(OR(S290="Orçamento",S289="",MAX('Tabela de Apoio'!$A:$A)&lt;=S289),
S288,
(INDEX('Tabela de Apoio'!$B:$B,MATCH('MAPA DE PREÇOS'!$O$8,'Tabela de Apoio'!$A:$A,1))/INDEX('Tabela de Apoio'!$B:$B,MATCH('MAPA DE PREÇOS'!S289,'Tabela de Apoio'!$A:$A,1)-1))*S288))</f>
        <v>121.39473304062139</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f t="shared" ref="B293" si="834">B292</f>
        <v>14</v>
      </c>
      <c r="C293" s="128">
        <f t="shared" ref="C293" si="835">C292</f>
        <v>1</v>
      </c>
      <c r="D293" s="127">
        <f t="shared" si="644"/>
        <v>14</v>
      </c>
      <c r="E293" s="199"/>
      <c r="F293" s="93"/>
      <c r="G293" s="201"/>
      <c r="H293"/>
      <c r="I293"/>
      <c r="J293"/>
      <c r="N293" s="71"/>
      <c r="O293" s="27" t="s">
        <v>375</v>
      </c>
      <c r="P293" s="107">
        <f>IF(IFERROR(VLOOKUP(P290,'Tabela de Apoio'!$D:$E,2,FALSE),1)=1,"",P294)</f>
        <v>243.09847349348283</v>
      </c>
      <c r="Q293" s="107">
        <f>IF(IFERROR(VLOOKUP(Q290,'Tabela de Apoio'!$D:$E,2,FALSE),1)=1,"",Q294)</f>
        <v>380</v>
      </c>
      <c r="R293" s="107">
        <f>IF(IFERROR(VLOOKUP(R290,'Tabela de Apoio'!$D:$E,2,FALSE),1)=1,"",R294)</f>
        <v>259.76450724134997</v>
      </c>
      <c r="S293" s="107">
        <f>IF(IFERROR(VLOOKUP(S290,'Tabela de Apoio'!$D:$E,2,FALSE),1)=1,"",S294)</f>
        <v>121.39473304062139</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f t="shared" ref="B294:C294" si="836">B293</f>
        <v>14</v>
      </c>
      <c r="C294" s="128">
        <f t="shared" si="836"/>
        <v>1</v>
      </c>
      <c r="D294" s="127">
        <f t="shared" si="644"/>
        <v>14</v>
      </c>
      <c r="E294" s="199"/>
      <c r="F294" s="93"/>
      <c r="G294" s="201"/>
      <c r="H294" s="134">
        <f t="shared" ref="H294" si="837">COUNT($P294:$XX294)</f>
        <v>4</v>
      </c>
      <c r="I294" s="132">
        <f t="shared" ref="I294" si="838">_xlfn.STDEV.P($P293:$XX294)/AVERAGE($P293:$XX294)</f>
        <v>0.36493093124451897</v>
      </c>
      <c r="J294" s="7">
        <f>ROW()</f>
        <v>294</v>
      </c>
      <c r="K294" s="67"/>
      <c r="L294" s="29" t="s">
        <v>10</v>
      </c>
      <c r="M294" s="30">
        <f t="shared" ref="M294" si="839">IFERROR(
IF(COUNTA(P288:AI288)=COUNTIF(P290:XX290,"Orçamento"),MIN(M299,M296),
IF(M297&lt;&gt;"",M297,
IF(M298&lt;&gt;"",M298,
M296
))),"")</f>
        <v>251.43149036741642</v>
      </c>
      <c r="N294" s="71"/>
      <c r="O294" s="27" t="s">
        <v>376</v>
      </c>
      <c r="P294" s="106">
        <f t="shared" ref="P294:AI294" si="840">IFERROR(IF(P292="",
            "",
            IF(COUNT($P292:$XX292)&lt;=4,
               P292,
               IF(OR(P292&gt;(QUARTILE($P292:$XX292,3)+(QUARTILE($P292:$XX292,3)-QUARTILE($P292:$XX292,1))),
                     P292&lt;(QUARTILE($P292:$XX292,1)-(QUARTILE($P292:$XX292,3)-QUARTILE($P292:$XX292,1)))
                  ),
               "DESCARTADO",P292)
             )
  ),P292)</f>
        <v>243.09847349348283</v>
      </c>
      <c r="Q294" s="106">
        <f t="shared" si="840"/>
        <v>380</v>
      </c>
      <c r="R294" s="106">
        <f t="shared" si="840"/>
        <v>259.76450724134997</v>
      </c>
      <c r="S294" s="106">
        <f t="shared" si="840"/>
        <v>121.39473304062139</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f t="shared" ref="B295:B349" si="841">B294</f>
        <v>14</v>
      </c>
      <c r="C295" s="128">
        <f t="shared" ref="C295:D358" si="842">C294</f>
        <v>1</v>
      </c>
      <c r="D295" s="127">
        <f t="shared" si="644"/>
        <v>14</v>
      </c>
      <c r="E295" s="199"/>
      <c r="F295" s="93"/>
      <c r="G295" s="201"/>
      <c r="H295"/>
      <c r="I295"/>
      <c r="J295"/>
      <c r="K295" s="66"/>
      <c r="L295" s="29" t="s">
        <v>360</v>
      </c>
      <c r="M295" s="30">
        <f t="shared" ref="M295" si="843">AVERAGE($P294:$XX294)</f>
        <v>251.06442844386356</v>
      </c>
      <c r="N295" s="71"/>
      <c r="O295" s="27" t="str">
        <f t="shared" ref="O295" si="844">"1 POND"</f>
        <v>1 POND</v>
      </c>
      <c r="P295" s="107">
        <f>IF(IFERROR(VLOOKUP(P290,'Tabela de Apoio'!$D:$E,2,FALSE),1)=1,"",P296)</f>
        <v>243.09847349348283</v>
      </c>
      <c r="Q295" s="107" t="str">
        <f>IF(IFERROR(VLOOKUP(Q290,'Tabela de Apoio'!$D:$E,2,FALSE),1)=1,"",Q296)</f>
        <v>DESCARTADO</v>
      </c>
      <c r="R295" s="107">
        <f>IF(IFERROR(VLOOKUP(R290,'Tabela de Apoio'!$D:$E,2,FALSE),1)=1,"",R296)</f>
        <v>259.76450724134997</v>
      </c>
      <c r="S295" s="107" t="str">
        <f>IF(IFERROR(VLOOKUP(S290,'Tabela de Apoio'!$D:$E,2,FALSE),1)=1,"",S296)</f>
        <v>DESCARTADO</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f t="shared" si="841"/>
        <v>14</v>
      </c>
      <c r="C296" s="128">
        <f t="shared" si="842"/>
        <v>1</v>
      </c>
      <c r="D296" s="127">
        <f t="shared" si="842"/>
        <v>14</v>
      </c>
      <c r="E296" s="199"/>
      <c r="F296" s="93"/>
      <c r="G296" s="201"/>
      <c r="H296" s="134">
        <f t="shared" ref="H296" si="845">COUNT($P296:$XX296)</f>
        <v>2</v>
      </c>
      <c r="I296" s="132">
        <f t="shared" ref="I296" si="846">_xlfn.STDEV.P($P295:$XX296)/AVERAGE($P295:$XX296)</f>
        <v>3.3142295985902757E-2</v>
      </c>
      <c r="J296" s="7">
        <f t="shared" ref="J296" si="847">IF(AND(H296&gt;2,
OR(L288="MÉDIA SANEADA",L288="MEDIANA SANEADA",
AND(L288="PREÇO ESTIMADO",NOT(AND(P290="Orçamento",COUNTA(P288:XX288)=COUNTIF(P290:XX290,"Orçamento")))))),
ROW(),0)</f>
        <v>0</v>
      </c>
      <c r="K296" s="66"/>
      <c r="L296" s="29" t="s">
        <v>361</v>
      </c>
      <c r="M296" s="30">
        <f t="shared" ref="M296" si="848">MEDIAN($P294:$XX294)</f>
        <v>251.43149036741642</v>
      </c>
      <c r="N296" s="71"/>
      <c r="O296" s="27" t="str">
        <f t="shared" ref="O296" si="849">"1 RODADA"</f>
        <v>1 RODADA</v>
      </c>
      <c r="P296" s="107">
        <f t="shared" ref="P296:AI296" si="850">IF(P294="","",IF((_xlfn.STDEV.P($P293:$XX294)/AVERAGE($P293:$XX294))&lt;=25%,P294,IF(OR(P294&gt;(AVERAGE($P293:$XX294)+_xlfn.STDEV.P($P293:$XX294)),P294&lt;(AVERAGE($P293:$XX294)-_xlfn.STDEV.P($P293:$XX294))),"DESCARTADO",P294)))</f>
        <v>243.09847349348283</v>
      </c>
      <c r="Q296" s="107" t="str">
        <f t="shared" si="850"/>
        <v>DESCARTADO</v>
      </c>
      <c r="R296" s="107">
        <f t="shared" si="850"/>
        <v>259.76450724134997</v>
      </c>
      <c r="S296" s="107" t="str">
        <f t="shared" si="850"/>
        <v>DESCARTADO</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f t="shared" si="841"/>
        <v>14</v>
      </c>
      <c r="C297" s="128">
        <f t="shared" si="842"/>
        <v>1</v>
      </c>
      <c r="D297" s="127">
        <f t="shared" si="842"/>
        <v>14</v>
      </c>
      <c r="E297" s="199"/>
      <c r="F297" s="93"/>
      <c r="G297" s="201"/>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f>IF(IFERROR(VLOOKUP(P290,'Tabela de Apoio'!$D:$E,2,FALSE),1)=1,"",P298)</f>
        <v>243.09847349348283</v>
      </c>
      <c r="Q297" s="107" t="str">
        <f>IF(IFERROR(VLOOKUP(Q290,'Tabela de Apoio'!$D:$E,2,FALSE),1)=1,"",Q298)</f>
        <v>DESCARTADO</v>
      </c>
      <c r="R297" s="107">
        <f>IF(IFERROR(VLOOKUP(R290,'Tabela de Apoio'!$D:$E,2,FALSE),1)=1,"",R298)</f>
        <v>259.76450724134997</v>
      </c>
      <c r="S297" s="107" t="str">
        <f>IF(IFERROR(VLOOKUP(S290,'Tabela de Apoio'!$D:$E,2,FALSE),1)=1,"",S298)</f>
        <v>DESCARTADO</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f t="shared" si="841"/>
        <v>14</v>
      </c>
      <c r="C298" s="128">
        <f t="shared" si="842"/>
        <v>1</v>
      </c>
      <c r="D298" s="127">
        <f t="shared" si="842"/>
        <v>14</v>
      </c>
      <c r="E298" s="199"/>
      <c r="F298" s="93"/>
      <c r="G298" s="201"/>
      <c r="H298" s="134">
        <f t="shared" ref="H298" si="853">COUNT($P298:$XX298)</f>
        <v>2</v>
      </c>
      <c r="I298" s="132">
        <f t="shared" ref="I298" si="854">_xlfn.STDEV.P($P297:$XX298)/AVERAGE($P297:$XX298)</f>
        <v>3.3142295985902757E-2</v>
      </c>
      <c r="J298" s="7">
        <f t="shared" ref="J298" si="855">IF(AND(H298&gt;2,
OR(L288="MÉDIA SANEADA",L288="MEDIANA SANEADA",
AND(L288="PREÇO ESTIMADO",NOT(AND(P290="Orçamento",COUNTA(P288:XX288)=COUNTIF(P290:XX290,"Orçamento")))))),
ROW(),0)</f>
        <v>0</v>
      </c>
      <c r="K298" s="66"/>
      <c r="L298" s="29" t="s">
        <v>362</v>
      </c>
      <c r="M298" s="30">
        <f t="shared" ref="M298" si="856" xml:space="preserve">
IF(H296&gt;2,MEDIAN(P295:XX296),
IF(H298&gt;2,MEDIAN(P297:XX298),
IF(H300&gt;2,MEDIAN(P299:XX300),
IF(H302&gt;2,MEDIAN(P301:XX302),
IF(H304&gt;2,MEDIAN(P303:XX304),
IF(H306&gt;2,MEDIAN(P305:XX306),
MEDIAN(P293:XX294)))))))</f>
        <v>251.43149036741642</v>
      </c>
      <c r="N298" s="71"/>
      <c r="O298" s="27" t="str">
        <f t="shared" ref="O298" si="857">"2 RODADA"</f>
        <v>2 RODADA</v>
      </c>
      <c r="P298" s="107">
        <f t="shared" ref="P298:AI298" si="858">IF(P296="","",IF((_xlfn.STDEV.P($P295:$XX296)/AVERAGE($P295:$XX296))&lt;=25%,P296,IF(OR(P296&gt;(AVERAGE($P295:$XX296)+_xlfn.STDEV.P($P295:$XX296)),P296&lt;(AVERAGE($P295:$XX296)-_xlfn.STDEV.P($P295:$XX296))),"DESCARTADO",P296)))</f>
        <v>243.09847349348283</v>
      </c>
      <c r="Q298" s="107" t="str">
        <f t="shared" si="858"/>
        <v>DESCARTADO</v>
      </c>
      <c r="R298" s="107">
        <f t="shared" si="858"/>
        <v>259.76450724134997</v>
      </c>
      <c r="S298" s="107" t="str">
        <f t="shared" si="858"/>
        <v>DESCARTADO</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f t="shared" si="841"/>
        <v>14</v>
      </c>
      <c r="C299" s="128">
        <f t="shared" si="842"/>
        <v>1</v>
      </c>
      <c r="D299" s="127">
        <f t="shared" si="842"/>
        <v>14</v>
      </c>
      <c r="E299" s="199"/>
      <c r="F299" s="93"/>
      <c r="G299" s="201"/>
      <c r="H299"/>
      <c r="I299"/>
      <c r="J299"/>
      <c r="K299" s="66"/>
      <c r="L299" s="29" t="s">
        <v>359</v>
      </c>
      <c r="M299" s="30">
        <f t="shared" ref="M299" si="859">HARMEAN($P293:$XX294)</f>
        <v>212.40026060599229</v>
      </c>
      <c r="N299" s="71"/>
      <c r="O299" s="27" t="str">
        <f t="shared" ref="O299" si="860">"3 POND"</f>
        <v>3 POND</v>
      </c>
      <c r="P299" s="107">
        <f>IF(IFERROR(VLOOKUP(P290,'Tabela de Apoio'!$D:$E,2,FALSE),1)=1,"",P300)</f>
        <v>243.09847349348283</v>
      </c>
      <c r="Q299" s="107" t="str">
        <f>IF(IFERROR(VLOOKUP(Q290,'Tabela de Apoio'!$D:$E,2,FALSE),1)=1,"",Q300)</f>
        <v>DESCARTADO</v>
      </c>
      <c r="R299" s="107">
        <f>IF(IFERROR(VLOOKUP(R290,'Tabela de Apoio'!$D:$E,2,FALSE),1)=1,"",R300)</f>
        <v>259.76450724134997</v>
      </c>
      <c r="S299" s="107" t="str">
        <f>IF(IFERROR(VLOOKUP(S290,'Tabela de Apoio'!$D:$E,2,FALSE),1)=1,"",S300)</f>
        <v>DESCARTADO</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f t="shared" si="841"/>
        <v>14</v>
      </c>
      <c r="C300" s="128">
        <f t="shared" si="842"/>
        <v>1</v>
      </c>
      <c r="D300" s="127">
        <f t="shared" si="842"/>
        <v>14</v>
      </c>
      <c r="E300" s="199"/>
      <c r="F300" s="93"/>
      <c r="G300" s="201"/>
      <c r="H300" s="134">
        <f t="shared" ref="H300" si="861">COUNT($P300:$XX300)</f>
        <v>2</v>
      </c>
      <c r="I300" s="132">
        <f t="shared" ref="I300" si="862">_xlfn.STDEV.P($P299:$XX300)/AVERAGE($P299:$XX300)</f>
        <v>3.3142295985902757E-2</v>
      </c>
      <c r="J300" s="7">
        <f t="shared" ref="J300" si="863">IF(AND(H300&gt;2,
OR(L288="MÉDIA SANEADA",L288="MEDIANA SANEADA",
AND(L288="PREÇO ESTIMADO",NOT(AND(P290="Orçamento",COUNTA(P288:XX288)=COUNTIF(P290:XX290,"Orçamento")))))),
ROW(),0)</f>
        <v>0</v>
      </c>
      <c r="K300" s="66"/>
      <c r="L300" s="29" t="s">
        <v>41</v>
      </c>
      <c r="M300" s="30">
        <f t="shared" ref="M300" si="864">IFERROR(_xlfn.QUARTILE.EXC($P294:$XX294,1),"")</f>
        <v>151.82066815383675</v>
      </c>
      <c r="N300" s="71"/>
      <c r="O300" s="27" t="str">
        <f t="shared" ref="O300" si="865">"3 RODADA"</f>
        <v>3 RODADA</v>
      </c>
      <c r="P300" s="107">
        <f t="shared" ref="P300:AI300" si="866">IF(P298="","",IF((_xlfn.STDEV.P($P297:$XX298)/AVERAGE($P297:$XX298))&lt;=25%,P298,IF(OR(P298&gt;(AVERAGE($P297:$XX298)+_xlfn.STDEV.P($P297:$XX298)),P298&lt;(AVERAGE($P297:$XX298)-_xlfn.STDEV.P($P297:$XX298))),"DESCARTADO",P298)))</f>
        <v>243.09847349348283</v>
      </c>
      <c r="Q300" s="107" t="str">
        <f t="shared" si="866"/>
        <v>DESCARTADO</v>
      </c>
      <c r="R300" s="107">
        <f t="shared" si="866"/>
        <v>259.76450724134997</v>
      </c>
      <c r="S300" s="107" t="str">
        <f t="shared" si="866"/>
        <v>DESCARTADO</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f t="shared" si="841"/>
        <v>14</v>
      </c>
      <c r="C301" s="128">
        <f t="shared" si="842"/>
        <v>1</v>
      </c>
      <c r="D301" s="127">
        <f t="shared" si="842"/>
        <v>14</v>
      </c>
      <c r="E301" s="199"/>
      <c r="F301" s="93"/>
      <c r="G301" s="201"/>
      <c r="H301"/>
      <c r="I301"/>
      <c r="J301"/>
      <c r="K301" s="66"/>
      <c r="L301" s="29" t="s">
        <v>39</v>
      </c>
      <c r="M301" s="30">
        <f t="shared" ref="M301" si="867">IFERROR(_xlfn.QUARTILE.EXC($P294:$XX294,3),"")</f>
        <v>349.94112681033749</v>
      </c>
      <c r="N301" s="71"/>
      <c r="O301" s="27" t="str">
        <f t="shared" ref="O301" si="868">"4 POND"</f>
        <v>4 POND</v>
      </c>
      <c r="P301" s="107">
        <f>IF(IFERROR(VLOOKUP(P290,'Tabela de Apoio'!$D:$E,2,FALSE),1)=1,"",P302)</f>
        <v>243.09847349348283</v>
      </c>
      <c r="Q301" s="107" t="str">
        <f>IF(IFERROR(VLOOKUP(Q290,'Tabela de Apoio'!$D:$E,2,FALSE),1)=1,"",Q302)</f>
        <v>DESCARTADO</v>
      </c>
      <c r="R301" s="107">
        <f>IF(IFERROR(VLOOKUP(R290,'Tabela de Apoio'!$D:$E,2,FALSE),1)=1,"",R302)</f>
        <v>259.76450724134997</v>
      </c>
      <c r="S301" s="107" t="str">
        <f>IF(IFERROR(VLOOKUP(S290,'Tabela de Apoio'!$D:$E,2,FALSE),1)=1,"",S302)</f>
        <v>DESCARTADO</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f t="shared" si="841"/>
        <v>14</v>
      </c>
      <c r="C302" s="128">
        <f t="shared" si="842"/>
        <v>1</v>
      </c>
      <c r="D302" s="127">
        <f t="shared" si="842"/>
        <v>14</v>
      </c>
      <c r="E302" s="199"/>
      <c r="F302" s="93"/>
      <c r="G302" s="201"/>
      <c r="H302" s="134">
        <f t="shared" ref="H302" si="869">COUNT($P302:$XX302)</f>
        <v>2</v>
      </c>
      <c r="I302" s="132">
        <f t="shared" ref="I302" si="870">_xlfn.STDEV.P($P301:$XX302)/AVERAGE($P301:$XX302)</f>
        <v>3.3142295985902757E-2</v>
      </c>
      <c r="J302" s="7">
        <f t="shared" ref="J302" si="871">IF(AND(H302&gt;2,
OR(L288="MÉDIA SANEADA",L288="MEDIANA SANEADA",
AND(L288="PREÇO ESTIMADO",NOT(AND(P290="Orçamento",COUNTA(P288:XX288)=COUNTIF(P290:XX290,"Orçamento")))))),
ROW(),0)</f>
        <v>0</v>
      </c>
      <c r="K302" s="66"/>
      <c r="L302" s="29" t="s">
        <v>42</v>
      </c>
      <c r="M302" s="30">
        <f t="shared" ref="M302" si="872">MIN($P294:$XX294)</f>
        <v>121.39473304062139</v>
      </c>
      <c r="N302" s="71"/>
      <c r="O302" s="27" t="str">
        <f t="shared" ref="O302" si="873">"4 RODADA"</f>
        <v>4 RODADA</v>
      </c>
      <c r="P302" s="107">
        <f t="shared" ref="P302:AI302" si="874">IF(P300="","",IF((_xlfn.STDEV.P($P299:$XX300)/AVERAGE($P299:$XX300))&lt;=25%,P300,IF(OR(P300&gt;(AVERAGE($P299:$XX300)+_xlfn.STDEV.P($P299:$XX300)),P300&lt;(AVERAGE($P299:$XX300)-_xlfn.STDEV.P($P299:$XX300))),"DESCARTADO",P300)))</f>
        <v>243.09847349348283</v>
      </c>
      <c r="Q302" s="107" t="str">
        <f t="shared" si="874"/>
        <v>DESCARTADO</v>
      </c>
      <c r="R302" s="107">
        <f t="shared" si="874"/>
        <v>259.76450724134997</v>
      </c>
      <c r="S302" s="107" t="str">
        <f t="shared" si="874"/>
        <v>DESCARTADO</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f t="shared" si="841"/>
        <v>14</v>
      </c>
      <c r="C303" s="128">
        <f t="shared" si="842"/>
        <v>1</v>
      </c>
      <c r="D303" s="127">
        <f t="shared" si="842"/>
        <v>14</v>
      </c>
      <c r="E303" s="199"/>
      <c r="F303" s="93"/>
      <c r="G303" s="201"/>
      <c r="H303"/>
      <c r="I303"/>
      <c r="J303"/>
      <c r="K303" s="66"/>
      <c r="L303" s="29" t="s">
        <v>40</v>
      </c>
      <c r="M303" s="30">
        <f t="shared" ref="M303" si="875">MAX($P294:$XX294)</f>
        <v>380</v>
      </c>
      <c r="N303" s="71"/>
      <c r="O303" s="27" t="str">
        <f t="shared" ref="O303" si="876">"5 POND"</f>
        <v>5 POND</v>
      </c>
      <c r="P303" s="107">
        <f>IF(IFERROR(VLOOKUP(P290,'Tabela de Apoio'!$D:$E,2,FALSE),1)=1,"",P304)</f>
        <v>243.09847349348283</v>
      </c>
      <c r="Q303" s="107" t="str">
        <f>IF(IFERROR(VLOOKUP(Q290,'Tabela de Apoio'!$D:$E,2,FALSE),1)=1,"",Q304)</f>
        <v>DESCARTADO</v>
      </c>
      <c r="R303" s="107">
        <f>IF(IFERROR(VLOOKUP(R290,'Tabela de Apoio'!$D:$E,2,FALSE),1)=1,"",R304)</f>
        <v>259.76450724134997</v>
      </c>
      <c r="S303" s="107" t="str">
        <f>IF(IFERROR(VLOOKUP(S290,'Tabela de Apoio'!$D:$E,2,FALSE),1)=1,"",S304)</f>
        <v>DESCARTADO</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f t="shared" si="841"/>
        <v>14</v>
      </c>
      <c r="C304" s="128">
        <f t="shared" si="842"/>
        <v>1</v>
      </c>
      <c r="D304" s="127">
        <f t="shared" si="842"/>
        <v>14</v>
      </c>
      <c r="E304" s="199"/>
      <c r="F304" s="93"/>
      <c r="G304" s="201"/>
      <c r="H304" s="134">
        <f t="shared" ref="H304" si="877">COUNT($P304:$XX304)</f>
        <v>2</v>
      </c>
      <c r="I304" s="132">
        <f t="shared" ref="I304" si="878">_xlfn.STDEV.P($P303:$XX304)/AVERAGE($P303:$XX304)</f>
        <v>3.3142295985902757E-2</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f t="shared" ref="P304:AI304" si="881">IF(P302="","",IF((_xlfn.STDEV.P($P301:$XX302)/AVERAGE($P301:$XX302))&lt;=25%,P302,IF(OR(P302&gt;(AVERAGE($P301:$XX302)+_xlfn.STDEV.P($P301:$XX302)),P302&lt;(AVERAGE($P301:$XX302)-_xlfn.STDEV.P($P301:$XX302))),"DESCARTADO",P302)))</f>
        <v>243.09847349348283</v>
      </c>
      <c r="Q304" s="107" t="str">
        <f t="shared" si="881"/>
        <v>DESCARTADO</v>
      </c>
      <c r="R304" s="107">
        <f t="shared" si="881"/>
        <v>259.76450724134997</v>
      </c>
      <c r="S304" s="107" t="str">
        <f t="shared" si="881"/>
        <v>DESCARTADO</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f t="shared" si="841"/>
        <v>14</v>
      </c>
      <c r="C305" s="128">
        <f t="shared" si="842"/>
        <v>1</v>
      </c>
      <c r="D305" s="127">
        <f t="shared" si="842"/>
        <v>14</v>
      </c>
      <c r="E305" s="199"/>
      <c r="F305" s="93"/>
      <c r="G305" s="201"/>
      <c r="H305"/>
      <c r="I305"/>
      <c r="J305"/>
      <c r="K305" s="66"/>
      <c r="L305" s="22"/>
      <c r="M305" s="22"/>
      <c r="N305" s="71"/>
      <c r="O305" s="27" t="str">
        <f t="shared" ref="O305" si="882">"6 POND"</f>
        <v>6 POND</v>
      </c>
      <c r="P305" s="107">
        <f>IF(IFERROR(VLOOKUP(P290,'Tabela de Apoio'!$D:$E,2,FALSE),1)=1,"",P306)</f>
        <v>243.09847349348283</v>
      </c>
      <c r="Q305" s="107" t="str">
        <f>IF(IFERROR(VLOOKUP(Q290,'Tabela de Apoio'!$D:$E,2,FALSE),1)=1,"",Q306)</f>
        <v>DESCARTADO</v>
      </c>
      <c r="R305" s="107">
        <f>IF(IFERROR(VLOOKUP(R290,'Tabela de Apoio'!$D:$E,2,FALSE),1)=1,"",R306)</f>
        <v>259.76450724134997</v>
      </c>
      <c r="S305" s="107" t="str">
        <f>IF(IFERROR(VLOOKUP(S290,'Tabela de Apoio'!$D:$E,2,FALSE),1)=1,"",S306)</f>
        <v>DESCARTADO</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f t="shared" si="841"/>
        <v>14</v>
      </c>
      <c r="C306" s="128">
        <f t="shared" si="842"/>
        <v>1</v>
      </c>
      <c r="D306" s="127">
        <f t="shared" si="842"/>
        <v>14</v>
      </c>
      <c r="E306" s="199"/>
      <c r="F306" s="93"/>
      <c r="G306" s="201"/>
      <c r="H306" s="134">
        <f t="shared" ref="H306" si="883">COUNT($P306:$XX306)</f>
        <v>2</v>
      </c>
      <c r="I306" s="132">
        <f t="shared" ref="I306" si="884">_xlfn.STDEV.P($P305:$XX306)/AVERAGE($P305:$XX306)</f>
        <v>3.3142295985902757E-2</v>
      </c>
      <c r="J306" s="7">
        <f t="shared" ref="J306" si="885">IF(AND(H306&gt;2,
OR(L288="MÉDIA SANEADA",L288="MEDIANA SANEADA",
AND(L288="PREÇO ESTIMADO",NOT(AND(P290="Orçamento",COUNTA(P288:XX288)=COUNTIF(P290:XX290,"Orçamento")))))),
ROW(),0)</f>
        <v>0</v>
      </c>
      <c r="N306" s="71"/>
      <c r="O306" s="27" t="str">
        <f t="shared" ref="O306" si="886">"6 RODADA"</f>
        <v>6 RODADA</v>
      </c>
      <c r="P306" s="107">
        <f t="shared" ref="P306:AI306" si="887">IFERROR(IF(P304="","",IF((_xlfn.STDEV.P($P303:$XX304)/AVERAGE($P303:$XX304))&lt;=25%,P304,IF(OR(P304&gt;(AVERAGE($P303:$XX304)+_xlfn.STDEV.P($P303:$XX304)),P304&lt;(AVERAGE($P303:$XX304)-_xlfn.STDEV.P($P303:$XX304))),"DESCARTADO",P304))),)</f>
        <v>243.09847349348283</v>
      </c>
      <c r="Q306" s="107" t="str">
        <f t="shared" si="887"/>
        <v>DESCARTADO</v>
      </c>
      <c r="R306" s="107">
        <f t="shared" si="887"/>
        <v>259.76450724134997</v>
      </c>
      <c r="S306" s="107" t="str">
        <f t="shared" si="887"/>
        <v>DESCARTADO</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f t="shared" si="841"/>
        <v>14</v>
      </c>
      <c r="C307" s="128">
        <f t="shared" si="842"/>
        <v>1</v>
      </c>
      <c r="D307" s="127">
        <f t="shared" si="842"/>
        <v>14</v>
      </c>
      <c r="E307" s="199"/>
      <c r="F307" s="136"/>
      <c r="G307" s="201"/>
      <c r="H307" s="204"/>
      <c r="I307" s="204"/>
      <c r="J307" s="205"/>
      <c r="K307" s="67"/>
      <c r="L307" s="1" t="s">
        <v>43</v>
      </c>
      <c r="M307" s="143">
        <f t="shared" ref="M307" si="888">IFERROR(ROUND(M288*M290,2),"")</f>
        <v>186812.49</v>
      </c>
      <c r="O307" s="27" t="s">
        <v>363</v>
      </c>
      <c r="P307" s="107">
        <f t="shared" ref="P307:AI328" si="889">INDEX(P294:P306,MATCH(MAX($J294:$J306),$J294:$J306,0))</f>
        <v>243.09847349348283</v>
      </c>
      <c r="Q307" s="107">
        <f t="shared" si="889"/>
        <v>380</v>
      </c>
      <c r="R307" s="107">
        <f t="shared" si="889"/>
        <v>259.76450724134997</v>
      </c>
      <c r="S307" s="107">
        <f t="shared" si="889"/>
        <v>121.39473304062139</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f t="shared" ref="B309" si="890">LARGE(IFERROR(IF(B307+1&gt;$H$8,"",B307+1),""),1)</f>
        <v>15</v>
      </c>
      <c r="C309" s="127">
        <f>IF(_xlfn.ISFORMULA(E313),MAX(INDEX('BASE FORMAÇÃO'!A:A,B309+1),1),E313)</f>
        <v>1</v>
      </c>
      <c r="D309" s="127">
        <f t="shared" ref="D309" si="891">IFERROR(IF(C309=C299,D299+1,1),1)</f>
        <v>15</v>
      </c>
      <c r="E309" s="38" t="s">
        <v>9</v>
      </c>
      <c r="F309" s="73"/>
      <c r="G309" s="38" t="s">
        <v>15</v>
      </c>
      <c r="H309" s="135">
        <f>INDEX('BASE FORMAÇÃO'!B:B,B309+1)</f>
        <v>0</v>
      </c>
      <c r="I309" s="181" t="s">
        <v>16</v>
      </c>
      <c r="J309" s="6">
        <f>INDEX('BASE FORMAÇÃO'!K:K,B309+1)</f>
        <v>0</v>
      </c>
      <c r="K309" s="65"/>
      <c r="L309" s="183" t="s">
        <v>10</v>
      </c>
      <c r="M309" s="185">
        <f t="shared" ref="M309" si="892">IF(OR(ISBLANK($O$8),ISBLANK($O$7),ISBLANK($H$8),ISBLANK($O$6),ISBLANK($O$5),ISBLANK($H$5)),"",IFERROR(IF(VLOOKUP(L309,L315:M324,2,FALSE)&lt;1,ROUND(VLOOKUP(L309,L315:M324,2,FALSE),4),ROUND(VLOOKUP(L309,L315:M324,2,FALSE),2)),""))</f>
        <v>175.5</v>
      </c>
      <c r="N309" s="69"/>
      <c r="O309" s="27" t="s">
        <v>17</v>
      </c>
      <c r="P309" s="113">
        <v>146</v>
      </c>
      <c r="Q309" s="113">
        <v>188.67</v>
      </c>
      <c r="R309" s="113">
        <v>154.9</v>
      </c>
      <c r="S309" s="113">
        <v>205.33</v>
      </c>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f t="shared" ref="B310:D310" si="893">B309</f>
        <v>15</v>
      </c>
      <c r="C310" s="128">
        <f t="shared" si="893"/>
        <v>1</v>
      </c>
      <c r="D310" s="127">
        <f t="shared" si="893"/>
        <v>15</v>
      </c>
      <c r="E310" s="187">
        <f t="shared" ref="E310" si="894">D309</f>
        <v>15</v>
      </c>
      <c r="F310" s="92"/>
      <c r="G310" s="189" t="s">
        <v>1</v>
      </c>
      <c r="H310" s="192" t="str">
        <f>INDEX('BASE FORMAÇÃO'!C:C,B309+1)</f>
        <v>Placas de Fachada modelo 2</v>
      </c>
      <c r="I310" s="192"/>
      <c r="J310" s="193"/>
      <c r="K310" s="66"/>
      <c r="L310" s="184"/>
      <c r="M310" s="186"/>
      <c r="N310" s="70"/>
      <c r="O310" s="27" t="s">
        <v>13</v>
      </c>
      <c r="P310" s="122">
        <v>46003</v>
      </c>
      <c r="Q310" s="122">
        <v>46192</v>
      </c>
      <c r="R310" s="122">
        <v>46184</v>
      </c>
      <c r="S310" s="122">
        <v>46125</v>
      </c>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f t="shared" ref="B311:D311" si="895">B310</f>
        <v>15</v>
      </c>
      <c r="C311" s="128">
        <f t="shared" si="895"/>
        <v>1</v>
      </c>
      <c r="D311" s="127">
        <f t="shared" si="895"/>
        <v>15</v>
      </c>
      <c r="E311" s="188"/>
      <c r="F311" s="93"/>
      <c r="G311" s="190"/>
      <c r="H311" s="194"/>
      <c r="I311" s="194"/>
      <c r="J311" s="195"/>
      <c r="K311" s="64"/>
      <c r="L311" s="130" t="s">
        <v>44</v>
      </c>
      <c r="M311" s="131">
        <f>INDEX('BASE FORMAÇÃO'!H:H,B313+1)</f>
        <v>582</v>
      </c>
      <c r="N311" s="71"/>
      <c r="O311" s="27" t="s">
        <v>380</v>
      </c>
      <c r="P311" s="114" t="s">
        <v>12</v>
      </c>
      <c r="Q311" s="114" t="s">
        <v>12</v>
      </c>
      <c r="R311" s="114" t="s">
        <v>12</v>
      </c>
      <c r="S311" s="114" t="s">
        <v>12</v>
      </c>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f t="shared" ref="B312:C312" si="896">B311</f>
        <v>15</v>
      </c>
      <c r="C312" s="128">
        <f t="shared" si="896"/>
        <v>1</v>
      </c>
      <c r="D312" s="127">
        <f t="shared" si="842"/>
        <v>15</v>
      </c>
      <c r="E312" s="38" t="s">
        <v>313</v>
      </c>
      <c r="F312" s="93"/>
      <c r="G312" s="191"/>
      <c r="H312" s="196"/>
      <c r="I312" s="196"/>
      <c r="J312" s="197"/>
      <c r="K312" s="64"/>
      <c r="L312" s="1" t="s">
        <v>2</v>
      </c>
      <c r="M312" s="6" t="str">
        <f>INDEX('BASE FORMAÇÃO'!D:D,B313+1)</f>
        <v>M2</v>
      </c>
      <c r="N312" s="71"/>
      <c r="O312" s="27" t="s">
        <v>381</v>
      </c>
      <c r="P312" s="115" t="s">
        <v>459</v>
      </c>
      <c r="Q312" s="115" t="s">
        <v>460</v>
      </c>
      <c r="R312" s="115" t="s">
        <v>460</v>
      </c>
      <c r="S312" s="115" t="s">
        <v>460</v>
      </c>
      <c r="T312" s="115"/>
      <c r="U312" s="118"/>
      <c r="V312" s="118"/>
      <c r="W312" s="118"/>
      <c r="X312" s="118"/>
      <c r="Y312" s="118"/>
      <c r="Z312" s="118"/>
      <c r="AA312" s="118"/>
      <c r="AB312" s="118"/>
      <c r="AC312" s="118"/>
      <c r="AD312" s="118"/>
      <c r="AE312" s="118"/>
      <c r="AF312" s="118"/>
      <c r="AG312" s="118"/>
      <c r="AH312" s="118"/>
      <c r="AI312" s="118"/>
    </row>
    <row r="313" spans="1:167" x14ac:dyDescent="0.25">
      <c r="B313" s="128">
        <f t="shared" ref="B313:C313" si="897">B311</f>
        <v>15</v>
      </c>
      <c r="C313" s="128">
        <f t="shared" si="897"/>
        <v>1</v>
      </c>
      <c r="D313" s="127">
        <f t="shared" si="842"/>
        <v>15</v>
      </c>
      <c r="E313" s="198">
        <f t="shared" ref="E313" si="898">C309</f>
        <v>1</v>
      </c>
      <c r="F313" s="93"/>
      <c r="G313" s="200" t="s">
        <v>304</v>
      </c>
      <c r="H313" s="202"/>
      <c r="I313" s="203"/>
      <c r="J313" s="203"/>
      <c r="K313" s="67"/>
      <c r="L313" s="28" t="s">
        <v>303</v>
      </c>
      <c r="M313" s="133">
        <f t="shared" ref="M313" si="899">IFERROR(INDEX(I315:I327,MATCH(MAX(J315:J327),J315:J327,0)),"")</f>
        <v>0.13471024721075817</v>
      </c>
      <c r="N313" s="71"/>
      <c r="O313" s="27" t="s">
        <v>18</v>
      </c>
      <c r="P313" s="106">
        <f>IF(P309="","",
IF(OR(P311="Orçamento",P310="",MAX('Tabela de Apoio'!$A:$A)&lt;=P310),
P309,
(INDEX('Tabela de Apoio'!$B:$B,MATCH('MAPA DE PREÇOS'!$O$8,'Tabela de Apoio'!$A:$A,1))/INDEX('Tabela de Apoio'!$B:$B,MATCH('MAPA DE PREÇOS'!P310,'Tabela de Apoio'!$A:$A,1)-1))*P309))</f>
        <v>151.03139204275953</v>
      </c>
      <c r="Q313" s="106">
        <f>IF(Q309="","",
IF(OR(Q311="Orçamento",Q310="",MAX('Tabela de Apoio'!$A:$A)&lt;=Q310),
Q309,
(INDEX('Tabela de Apoio'!$B:$B,MATCH('MAPA DE PREÇOS'!$O$8,'Tabela de Apoio'!$A:$A,1))/INDEX('Tabela de Apoio'!$B:$B,MATCH('MAPA DE PREÇOS'!Q310,'Tabela de Apoio'!$A:$A,1)-1))*Q309))</f>
        <v>188.4991137739442</v>
      </c>
      <c r="R313" s="106">
        <f>IF(R309="","",
IF(OR(R311="Orçamento",R310="",MAX('Tabela de Apoio'!$A:$A)&lt;=R310),
R309,
(INDEX('Tabela de Apoio'!$B:$B,MATCH('MAPA DE PREÇOS'!$O$8,'Tabela de Apoio'!$A:$A,1))/INDEX('Tabela de Apoio'!$B:$B,MATCH('MAPA DE PREÇOS'!R310,'Tabela de Apoio'!$A:$A,1)-1))*R309))</f>
        <v>154.75970066032735</v>
      </c>
      <c r="S313" s="106">
        <f>IF(S309="","",
IF(OR(S311="Orçamento",S310="",MAX('Tabela de Apoio'!$A:$A)&lt;=S310),
S309,
(INDEX('Tabela de Apoio'!$B:$B,MATCH('MAPA DE PREÇOS'!$O$8,'Tabela de Apoio'!$A:$A,1))/INDEX('Tabela de Apoio'!$B:$B,MATCH('MAPA DE PREÇOS'!S310,'Tabela de Apoio'!$A:$A,1)-1))*S309))</f>
        <v>207.7165044602566</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f t="shared" ref="B314" si="900">B313</f>
        <v>15</v>
      </c>
      <c r="C314" s="128">
        <f t="shared" ref="C314" si="901">C313</f>
        <v>1</v>
      </c>
      <c r="D314" s="127">
        <f t="shared" si="842"/>
        <v>15</v>
      </c>
      <c r="E314" s="199"/>
      <c r="F314" s="93"/>
      <c r="G314" s="201"/>
      <c r="H314"/>
      <c r="I314"/>
      <c r="J314"/>
      <c r="N314" s="71"/>
      <c r="O314" s="27" t="s">
        <v>375</v>
      </c>
      <c r="P314" s="107">
        <f>IF(IFERROR(VLOOKUP(P311,'Tabela de Apoio'!$D:$E,2,FALSE),1)=1,"",P315)</f>
        <v>151.03139204275953</v>
      </c>
      <c r="Q314" s="107">
        <f>IF(IFERROR(VLOOKUP(Q311,'Tabela de Apoio'!$D:$E,2,FALSE),1)=1,"",Q315)</f>
        <v>188.4991137739442</v>
      </c>
      <c r="R314" s="107">
        <f>IF(IFERROR(VLOOKUP(R311,'Tabela de Apoio'!$D:$E,2,FALSE),1)=1,"",R315)</f>
        <v>154.75970066032735</v>
      </c>
      <c r="S314" s="107">
        <f>IF(IFERROR(VLOOKUP(S311,'Tabela de Apoio'!$D:$E,2,FALSE),1)=1,"",S315)</f>
        <v>207.7165044602566</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f t="shared" ref="B315:C315" si="902">B314</f>
        <v>15</v>
      </c>
      <c r="C315" s="128">
        <f t="shared" si="902"/>
        <v>1</v>
      </c>
      <c r="D315" s="127">
        <f t="shared" si="842"/>
        <v>15</v>
      </c>
      <c r="E315" s="199"/>
      <c r="F315" s="93"/>
      <c r="G315" s="201"/>
      <c r="H315" s="134">
        <f t="shared" ref="H315" si="903">COUNT($P315:$XX315)</f>
        <v>4</v>
      </c>
      <c r="I315" s="132">
        <f t="shared" ref="I315" si="904">_xlfn.STDEV.P($P314:$XX315)/AVERAGE($P314:$XX315)</f>
        <v>0.13471024721075817</v>
      </c>
      <c r="J315" s="7">
        <f>ROW()</f>
        <v>315</v>
      </c>
      <c r="K315" s="67"/>
      <c r="L315" s="29" t="s">
        <v>10</v>
      </c>
      <c r="M315" s="30">
        <f t="shared" ref="M315" si="905">IFERROR(
IF(COUNTA(P309:AI309)=COUNTIF(P311:XX311,"Orçamento"),MIN(M320,M317),
IF(M318&lt;&gt;"",M318,
IF(M319&lt;&gt;"",M319,
M317
))),"")</f>
        <v>175.50167773432193</v>
      </c>
      <c r="N315" s="71"/>
      <c r="O315" s="27" t="s">
        <v>376</v>
      </c>
      <c r="P315" s="106">
        <f t="shared" ref="P315:AI315" si="906">IFERROR(IF(P313="",
            "",
            IF(COUNT($P313:$XX313)&lt;=4,
               P313,
               IF(OR(P313&gt;(QUARTILE($P313:$XX313,3)+(QUARTILE($P313:$XX313,3)-QUARTILE($P313:$XX313,1))),
                     P313&lt;(QUARTILE($P313:$XX313,1)-(QUARTILE($P313:$XX313,3)-QUARTILE($P313:$XX313,1)))
                  ),
               "DESCARTADO",P313)
             )
  ),P313)</f>
        <v>151.03139204275953</v>
      </c>
      <c r="Q315" s="106">
        <f t="shared" si="906"/>
        <v>188.4991137739442</v>
      </c>
      <c r="R315" s="106">
        <f t="shared" si="906"/>
        <v>154.75970066032735</v>
      </c>
      <c r="S315" s="106">
        <f t="shared" si="906"/>
        <v>207.7165044602566</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f t="shared" ref="B316" si="907">B315</f>
        <v>15</v>
      </c>
      <c r="C316" s="128">
        <f t="shared" ref="C316" si="908">C315</f>
        <v>1</v>
      </c>
      <c r="D316" s="127">
        <f t="shared" si="842"/>
        <v>15</v>
      </c>
      <c r="E316" s="199"/>
      <c r="F316" s="93"/>
      <c r="G316" s="201"/>
      <c r="H316"/>
      <c r="I316"/>
      <c r="J316"/>
      <c r="K316" s="66"/>
      <c r="L316" s="29" t="s">
        <v>360</v>
      </c>
      <c r="M316" s="30">
        <f t="shared" ref="M316" si="909">AVERAGE($P315:$XX315)</f>
        <v>175.50167773432193</v>
      </c>
      <c r="N316" s="71"/>
      <c r="O316" s="27" t="str">
        <f t="shared" ref="O316" si="910">"1 POND"</f>
        <v>1 POND</v>
      </c>
      <c r="P316" s="107">
        <f>IF(IFERROR(VLOOKUP(P311,'Tabela de Apoio'!$D:$E,2,FALSE),1)=1,"",P317)</f>
        <v>151.03139204275953</v>
      </c>
      <c r="Q316" s="107">
        <f>IF(IFERROR(VLOOKUP(Q311,'Tabela de Apoio'!$D:$E,2,FALSE),1)=1,"",Q317)</f>
        <v>188.4991137739442</v>
      </c>
      <c r="R316" s="107">
        <f>IF(IFERROR(VLOOKUP(R311,'Tabela de Apoio'!$D:$E,2,FALSE),1)=1,"",R317)</f>
        <v>154.75970066032735</v>
      </c>
      <c r="S316" s="107">
        <f>IF(IFERROR(VLOOKUP(S311,'Tabela de Apoio'!$D:$E,2,FALSE),1)=1,"",S317)</f>
        <v>207.7165044602566</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f t="shared" si="841"/>
        <v>15</v>
      </c>
      <c r="C317" s="128">
        <f t="shared" si="842"/>
        <v>1</v>
      </c>
      <c r="D317" s="127">
        <f t="shared" si="842"/>
        <v>15</v>
      </c>
      <c r="E317" s="199"/>
      <c r="F317" s="93"/>
      <c r="G317" s="201"/>
      <c r="H317" s="134">
        <f t="shared" ref="H317" si="911">COUNT($P317:$XX317)</f>
        <v>4</v>
      </c>
      <c r="I317" s="132">
        <f t="shared" ref="I317" si="912">_xlfn.STDEV.P($P316:$XX317)/AVERAGE($P316:$XX317)</f>
        <v>0.13471024721075817</v>
      </c>
      <c r="J317" s="7">
        <f t="shared" ref="J317" si="913">IF(AND(H317&gt;2,
OR(L309="MÉDIA SANEADA",L309="MEDIANA SANEADA",
AND(L309="PREÇO ESTIMADO",NOT(AND(P311="Orçamento",COUNTA(P309:XX309)=COUNTIF(P311:XX311,"Orçamento")))))),
ROW(),0)</f>
        <v>317</v>
      </c>
      <c r="K317" s="66"/>
      <c r="L317" s="29" t="s">
        <v>361</v>
      </c>
      <c r="M317" s="30">
        <f t="shared" ref="M317" si="914">MEDIAN($P315:$XX315)</f>
        <v>171.62940721713579</v>
      </c>
      <c r="N317" s="71"/>
      <c r="O317" s="27" t="str">
        <f t="shared" ref="O317" si="915">"1 RODADA"</f>
        <v>1 RODADA</v>
      </c>
      <c r="P317" s="107">
        <f t="shared" ref="P317:AI317" si="916">IF(P315="","",IF((_xlfn.STDEV.P($P314:$XX315)/AVERAGE($P314:$XX315))&lt;=25%,P315,IF(OR(P315&gt;(AVERAGE($P314:$XX315)+_xlfn.STDEV.P($P314:$XX315)),P315&lt;(AVERAGE($P314:$XX315)-_xlfn.STDEV.P($P314:$XX315))),"DESCARTADO",P315)))</f>
        <v>151.03139204275953</v>
      </c>
      <c r="Q317" s="107">
        <f t="shared" si="916"/>
        <v>188.4991137739442</v>
      </c>
      <c r="R317" s="107">
        <f t="shared" si="916"/>
        <v>154.75970066032735</v>
      </c>
      <c r="S317" s="107">
        <f t="shared" si="916"/>
        <v>207.7165044602566</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f t="shared" si="841"/>
        <v>15</v>
      </c>
      <c r="C318" s="128">
        <f t="shared" si="842"/>
        <v>1</v>
      </c>
      <c r="D318" s="127">
        <f t="shared" si="842"/>
        <v>15</v>
      </c>
      <c r="E318" s="199"/>
      <c r="F318" s="93"/>
      <c r="G318" s="201"/>
      <c r="H318"/>
      <c r="I318"/>
      <c r="J318"/>
      <c r="L318" s="29" t="s">
        <v>38</v>
      </c>
      <c r="M318" s="30">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175.50167773432193</v>
      </c>
      <c r="N318" s="71"/>
      <c r="O318" s="27" t="str">
        <f t="shared" ref="O318" si="918">"2 POND"</f>
        <v>2 POND</v>
      </c>
      <c r="P318" s="107">
        <f>IF(IFERROR(VLOOKUP(P311,'Tabela de Apoio'!$D:$E,2,FALSE),1)=1,"",P319)</f>
        <v>151.03139204275953</v>
      </c>
      <c r="Q318" s="107">
        <f>IF(IFERROR(VLOOKUP(Q311,'Tabela de Apoio'!$D:$E,2,FALSE),1)=1,"",Q319)</f>
        <v>188.4991137739442</v>
      </c>
      <c r="R318" s="107">
        <f>IF(IFERROR(VLOOKUP(R311,'Tabela de Apoio'!$D:$E,2,FALSE),1)=1,"",R319)</f>
        <v>154.75970066032735</v>
      </c>
      <c r="S318" s="107">
        <f>IF(IFERROR(VLOOKUP(S311,'Tabela de Apoio'!$D:$E,2,FALSE),1)=1,"",S319)</f>
        <v>207.7165044602566</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f t="shared" si="841"/>
        <v>15</v>
      </c>
      <c r="C319" s="128">
        <f t="shared" si="842"/>
        <v>1</v>
      </c>
      <c r="D319" s="127">
        <f t="shared" si="842"/>
        <v>15</v>
      </c>
      <c r="E319" s="199"/>
      <c r="F319" s="93"/>
      <c r="G319" s="201"/>
      <c r="H319" s="134">
        <f t="shared" ref="H319" si="919">COUNT($P319:$XX319)</f>
        <v>4</v>
      </c>
      <c r="I319" s="132">
        <f t="shared" ref="I319" si="920">_xlfn.STDEV.P($P318:$XX319)/AVERAGE($P318:$XX319)</f>
        <v>0.13471024721075817</v>
      </c>
      <c r="J319" s="7">
        <f t="shared" ref="J319" si="921">IF(AND(H319&gt;2,
OR(L309="MÉDIA SANEADA",L309="MEDIANA SANEADA",
AND(L309="PREÇO ESTIMADO",NOT(AND(P311="Orçamento",COUNTA(P309:XX309)=COUNTIF(P311:XX311,"Orçamento")))))),
ROW(),0)</f>
        <v>319</v>
      </c>
      <c r="K319" s="66"/>
      <c r="L319" s="29" t="s">
        <v>362</v>
      </c>
      <c r="M319" s="30">
        <f t="shared" ref="M319" si="922" xml:space="preserve">
IF(H317&gt;2,MEDIAN(P316:XX317),
IF(H319&gt;2,MEDIAN(P318:XX319),
IF(H321&gt;2,MEDIAN(P320:XX321),
IF(H323&gt;2,MEDIAN(P322:XX323),
IF(H325&gt;2,MEDIAN(P324:XX325),
IF(H327&gt;2,MEDIAN(P326:XX327),
MEDIAN(P314:XX315)))))))</f>
        <v>171.62940721713579</v>
      </c>
      <c r="N319" s="71"/>
      <c r="O319" s="27" t="str">
        <f t="shared" ref="O319" si="923">"2 RODADA"</f>
        <v>2 RODADA</v>
      </c>
      <c r="P319" s="107">
        <f t="shared" ref="P319:AI319" si="924">IF(P317="","",IF((_xlfn.STDEV.P($P316:$XX317)/AVERAGE($P316:$XX317))&lt;=25%,P317,IF(OR(P317&gt;(AVERAGE($P316:$XX317)+_xlfn.STDEV.P($P316:$XX317)),P317&lt;(AVERAGE($P316:$XX317)-_xlfn.STDEV.P($P316:$XX317))),"DESCARTADO",P317)))</f>
        <v>151.03139204275953</v>
      </c>
      <c r="Q319" s="107">
        <f t="shared" si="924"/>
        <v>188.4991137739442</v>
      </c>
      <c r="R319" s="107">
        <f t="shared" si="924"/>
        <v>154.75970066032735</v>
      </c>
      <c r="S319" s="107">
        <f t="shared" si="924"/>
        <v>207.7165044602566</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f t="shared" si="841"/>
        <v>15</v>
      </c>
      <c r="C320" s="128">
        <f t="shared" si="842"/>
        <v>1</v>
      </c>
      <c r="D320" s="127">
        <f t="shared" si="842"/>
        <v>15</v>
      </c>
      <c r="E320" s="199"/>
      <c r="F320" s="93"/>
      <c r="G320" s="201"/>
      <c r="H320"/>
      <c r="I320"/>
      <c r="J320"/>
      <c r="K320" s="66"/>
      <c r="L320" s="29" t="s">
        <v>359</v>
      </c>
      <c r="M320" s="30">
        <f t="shared" ref="M320" si="925">HARMEAN($P314:$XX315)</f>
        <v>172.39826822637951</v>
      </c>
      <c r="N320" s="71"/>
      <c r="O320" s="27" t="str">
        <f t="shared" ref="O320" si="926">"3 POND"</f>
        <v>3 POND</v>
      </c>
      <c r="P320" s="107">
        <f>IF(IFERROR(VLOOKUP(P311,'Tabela de Apoio'!$D:$E,2,FALSE),1)=1,"",P321)</f>
        <v>151.03139204275953</v>
      </c>
      <c r="Q320" s="107">
        <f>IF(IFERROR(VLOOKUP(Q311,'Tabela de Apoio'!$D:$E,2,FALSE),1)=1,"",Q321)</f>
        <v>188.4991137739442</v>
      </c>
      <c r="R320" s="107">
        <f>IF(IFERROR(VLOOKUP(R311,'Tabela de Apoio'!$D:$E,2,FALSE),1)=1,"",R321)</f>
        <v>154.75970066032735</v>
      </c>
      <c r="S320" s="107">
        <f>IF(IFERROR(VLOOKUP(S311,'Tabela de Apoio'!$D:$E,2,FALSE),1)=1,"",S321)</f>
        <v>207.7165044602566</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f t="shared" si="841"/>
        <v>15</v>
      </c>
      <c r="C321" s="128">
        <f t="shared" si="842"/>
        <v>1</v>
      </c>
      <c r="D321" s="127">
        <f t="shared" si="842"/>
        <v>15</v>
      </c>
      <c r="E321" s="199"/>
      <c r="F321" s="93"/>
      <c r="G321" s="201"/>
      <c r="H321" s="134">
        <f t="shared" ref="H321" si="927">COUNT($P321:$XX321)</f>
        <v>4</v>
      </c>
      <c r="I321" s="132">
        <f t="shared" ref="I321" si="928">_xlfn.STDEV.P($P320:$XX321)/AVERAGE($P320:$XX321)</f>
        <v>0.13471024721075817</v>
      </c>
      <c r="J321" s="7">
        <f t="shared" ref="J321" si="929">IF(AND(H321&gt;2,
OR(L309="MÉDIA SANEADA",L309="MEDIANA SANEADA",
AND(L309="PREÇO ESTIMADO",NOT(AND(P311="Orçamento",COUNTA(P309:XX309)=COUNTIF(P311:XX311,"Orçamento")))))),
ROW(),0)</f>
        <v>321</v>
      </c>
      <c r="K321" s="66"/>
      <c r="L321" s="29" t="s">
        <v>41</v>
      </c>
      <c r="M321" s="30">
        <f t="shared" ref="M321" si="930">IFERROR(_xlfn.QUARTILE.EXC($P315:$XX315,1),"")</f>
        <v>151.96346919715148</v>
      </c>
      <c r="N321" s="71"/>
      <c r="O321" s="27" t="str">
        <f t="shared" ref="O321" si="931">"3 RODADA"</f>
        <v>3 RODADA</v>
      </c>
      <c r="P321" s="107">
        <f t="shared" ref="P321:AI321" si="932">IF(P319="","",IF((_xlfn.STDEV.P($P318:$XX319)/AVERAGE($P318:$XX319))&lt;=25%,P319,IF(OR(P319&gt;(AVERAGE($P318:$XX319)+_xlfn.STDEV.P($P318:$XX319)),P319&lt;(AVERAGE($P318:$XX319)-_xlfn.STDEV.P($P318:$XX319))),"DESCARTADO",P319)))</f>
        <v>151.03139204275953</v>
      </c>
      <c r="Q321" s="107">
        <f t="shared" si="932"/>
        <v>188.4991137739442</v>
      </c>
      <c r="R321" s="107">
        <f t="shared" si="932"/>
        <v>154.75970066032735</v>
      </c>
      <c r="S321" s="107">
        <f t="shared" si="932"/>
        <v>207.7165044602566</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f t="shared" si="841"/>
        <v>15</v>
      </c>
      <c r="C322" s="128">
        <f t="shared" si="842"/>
        <v>1</v>
      </c>
      <c r="D322" s="127">
        <f t="shared" si="842"/>
        <v>15</v>
      </c>
      <c r="E322" s="199"/>
      <c r="F322" s="93"/>
      <c r="G322" s="201"/>
      <c r="H322"/>
      <c r="I322"/>
      <c r="J322"/>
      <c r="K322" s="66"/>
      <c r="L322" s="29" t="s">
        <v>39</v>
      </c>
      <c r="M322" s="30">
        <f t="shared" ref="M322" si="933">IFERROR(_xlfn.QUARTILE.EXC($P315:$XX315,3),"")</f>
        <v>202.91215678867849</v>
      </c>
      <c r="N322" s="71"/>
      <c r="O322" s="27" t="str">
        <f t="shared" ref="O322" si="934">"4 POND"</f>
        <v>4 POND</v>
      </c>
      <c r="P322" s="107">
        <f>IF(IFERROR(VLOOKUP(P311,'Tabela de Apoio'!$D:$E,2,FALSE),1)=1,"",P323)</f>
        <v>151.03139204275953</v>
      </c>
      <c r="Q322" s="107">
        <f>IF(IFERROR(VLOOKUP(Q311,'Tabela de Apoio'!$D:$E,2,FALSE),1)=1,"",Q323)</f>
        <v>188.4991137739442</v>
      </c>
      <c r="R322" s="107">
        <f>IF(IFERROR(VLOOKUP(R311,'Tabela de Apoio'!$D:$E,2,FALSE),1)=1,"",R323)</f>
        <v>154.75970066032735</v>
      </c>
      <c r="S322" s="107">
        <f>IF(IFERROR(VLOOKUP(S311,'Tabela de Apoio'!$D:$E,2,FALSE),1)=1,"",S323)</f>
        <v>207.7165044602566</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f t="shared" si="841"/>
        <v>15</v>
      </c>
      <c r="C323" s="128">
        <f t="shared" si="842"/>
        <v>1</v>
      </c>
      <c r="D323" s="127">
        <f t="shared" si="842"/>
        <v>15</v>
      </c>
      <c r="E323" s="199"/>
      <c r="F323" s="93"/>
      <c r="G323" s="201"/>
      <c r="H323" s="134">
        <f t="shared" ref="H323" si="935">COUNT($P323:$XX323)</f>
        <v>4</v>
      </c>
      <c r="I323" s="132">
        <f t="shared" ref="I323" si="936">_xlfn.STDEV.P($P322:$XX323)/AVERAGE($P322:$XX323)</f>
        <v>0.13471024721075817</v>
      </c>
      <c r="J323" s="7">
        <f t="shared" ref="J323" si="937">IF(AND(H323&gt;2,
OR(L309="MÉDIA SANEADA",L309="MEDIANA SANEADA",
AND(L309="PREÇO ESTIMADO",NOT(AND(P311="Orçamento",COUNTA(P309:XX309)=COUNTIF(P311:XX311,"Orçamento")))))),
ROW(),0)</f>
        <v>323</v>
      </c>
      <c r="K323" s="66"/>
      <c r="L323" s="29" t="s">
        <v>42</v>
      </c>
      <c r="M323" s="30">
        <f t="shared" ref="M323" si="938">MIN($P315:$XX315)</f>
        <v>151.03139204275953</v>
      </c>
      <c r="N323" s="71"/>
      <c r="O323" s="27" t="str">
        <f t="shared" ref="O323" si="939">"4 RODADA"</f>
        <v>4 RODADA</v>
      </c>
      <c r="P323" s="107">
        <f t="shared" ref="P323:AI323" si="940">IF(P321="","",IF((_xlfn.STDEV.P($P320:$XX321)/AVERAGE($P320:$XX321))&lt;=25%,P321,IF(OR(P321&gt;(AVERAGE($P320:$XX321)+_xlfn.STDEV.P($P320:$XX321)),P321&lt;(AVERAGE($P320:$XX321)-_xlfn.STDEV.P($P320:$XX321))),"DESCARTADO",P321)))</f>
        <v>151.03139204275953</v>
      </c>
      <c r="Q323" s="107">
        <f t="shared" si="940"/>
        <v>188.4991137739442</v>
      </c>
      <c r="R323" s="107">
        <f t="shared" si="940"/>
        <v>154.75970066032735</v>
      </c>
      <c r="S323" s="107">
        <f t="shared" si="940"/>
        <v>207.7165044602566</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f t="shared" si="841"/>
        <v>15</v>
      </c>
      <c r="C324" s="128">
        <f t="shared" si="842"/>
        <v>1</v>
      </c>
      <c r="D324" s="127">
        <f t="shared" si="842"/>
        <v>15</v>
      </c>
      <c r="E324" s="199"/>
      <c r="F324" s="93"/>
      <c r="G324" s="201"/>
      <c r="H324"/>
      <c r="I324"/>
      <c r="J324"/>
      <c r="K324" s="66"/>
      <c r="L324" s="29" t="s">
        <v>40</v>
      </c>
      <c r="M324" s="30">
        <f t="shared" ref="M324" si="941">MAX($P315:$XX315)</f>
        <v>207.7165044602566</v>
      </c>
      <c r="N324" s="71"/>
      <c r="O324" s="27" t="str">
        <f t="shared" ref="O324" si="942">"5 POND"</f>
        <v>5 POND</v>
      </c>
      <c r="P324" s="107">
        <f>IF(IFERROR(VLOOKUP(P311,'Tabela de Apoio'!$D:$E,2,FALSE),1)=1,"",P325)</f>
        <v>151.03139204275953</v>
      </c>
      <c r="Q324" s="107">
        <f>IF(IFERROR(VLOOKUP(Q311,'Tabela de Apoio'!$D:$E,2,FALSE),1)=1,"",Q325)</f>
        <v>188.4991137739442</v>
      </c>
      <c r="R324" s="107">
        <f>IF(IFERROR(VLOOKUP(R311,'Tabela de Apoio'!$D:$E,2,FALSE),1)=1,"",R325)</f>
        <v>154.75970066032735</v>
      </c>
      <c r="S324" s="107">
        <f>IF(IFERROR(VLOOKUP(S311,'Tabela de Apoio'!$D:$E,2,FALSE),1)=1,"",S325)</f>
        <v>207.7165044602566</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f t="shared" si="841"/>
        <v>15</v>
      </c>
      <c r="C325" s="128">
        <f t="shared" si="842"/>
        <v>1</v>
      </c>
      <c r="D325" s="127">
        <f t="shared" si="842"/>
        <v>15</v>
      </c>
      <c r="E325" s="199"/>
      <c r="F325" s="93"/>
      <c r="G325" s="201"/>
      <c r="H325" s="134">
        <f t="shared" ref="H325" si="943">COUNT($P325:$XX325)</f>
        <v>4</v>
      </c>
      <c r="I325" s="132">
        <f t="shared" ref="I325" si="944">_xlfn.STDEV.P($P324:$XX325)/AVERAGE($P324:$XX325)</f>
        <v>0.13471024721075817</v>
      </c>
      <c r="J325" s="7">
        <f t="shared" ref="J325" si="945">IF(AND(H325&gt;2,
OR(L309="MÉDIA SANEADA",L309="MEDIANA SANEADA",
AND(L309="PREÇO ESTIMADO",NOT(AND(P311="Orçamento",COUNTA(P309:XX309)=COUNTIF(P311:XX311,"Orçamento")))))),
ROW(),0)</f>
        <v>325</v>
      </c>
      <c r="K325" s="66"/>
      <c r="N325" s="71"/>
      <c r="O325" s="27" t="str">
        <f t="shared" ref="O325" si="946">"5 RODADA"</f>
        <v>5 RODADA</v>
      </c>
      <c r="P325" s="107">
        <f t="shared" ref="P325:AI325" si="947">IF(P323="","",IF((_xlfn.STDEV.P($P322:$XX323)/AVERAGE($P322:$XX323))&lt;=25%,P323,IF(OR(P323&gt;(AVERAGE($P322:$XX323)+_xlfn.STDEV.P($P322:$XX323)),P323&lt;(AVERAGE($P322:$XX323)-_xlfn.STDEV.P($P322:$XX323))),"DESCARTADO",P323)))</f>
        <v>151.03139204275953</v>
      </c>
      <c r="Q325" s="107">
        <f t="shared" si="947"/>
        <v>188.4991137739442</v>
      </c>
      <c r="R325" s="107">
        <f t="shared" si="947"/>
        <v>154.75970066032735</v>
      </c>
      <c r="S325" s="107">
        <f t="shared" si="947"/>
        <v>207.7165044602566</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f t="shared" si="841"/>
        <v>15</v>
      </c>
      <c r="C326" s="128">
        <f t="shared" si="842"/>
        <v>1</v>
      </c>
      <c r="D326" s="127">
        <f t="shared" si="842"/>
        <v>15</v>
      </c>
      <c r="E326" s="199"/>
      <c r="F326" s="93"/>
      <c r="G326" s="201"/>
      <c r="H326"/>
      <c r="I326"/>
      <c r="J326"/>
      <c r="K326" s="66"/>
      <c r="L326" s="22"/>
      <c r="M326" s="22"/>
      <c r="N326" s="71"/>
      <c r="O326" s="27" t="str">
        <f t="shared" ref="O326" si="948">"6 POND"</f>
        <v>6 POND</v>
      </c>
      <c r="P326" s="107">
        <f>IF(IFERROR(VLOOKUP(P311,'Tabela de Apoio'!$D:$E,2,FALSE),1)=1,"",P327)</f>
        <v>151.03139204275953</v>
      </c>
      <c r="Q326" s="107">
        <f>IF(IFERROR(VLOOKUP(Q311,'Tabela de Apoio'!$D:$E,2,FALSE),1)=1,"",Q327)</f>
        <v>188.4991137739442</v>
      </c>
      <c r="R326" s="107">
        <f>IF(IFERROR(VLOOKUP(R311,'Tabela de Apoio'!$D:$E,2,FALSE),1)=1,"",R327)</f>
        <v>154.75970066032735</v>
      </c>
      <c r="S326" s="107">
        <f>IF(IFERROR(VLOOKUP(S311,'Tabela de Apoio'!$D:$E,2,FALSE),1)=1,"",S327)</f>
        <v>207.7165044602566</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f t="shared" si="841"/>
        <v>15</v>
      </c>
      <c r="C327" s="128">
        <f t="shared" si="842"/>
        <v>1</v>
      </c>
      <c r="D327" s="127">
        <f t="shared" si="842"/>
        <v>15</v>
      </c>
      <c r="E327" s="199"/>
      <c r="F327" s="93"/>
      <c r="G327" s="201"/>
      <c r="H327" s="134">
        <f t="shared" ref="H327" si="949">COUNT($P327:$XX327)</f>
        <v>4</v>
      </c>
      <c r="I327" s="132">
        <f t="shared" ref="I327" si="950">_xlfn.STDEV.P($P326:$XX327)/AVERAGE($P326:$XX327)</f>
        <v>0.13471024721075817</v>
      </c>
      <c r="J327" s="7">
        <f t="shared" ref="J327" si="951">IF(AND(H327&gt;2,
OR(L309="MÉDIA SANEADA",L309="MEDIANA SANEADA",
AND(L309="PREÇO ESTIMADO",NOT(AND(P311="Orçamento",COUNTA(P309:XX309)=COUNTIF(P311:XX311,"Orçamento")))))),
ROW(),0)</f>
        <v>327</v>
      </c>
      <c r="N327" s="71"/>
      <c r="O327" s="27" t="str">
        <f t="shared" ref="O327" si="952">"6 RODADA"</f>
        <v>6 RODADA</v>
      </c>
      <c r="P327" s="107">
        <f t="shared" ref="P327:AI327" si="953">IFERROR(IF(P325="","",IF((_xlfn.STDEV.P($P324:$XX325)/AVERAGE($P324:$XX325))&lt;=25%,P325,IF(OR(P325&gt;(AVERAGE($P324:$XX325)+_xlfn.STDEV.P($P324:$XX325)),P325&lt;(AVERAGE($P324:$XX325)-_xlfn.STDEV.P($P324:$XX325))),"DESCARTADO",P325))),)</f>
        <v>151.03139204275953</v>
      </c>
      <c r="Q327" s="107">
        <f t="shared" si="953"/>
        <v>188.4991137739442</v>
      </c>
      <c r="R327" s="107">
        <f t="shared" si="953"/>
        <v>154.75970066032735</v>
      </c>
      <c r="S327" s="107">
        <f t="shared" si="953"/>
        <v>207.7165044602566</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f t="shared" si="841"/>
        <v>15</v>
      </c>
      <c r="C328" s="128">
        <f t="shared" si="842"/>
        <v>1</v>
      </c>
      <c r="D328" s="127">
        <f t="shared" si="842"/>
        <v>15</v>
      </c>
      <c r="E328" s="199"/>
      <c r="F328" s="136"/>
      <c r="G328" s="201"/>
      <c r="H328" s="204"/>
      <c r="I328" s="204"/>
      <c r="J328" s="205"/>
      <c r="K328" s="67"/>
      <c r="L328" s="1" t="s">
        <v>43</v>
      </c>
      <c r="M328" s="143">
        <f t="shared" ref="M328" si="954">IFERROR(ROUND(M309*M311,2),"")</f>
        <v>102141</v>
      </c>
      <c r="O328" s="27" t="s">
        <v>363</v>
      </c>
      <c r="P328" s="107">
        <f t="shared" ref="P328:R328" si="955">INDEX(P315:P327,MATCH(MAX($J315:$J327),$J315:$J327,0))</f>
        <v>151.03139204275953</v>
      </c>
      <c r="Q328" s="107">
        <f t="shared" si="955"/>
        <v>188.4991137739442</v>
      </c>
      <c r="R328" s="107">
        <f t="shared" si="955"/>
        <v>154.75970066032735</v>
      </c>
      <c r="S328" s="107">
        <f t="shared" si="889"/>
        <v>207.7165044602566</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f t="shared" ref="B330" si="956">LARGE(IFERROR(IF(B328+1&gt;$H$8,"",B328+1),""),1)</f>
        <v>16</v>
      </c>
      <c r="C330" s="127">
        <f>IF(_xlfn.ISFORMULA(E334),MAX(INDEX('BASE FORMAÇÃO'!A:A,B330+1),1),E334)</f>
        <v>1</v>
      </c>
      <c r="D330" s="127">
        <f t="shared" ref="D330" si="957">IFERROR(IF(C330=C320,D320+1,1),1)</f>
        <v>16</v>
      </c>
      <c r="E330" s="38" t="s">
        <v>9</v>
      </c>
      <c r="F330" s="73"/>
      <c r="G330" s="38" t="s">
        <v>15</v>
      </c>
      <c r="H330" s="135">
        <f>INDEX('BASE FORMAÇÃO'!B:B,B330+1)</f>
        <v>0</v>
      </c>
      <c r="I330" s="181" t="s">
        <v>16</v>
      </c>
      <c r="J330" s="6">
        <f>INDEX('BASE FORMAÇÃO'!K:K,B330+1)</f>
        <v>0</v>
      </c>
      <c r="K330" s="65"/>
      <c r="L330" s="183" t="s">
        <v>10</v>
      </c>
      <c r="M330" s="185">
        <f t="shared" ref="M330" si="958">IF(OR(ISBLANK($O$8),ISBLANK($O$7),ISBLANK($H$8),ISBLANK($O$6),ISBLANK($O$5),ISBLANK($H$5)),"",IFERROR(IF(VLOOKUP(L330,L336:M345,2,FALSE)&lt;1,ROUND(VLOOKUP(L330,L336:M345,2,FALSE),4),ROUND(VLOOKUP(L330,L336:M345,2,FALSE),2)),""))</f>
        <v>110.58</v>
      </c>
      <c r="N330" s="69"/>
      <c r="O330" s="27" t="s">
        <v>17</v>
      </c>
      <c r="P330" s="113">
        <v>140</v>
      </c>
      <c r="Q330" s="113">
        <v>110</v>
      </c>
      <c r="R330" s="113">
        <v>99</v>
      </c>
      <c r="S330" s="113">
        <v>83.66</v>
      </c>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f t="shared" ref="B331:D331" si="959">B330</f>
        <v>16</v>
      </c>
      <c r="C331" s="128">
        <f t="shared" si="959"/>
        <v>1</v>
      </c>
      <c r="D331" s="127">
        <f t="shared" si="959"/>
        <v>16</v>
      </c>
      <c r="E331" s="187">
        <f t="shared" ref="E331" si="960">D330</f>
        <v>16</v>
      </c>
      <c r="F331" s="92"/>
      <c r="G331" s="189" t="s">
        <v>1</v>
      </c>
      <c r="H331" s="192" t="str">
        <f>INDEX('BASE FORMAÇÃO'!C:C,B330+1)</f>
        <v>Placas de Inauguração</v>
      </c>
      <c r="I331" s="192"/>
      <c r="J331" s="193"/>
      <c r="K331" s="66"/>
      <c r="L331" s="184"/>
      <c r="M331" s="186"/>
      <c r="N331" s="70"/>
      <c r="O331" s="27" t="s">
        <v>13</v>
      </c>
      <c r="P331" s="122">
        <v>46003</v>
      </c>
      <c r="Q331" s="122">
        <v>46234</v>
      </c>
      <c r="R331" s="122">
        <v>46003</v>
      </c>
      <c r="S331" s="122">
        <v>46106</v>
      </c>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f t="shared" ref="B332:D332" si="961">B331</f>
        <v>16</v>
      </c>
      <c r="C332" s="128">
        <f t="shared" si="961"/>
        <v>1</v>
      </c>
      <c r="D332" s="127">
        <f t="shared" si="961"/>
        <v>16</v>
      </c>
      <c r="E332" s="188"/>
      <c r="F332" s="93"/>
      <c r="G332" s="190"/>
      <c r="H332" s="194"/>
      <c r="I332" s="194"/>
      <c r="J332" s="195"/>
      <c r="K332" s="64"/>
      <c r="L332" s="130" t="s">
        <v>44</v>
      </c>
      <c r="M332" s="131">
        <f>INDEX('BASE FORMAÇÃO'!H:H,B334+1)</f>
        <v>1100</v>
      </c>
      <c r="N332" s="71"/>
      <c r="O332" s="27" t="s">
        <v>380</v>
      </c>
      <c r="P332" s="114" t="s">
        <v>12</v>
      </c>
      <c r="Q332" s="114" t="s">
        <v>12</v>
      </c>
      <c r="R332" s="114" t="s">
        <v>12</v>
      </c>
      <c r="S332" s="114" t="s">
        <v>12</v>
      </c>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f t="shared" ref="B333:C333" si="962">B332</f>
        <v>16</v>
      </c>
      <c r="C333" s="128">
        <f t="shared" si="962"/>
        <v>1</v>
      </c>
      <c r="D333" s="127">
        <f t="shared" si="842"/>
        <v>16</v>
      </c>
      <c r="E333" s="38" t="s">
        <v>313</v>
      </c>
      <c r="F333" s="93"/>
      <c r="G333" s="191"/>
      <c r="H333" s="196"/>
      <c r="I333" s="196"/>
      <c r="J333" s="197"/>
      <c r="K333" s="64"/>
      <c r="L333" s="1" t="s">
        <v>2</v>
      </c>
      <c r="M333" s="6" t="str">
        <f>INDEX('BASE FORMAÇÃO'!D:D,B334+1)</f>
        <v>M2</v>
      </c>
      <c r="N333" s="71"/>
      <c r="O333" s="27" t="s">
        <v>381</v>
      </c>
      <c r="P333" s="115" t="s">
        <v>459</v>
      </c>
      <c r="Q333" s="115" t="s">
        <v>460</v>
      </c>
      <c r="R333" s="115" t="s">
        <v>460</v>
      </c>
      <c r="S333" s="115" t="s">
        <v>460</v>
      </c>
      <c r="T333" s="115"/>
      <c r="U333" s="118"/>
      <c r="V333" s="118"/>
      <c r="W333" s="118"/>
      <c r="X333" s="118"/>
      <c r="Y333" s="118"/>
      <c r="Z333" s="118"/>
      <c r="AA333" s="118"/>
      <c r="AB333" s="118"/>
      <c r="AC333" s="118"/>
      <c r="AD333" s="118"/>
      <c r="AE333" s="118"/>
      <c r="AF333" s="118"/>
      <c r="AG333" s="118"/>
      <c r="AH333" s="118"/>
      <c r="AI333" s="118"/>
    </row>
    <row r="334" spans="1:167" x14ac:dyDescent="0.25">
      <c r="B334" s="128">
        <f t="shared" ref="B334:C334" si="963">B332</f>
        <v>16</v>
      </c>
      <c r="C334" s="128">
        <f t="shared" si="963"/>
        <v>1</v>
      </c>
      <c r="D334" s="127">
        <f t="shared" si="842"/>
        <v>16</v>
      </c>
      <c r="E334" s="198">
        <f t="shared" ref="E334" si="964">C330</f>
        <v>1</v>
      </c>
      <c r="F334" s="93"/>
      <c r="G334" s="200" t="s">
        <v>304</v>
      </c>
      <c r="H334" s="202"/>
      <c r="I334" s="203"/>
      <c r="J334" s="203"/>
      <c r="K334" s="67"/>
      <c r="L334" s="28" t="s">
        <v>303</v>
      </c>
      <c r="M334" s="133">
        <f t="shared" ref="M334" si="965">IFERROR(INDEX(I336:I348,MATCH(MAX(J336:J348),J336:J348,0)),"")</f>
        <v>0.1958008418820697</v>
      </c>
      <c r="N334" s="71"/>
      <c r="O334" s="27" t="s">
        <v>18</v>
      </c>
      <c r="P334" s="106">
        <f>IF(P330="","",
IF(OR(P332="Orçamento",P331="",MAX('Tabela de Apoio'!$A:$A)&lt;=P331),
P330,
(INDEX('Tabela de Apoio'!$B:$B,MATCH('MAPA DE PREÇOS'!$O$8,'Tabela de Apoio'!$A:$A,1))/INDEX('Tabela de Apoio'!$B:$B,MATCH('MAPA DE PREÇOS'!P331,'Tabela de Apoio'!$A:$A,1)-1))*P330))</f>
        <v>144.82462250675573</v>
      </c>
      <c r="Q334" s="106">
        <f>IF(Q330="","",
IF(OR(Q332="Orçamento",Q331="",MAX('Tabela de Apoio'!$A:$A)&lt;=Q331),
Q330,
(INDEX('Tabela de Apoio'!$B:$B,MATCH('MAPA DE PREÇOS'!$O$8,'Tabela de Apoio'!$A:$A,1))/INDEX('Tabela de Apoio'!$B:$B,MATCH('MAPA DE PREÇOS'!Q331,'Tabela de Apoio'!$A:$A,1)-1))*Q330))</f>
        <v>109.72486955021778</v>
      </c>
      <c r="R334" s="106">
        <f>IF(R330="","",
IF(OR(R332="Orçamento",R331="",MAX('Tabela de Apoio'!$A:$A)&lt;=R331),
R330,
(INDEX('Tabela de Apoio'!$B:$B,MATCH('MAPA DE PREÇOS'!$O$8,'Tabela de Apoio'!$A:$A,1))/INDEX('Tabela de Apoio'!$B:$B,MATCH('MAPA DE PREÇOS'!R331,'Tabela de Apoio'!$A:$A,1)-1))*R330))</f>
        <v>102.41169734406297</v>
      </c>
      <c r="S334" s="106">
        <f>IF(S330="","",
IF(OR(S332="Orçamento",S331="",MAX('Tabela de Apoio'!$A:$A)&lt;=S331),
S330,
(INDEX('Tabela de Apoio'!$B:$B,MATCH('MAPA DE PREÇOS'!$O$8,'Tabela de Apoio'!$A:$A,1))/INDEX('Tabela de Apoio'!$B:$B,MATCH('MAPA DE PREÇOS'!S331,'Tabela de Apoio'!$A:$A,1)-1))*S330))</f>
        <v>85.377109780994175</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f t="shared" ref="B335" si="966">B334</f>
        <v>16</v>
      </c>
      <c r="C335" s="128">
        <f t="shared" ref="C335" si="967">C334</f>
        <v>1</v>
      </c>
      <c r="D335" s="127">
        <f t="shared" si="842"/>
        <v>16</v>
      </c>
      <c r="E335" s="199"/>
      <c r="F335" s="93"/>
      <c r="G335" s="201"/>
      <c r="H335"/>
      <c r="I335"/>
      <c r="J335"/>
      <c r="N335" s="71"/>
      <c r="O335" s="27" t="s">
        <v>375</v>
      </c>
      <c r="P335" s="107">
        <f>IF(IFERROR(VLOOKUP(P332,'Tabela de Apoio'!$D:$E,2,FALSE),1)=1,"",P336)</f>
        <v>144.82462250675573</v>
      </c>
      <c r="Q335" s="107">
        <f>IF(IFERROR(VLOOKUP(Q332,'Tabela de Apoio'!$D:$E,2,FALSE),1)=1,"",Q336)</f>
        <v>109.72486955021778</v>
      </c>
      <c r="R335" s="107">
        <f>IF(IFERROR(VLOOKUP(R332,'Tabela de Apoio'!$D:$E,2,FALSE),1)=1,"",R336)</f>
        <v>102.41169734406297</v>
      </c>
      <c r="S335" s="107">
        <f>IF(IFERROR(VLOOKUP(S332,'Tabela de Apoio'!$D:$E,2,FALSE),1)=1,"",S336)</f>
        <v>85.377109780994175</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f t="shared" ref="B336:C336" si="968">B335</f>
        <v>16</v>
      </c>
      <c r="C336" s="128">
        <f t="shared" si="968"/>
        <v>1</v>
      </c>
      <c r="D336" s="127">
        <f t="shared" si="842"/>
        <v>16</v>
      </c>
      <c r="E336" s="199"/>
      <c r="F336" s="93"/>
      <c r="G336" s="201"/>
      <c r="H336" s="134">
        <f t="shared" ref="H336" si="969">COUNT($P336:$XX336)</f>
        <v>4</v>
      </c>
      <c r="I336" s="132">
        <f t="shared" ref="I336" si="970">_xlfn.STDEV.P($P335:$XX336)/AVERAGE($P335:$XX336)</f>
        <v>0.1958008418820697</v>
      </c>
      <c r="J336" s="7">
        <f>ROW()</f>
        <v>336</v>
      </c>
      <c r="K336" s="67"/>
      <c r="L336" s="29" t="s">
        <v>10</v>
      </c>
      <c r="M336" s="30">
        <f t="shared" ref="M336" si="971">IFERROR(
IF(COUNTA(P330:AI330)=COUNTIF(P332:XX332,"Orçamento"),MIN(M341,M338),
IF(M339&lt;&gt;"",M339,
IF(M340&lt;&gt;"",M340,
M338
))),"")</f>
        <v>110.58457479550768</v>
      </c>
      <c r="N336" s="71"/>
      <c r="O336" s="27" t="s">
        <v>376</v>
      </c>
      <c r="P336" s="106">
        <f t="shared" ref="P336:AI336" si="972">IFERROR(IF(P334="",
            "",
            IF(COUNT($P334:$XX334)&lt;=4,
               P334,
               IF(OR(P334&gt;(QUARTILE($P334:$XX334,3)+(QUARTILE($P334:$XX334,3)-QUARTILE($P334:$XX334,1))),
                     P334&lt;(QUARTILE($P334:$XX334,1)-(QUARTILE($P334:$XX334,3)-QUARTILE($P334:$XX334,1)))
                  ),
               "DESCARTADO",P334)
             )
  ),P334)</f>
        <v>144.82462250675573</v>
      </c>
      <c r="Q336" s="106">
        <f t="shared" si="972"/>
        <v>109.72486955021778</v>
      </c>
      <c r="R336" s="106">
        <f t="shared" si="972"/>
        <v>102.41169734406297</v>
      </c>
      <c r="S336" s="106">
        <f t="shared" si="972"/>
        <v>85.377109780994175</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f t="shared" ref="B337" si="973">B336</f>
        <v>16</v>
      </c>
      <c r="C337" s="128">
        <f t="shared" ref="C337" si="974">C336</f>
        <v>1</v>
      </c>
      <c r="D337" s="127">
        <f t="shared" si="842"/>
        <v>16</v>
      </c>
      <c r="E337" s="199"/>
      <c r="F337" s="93"/>
      <c r="G337" s="201"/>
      <c r="H337"/>
      <c r="I337"/>
      <c r="J337"/>
      <c r="K337" s="66"/>
      <c r="L337" s="29" t="s">
        <v>360</v>
      </c>
      <c r="M337" s="30">
        <f t="shared" ref="M337" si="975">AVERAGE($P336:$XX336)</f>
        <v>110.58457479550768</v>
      </c>
      <c r="N337" s="71"/>
      <c r="O337" s="27" t="str">
        <f t="shared" ref="O337" si="976">"1 POND"</f>
        <v>1 POND</v>
      </c>
      <c r="P337" s="107">
        <f>IF(IFERROR(VLOOKUP(P332,'Tabela de Apoio'!$D:$E,2,FALSE),1)=1,"",P338)</f>
        <v>144.82462250675573</v>
      </c>
      <c r="Q337" s="107">
        <f>IF(IFERROR(VLOOKUP(Q332,'Tabela de Apoio'!$D:$E,2,FALSE),1)=1,"",Q338)</f>
        <v>109.72486955021778</v>
      </c>
      <c r="R337" s="107">
        <f>IF(IFERROR(VLOOKUP(R332,'Tabela de Apoio'!$D:$E,2,FALSE),1)=1,"",R338)</f>
        <v>102.41169734406297</v>
      </c>
      <c r="S337" s="107">
        <f>IF(IFERROR(VLOOKUP(S332,'Tabela de Apoio'!$D:$E,2,FALSE),1)=1,"",S338)</f>
        <v>85.377109780994175</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f t="shared" si="841"/>
        <v>16</v>
      </c>
      <c r="C338" s="128">
        <f t="shared" si="842"/>
        <v>1</v>
      </c>
      <c r="D338" s="127">
        <f t="shared" si="842"/>
        <v>16</v>
      </c>
      <c r="E338" s="199"/>
      <c r="F338" s="93"/>
      <c r="G338" s="201"/>
      <c r="H338" s="134">
        <f t="shared" ref="H338" si="977">COUNT($P338:$XX338)</f>
        <v>4</v>
      </c>
      <c r="I338" s="132">
        <f t="shared" ref="I338" si="978">_xlfn.STDEV.P($P337:$XX338)/AVERAGE($P337:$XX338)</f>
        <v>0.1958008418820697</v>
      </c>
      <c r="J338" s="7">
        <f t="shared" ref="J338" si="979">IF(AND(H338&gt;2,
OR(L330="MÉDIA SANEADA",L330="MEDIANA SANEADA",
AND(L330="PREÇO ESTIMADO",NOT(AND(P332="Orçamento",COUNTA(P330:XX330)=COUNTIF(P332:XX332,"Orçamento")))))),
ROW(),0)</f>
        <v>338</v>
      </c>
      <c r="K338" s="66"/>
      <c r="L338" s="29" t="s">
        <v>361</v>
      </c>
      <c r="M338" s="30">
        <f t="shared" ref="M338" si="980">MEDIAN($P336:$XX336)</f>
        <v>106.06828344714037</v>
      </c>
      <c r="N338" s="71"/>
      <c r="O338" s="27" t="str">
        <f t="shared" ref="O338" si="981">"1 RODADA"</f>
        <v>1 RODADA</v>
      </c>
      <c r="P338" s="107">
        <f t="shared" ref="P338:AI338" si="982">IF(P336="","",IF((_xlfn.STDEV.P($P335:$XX336)/AVERAGE($P335:$XX336))&lt;=25%,P336,IF(OR(P336&gt;(AVERAGE($P335:$XX336)+_xlfn.STDEV.P($P335:$XX336)),P336&lt;(AVERAGE($P335:$XX336)-_xlfn.STDEV.P($P335:$XX336))),"DESCARTADO",P336)))</f>
        <v>144.82462250675573</v>
      </c>
      <c r="Q338" s="107">
        <f t="shared" si="982"/>
        <v>109.72486955021778</v>
      </c>
      <c r="R338" s="107">
        <f t="shared" si="982"/>
        <v>102.41169734406297</v>
      </c>
      <c r="S338" s="107">
        <f t="shared" si="982"/>
        <v>85.377109780994175</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f t="shared" si="841"/>
        <v>16</v>
      </c>
      <c r="C339" s="128">
        <f t="shared" si="842"/>
        <v>1</v>
      </c>
      <c r="D339" s="127">
        <f t="shared" si="842"/>
        <v>16</v>
      </c>
      <c r="E339" s="199"/>
      <c r="F339" s="93"/>
      <c r="G339" s="201"/>
      <c r="H339"/>
      <c r="I339"/>
      <c r="J339"/>
      <c r="L339" s="29" t="s">
        <v>38</v>
      </c>
      <c r="M339" s="30">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110.58457479550768</v>
      </c>
      <c r="N339" s="71"/>
      <c r="O339" s="27" t="str">
        <f t="shared" ref="O339" si="984">"2 POND"</f>
        <v>2 POND</v>
      </c>
      <c r="P339" s="107">
        <f>IF(IFERROR(VLOOKUP(P332,'Tabela de Apoio'!$D:$E,2,FALSE),1)=1,"",P340)</f>
        <v>144.82462250675573</v>
      </c>
      <c r="Q339" s="107">
        <f>IF(IFERROR(VLOOKUP(Q332,'Tabela de Apoio'!$D:$E,2,FALSE),1)=1,"",Q340)</f>
        <v>109.72486955021778</v>
      </c>
      <c r="R339" s="107">
        <f>IF(IFERROR(VLOOKUP(R332,'Tabela de Apoio'!$D:$E,2,FALSE),1)=1,"",R340)</f>
        <v>102.41169734406297</v>
      </c>
      <c r="S339" s="107">
        <f>IF(IFERROR(VLOOKUP(S332,'Tabela de Apoio'!$D:$E,2,FALSE),1)=1,"",S340)</f>
        <v>85.377109780994175</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f t="shared" si="841"/>
        <v>16</v>
      </c>
      <c r="C340" s="128">
        <f t="shared" si="842"/>
        <v>1</v>
      </c>
      <c r="D340" s="127">
        <f t="shared" si="842"/>
        <v>16</v>
      </c>
      <c r="E340" s="199"/>
      <c r="F340" s="93"/>
      <c r="G340" s="201"/>
      <c r="H340" s="134">
        <f t="shared" ref="H340" si="985">COUNT($P340:$XX340)</f>
        <v>4</v>
      </c>
      <c r="I340" s="132">
        <f t="shared" ref="I340" si="986">_xlfn.STDEV.P($P339:$XX340)/AVERAGE($P339:$XX340)</f>
        <v>0.1958008418820697</v>
      </c>
      <c r="J340" s="7">
        <f t="shared" ref="J340" si="987">IF(AND(H340&gt;2,
OR(L330="MÉDIA SANEADA",L330="MEDIANA SANEADA",
AND(L330="PREÇO ESTIMADO",NOT(AND(P332="Orçamento",COUNTA(P330:XX330)=COUNTIF(P332:XX332,"Orçamento")))))),
ROW(),0)</f>
        <v>340</v>
      </c>
      <c r="K340" s="66"/>
      <c r="L340" s="29" t="s">
        <v>362</v>
      </c>
      <c r="M340" s="30">
        <f t="shared" ref="M340" si="988" xml:space="preserve">
IF(H338&gt;2,MEDIAN(P337:XX338),
IF(H340&gt;2,MEDIAN(P339:XX340),
IF(H342&gt;2,MEDIAN(P341:XX342),
IF(H344&gt;2,MEDIAN(P343:XX344),
IF(H346&gt;2,MEDIAN(P345:XX346),
IF(H348&gt;2,MEDIAN(P347:XX348),
MEDIAN(P335:XX336)))))))</f>
        <v>106.06828344714037</v>
      </c>
      <c r="N340" s="71"/>
      <c r="O340" s="27" t="str">
        <f t="shared" ref="O340" si="989">"2 RODADA"</f>
        <v>2 RODADA</v>
      </c>
      <c r="P340" s="107">
        <f t="shared" ref="P340:AI340" si="990">IF(P338="","",IF((_xlfn.STDEV.P($P337:$XX338)/AVERAGE($P337:$XX338))&lt;=25%,P338,IF(OR(P338&gt;(AVERAGE($P337:$XX338)+_xlfn.STDEV.P($P337:$XX338)),P338&lt;(AVERAGE($P337:$XX338)-_xlfn.STDEV.P($P337:$XX338))),"DESCARTADO",P338)))</f>
        <v>144.82462250675573</v>
      </c>
      <c r="Q340" s="107">
        <f t="shared" si="990"/>
        <v>109.72486955021778</v>
      </c>
      <c r="R340" s="107">
        <f t="shared" si="990"/>
        <v>102.41169734406297</v>
      </c>
      <c r="S340" s="107">
        <f t="shared" si="990"/>
        <v>85.377109780994175</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f t="shared" si="841"/>
        <v>16</v>
      </c>
      <c r="C341" s="128">
        <f t="shared" si="842"/>
        <v>1</v>
      </c>
      <c r="D341" s="127">
        <f t="shared" si="842"/>
        <v>16</v>
      </c>
      <c r="E341" s="199"/>
      <c r="F341" s="93"/>
      <c r="G341" s="201"/>
      <c r="H341"/>
      <c r="I341"/>
      <c r="J341"/>
      <c r="K341" s="66"/>
      <c r="L341" s="29" t="s">
        <v>359</v>
      </c>
      <c r="M341" s="30">
        <f t="shared" ref="M341" si="991">HARMEAN($P335:$XX336)</f>
        <v>106.67844895264777</v>
      </c>
      <c r="N341" s="71"/>
      <c r="O341" s="27" t="str">
        <f t="shared" ref="O341" si="992">"3 POND"</f>
        <v>3 POND</v>
      </c>
      <c r="P341" s="107">
        <f>IF(IFERROR(VLOOKUP(P332,'Tabela de Apoio'!$D:$E,2,FALSE),1)=1,"",P342)</f>
        <v>144.82462250675573</v>
      </c>
      <c r="Q341" s="107">
        <f>IF(IFERROR(VLOOKUP(Q332,'Tabela de Apoio'!$D:$E,2,FALSE),1)=1,"",Q342)</f>
        <v>109.72486955021778</v>
      </c>
      <c r="R341" s="107">
        <f>IF(IFERROR(VLOOKUP(R332,'Tabela de Apoio'!$D:$E,2,FALSE),1)=1,"",R342)</f>
        <v>102.41169734406297</v>
      </c>
      <c r="S341" s="107">
        <f>IF(IFERROR(VLOOKUP(S332,'Tabela de Apoio'!$D:$E,2,FALSE),1)=1,"",S342)</f>
        <v>85.377109780994175</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f t="shared" si="841"/>
        <v>16</v>
      </c>
      <c r="C342" s="128">
        <f t="shared" si="842"/>
        <v>1</v>
      </c>
      <c r="D342" s="127">
        <f t="shared" si="842"/>
        <v>16</v>
      </c>
      <c r="E342" s="199"/>
      <c r="F342" s="93"/>
      <c r="G342" s="201"/>
      <c r="H342" s="134">
        <f t="shared" ref="H342" si="993">COUNT($P342:$XX342)</f>
        <v>4</v>
      </c>
      <c r="I342" s="132">
        <f t="shared" ref="I342" si="994">_xlfn.STDEV.P($P341:$XX342)/AVERAGE($P341:$XX342)</f>
        <v>0.1958008418820697</v>
      </c>
      <c r="J342" s="7">
        <f t="shared" ref="J342" si="995">IF(AND(H342&gt;2,
OR(L330="MÉDIA SANEADA",L330="MEDIANA SANEADA",
AND(L330="PREÇO ESTIMADO",NOT(AND(P332="Orçamento",COUNTA(P330:XX330)=COUNTIF(P332:XX332,"Orçamento")))))),
ROW(),0)</f>
        <v>342</v>
      </c>
      <c r="K342" s="66"/>
      <c r="L342" s="29" t="s">
        <v>41</v>
      </c>
      <c r="M342" s="30">
        <f t="shared" ref="M342" si="996">IFERROR(_xlfn.QUARTILE.EXC($P336:$XX336,1),"")</f>
        <v>89.635756671761371</v>
      </c>
      <c r="N342" s="71"/>
      <c r="O342" s="27" t="str">
        <f t="shared" ref="O342" si="997">"3 RODADA"</f>
        <v>3 RODADA</v>
      </c>
      <c r="P342" s="107">
        <f t="shared" ref="P342:AI342" si="998">IF(P340="","",IF((_xlfn.STDEV.P($P339:$XX340)/AVERAGE($P339:$XX340))&lt;=25%,P340,IF(OR(P340&gt;(AVERAGE($P339:$XX340)+_xlfn.STDEV.P($P339:$XX340)),P340&lt;(AVERAGE($P339:$XX340)-_xlfn.STDEV.P($P339:$XX340))),"DESCARTADO",P340)))</f>
        <v>144.82462250675573</v>
      </c>
      <c r="Q342" s="107">
        <f t="shared" si="998"/>
        <v>109.72486955021778</v>
      </c>
      <c r="R342" s="107">
        <f t="shared" si="998"/>
        <v>102.41169734406297</v>
      </c>
      <c r="S342" s="107">
        <f t="shared" si="998"/>
        <v>85.377109780994175</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f t="shared" si="841"/>
        <v>16</v>
      </c>
      <c r="C343" s="128">
        <f t="shared" si="842"/>
        <v>1</v>
      </c>
      <c r="D343" s="127">
        <f t="shared" si="842"/>
        <v>16</v>
      </c>
      <c r="E343" s="199"/>
      <c r="F343" s="93"/>
      <c r="G343" s="201"/>
      <c r="H343"/>
      <c r="I343"/>
      <c r="J343"/>
      <c r="K343" s="66"/>
      <c r="L343" s="29" t="s">
        <v>39</v>
      </c>
      <c r="M343" s="30">
        <f t="shared" ref="M343" si="999">IFERROR(_xlfn.QUARTILE.EXC($P336:$XX336,3),"")</f>
        <v>136.04968426762125</v>
      </c>
      <c r="N343" s="71"/>
      <c r="O343" s="27" t="str">
        <f t="shared" ref="O343" si="1000">"4 POND"</f>
        <v>4 POND</v>
      </c>
      <c r="P343" s="107">
        <f>IF(IFERROR(VLOOKUP(P332,'Tabela de Apoio'!$D:$E,2,FALSE),1)=1,"",P344)</f>
        <v>144.82462250675573</v>
      </c>
      <c r="Q343" s="107">
        <f>IF(IFERROR(VLOOKUP(Q332,'Tabela de Apoio'!$D:$E,2,FALSE),1)=1,"",Q344)</f>
        <v>109.72486955021778</v>
      </c>
      <c r="R343" s="107">
        <f>IF(IFERROR(VLOOKUP(R332,'Tabela de Apoio'!$D:$E,2,FALSE),1)=1,"",R344)</f>
        <v>102.41169734406297</v>
      </c>
      <c r="S343" s="107">
        <f>IF(IFERROR(VLOOKUP(S332,'Tabela de Apoio'!$D:$E,2,FALSE),1)=1,"",S344)</f>
        <v>85.377109780994175</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f t="shared" si="841"/>
        <v>16</v>
      </c>
      <c r="C344" s="128">
        <f t="shared" si="842"/>
        <v>1</v>
      </c>
      <c r="D344" s="127">
        <f t="shared" si="842"/>
        <v>16</v>
      </c>
      <c r="E344" s="199"/>
      <c r="F344" s="93"/>
      <c r="G344" s="201"/>
      <c r="H344" s="134">
        <f t="shared" ref="H344" si="1001">COUNT($P344:$XX344)</f>
        <v>4</v>
      </c>
      <c r="I344" s="132">
        <f t="shared" ref="I344" si="1002">_xlfn.STDEV.P($P343:$XX344)/AVERAGE($P343:$XX344)</f>
        <v>0.1958008418820697</v>
      </c>
      <c r="J344" s="7">
        <f t="shared" ref="J344" si="1003">IF(AND(H344&gt;2,
OR(L330="MÉDIA SANEADA",L330="MEDIANA SANEADA",
AND(L330="PREÇO ESTIMADO",NOT(AND(P332="Orçamento",COUNTA(P330:XX330)=COUNTIF(P332:XX332,"Orçamento")))))),
ROW(),0)</f>
        <v>344</v>
      </c>
      <c r="K344" s="66"/>
      <c r="L344" s="29" t="s">
        <v>42</v>
      </c>
      <c r="M344" s="30">
        <f t="shared" ref="M344" si="1004">MIN($P336:$XX336)</f>
        <v>85.377109780994175</v>
      </c>
      <c r="N344" s="71"/>
      <c r="O344" s="27" t="str">
        <f t="shared" ref="O344" si="1005">"4 RODADA"</f>
        <v>4 RODADA</v>
      </c>
      <c r="P344" s="107">
        <f t="shared" ref="P344:AI344" si="1006">IF(P342="","",IF((_xlfn.STDEV.P($P341:$XX342)/AVERAGE($P341:$XX342))&lt;=25%,P342,IF(OR(P342&gt;(AVERAGE($P341:$XX342)+_xlfn.STDEV.P($P341:$XX342)),P342&lt;(AVERAGE($P341:$XX342)-_xlfn.STDEV.P($P341:$XX342))),"DESCARTADO",P342)))</f>
        <v>144.82462250675573</v>
      </c>
      <c r="Q344" s="107">
        <f t="shared" si="1006"/>
        <v>109.72486955021778</v>
      </c>
      <c r="R344" s="107">
        <f t="shared" si="1006"/>
        <v>102.41169734406297</v>
      </c>
      <c r="S344" s="107">
        <f t="shared" si="1006"/>
        <v>85.377109780994175</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f t="shared" si="841"/>
        <v>16</v>
      </c>
      <c r="C345" s="128">
        <f t="shared" si="842"/>
        <v>1</v>
      </c>
      <c r="D345" s="127">
        <f t="shared" si="842"/>
        <v>16</v>
      </c>
      <c r="E345" s="199"/>
      <c r="F345" s="93"/>
      <c r="G345" s="201"/>
      <c r="H345"/>
      <c r="I345"/>
      <c r="J345"/>
      <c r="K345" s="66"/>
      <c r="L345" s="29" t="s">
        <v>40</v>
      </c>
      <c r="M345" s="30">
        <f t="shared" ref="M345" si="1007">MAX($P336:$XX336)</f>
        <v>144.82462250675573</v>
      </c>
      <c r="N345" s="71"/>
      <c r="O345" s="27" t="str">
        <f t="shared" ref="O345" si="1008">"5 POND"</f>
        <v>5 POND</v>
      </c>
      <c r="P345" s="107">
        <f>IF(IFERROR(VLOOKUP(P332,'Tabela de Apoio'!$D:$E,2,FALSE),1)=1,"",P346)</f>
        <v>144.82462250675573</v>
      </c>
      <c r="Q345" s="107">
        <f>IF(IFERROR(VLOOKUP(Q332,'Tabela de Apoio'!$D:$E,2,FALSE),1)=1,"",Q346)</f>
        <v>109.72486955021778</v>
      </c>
      <c r="R345" s="107">
        <f>IF(IFERROR(VLOOKUP(R332,'Tabela de Apoio'!$D:$E,2,FALSE),1)=1,"",R346)</f>
        <v>102.41169734406297</v>
      </c>
      <c r="S345" s="107">
        <f>IF(IFERROR(VLOOKUP(S332,'Tabela de Apoio'!$D:$E,2,FALSE),1)=1,"",S346)</f>
        <v>85.377109780994175</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f t="shared" si="841"/>
        <v>16</v>
      </c>
      <c r="C346" s="128">
        <f t="shared" si="842"/>
        <v>1</v>
      </c>
      <c r="D346" s="127">
        <f t="shared" si="842"/>
        <v>16</v>
      </c>
      <c r="E346" s="199"/>
      <c r="F346" s="93"/>
      <c r="G346" s="201"/>
      <c r="H346" s="134">
        <f t="shared" ref="H346" si="1009">COUNT($P346:$XX346)</f>
        <v>4</v>
      </c>
      <c r="I346" s="132">
        <f t="shared" ref="I346" si="1010">_xlfn.STDEV.P($P345:$XX346)/AVERAGE($P345:$XX346)</f>
        <v>0.1958008418820697</v>
      </c>
      <c r="J346" s="7">
        <f t="shared" ref="J346" si="1011">IF(AND(H346&gt;2,
OR(L330="MÉDIA SANEADA",L330="MEDIANA SANEADA",
AND(L330="PREÇO ESTIMADO",NOT(AND(P332="Orçamento",COUNTA(P330:XX330)=COUNTIF(P332:XX332,"Orçamento")))))),
ROW(),0)</f>
        <v>346</v>
      </c>
      <c r="K346" s="66"/>
      <c r="N346" s="71"/>
      <c r="O346" s="27" t="str">
        <f t="shared" ref="O346" si="1012">"5 RODADA"</f>
        <v>5 RODADA</v>
      </c>
      <c r="P346" s="107">
        <f t="shared" ref="P346:AI346" si="1013">IF(P344="","",IF((_xlfn.STDEV.P($P343:$XX344)/AVERAGE($P343:$XX344))&lt;=25%,P344,IF(OR(P344&gt;(AVERAGE($P343:$XX344)+_xlfn.STDEV.P($P343:$XX344)),P344&lt;(AVERAGE($P343:$XX344)-_xlfn.STDEV.P($P343:$XX344))),"DESCARTADO",P344)))</f>
        <v>144.82462250675573</v>
      </c>
      <c r="Q346" s="107">
        <f t="shared" si="1013"/>
        <v>109.72486955021778</v>
      </c>
      <c r="R346" s="107">
        <f t="shared" si="1013"/>
        <v>102.41169734406297</v>
      </c>
      <c r="S346" s="107">
        <f t="shared" si="1013"/>
        <v>85.377109780994175</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f t="shared" si="841"/>
        <v>16</v>
      </c>
      <c r="C347" s="128">
        <f t="shared" si="842"/>
        <v>1</v>
      </c>
      <c r="D347" s="127">
        <f t="shared" si="842"/>
        <v>16</v>
      </c>
      <c r="E347" s="199"/>
      <c r="F347" s="93"/>
      <c r="G347" s="201"/>
      <c r="H347"/>
      <c r="I347"/>
      <c r="J347"/>
      <c r="K347" s="66"/>
      <c r="L347" s="22"/>
      <c r="M347" s="22"/>
      <c r="N347" s="71"/>
      <c r="O347" s="27" t="str">
        <f t="shared" ref="O347" si="1014">"6 POND"</f>
        <v>6 POND</v>
      </c>
      <c r="P347" s="107">
        <f>IF(IFERROR(VLOOKUP(P332,'Tabela de Apoio'!$D:$E,2,FALSE),1)=1,"",P348)</f>
        <v>144.82462250675573</v>
      </c>
      <c r="Q347" s="107">
        <f>IF(IFERROR(VLOOKUP(Q332,'Tabela de Apoio'!$D:$E,2,FALSE),1)=1,"",Q348)</f>
        <v>109.72486955021778</v>
      </c>
      <c r="R347" s="107">
        <f>IF(IFERROR(VLOOKUP(R332,'Tabela de Apoio'!$D:$E,2,FALSE),1)=1,"",R348)</f>
        <v>102.41169734406297</v>
      </c>
      <c r="S347" s="107">
        <f>IF(IFERROR(VLOOKUP(S332,'Tabela de Apoio'!$D:$E,2,FALSE),1)=1,"",S348)</f>
        <v>85.377109780994175</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f t="shared" si="841"/>
        <v>16</v>
      </c>
      <c r="C348" s="128">
        <f t="shared" si="842"/>
        <v>1</v>
      </c>
      <c r="D348" s="127">
        <f t="shared" si="842"/>
        <v>16</v>
      </c>
      <c r="E348" s="199"/>
      <c r="F348" s="93"/>
      <c r="G348" s="201"/>
      <c r="H348" s="134">
        <f t="shared" ref="H348" si="1015">COUNT($P348:$XX348)</f>
        <v>4</v>
      </c>
      <c r="I348" s="132">
        <f t="shared" ref="I348" si="1016">_xlfn.STDEV.P($P347:$XX348)/AVERAGE($P347:$XX348)</f>
        <v>0.1958008418820697</v>
      </c>
      <c r="J348" s="7">
        <f t="shared" ref="J348" si="1017">IF(AND(H348&gt;2,
OR(L330="MÉDIA SANEADA",L330="MEDIANA SANEADA",
AND(L330="PREÇO ESTIMADO",NOT(AND(P332="Orçamento",COUNTA(P330:XX330)=COUNTIF(P332:XX332,"Orçamento")))))),
ROW(),0)</f>
        <v>348</v>
      </c>
      <c r="N348" s="71"/>
      <c r="O348" s="27" t="str">
        <f t="shared" ref="O348" si="1018">"6 RODADA"</f>
        <v>6 RODADA</v>
      </c>
      <c r="P348" s="107">
        <f t="shared" ref="P348:AI348" si="1019">IFERROR(IF(P346="","",IF((_xlfn.STDEV.P($P345:$XX346)/AVERAGE($P345:$XX346))&lt;=25%,P346,IF(OR(P346&gt;(AVERAGE($P345:$XX346)+_xlfn.STDEV.P($P345:$XX346)),P346&lt;(AVERAGE($P345:$XX346)-_xlfn.STDEV.P($P345:$XX346))),"DESCARTADO",P346))),)</f>
        <v>144.82462250675573</v>
      </c>
      <c r="Q348" s="107">
        <f t="shared" si="1019"/>
        <v>109.72486955021778</v>
      </c>
      <c r="R348" s="107">
        <f t="shared" si="1019"/>
        <v>102.41169734406297</v>
      </c>
      <c r="S348" s="107">
        <f t="shared" si="1019"/>
        <v>85.377109780994175</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f t="shared" si="841"/>
        <v>16</v>
      </c>
      <c r="C349" s="128">
        <f t="shared" si="842"/>
        <v>1</v>
      </c>
      <c r="D349" s="127">
        <f t="shared" si="842"/>
        <v>16</v>
      </c>
      <c r="E349" s="199"/>
      <c r="F349" s="136"/>
      <c r="G349" s="201"/>
      <c r="H349" s="204"/>
      <c r="I349" s="204"/>
      <c r="J349" s="205"/>
      <c r="K349" s="67"/>
      <c r="L349" s="1" t="s">
        <v>43</v>
      </c>
      <c r="M349" s="143">
        <f t="shared" ref="M349" si="1020">IFERROR(ROUND(M330*M332,2),"")</f>
        <v>121638</v>
      </c>
      <c r="O349" s="27" t="s">
        <v>363</v>
      </c>
      <c r="P349" s="107">
        <f t="shared" ref="P349:AI370" si="1021">INDEX(P336:P348,MATCH(MAX($J336:$J348),$J336:$J348,0))</f>
        <v>144.82462250675573</v>
      </c>
      <c r="Q349" s="107">
        <f t="shared" si="1021"/>
        <v>109.72486955021778</v>
      </c>
      <c r="R349" s="107">
        <f t="shared" si="1021"/>
        <v>102.41169734406297</v>
      </c>
      <c r="S349" s="107">
        <f t="shared" si="1021"/>
        <v>85.377109780994175</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f t="shared" ref="B351" si="1022">LARGE(IFERROR(IF(B349+1&gt;$H$8,"",B349+1),""),1)</f>
        <v>17</v>
      </c>
      <c r="C351" s="127">
        <f>IF(_xlfn.ISFORMULA(E355),MAX(INDEX('BASE FORMAÇÃO'!A:A,B351+1),1),E355)</f>
        <v>1</v>
      </c>
      <c r="D351" s="127">
        <f t="shared" ref="D351" si="1023">IFERROR(IF(C351=C341,D341+1,1),1)</f>
        <v>17</v>
      </c>
      <c r="E351" s="38" t="s">
        <v>9</v>
      </c>
      <c r="F351" s="73"/>
      <c r="G351" s="38" t="s">
        <v>15</v>
      </c>
      <c r="H351" s="135">
        <f>INDEX('BASE FORMAÇÃO'!B:B,B351+1)</f>
        <v>0</v>
      </c>
      <c r="I351" s="181" t="s">
        <v>16</v>
      </c>
      <c r="J351" s="6">
        <f>INDEX('BASE FORMAÇÃO'!K:K,B351+1)</f>
        <v>0</v>
      </c>
      <c r="K351" s="65"/>
      <c r="L351" s="183" t="s">
        <v>10</v>
      </c>
      <c r="M351" s="185">
        <f t="shared" ref="M351" si="1024">IF(OR(ISBLANK($O$8),ISBLANK($O$7),ISBLANK($H$8),ISBLANK($O$6),ISBLANK($O$5),ISBLANK($H$5)),"",IFERROR(IF(VLOOKUP(L351,L357:M366,2,FALSE)&lt;1,ROUND(VLOOKUP(L351,L357:M366,2,FALSE),4),ROUND(VLOOKUP(L351,L357:M366,2,FALSE),2)),""))</f>
        <v>64.5</v>
      </c>
      <c r="N351" s="69"/>
      <c r="O351" s="27" t="s">
        <v>17</v>
      </c>
      <c r="P351" s="113">
        <v>44</v>
      </c>
      <c r="Q351" s="113">
        <v>77.650000000000006</v>
      </c>
      <c r="R351" s="113">
        <v>65</v>
      </c>
      <c r="S351" s="113">
        <v>70</v>
      </c>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f t="shared" ref="B352:D352" si="1025">B351</f>
        <v>17</v>
      </c>
      <c r="C352" s="128">
        <f t="shared" si="1025"/>
        <v>1</v>
      </c>
      <c r="D352" s="127">
        <f t="shared" si="1025"/>
        <v>17</v>
      </c>
      <c r="E352" s="187">
        <f t="shared" ref="E352" si="1026">D351</f>
        <v>17</v>
      </c>
      <c r="F352" s="92"/>
      <c r="G352" s="189" t="s">
        <v>1</v>
      </c>
      <c r="H352" s="192" t="str">
        <f>INDEX('BASE FORMAÇÃO'!C:C,B351+1)</f>
        <v>Placa de Porta</v>
      </c>
      <c r="I352" s="192"/>
      <c r="J352" s="193"/>
      <c r="K352" s="66"/>
      <c r="L352" s="184"/>
      <c r="M352" s="186"/>
      <c r="N352" s="70"/>
      <c r="O352" s="27" t="s">
        <v>13</v>
      </c>
      <c r="P352" s="122">
        <v>46003</v>
      </c>
      <c r="Q352" s="122">
        <v>46253</v>
      </c>
      <c r="R352" s="122">
        <v>46231</v>
      </c>
      <c r="S352" s="122">
        <v>46253</v>
      </c>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f t="shared" ref="B353:D353" si="1027">B352</f>
        <v>17</v>
      </c>
      <c r="C353" s="128">
        <f t="shared" si="1027"/>
        <v>1</v>
      </c>
      <c r="D353" s="127">
        <f t="shared" si="1027"/>
        <v>17</v>
      </c>
      <c r="E353" s="188"/>
      <c r="F353" s="93"/>
      <c r="G353" s="190"/>
      <c r="H353" s="194"/>
      <c r="I353" s="194"/>
      <c r="J353" s="195"/>
      <c r="K353" s="64"/>
      <c r="L353" s="130" t="s">
        <v>44</v>
      </c>
      <c r="M353" s="131">
        <f>INDEX('BASE FORMAÇÃO'!H:H,B355+1)</f>
        <v>2117</v>
      </c>
      <c r="N353" s="71"/>
      <c r="O353" s="27" t="s">
        <v>380</v>
      </c>
      <c r="P353" s="114" t="s">
        <v>12</v>
      </c>
      <c r="Q353" s="114" t="s">
        <v>12</v>
      </c>
      <c r="R353" s="114" t="s">
        <v>12</v>
      </c>
      <c r="S353" s="114" t="s">
        <v>12</v>
      </c>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f t="shared" ref="B354:C354" si="1028">B353</f>
        <v>17</v>
      </c>
      <c r="C354" s="128">
        <f t="shared" si="1028"/>
        <v>1</v>
      </c>
      <c r="D354" s="127">
        <f t="shared" si="842"/>
        <v>17</v>
      </c>
      <c r="E354" s="38" t="s">
        <v>313</v>
      </c>
      <c r="F354" s="93"/>
      <c r="G354" s="191"/>
      <c r="H354" s="196"/>
      <c r="I354" s="196"/>
      <c r="J354" s="197"/>
      <c r="K354" s="64"/>
      <c r="L354" s="1" t="s">
        <v>2</v>
      </c>
      <c r="M354" s="6" t="str">
        <f>INDEX('BASE FORMAÇÃO'!D:D,B355+1)</f>
        <v>M2</v>
      </c>
      <c r="N354" s="71"/>
      <c r="O354" s="27" t="s">
        <v>381</v>
      </c>
      <c r="P354" s="115" t="s">
        <v>459</v>
      </c>
      <c r="Q354" s="115" t="s">
        <v>460</v>
      </c>
      <c r="R354" s="115" t="s">
        <v>460</v>
      </c>
      <c r="S354" s="115" t="s">
        <v>460</v>
      </c>
      <c r="T354" s="115"/>
      <c r="U354" s="118"/>
      <c r="V354" s="118"/>
      <c r="W354" s="118"/>
      <c r="X354" s="118"/>
      <c r="Y354" s="118"/>
      <c r="Z354" s="118"/>
      <c r="AA354" s="118"/>
      <c r="AB354" s="118"/>
      <c r="AC354" s="118"/>
      <c r="AD354" s="118"/>
      <c r="AE354" s="118"/>
      <c r="AF354" s="118"/>
      <c r="AG354" s="118"/>
      <c r="AH354" s="118"/>
      <c r="AI354" s="118"/>
    </row>
    <row r="355" spans="1:35" x14ac:dyDescent="0.25">
      <c r="B355" s="128">
        <f t="shared" ref="B355:C355" si="1029">B353</f>
        <v>17</v>
      </c>
      <c r="C355" s="128">
        <f t="shared" si="1029"/>
        <v>1</v>
      </c>
      <c r="D355" s="127">
        <f t="shared" si="842"/>
        <v>17</v>
      </c>
      <c r="E355" s="198">
        <f t="shared" ref="E355" si="1030">C351</f>
        <v>1</v>
      </c>
      <c r="F355" s="93"/>
      <c r="G355" s="200" t="s">
        <v>304</v>
      </c>
      <c r="H355" s="202" t="s">
        <v>467</v>
      </c>
      <c r="I355" s="203"/>
      <c r="J355" s="203"/>
      <c r="K355" s="67"/>
      <c r="L355" s="28" t="s">
        <v>303</v>
      </c>
      <c r="M355" s="133">
        <f t="shared" ref="M355" si="1031">IFERROR(INDEX(I357:I369,MATCH(MAX(J357:J369),J357:J369,0)),"")</f>
        <v>0.18404128172662942</v>
      </c>
      <c r="N355" s="71"/>
      <c r="O355" s="27" t="s">
        <v>18</v>
      </c>
      <c r="P355" s="106">
        <f>IF(P351="","",
IF(OR(P353="Orçamento",P352="",MAX('Tabela de Apoio'!$A:$A)&lt;=P352),
P351,
(INDEX('Tabela de Apoio'!$B:$B,MATCH('MAPA DE PREÇOS'!$O$8,'Tabela de Apoio'!$A:$A,1))/INDEX('Tabela de Apoio'!$B:$B,MATCH('MAPA DE PREÇOS'!P352,'Tabela de Apoio'!$A:$A,1)-1))*P351))</f>
        <v>45.516309930694661</v>
      </c>
      <c r="Q355" s="106">
        <f>IF(Q351="","",
IF(OR(Q353="Orçamento",Q352="",MAX('Tabela de Apoio'!$A:$A)&lt;=Q352),
Q351,
(INDEX('Tabela de Apoio'!$B:$B,MATCH('MAPA DE PREÇOS'!$O$8,'Tabela de Apoio'!$A:$A,1))/INDEX('Tabela de Apoio'!$B:$B,MATCH('MAPA DE PREÇOS'!Q352,'Tabela de Apoio'!$A:$A,1)-1))*Q351))</f>
        <v>77.650000000000006</v>
      </c>
      <c r="R355" s="106">
        <f>IF(R351="","",
IF(OR(R353="Orçamento",R352="",MAX('Tabela de Apoio'!$A:$A)&lt;=R352),
R351,
(INDEX('Tabela de Apoio'!$B:$B,MATCH('MAPA DE PREÇOS'!$O$8,'Tabela de Apoio'!$A:$A,1))/INDEX('Tabela de Apoio'!$B:$B,MATCH('MAPA DE PREÇOS'!R352,'Tabela de Apoio'!$A:$A,1)-1))*R351))</f>
        <v>64.837422916037781</v>
      </c>
      <c r="S355" s="106">
        <f>IF(S351="","",
IF(OR(S353="Orçamento",S352="",MAX('Tabela de Apoio'!$A:$A)&lt;=S352),
S351,
(INDEX('Tabela de Apoio'!$B:$B,MATCH('MAPA DE PREÇOS'!$O$8,'Tabela de Apoio'!$A:$A,1))/INDEX('Tabela de Apoio'!$B:$B,MATCH('MAPA DE PREÇOS'!S352,'Tabela de Apoio'!$A:$A,1)-1))*S351))</f>
        <v>70</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f t="shared" ref="B356" si="1032">B355</f>
        <v>17</v>
      </c>
      <c r="C356" s="128">
        <f t="shared" ref="C356" si="1033">C355</f>
        <v>1</v>
      </c>
      <c r="D356" s="127">
        <f t="shared" si="842"/>
        <v>17</v>
      </c>
      <c r="E356" s="199"/>
      <c r="F356" s="93"/>
      <c r="G356" s="201"/>
      <c r="H356"/>
      <c r="I356"/>
      <c r="J356"/>
      <c r="N356" s="71"/>
      <c r="O356" s="27" t="s">
        <v>375</v>
      </c>
      <c r="P356" s="107">
        <f>IF(IFERROR(VLOOKUP(P353,'Tabela de Apoio'!$D:$E,2,FALSE),1)=1,"",P357)</f>
        <v>45.516309930694661</v>
      </c>
      <c r="Q356" s="107">
        <f>IF(IFERROR(VLOOKUP(Q353,'Tabela de Apoio'!$D:$E,2,FALSE),1)=1,"",Q357)</f>
        <v>77.650000000000006</v>
      </c>
      <c r="R356" s="107">
        <f>IF(IFERROR(VLOOKUP(R353,'Tabela de Apoio'!$D:$E,2,FALSE),1)=1,"",R357)</f>
        <v>64.837422916037781</v>
      </c>
      <c r="S356" s="107">
        <f>IF(IFERROR(VLOOKUP(S353,'Tabela de Apoio'!$D:$E,2,FALSE),1)=1,"",S357)</f>
        <v>70</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f t="shared" ref="B357:C357" si="1034">B356</f>
        <v>17</v>
      </c>
      <c r="C357" s="128">
        <f t="shared" si="1034"/>
        <v>1</v>
      </c>
      <c r="D357" s="127">
        <f t="shared" si="842"/>
        <v>17</v>
      </c>
      <c r="E357" s="199"/>
      <c r="F357" s="93"/>
      <c r="G357" s="201"/>
      <c r="H357" s="134">
        <f t="shared" ref="H357" si="1035">COUNT($P357:$XX357)</f>
        <v>4</v>
      </c>
      <c r="I357" s="132">
        <f t="shared" ref="I357" si="1036">_xlfn.STDEV.P($P356:$XX357)/AVERAGE($P356:$XX357)</f>
        <v>0.18404128172662942</v>
      </c>
      <c r="J357" s="7">
        <f>ROW()</f>
        <v>357</v>
      </c>
      <c r="K357" s="67"/>
      <c r="L357" s="29" t="s">
        <v>10</v>
      </c>
      <c r="M357" s="30">
        <f t="shared" ref="M357" si="1037">IFERROR(
IF(COUNTA(P351:AI351)=COUNTIF(P353:XX353,"Orçamento"),MIN(M362,M359),
IF(M360&lt;&gt;"",M360,
IF(M361&lt;&gt;"",M361,
M359
))),"")</f>
        <v>64.500933211683105</v>
      </c>
      <c r="N357" s="71"/>
      <c r="O357" s="27" t="s">
        <v>376</v>
      </c>
      <c r="P357" s="106">
        <f t="shared" ref="P357:AI357" si="1038">IFERROR(IF(P355="",
            "",
            IF(COUNT($P355:$XX355)&lt;=4,
               P355,
               IF(OR(P355&gt;(QUARTILE($P355:$XX355,3)+(QUARTILE($P355:$XX355,3)-QUARTILE($P355:$XX355,1))),
                     P355&lt;(QUARTILE($P355:$XX355,1)-(QUARTILE($P355:$XX355,3)-QUARTILE($P355:$XX355,1)))
                  ),
               "DESCARTADO",P355)
             )
  ),P355)</f>
        <v>45.516309930694661</v>
      </c>
      <c r="Q357" s="106">
        <f t="shared" si="1038"/>
        <v>77.650000000000006</v>
      </c>
      <c r="R357" s="106">
        <f t="shared" si="1038"/>
        <v>64.837422916037781</v>
      </c>
      <c r="S357" s="106">
        <f t="shared" si="1038"/>
        <v>70</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f t="shared" ref="B358:B412" si="1039">B357</f>
        <v>17</v>
      </c>
      <c r="C358" s="128">
        <f t="shared" ref="C358:D421" si="1040">C357</f>
        <v>1</v>
      </c>
      <c r="D358" s="127">
        <f t="shared" si="842"/>
        <v>17</v>
      </c>
      <c r="E358" s="199"/>
      <c r="F358" s="93"/>
      <c r="G358" s="201"/>
      <c r="H358"/>
      <c r="I358"/>
      <c r="J358"/>
      <c r="K358" s="66"/>
      <c r="L358" s="29" t="s">
        <v>360</v>
      </c>
      <c r="M358" s="30">
        <f t="shared" ref="M358" si="1041">AVERAGE($P357:$XX357)</f>
        <v>64.500933211683105</v>
      </c>
      <c r="N358" s="71"/>
      <c r="O358" s="27" t="str">
        <f t="shared" ref="O358" si="1042">"1 POND"</f>
        <v>1 POND</v>
      </c>
      <c r="P358" s="107">
        <f>IF(IFERROR(VLOOKUP(P353,'Tabela de Apoio'!$D:$E,2,FALSE),1)=1,"",P359)</f>
        <v>45.516309930694661</v>
      </c>
      <c r="Q358" s="107">
        <f>IF(IFERROR(VLOOKUP(Q353,'Tabela de Apoio'!$D:$E,2,FALSE),1)=1,"",Q359)</f>
        <v>77.650000000000006</v>
      </c>
      <c r="R358" s="107">
        <f>IF(IFERROR(VLOOKUP(R353,'Tabela de Apoio'!$D:$E,2,FALSE),1)=1,"",R359)</f>
        <v>64.837422916037781</v>
      </c>
      <c r="S358" s="107">
        <f>IF(IFERROR(VLOOKUP(S353,'Tabela de Apoio'!$D:$E,2,FALSE),1)=1,"",S359)</f>
        <v>70</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f t="shared" si="1039"/>
        <v>17</v>
      </c>
      <c r="C359" s="128">
        <f t="shared" si="1040"/>
        <v>1</v>
      </c>
      <c r="D359" s="127">
        <f t="shared" si="1040"/>
        <v>17</v>
      </c>
      <c r="E359" s="199"/>
      <c r="F359" s="93"/>
      <c r="G359" s="201"/>
      <c r="H359" s="134">
        <f t="shared" ref="H359" si="1043">COUNT($P359:$XX359)</f>
        <v>4</v>
      </c>
      <c r="I359" s="132">
        <f t="shared" ref="I359" si="1044">_xlfn.STDEV.P($P358:$XX359)/AVERAGE($P358:$XX359)</f>
        <v>0.18404128172662942</v>
      </c>
      <c r="J359" s="7">
        <f t="shared" ref="J359" si="1045">IF(AND(H359&gt;2,
OR(L351="MÉDIA SANEADA",L351="MEDIANA SANEADA",
AND(L351="PREÇO ESTIMADO",NOT(AND(P353="Orçamento",COUNTA(P351:XX351)=COUNTIF(P353:XX353,"Orçamento")))))),
ROW(),0)</f>
        <v>359</v>
      </c>
      <c r="K359" s="66"/>
      <c r="L359" s="29" t="s">
        <v>361</v>
      </c>
      <c r="M359" s="30">
        <f t="shared" ref="M359" si="1046">MEDIAN($P357:$XX357)</f>
        <v>67.41871145801889</v>
      </c>
      <c r="N359" s="71"/>
      <c r="O359" s="27" t="str">
        <f t="shared" ref="O359" si="1047">"1 RODADA"</f>
        <v>1 RODADA</v>
      </c>
      <c r="P359" s="107">
        <f t="shared" ref="P359:AI359" si="1048">IF(P357="","",IF((_xlfn.STDEV.P($P356:$XX357)/AVERAGE($P356:$XX357))&lt;=25%,P357,IF(OR(P357&gt;(AVERAGE($P356:$XX357)+_xlfn.STDEV.P($P356:$XX357)),P357&lt;(AVERAGE($P356:$XX357)-_xlfn.STDEV.P($P356:$XX357))),"DESCARTADO",P357)))</f>
        <v>45.516309930694661</v>
      </c>
      <c r="Q359" s="107">
        <f t="shared" si="1048"/>
        <v>77.650000000000006</v>
      </c>
      <c r="R359" s="107">
        <f t="shared" si="1048"/>
        <v>64.837422916037781</v>
      </c>
      <c r="S359" s="107">
        <f t="shared" si="1048"/>
        <v>70</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f t="shared" si="1039"/>
        <v>17</v>
      </c>
      <c r="C360" s="128">
        <f t="shared" si="1040"/>
        <v>1</v>
      </c>
      <c r="D360" s="127">
        <f t="shared" si="1040"/>
        <v>17</v>
      </c>
      <c r="E360" s="199"/>
      <c r="F360" s="93"/>
      <c r="G360" s="201"/>
      <c r="H360"/>
      <c r="I360"/>
      <c r="J360"/>
      <c r="L360" s="29" t="s">
        <v>38</v>
      </c>
      <c r="M360" s="30">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64.500933211683105</v>
      </c>
      <c r="N360" s="71"/>
      <c r="O360" s="27" t="str">
        <f t="shared" ref="O360" si="1050">"2 POND"</f>
        <v>2 POND</v>
      </c>
      <c r="P360" s="107">
        <f>IF(IFERROR(VLOOKUP(P353,'Tabela de Apoio'!$D:$E,2,FALSE),1)=1,"",P361)</f>
        <v>45.516309930694661</v>
      </c>
      <c r="Q360" s="107">
        <f>IF(IFERROR(VLOOKUP(Q353,'Tabela de Apoio'!$D:$E,2,FALSE),1)=1,"",Q361)</f>
        <v>77.650000000000006</v>
      </c>
      <c r="R360" s="107">
        <f>IF(IFERROR(VLOOKUP(R353,'Tabela de Apoio'!$D:$E,2,FALSE),1)=1,"",R361)</f>
        <v>64.837422916037781</v>
      </c>
      <c r="S360" s="107">
        <f>IF(IFERROR(VLOOKUP(S353,'Tabela de Apoio'!$D:$E,2,FALSE),1)=1,"",S361)</f>
        <v>70</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f t="shared" si="1039"/>
        <v>17</v>
      </c>
      <c r="C361" s="128">
        <f t="shared" si="1040"/>
        <v>1</v>
      </c>
      <c r="D361" s="127">
        <f t="shared" si="1040"/>
        <v>17</v>
      </c>
      <c r="E361" s="199"/>
      <c r="F361" s="93"/>
      <c r="G361" s="201"/>
      <c r="H361" s="134">
        <f t="shared" ref="H361" si="1051">COUNT($P361:$XX361)</f>
        <v>4</v>
      </c>
      <c r="I361" s="132">
        <f t="shared" ref="I361" si="1052">_xlfn.STDEV.P($P360:$XX361)/AVERAGE($P360:$XX361)</f>
        <v>0.18404128172662942</v>
      </c>
      <c r="J361" s="7">
        <f t="shared" ref="J361" si="1053">IF(AND(H361&gt;2,
OR(L351="MÉDIA SANEADA",L351="MEDIANA SANEADA",
AND(L351="PREÇO ESTIMADO",NOT(AND(P353="Orçamento",COUNTA(P351:XX351)=COUNTIF(P353:XX353,"Orçamento")))))),
ROW(),0)</f>
        <v>361</v>
      </c>
      <c r="K361" s="66"/>
      <c r="L361" s="29" t="s">
        <v>362</v>
      </c>
      <c r="M361" s="30">
        <f t="shared" ref="M361" si="1054" xml:space="preserve">
IF(H359&gt;2,MEDIAN(P358:XX359),
IF(H361&gt;2,MEDIAN(P360:XX361),
IF(H363&gt;2,MEDIAN(P362:XX363),
IF(H365&gt;2,MEDIAN(P364:XX365),
IF(H367&gt;2,MEDIAN(P366:XX367),
IF(H369&gt;2,MEDIAN(P368:XX369),
MEDIAN(P356:XX357)))))))</f>
        <v>67.41871145801889</v>
      </c>
      <c r="N361" s="71"/>
      <c r="O361" s="27" t="str">
        <f t="shared" ref="O361" si="1055">"2 RODADA"</f>
        <v>2 RODADA</v>
      </c>
      <c r="P361" s="107">
        <f t="shared" ref="P361:AI361" si="1056">IF(P359="","",IF((_xlfn.STDEV.P($P358:$XX359)/AVERAGE($P358:$XX359))&lt;=25%,P359,IF(OR(P359&gt;(AVERAGE($P358:$XX359)+_xlfn.STDEV.P($P358:$XX359)),P359&lt;(AVERAGE($P358:$XX359)-_xlfn.STDEV.P($P358:$XX359))),"DESCARTADO",P359)))</f>
        <v>45.516309930694661</v>
      </c>
      <c r="Q361" s="107">
        <f t="shared" si="1056"/>
        <v>77.650000000000006</v>
      </c>
      <c r="R361" s="107">
        <f t="shared" si="1056"/>
        <v>64.837422916037781</v>
      </c>
      <c r="S361" s="107">
        <f t="shared" si="1056"/>
        <v>70</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f t="shared" si="1039"/>
        <v>17</v>
      </c>
      <c r="C362" s="128">
        <f t="shared" si="1040"/>
        <v>1</v>
      </c>
      <c r="D362" s="127">
        <f t="shared" si="1040"/>
        <v>17</v>
      </c>
      <c r="E362" s="199"/>
      <c r="F362" s="93"/>
      <c r="G362" s="201"/>
      <c r="H362"/>
      <c r="I362"/>
      <c r="J362"/>
      <c r="K362" s="66"/>
      <c r="L362" s="29" t="s">
        <v>359</v>
      </c>
      <c r="M362" s="30">
        <f t="shared" ref="M362" si="1057">HARMEAN($P356:$XX357)</f>
        <v>61.960409483631153</v>
      </c>
      <c r="N362" s="71"/>
      <c r="O362" s="27" t="str">
        <f t="shared" ref="O362" si="1058">"3 POND"</f>
        <v>3 POND</v>
      </c>
      <c r="P362" s="107">
        <f>IF(IFERROR(VLOOKUP(P353,'Tabela de Apoio'!$D:$E,2,FALSE),1)=1,"",P363)</f>
        <v>45.516309930694661</v>
      </c>
      <c r="Q362" s="107">
        <f>IF(IFERROR(VLOOKUP(Q353,'Tabela de Apoio'!$D:$E,2,FALSE),1)=1,"",Q363)</f>
        <v>77.650000000000006</v>
      </c>
      <c r="R362" s="107">
        <f>IF(IFERROR(VLOOKUP(R353,'Tabela de Apoio'!$D:$E,2,FALSE),1)=1,"",R363)</f>
        <v>64.837422916037781</v>
      </c>
      <c r="S362" s="107">
        <f>IF(IFERROR(VLOOKUP(S353,'Tabela de Apoio'!$D:$E,2,FALSE),1)=1,"",S363)</f>
        <v>70</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f t="shared" si="1039"/>
        <v>17</v>
      </c>
      <c r="C363" s="128">
        <f t="shared" si="1040"/>
        <v>1</v>
      </c>
      <c r="D363" s="127">
        <f t="shared" si="1040"/>
        <v>17</v>
      </c>
      <c r="E363" s="199"/>
      <c r="F363" s="93"/>
      <c r="G363" s="201"/>
      <c r="H363" s="134">
        <f t="shared" ref="H363" si="1059">COUNT($P363:$XX363)</f>
        <v>4</v>
      </c>
      <c r="I363" s="132">
        <f t="shared" ref="I363" si="1060">_xlfn.STDEV.P($P362:$XX363)/AVERAGE($P362:$XX363)</f>
        <v>0.18404128172662942</v>
      </c>
      <c r="J363" s="7">
        <f t="shared" ref="J363" si="1061">IF(AND(H363&gt;2,
OR(L351="MÉDIA SANEADA",L351="MEDIANA SANEADA",
AND(L351="PREÇO ESTIMADO",NOT(AND(P353="Orçamento",COUNTA(P351:XX351)=COUNTIF(P353:XX353,"Orçamento")))))),
ROW(),0)</f>
        <v>363</v>
      </c>
      <c r="K363" s="66"/>
      <c r="L363" s="29" t="s">
        <v>41</v>
      </c>
      <c r="M363" s="30">
        <f t="shared" ref="M363" si="1062">IFERROR(_xlfn.QUARTILE.EXC($P357:$XX357,1),"")</f>
        <v>50.346588177030441</v>
      </c>
      <c r="N363" s="71"/>
      <c r="O363" s="27" t="str">
        <f t="shared" ref="O363" si="1063">"3 RODADA"</f>
        <v>3 RODADA</v>
      </c>
      <c r="P363" s="107">
        <f t="shared" ref="P363:AI363" si="1064">IF(P361="","",IF((_xlfn.STDEV.P($P360:$XX361)/AVERAGE($P360:$XX361))&lt;=25%,P361,IF(OR(P361&gt;(AVERAGE($P360:$XX361)+_xlfn.STDEV.P($P360:$XX361)),P361&lt;(AVERAGE($P360:$XX361)-_xlfn.STDEV.P($P360:$XX361))),"DESCARTADO",P361)))</f>
        <v>45.516309930694661</v>
      </c>
      <c r="Q363" s="107">
        <f t="shared" si="1064"/>
        <v>77.650000000000006</v>
      </c>
      <c r="R363" s="107">
        <f t="shared" si="1064"/>
        <v>64.837422916037781</v>
      </c>
      <c r="S363" s="107">
        <f t="shared" si="1064"/>
        <v>70</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f t="shared" si="1039"/>
        <v>17</v>
      </c>
      <c r="C364" s="128">
        <f t="shared" si="1040"/>
        <v>1</v>
      </c>
      <c r="D364" s="127">
        <f t="shared" si="1040"/>
        <v>17</v>
      </c>
      <c r="E364" s="199"/>
      <c r="F364" s="93"/>
      <c r="G364" s="201"/>
      <c r="H364"/>
      <c r="I364"/>
      <c r="J364"/>
      <c r="K364" s="66"/>
      <c r="L364" s="29" t="s">
        <v>39</v>
      </c>
      <c r="M364" s="30">
        <f t="shared" ref="M364" si="1065">IFERROR(_xlfn.QUARTILE.EXC($P357:$XX357,3),"")</f>
        <v>75.737500000000011</v>
      </c>
      <c r="N364" s="71"/>
      <c r="O364" s="27" t="str">
        <f t="shared" ref="O364" si="1066">"4 POND"</f>
        <v>4 POND</v>
      </c>
      <c r="P364" s="107">
        <f>IF(IFERROR(VLOOKUP(P353,'Tabela de Apoio'!$D:$E,2,FALSE),1)=1,"",P365)</f>
        <v>45.516309930694661</v>
      </c>
      <c r="Q364" s="107">
        <f>IF(IFERROR(VLOOKUP(Q353,'Tabela de Apoio'!$D:$E,2,FALSE),1)=1,"",Q365)</f>
        <v>77.650000000000006</v>
      </c>
      <c r="R364" s="107">
        <f>IF(IFERROR(VLOOKUP(R353,'Tabela de Apoio'!$D:$E,2,FALSE),1)=1,"",R365)</f>
        <v>64.837422916037781</v>
      </c>
      <c r="S364" s="107">
        <f>IF(IFERROR(VLOOKUP(S353,'Tabela de Apoio'!$D:$E,2,FALSE),1)=1,"",S365)</f>
        <v>70</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f t="shared" si="1039"/>
        <v>17</v>
      </c>
      <c r="C365" s="128">
        <f t="shared" si="1040"/>
        <v>1</v>
      </c>
      <c r="D365" s="127">
        <f t="shared" si="1040"/>
        <v>17</v>
      </c>
      <c r="E365" s="199"/>
      <c r="F365" s="93"/>
      <c r="G365" s="201"/>
      <c r="H365" s="134">
        <f t="shared" ref="H365" si="1067">COUNT($P365:$XX365)</f>
        <v>4</v>
      </c>
      <c r="I365" s="132">
        <f t="shared" ref="I365" si="1068">_xlfn.STDEV.P($P364:$XX365)/AVERAGE($P364:$XX365)</f>
        <v>0.18404128172662942</v>
      </c>
      <c r="J365" s="7">
        <f t="shared" ref="J365" si="1069">IF(AND(H365&gt;2,
OR(L351="MÉDIA SANEADA",L351="MEDIANA SANEADA",
AND(L351="PREÇO ESTIMADO",NOT(AND(P353="Orçamento",COUNTA(P351:XX351)=COUNTIF(P353:XX353,"Orçamento")))))),
ROW(),0)</f>
        <v>365</v>
      </c>
      <c r="K365" s="66"/>
      <c r="L365" s="29" t="s">
        <v>42</v>
      </c>
      <c r="M365" s="30">
        <f t="shared" ref="M365" si="1070">MIN($P357:$XX357)</f>
        <v>45.516309930694661</v>
      </c>
      <c r="N365" s="71"/>
      <c r="O365" s="27" t="str">
        <f t="shared" ref="O365" si="1071">"4 RODADA"</f>
        <v>4 RODADA</v>
      </c>
      <c r="P365" s="107">
        <f t="shared" ref="P365:AI365" si="1072">IF(P363="","",IF((_xlfn.STDEV.P($P362:$XX363)/AVERAGE($P362:$XX363))&lt;=25%,P363,IF(OR(P363&gt;(AVERAGE($P362:$XX363)+_xlfn.STDEV.P($P362:$XX363)),P363&lt;(AVERAGE($P362:$XX363)-_xlfn.STDEV.P($P362:$XX363))),"DESCARTADO",P363)))</f>
        <v>45.516309930694661</v>
      </c>
      <c r="Q365" s="107">
        <f t="shared" si="1072"/>
        <v>77.650000000000006</v>
      </c>
      <c r="R365" s="107">
        <f t="shared" si="1072"/>
        <v>64.837422916037781</v>
      </c>
      <c r="S365" s="107">
        <f t="shared" si="1072"/>
        <v>70</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f t="shared" si="1039"/>
        <v>17</v>
      </c>
      <c r="C366" s="128">
        <f t="shared" si="1040"/>
        <v>1</v>
      </c>
      <c r="D366" s="127">
        <f t="shared" si="1040"/>
        <v>17</v>
      </c>
      <c r="E366" s="199"/>
      <c r="F366" s="93"/>
      <c r="G366" s="201"/>
      <c r="H366"/>
      <c r="I366"/>
      <c r="J366"/>
      <c r="K366" s="66"/>
      <c r="L366" s="29" t="s">
        <v>40</v>
      </c>
      <c r="M366" s="30">
        <f t="shared" ref="M366" si="1073">MAX($P357:$XX357)</f>
        <v>77.650000000000006</v>
      </c>
      <c r="N366" s="71"/>
      <c r="O366" s="27" t="str">
        <f t="shared" ref="O366" si="1074">"5 POND"</f>
        <v>5 POND</v>
      </c>
      <c r="P366" s="107">
        <f>IF(IFERROR(VLOOKUP(P353,'Tabela de Apoio'!$D:$E,2,FALSE),1)=1,"",P367)</f>
        <v>45.516309930694661</v>
      </c>
      <c r="Q366" s="107">
        <f>IF(IFERROR(VLOOKUP(Q353,'Tabela de Apoio'!$D:$E,2,FALSE),1)=1,"",Q367)</f>
        <v>77.650000000000006</v>
      </c>
      <c r="R366" s="107">
        <f>IF(IFERROR(VLOOKUP(R353,'Tabela de Apoio'!$D:$E,2,FALSE),1)=1,"",R367)</f>
        <v>64.837422916037781</v>
      </c>
      <c r="S366" s="107">
        <f>IF(IFERROR(VLOOKUP(S353,'Tabela de Apoio'!$D:$E,2,FALSE),1)=1,"",S367)</f>
        <v>70</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f t="shared" si="1039"/>
        <v>17</v>
      </c>
      <c r="C367" s="128">
        <f t="shared" si="1040"/>
        <v>1</v>
      </c>
      <c r="D367" s="127">
        <f t="shared" si="1040"/>
        <v>17</v>
      </c>
      <c r="E367" s="199"/>
      <c r="F367" s="93"/>
      <c r="G367" s="201"/>
      <c r="H367" s="134">
        <f t="shared" ref="H367" si="1075">COUNT($P367:$XX367)</f>
        <v>4</v>
      </c>
      <c r="I367" s="132">
        <f t="shared" ref="I367" si="1076">_xlfn.STDEV.P($P366:$XX367)/AVERAGE($P366:$XX367)</f>
        <v>0.18404128172662942</v>
      </c>
      <c r="J367" s="7">
        <f t="shared" ref="J367" si="1077">IF(AND(H367&gt;2,
OR(L351="MÉDIA SANEADA",L351="MEDIANA SANEADA",
AND(L351="PREÇO ESTIMADO",NOT(AND(P353="Orçamento",COUNTA(P351:XX351)=COUNTIF(P353:XX353,"Orçamento")))))),
ROW(),0)</f>
        <v>367</v>
      </c>
      <c r="K367" s="66"/>
      <c r="N367" s="71"/>
      <c r="O367" s="27" t="str">
        <f t="shared" ref="O367" si="1078">"5 RODADA"</f>
        <v>5 RODADA</v>
      </c>
      <c r="P367" s="107">
        <f t="shared" ref="P367:AI367" si="1079">IF(P365="","",IF((_xlfn.STDEV.P($P364:$XX365)/AVERAGE($P364:$XX365))&lt;=25%,P365,IF(OR(P365&gt;(AVERAGE($P364:$XX365)+_xlfn.STDEV.P($P364:$XX365)),P365&lt;(AVERAGE($P364:$XX365)-_xlfn.STDEV.P($P364:$XX365))),"DESCARTADO",P365)))</f>
        <v>45.516309930694661</v>
      </c>
      <c r="Q367" s="107">
        <f t="shared" si="1079"/>
        <v>77.650000000000006</v>
      </c>
      <c r="R367" s="107">
        <f t="shared" si="1079"/>
        <v>64.837422916037781</v>
      </c>
      <c r="S367" s="107">
        <f t="shared" si="1079"/>
        <v>70</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f t="shared" si="1039"/>
        <v>17</v>
      </c>
      <c r="C368" s="128">
        <f t="shared" si="1040"/>
        <v>1</v>
      </c>
      <c r="D368" s="127">
        <f t="shared" si="1040"/>
        <v>17</v>
      </c>
      <c r="E368" s="199"/>
      <c r="F368" s="93"/>
      <c r="G368" s="201"/>
      <c r="H368"/>
      <c r="I368"/>
      <c r="J368"/>
      <c r="K368" s="66"/>
      <c r="L368" s="22"/>
      <c r="M368" s="22"/>
      <c r="N368" s="71"/>
      <c r="O368" s="27" t="str">
        <f t="shared" ref="O368" si="1080">"6 POND"</f>
        <v>6 POND</v>
      </c>
      <c r="P368" s="107">
        <f>IF(IFERROR(VLOOKUP(P353,'Tabela de Apoio'!$D:$E,2,FALSE),1)=1,"",P369)</f>
        <v>45.516309930694661</v>
      </c>
      <c r="Q368" s="107">
        <f>IF(IFERROR(VLOOKUP(Q353,'Tabela de Apoio'!$D:$E,2,FALSE),1)=1,"",Q369)</f>
        <v>77.650000000000006</v>
      </c>
      <c r="R368" s="107">
        <f>IF(IFERROR(VLOOKUP(R353,'Tabela de Apoio'!$D:$E,2,FALSE),1)=1,"",R369)</f>
        <v>64.837422916037781</v>
      </c>
      <c r="S368" s="107">
        <f>IF(IFERROR(VLOOKUP(S353,'Tabela de Apoio'!$D:$E,2,FALSE),1)=1,"",S369)</f>
        <v>70</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f t="shared" si="1039"/>
        <v>17</v>
      </c>
      <c r="C369" s="128">
        <f t="shared" si="1040"/>
        <v>1</v>
      </c>
      <c r="D369" s="127">
        <f t="shared" si="1040"/>
        <v>17</v>
      </c>
      <c r="E369" s="199"/>
      <c r="F369" s="93"/>
      <c r="G369" s="201"/>
      <c r="H369" s="134">
        <f t="shared" ref="H369" si="1081">COUNT($P369:$XX369)</f>
        <v>4</v>
      </c>
      <c r="I369" s="132">
        <f t="shared" ref="I369" si="1082">_xlfn.STDEV.P($P368:$XX369)/AVERAGE($P368:$XX369)</f>
        <v>0.18404128172662942</v>
      </c>
      <c r="J369" s="7">
        <f t="shared" ref="J369" si="1083">IF(AND(H369&gt;2,
OR(L351="MÉDIA SANEADA",L351="MEDIANA SANEADA",
AND(L351="PREÇO ESTIMADO",NOT(AND(P353="Orçamento",COUNTA(P351:XX351)=COUNTIF(P353:XX353,"Orçamento")))))),
ROW(),0)</f>
        <v>369</v>
      </c>
      <c r="N369" s="71"/>
      <c r="O369" s="27" t="str">
        <f t="shared" ref="O369" si="1084">"6 RODADA"</f>
        <v>6 RODADA</v>
      </c>
      <c r="P369" s="107">
        <f t="shared" ref="P369:AI369" si="1085">IFERROR(IF(P367="","",IF((_xlfn.STDEV.P($P366:$XX367)/AVERAGE($P366:$XX367))&lt;=25%,P367,IF(OR(P367&gt;(AVERAGE($P366:$XX367)+_xlfn.STDEV.P($P366:$XX367)),P367&lt;(AVERAGE($P366:$XX367)-_xlfn.STDEV.P($P366:$XX367))),"DESCARTADO",P367))),)</f>
        <v>45.516309930694661</v>
      </c>
      <c r="Q369" s="107">
        <f t="shared" si="1085"/>
        <v>77.650000000000006</v>
      </c>
      <c r="R369" s="107">
        <f t="shared" si="1085"/>
        <v>64.837422916037781</v>
      </c>
      <c r="S369" s="107">
        <f t="shared" si="1085"/>
        <v>70</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f t="shared" si="1039"/>
        <v>17</v>
      </c>
      <c r="C370" s="128">
        <f t="shared" si="1040"/>
        <v>1</v>
      </c>
      <c r="D370" s="127">
        <f t="shared" si="1040"/>
        <v>17</v>
      </c>
      <c r="E370" s="199"/>
      <c r="F370" s="136"/>
      <c r="G370" s="201"/>
      <c r="H370" s="204"/>
      <c r="I370" s="204"/>
      <c r="J370" s="205"/>
      <c r="K370" s="67"/>
      <c r="L370" s="1" t="s">
        <v>43</v>
      </c>
      <c r="M370" s="143">
        <f t="shared" ref="M370" si="1086">IFERROR(ROUND(M351*M353,2),"")</f>
        <v>136546.5</v>
      </c>
      <c r="O370" s="27" t="s">
        <v>363</v>
      </c>
      <c r="P370" s="107">
        <f t="shared" ref="P370:R370" si="1087">INDEX(P357:P369,MATCH(MAX($J357:$J369),$J357:$J369,0))</f>
        <v>45.516309930694661</v>
      </c>
      <c r="Q370" s="107">
        <f t="shared" si="1087"/>
        <v>77.650000000000006</v>
      </c>
      <c r="R370" s="107">
        <f t="shared" si="1087"/>
        <v>64.837422916037781</v>
      </c>
      <c r="S370" s="107">
        <f t="shared" si="1021"/>
        <v>70</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f t="shared" ref="B372" si="1088">LARGE(IFERROR(IF(B370+1&gt;$H$8,"",B370+1),""),1)</f>
        <v>18</v>
      </c>
      <c r="C372" s="127">
        <f>IF(_xlfn.ISFORMULA(E376),MAX(INDEX('BASE FORMAÇÃO'!A:A,B372+1),1),E376)</f>
        <v>1</v>
      </c>
      <c r="D372" s="127">
        <f t="shared" ref="D372" si="1089">IFERROR(IF(C372=C362,D362+1,1),1)</f>
        <v>18</v>
      </c>
      <c r="E372" s="38" t="s">
        <v>9</v>
      </c>
      <c r="F372" s="73"/>
      <c r="G372" s="38" t="s">
        <v>15</v>
      </c>
      <c r="H372" s="135">
        <f>INDEX('BASE FORMAÇÃO'!B:B,B372+1)</f>
        <v>0</v>
      </c>
      <c r="I372" s="181" t="s">
        <v>16</v>
      </c>
      <c r="J372" s="6">
        <f>INDEX('BASE FORMAÇÃO'!K:K,B372+1)</f>
        <v>0</v>
      </c>
      <c r="K372" s="65"/>
      <c r="L372" s="183" t="s">
        <v>10</v>
      </c>
      <c r="M372" s="185">
        <f t="shared" ref="M372" si="1090">IF(OR(ISBLANK($O$8),ISBLANK($O$7),ISBLANK($H$8),ISBLANK($O$6),ISBLANK($O$5),ISBLANK($H$5)),"",IFERROR(IF(VLOOKUP(L372,L378:M387,2,FALSE)&lt;1,ROUND(VLOOKUP(L372,L378:M387,2,FALSE),4),ROUND(VLOOKUP(L372,L378:M387,2,FALSE),2)),""))</f>
        <v>64.5</v>
      </c>
      <c r="N372" s="69"/>
      <c r="O372" s="27" t="s">
        <v>17</v>
      </c>
      <c r="P372" s="113">
        <v>44</v>
      </c>
      <c r="Q372" s="113">
        <v>77.650000000000006</v>
      </c>
      <c r="R372" s="113">
        <v>65</v>
      </c>
      <c r="S372" s="113">
        <v>70</v>
      </c>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f t="shared" ref="B373:D373" si="1091">B372</f>
        <v>18</v>
      </c>
      <c r="C373" s="128">
        <f t="shared" si="1091"/>
        <v>1</v>
      </c>
      <c r="D373" s="127">
        <f t="shared" si="1091"/>
        <v>18</v>
      </c>
      <c r="E373" s="187">
        <f t="shared" ref="E373" si="1092">D372</f>
        <v>18</v>
      </c>
      <c r="F373" s="92"/>
      <c r="G373" s="189" t="s">
        <v>1</v>
      </c>
      <c r="H373" s="192" t="str">
        <f>INDEX('BASE FORMAÇÃO'!C:C,B372+1)</f>
        <v>Placas modelo 1</v>
      </c>
      <c r="I373" s="192"/>
      <c r="J373" s="193"/>
      <c r="K373" s="66"/>
      <c r="L373" s="184"/>
      <c r="M373" s="186"/>
      <c r="N373" s="70"/>
      <c r="O373" s="27" t="s">
        <v>13</v>
      </c>
      <c r="P373" s="122">
        <v>46003</v>
      </c>
      <c r="Q373" s="122">
        <v>46253</v>
      </c>
      <c r="R373" s="122">
        <v>46231</v>
      </c>
      <c r="S373" s="122">
        <v>46253</v>
      </c>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f t="shared" ref="B374:D374" si="1093">B373</f>
        <v>18</v>
      </c>
      <c r="C374" s="128">
        <f t="shared" si="1093"/>
        <v>1</v>
      </c>
      <c r="D374" s="127">
        <f t="shared" si="1093"/>
        <v>18</v>
      </c>
      <c r="E374" s="188"/>
      <c r="F374" s="93"/>
      <c r="G374" s="190"/>
      <c r="H374" s="194"/>
      <c r="I374" s="194"/>
      <c r="J374" s="195"/>
      <c r="K374" s="64"/>
      <c r="L374" s="130" t="s">
        <v>44</v>
      </c>
      <c r="M374" s="131">
        <f>INDEX('BASE FORMAÇÃO'!H:H,B376+1)</f>
        <v>1055</v>
      </c>
      <c r="N374" s="71"/>
      <c r="O374" s="27" t="s">
        <v>380</v>
      </c>
      <c r="P374" s="114" t="s">
        <v>12</v>
      </c>
      <c r="Q374" s="114" t="s">
        <v>12</v>
      </c>
      <c r="R374" s="114" t="s">
        <v>12</v>
      </c>
      <c r="S374" s="114" t="s">
        <v>12</v>
      </c>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f t="shared" ref="B375:C375" si="1094">B374</f>
        <v>18</v>
      </c>
      <c r="C375" s="128">
        <f t="shared" si="1094"/>
        <v>1</v>
      </c>
      <c r="D375" s="127">
        <f t="shared" si="1040"/>
        <v>18</v>
      </c>
      <c r="E375" s="38" t="s">
        <v>313</v>
      </c>
      <c r="F375" s="93"/>
      <c r="G375" s="191"/>
      <c r="H375" s="196"/>
      <c r="I375" s="196"/>
      <c r="J375" s="197"/>
      <c r="K375" s="64"/>
      <c r="L375" s="1" t="s">
        <v>2</v>
      </c>
      <c r="M375" s="6" t="str">
        <f>INDEX('BASE FORMAÇÃO'!D:D,B376+1)</f>
        <v>M2</v>
      </c>
      <c r="N375" s="71"/>
      <c r="O375" s="27" t="s">
        <v>381</v>
      </c>
      <c r="P375" s="115" t="s">
        <v>459</v>
      </c>
      <c r="Q375" s="115" t="s">
        <v>460</v>
      </c>
      <c r="R375" s="115" t="s">
        <v>460</v>
      </c>
      <c r="S375" s="115" t="s">
        <v>460</v>
      </c>
      <c r="T375" s="115"/>
      <c r="U375" s="118"/>
      <c r="V375" s="118"/>
      <c r="W375" s="118"/>
      <c r="X375" s="118"/>
      <c r="Y375" s="118"/>
      <c r="Z375" s="118"/>
      <c r="AA375" s="118"/>
      <c r="AB375" s="118"/>
      <c r="AC375" s="118"/>
      <c r="AD375" s="118"/>
      <c r="AE375" s="118"/>
      <c r="AF375" s="118"/>
      <c r="AG375" s="118"/>
      <c r="AH375" s="118"/>
      <c r="AI375" s="118"/>
    </row>
    <row r="376" spans="1:167" x14ac:dyDescent="0.25">
      <c r="B376" s="128">
        <f t="shared" ref="B376:C376" si="1095">B374</f>
        <v>18</v>
      </c>
      <c r="C376" s="128">
        <f t="shared" si="1095"/>
        <v>1</v>
      </c>
      <c r="D376" s="127">
        <f t="shared" si="1040"/>
        <v>18</v>
      </c>
      <c r="E376" s="198">
        <f t="shared" ref="E376" si="1096">C372</f>
        <v>1</v>
      </c>
      <c r="F376" s="93"/>
      <c r="G376" s="200" t="s">
        <v>304</v>
      </c>
      <c r="H376" s="202" t="s">
        <v>468</v>
      </c>
      <c r="I376" s="203"/>
      <c r="J376" s="203"/>
      <c r="K376" s="67"/>
      <c r="L376" s="28" t="s">
        <v>303</v>
      </c>
      <c r="M376" s="133">
        <f t="shared" ref="M376" si="1097">IFERROR(INDEX(I378:I390,MATCH(MAX(J378:J390),J378:J390,0)),"")</f>
        <v>0.18404128172662942</v>
      </c>
      <c r="N376" s="71"/>
      <c r="O376" s="27" t="s">
        <v>18</v>
      </c>
      <c r="P376" s="106">
        <f>IF(P372="","",
IF(OR(P374="Orçamento",P373="",MAX('Tabela de Apoio'!$A:$A)&lt;=P373),
P372,
(INDEX('Tabela de Apoio'!$B:$B,MATCH('MAPA DE PREÇOS'!$O$8,'Tabela de Apoio'!$A:$A,1))/INDEX('Tabela de Apoio'!$B:$B,MATCH('MAPA DE PREÇOS'!P373,'Tabela de Apoio'!$A:$A,1)-1))*P372))</f>
        <v>45.516309930694661</v>
      </c>
      <c r="Q376" s="106">
        <f>IF(Q372="","",
IF(OR(Q374="Orçamento",Q373="",MAX('Tabela de Apoio'!$A:$A)&lt;=Q373),
Q372,
(INDEX('Tabela de Apoio'!$B:$B,MATCH('MAPA DE PREÇOS'!$O$8,'Tabela de Apoio'!$A:$A,1))/INDEX('Tabela de Apoio'!$B:$B,MATCH('MAPA DE PREÇOS'!Q373,'Tabela de Apoio'!$A:$A,1)-1))*Q372))</f>
        <v>77.650000000000006</v>
      </c>
      <c r="R376" s="106">
        <f>IF(R372="","",
IF(OR(R374="Orçamento",R373="",MAX('Tabela de Apoio'!$A:$A)&lt;=R373),
R372,
(INDEX('Tabela de Apoio'!$B:$B,MATCH('MAPA DE PREÇOS'!$O$8,'Tabela de Apoio'!$A:$A,1))/INDEX('Tabela de Apoio'!$B:$B,MATCH('MAPA DE PREÇOS'!R373,'Tabela de Apoio'!$A:$A,1)-1))*R372))</f>
        <v>64.837422916037781</v>
      </c>
      <c r="S376" s="106">
        <f>IF(S372="","",
IF(OR(S374="Orçamento",S373="",MAX('Tabela de Apoio'!$A:$A)&lt;=S373),
S372,
(INDEX('Tabela de Apoio'!$B:$B,MATCH('MAPA DE PREÇOS'!$O$8,'Tabela de Apoio'!$A:$A,1))/INDEX('Tabela de Apoio'!$B:$B,MATCH('MAPA DE PREÇOS'!S373,'Tabela de Apoio'!$A:$A,1)-1))*S372))</f>
        <v>70</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f t="shared" ref="B377" si="1098">B376</f>
        <v>18</v>
      </c>
      <c r="C377" s="128">
        <f t="shared" ref="C377" si="1099">C376</f>
        <v>1</v>
      </c>
      <c r="D377" s="127">
        <f t="shared" si="1040"/>
        <v>18</v>
      </c>
      <c r="E377" s="199"/>
      <c r="F377" s="93"/>
      <c r="G377" s="201"/>
      <c r="H377"/>
      <c r="I377"/>
      <c r="J377"/>
      <c r="N377" s="71"/>
      <c r="O377" s="27" t="s">
        <v>375</v>
      </c>
      <c r="P377" s="107">
        <f>IF(IFERROR(VLOOKUP(P374,'Tabela de Apoio'!$D:$E,2,FALSE),1)=1,"",P378)</f>
        <v>45.516309930694661</v>
      </c>
      <c r="Q377" s="107">
        <f>IF(IFERROR(VLOOKUP(Q374,'Tabela de Apoio'!$D:$E,2,FALSE),1)=1,"",Q378)</f>
        <v>77.650000000000006</v>
      </c>
      <c r="R377" s="107">
        <f>IF(IFERROR(VLOOKUP(R374,'Tabela de Apoio'!$D:$E,2,FALSE),1)=1,"",R378)</f>
        <v>64.837422916037781</v>
      </c>
      <c r="S377" s="107">
        <f>IF(IFERROR(VLOOKUP(S374,'Tabela de Apoio'!$D:$E,2,FALSE),1)=1,"",S378)</f>
        <v>70</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f t="shared" ref="B378:C378" si="1100">B377</f>
        <v>18</v>
      </c>
      <c r="C378" s="128">
        <f t="shared" si="1100"/>
        <v>1</v>
      </c>
      <c r="D378" s="127">
        <f t="shared" si="1040"/>
        <v>18</v>
      </c>
      <c r="E378" s="199"/>
      <c r="F378" s="93"/>
      <c r="G378" s="201"/>
      <c r="H378" s="134">
        <f t="shared" ref="H378" si="1101">COUNT($P378:$XX378)</f>
        <v>4</v>
      </c>
      <c r="I378" s="132">
        <f t="shared" ref="I378" si="1102">_xlfn.STDEV.P($P377:$XX378)/AVERAGE($P377:$XX378)</f>
        <v>0.18404128172662942</v>
      </c>
      <c r="J378" s="7">
        <f>ROW()</f>
        <v>378</v>
      </c>
      <c r="K378" s="67"/>
      <c r="L378" s="29" t="s">
        <v>10</v>
      </c>
      <c r="M378" s="30">
        <f t="shared" ref="M378" si="1103">IFERROR(
IF(COUNTA(P372:AI372)=COUNTIF(P374:XX374,"Orçamento"),MIN(M383,M380),
IF(M381&lt;&gt;"",M381,
IF(M382&lt;&gt;"",M382,
M380
))),"")</f>
        <v>64.500933211683105</v>
      </c>
      <c r="N378" s="71"/>
      <c r="O378" s="27" t="s">
        <v>376</v>
      </c>
      <c r="P378" s="106">
        <f t="shared" ref="P378:AI378" si="1104">IFERROR(IF(P376="",
            "",
            IF(COUNT($P376:$XX376)&lt;=4,
               P376,
               IF(OR(P376&gt;(QUARTILE($P376:$XX376,3)+(QUARTILE($P376:$XX376,3)-QUARTILE($P376:$XX376,1))),
                     P376&lt;(QUARTILE($P376:$XX376,1)-(QUARTILE($P376:$XX376,3)-QUARTILE($P376:$XX376,1)))
                  ),
               "DESCARTADO",P376)
             )
  ),P376)</f>
        <v>45.516309930694661</v>
      </c>
      <c r="Q378" s="106">
        <f t="shared" si="1104"/>
        <v>77.650000000000006</v>
      </c>
      <c r="R378" s="106">
        <f t="shared" si="1104"/>
        <v>64.837422916037781</v>
      </c>
      <c r="S378" s="106">
        <f t="shared" si="1104"/>
        <v>70</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f t="shared" ref="B379" si="1105">B378</f>
        <v>18</v>
      </c>
      <c r="C379" s="128">
        <f t="shared" ref="C379" si="1106">C378</f>
        <v>1</v>
      </c>
      <c r="D379" s="127">
        <f t="shared" si="1040"/>
        <v>18</v>
      </c>
      <c r="E379" s="199"/>
      <c r="F379" s="93"/>
      <c r="G379" s="201"/>
      <c r="H379"/>
      <c r="I379"/>
      <c r="J379"/>
      <c r="K379" s="66"/>
      <c r="L379" s="29" t="s">
        <v>360</v>
      </c>
      <c r="M379" s="30">
        <f t="shared" ref="M379" si="1107">AVERAGE($P378:$XX378)</f>
        <v>64.500933211683105</v>
      </c>
      <c r="N379" s="71"/>
      <c r="O379" s="27" t="str">
        <f t="shared" ref="O379" si="1108">"1 POND"</f>
        <v>1 POND</v>
      </c>
      <c r="P379" s="107">
        <f>IF(IFERROR(VLOOKUP(P374,'Tabela de Apoio'!$D:$E,2,FALSE),1)=1,"",P380)</f>
        <v>45.516309930694661</v>
      </c>
      <c r="Q379" s="107">
        <f>IF(IFERROR(VLOOKUP(Q374,'Tabela de Apoio'!$D:$E,2,FALSE),1)=1,"",Q380)</f>
        <v>77.650000000000006</v>
      </c>
      <c r="R379" s="107">
        <f>IF(IFERROR(VLOOKUP(R374,'Tabela de Apoio'!$D:$E,2,FALSE),1)=1,"",R380)</f>
        <v>64.837422916037781</v>
      </c>
      <c r="S379" s="107">
        <f>IF(IFERROR(VLOOKUP(S374,'Tabela de Apoio'!$D:$E,2,FALSE),1)=1,"",S380)</f>
        <v>70</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f t="shared" si="1039"/>
        <v>18</v>
      </c>
      <c r="C380" s="128">
        <f t="shared" si="1040"/>
        <v>1</v>
      </c>
      <c r="D380" s="127">
        <f t="shared" si="1040"/>
        <v>18</v>
      </c>
      <c r="E380" s="199"/>
      <c r="F380" s="93"/>
      <c r="G380" s="201"/>
      <c r="H380" s="134">
        <f t="shared" ref="H380" si="1109">COUNT($P380:$XX380)</f>
        <v>4</v>
      </c>
      <c r="I380" s="132">
        <f t="shared" ref="I380" si="1110">_xlfn.STDEV.P($P379:$XX380)/AVERAGE($P379:$XX380)</f>
        <v>0.18404128172662942</v>
      </c>
      <c r="J380" s="7">
        <f t="shared" ref="J380" si="1111">IF(AND(H380&gt;2,
OR(L372="MÉDIA SANEADA",L372="MEDIANA SANEADA",
AND(L372="PREÇO ESTIMADO",NOT(AND(P374="Orçamento",COUNTA(P372:XX372)=COUNTIF(P374:XX374,"Orçamento")))))),
ROW(),0)</f>
        <v>380</v>
      </c>
      <c r="K380" s="66"/>
      <c r="L380" s="29" t="s">
        <v>361</v>
      </c>
      <c r="M380" s="30">
        <f t="shared" ref="M380" si="1112">MEDIAN($P378:$XX378)</f>
        <v>67.41871145801889</v>
      </c>
      <c r="N380" s="71"/>
      <c r="O380" s="27" t="str">
        <f t="shared" ref="O380" si="1113">"1 RODADA"</f>
        <v>1 RODADA</v>
      </c>
      <c r="P380" s="107">
        <f t="shared" ref="P380:AI380" si="1114">IF(P378="","",IF((_xlfn.STDEV.P($P377:$XX378)/AVERAGE($P377:$XX378))&lt;=25%,P378,IF(OR(P378&gt;(AVERAGE($P377:$XX378)+_xlfn.STDEV.P($P377:$XX378)),P378&lt;(AVERAGE($P377:$XX378)-_xlfn.STDEV.P($P377:$XX378))),"DESCARTADO",P378)))</f>
        <v>45.516309930694661</v>
      </c>
      <c r="Q380" s="107">
        <f t="shared" si="1114"/>
        <v>77.650000000000006</v>
      </c>
      <c r="R380" s="107">
        <f t="shared" si="1114"/>
        <v>64.837422916037781</v>
      </c>
      <c r="S380" s="107">
        <f t="shared" si="1114"/>
        <v>70</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f t="shared" si="1039"/>
        <v>18</v>
      </c>
      <c r="C381" s="128">
        <f t="shared" si="1040"/>
        <v>1</v>
      </c>
      <c r="D381" s="127">
        <f t="shared" si="1040"/>
        <v>18</v>
      </c>
      <c r="E381" s="199"/>
      <c r="F381" s="93"/>
      <c r="G381" s="201"/>
      <c r="H381"/>
      <c r="I381"/>
      <c r="J381"/>
      <c r="L381" s="29" t="s">
        <v>38</v>
      </c>
      <c r="M381" s="30">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64.500933211683105</v>
      </c>
      <c r="N381" s="71"/>
      <c r="O381" s="27" t="str">
        <f t="shared" ref="O381" si="1116">"2 POND"</f>
        <v>2 POND</v>
      </c>
      <c r="P381" s="107">
        <f>IF(IFERROR(VLOOKUP(P374,'Tabela de Apoio'!$D:$E,2,FALSE),1)=1,"",P382)</f>
        <v>45.516309930694661</v>
      </c>
      <c r="Q381" s="107">
        <f>IF(IFERROR(VLOOKUP(Q374,'Tabela de Apoio'!$D:$E,2,FALSE),1)=1,"",Q382)</f>
        <v>77.650000000000006</v>
      </c>
      <c r="R381" s="107">
        <f>IF(IFERROR(VLOOKUP(R374,'Tabela de Apoio'!$D:$E,2,FALSE),1)=1,"",R382)</f>
        <v>64.837422916037781</v>
      </c>
      <c r="S381" s="107">
        <f>IF(IFERROR(VLOOKUP(S374,'Tabela de Apoio'!$D:$E,2,FALSE),1)=1,"",S382)</f>
        <v>70</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f t="shared" si="1039"/>
        <v>18</v>
      </c>
      <c r="C382" s="128">
        <f t="shared" si="1040"/>
        <v>1</v>
      </c>
      <c r="D382" s="127">
        <f t="shared" si="1040"/>
        <v>18</v>
      </c>
      <c r="E382" s="199"/>
      <c r="F382" s="93"/>
      <c r="G382" s="201"/>
      <c r="H382" s="134">
        <f t="shared" ref="H382" si="1117">COUNT($P382:$XX382)</f>
        <v>4</v>
      </c>
      <c r="I382" s="132">
        <f t="shared" ref="I382" si="1118">_xlfn.STDEV.P($P381:$XX382)/AVERAGE($P381:$XX382)</f>
        <v>0.18404128172662942</v>
      </c>
      <c r="J382" s="7">
        <f t="shared" ref="J382" si="1119">IF(AND(H382&gt;2,
OR(L372="MÉDIA SANEADA",L372="MEDIANA SANEADA",
AND(L372="PREÇO ESTIMADO",NOT(AND(P374="Orçamento",COUNTA(P372:XX372)=COUNTIF(P374:XX374,"Orçamento")))))),
ROW(),0)</f>
        <v>382</v>
      </c>
      <c r="K382" s="66"/>
      <c r="L382" s="29" t="s">
        <v>362</v>
      </c>
      <c r="M382" s="30">
        <f t="shared" ref="M382" si="1120" xml:space="preserve">
IF(H380&gt;2,MEDIAN(P379:XX380),
IF(H382&gt;2,MEDIAN(P381:XX382),
IF(H384&gt;2,MEDIAN(P383:XX384),
IF(H386&gt;2,MEDIAN(P385:XX386),
IF(H388&gt;2,MEDIAN(P387:XX388),
IF(H390&gt;2,MEDIAN(P389:XX390),
MEDIAN(P377:XX378)))))))</f>
        <v>67.41871145801889</v>
      </c>
      <c r="N382" s="71"/>
      <c r="O382" s="27" t="str">
        <f t="shared" ref="O382" si="1121">"2 RODADA"</f>
        <v>2 RODADA</v>
      </c>
      <c r="P382" s="107">
        <f t="shared" ref="P382:AI382" si="1122">IF(P380="","",IF((_xlfn.STDEV.P($P379:$XX380)/AVERAGE($P379:$XX380))&lt;=25%,P380,IF(OR(P380&gt;(AVERAGE($P379:$XX380)+_xlfn.STDEV.P($P379:$XX380)),P380&lt;(AVERAGE($P379:$XX380)-_xlfn.STDEV.P($P379:$XX380))),"DESCARTADO",P380)))</f>
        <v>45.516309930694661</v>
      </c>
      <c r="Q382" s="107">
        <f t="shared" si="1122"/>
        <v>77.650000000000006</v>
      </c>
      <c r="R382" s="107">
        <f t="shared" si="1122"/>
        <v>64.837422916037781</v>
      </c>
      <c r="S382" s="107">
        <f t="shared" si="1122"/>
        <v>70</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f t="shared" si="1039"/>
        <v>18</v>
      </c>
      <c r="C383" s="128">
        <f t="shared" si="1040"/>
        <v>1</v>
      </c>
      <c r="D383" s="127">
        <f t="shared" si="1040"/>
        <v>18</v>
      </c>
      <c r="E383" s="199"/>
      <c r="F383" s="93"/>
      <c r="G383" s="201"/>
      <c r="H383"/>
      <c r="I383"/>
      <c r="J383"/>
      <c r="K383" s="66"/>
      <c r="L383" s="29" t="s">
        <v>359</v>
      </c>
      <c r="M383" s="30">
        <f t="shared" ref="M383" si="1123">HARMEAN($P377:$XX378)</f>
        <v>61.960409483631153</v>
      </c>
      <c r="N383" s="71"/>
      <c r="O383" s="27" t="str">
        <f t="shared" ref="O383" si="1124">"3 POND"</f>
        <v>3 POND</v>
      </c>
      <c r="P383" s="107">
        <f>IF(IFERROR(VLOOKUP(P374,'Tabela de Apoio'!$D:$E,2,FALSE),1)=1,"",P384)</f>
        <v>45.516309930694661</v>
      </c>
      <c r="Q383" s="107">
        <f>IF(IFERROR(VLOOKUP(Q374,'Tabela de Apoio'!$D:$E,2,FALSE),1)=1,"",Q384)</f>
        <v>77.650000000000006</v>
      </c>
      <c r="R383" s="107">
        <f>IF(IFERROR(VLOOKUP(R374,'Tabela de Apoio'!$D:$E,2,FALSE),1)=1,"",R384)</f>
        <v>64.837422916037781</v>
      </c>
      <c r="S383" s="107">
        <f>IF(IFERROR(VLOOKUP(S374,'Tabela de Apoio'!$D:$E,2,FALSE),1)=1,"",S384)</f>
        <v>70</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f t="shared" si="1039"/>
        <v>18</v>
      </c>
      <c r="C384" s="128">
        <f t="shared" si="1040"/>
        <v>1</v>
      </c>
      <c r="D384" s="127">
        <f t="shared" si="1040"/>
        <v>18</v>
      </c>
      <c r="E384" s="199"/>
      <c r="F384" s="93"/>
      <c r="G384" s="201"/>
      <c r="H384" s="134">
        <f t="shared" ref="H384" si="1125">COUNT($P384:$XX384)</f>
        <v>4</v>
      </c>
      <c r="I384" s="132">
        <f t="shared" ref="I384" si="1126">_xlfn.STDEV.P($P383:$XX384)/AVERAGE($P383:$XX384)</f>
        <v>0.18404128172662942</v>
      </c>
      <c r="J384" s="7">
        <f t="shared" ref="J384" si="1127">IF(AND(H384&gt;2,
OR(L372="MÉDIA SANEADA",L372="MEDIANA SANEADA",
AND(L372="PREÇO ESTIMADO",NOT(AND(P374="Orçamento",COUNTA(P372:XX372)=COUNTIF(P374:XX374,"Orçamento")))))),
ROW(),0)</f>
        <v>384</v>
      </c>
      <c r="K384" s="66"/>
      <c r="L384" s="29" t="s">
        <v>41</v>
      </c>
      <c r="M384" s="30">
        <f t="shared" ref="M384" si="1128">IFERROR(_xlfn.QUARTILE.EXC($P378:$XX378,1),"")</f>
        <v>50.346588177030441</v>
      </c>
      <c r="N384" s="71"/>
      <c r="O384" s="27" t="str">
        <f t="shared" ref="O384" si="1129">"3 RODADA"</f>
        <v>3 RODADA</v>
      </c>
      <c r="P384" s="107">
        <f t="shared" ref="P384:AI384" si="1130">IF(P382="","",IF((_xlfn.STDEV.P($P381:$XX382)/AVERAGE($P381:$XX382))&lt;=25%,P382,IF(OR(P382&gt;(AVERAGE($P381:$XX382)+_xlfn.STDEV.P($P381:$XX382)),P382&lt;(AVERAGE($P381:$XX382)-_xlfn.STDEV.P($P381:$XX382))),"DESCARTADO",P382)))</f>
        <v>45.516309930694661</v>
      </c>
      <c r="Q384" s="107">
        <f t="shared" si="1130"/>
        <v>77.650000000000006</v>
      </c>
      <c r="R384" s="107">
        <f t="shared" si="1130"/>
        <v>64.837422916037781</v>
      </c>
      <c r="S384" s="107">
        <f t="shared" si="1130"/>
        <v>70</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f t="shared" si="1039"/>
        <v>18</v>
      </c>
      <c r="C385" s="128">
        <f t="shared" si="1040"/>
        <v>1</v>
      </c>
      <c r="D385" s="127">
        <f t="shared" si="1040"/>
        <v>18</v>
      </c>
      <c r="E385" s="199"/>
      <c r="F385" s="93"/>
      <c r="G385" s="201"/>
      <c r="H385"/>
      <c r="I385"/>
      <c r="J385"/>
      <c r="K385" s="66"/>
      <c r="L385" s="29" t="s">
        <v>39</v>
      </c>
      <c r="M385" s="30">
        <f t="shared" ref="M385" si="1131">IFERROR(_xlfn.QUARTILE.EXC($P378:$XX378,3),"")</f>
        <v>75.737500000000011</v>
      </c>
      <c r="N385" s="71"/>
      <c r="O385" s="27" t="str">
        <f t="shared" ref="O385" si="1132">"4 POND"</f>
        <v>4 POND</v>
      </c>
      <c r="P385" s="107">
        <f>IF(IFERROR(VLOOKUP(P374,'Tabela de Apoio'!$D:$E,2,FALSE),1)=1,"",P386)</f>
        <v>45.516309930694661</v>
      </c>
      <c r="Q385" s="107">
        <f>IF(IFERROR(VLOOKUP(Q374,'Tabela de Apoio'!$D:$E,2,FALSE),1)=1,"",Q386)</f>
        <v>77.650000000000006</v>
      </c>
      <c r="R385" s="107">
        <f>IF(IFERROR(VLOOKUP(R374,'Tabela de Apoio'!$D:$E,2,FALSE),1)=1,"",R386)</f>
        <v>64.837422916037781</v>
      </c>
      <c r="S385" s="107">
        <f>IF(IFERROR(VLOOKUP(S374,'Tabela de Apoio'!$D:$E,2,FALSE),1)=1,"",S386)</f>
        <v>70</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f t="shared" si="1039"/>
        <v>18</v>
      </c>
      <c r="C386" s="128">
        <f t="shared" si="1040"/>
        <v>1</v>
      </c>
      <c r="D386" s="127">
        <f t="shared" si="1040"/>
        <v>18</v>
      </c>
      <c r="E386" s="199"/>
      <c r="F386" s="93"/>
      <c r="G386" s="201"/>
      <c r="H386" s="134">
        <f t="shared" ref="H386" si="1133">COUNT($P386:$XX386)</f>
        <v>4</v>
      </c>
      <c r="I386" s="132">
        <f t="shared" ref="I386" si="1134">_xlfn.STDEV.P($P385:$XX386)/AVERAGE($P385:$XX386)</f>
        <v>0.18404128172662942</v>
      </c>
      <c r="J386" s="7">
        <f t="shared" ref="J386" si="1135">IF(AND(H386&gt;2,
OR(L372="MÉDIA SANEADA",L372="MEDIANA SANEADA",
AND(L372="PREÇO ESTIMADO",NOT(AND(P374="Orçamento",COUNTA(P372:XX372)=COUNTIF(P374:XX374,"Orçamento")))))),
ROW(),0)</f>
        <v>386</v>
      </c>
      <c r="K386" s="66"/>
      <c r="L386" s="29" t="s">
        <v>42</v>
      </c>
      <c r="M386" s="30">
        <f t="shared" ref="M386" si="1136">MIN($P378:$XX378)</f>
        <v>45.516309930694661</v>
      </c>
      <c r="N386" s="71"/>
      <c r="O386" s="27" t="str">
        <f t="shared" ref="O386" si="1137">"4 RODADA"</f>
        <v>4 RODADA</v>
      </c>
      <c r="P386" s="107">
        <f t="shared" ref="P386:AI386" si="1138">IF(P384="","",IF((_xlfn.STDEV.P($P383:$XX384)/AVERAGE($P383:$XX384))&lt;=25%,P384,IF(OR(P384&gt;(AVERAGE($P383:$XX384)+_xlfn.STDEV.P($P383:$XX384)),P384&lt;(AVERAGE($P383:$XX384)-_xlfn.STDEV.P($P383:$XX384))),"DESCARTADO",P384)))</f>
        <v>45.516309930694661</v>
      </c>
      <c r="Q386" s="107">
        <f t="shared" si="1138"/>
        <v>77.650000000000006</v>
      </c>
      <c r="R386" s="107">
        <f t="shared" si="1138"/>
        <v>64.837422916037781</v>
      </c>
      <c r="S386" s="107">
        <f t="shared" si="1138"/>
        <v>70</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f t="shared" si="1039"/>
        <v>18</v>
      </c>
      <c r="C387" s="128">
        <f t="shared" si="1040"/>
        <v>1</v>
      </c>
      <c r="D387" s="127">
        <f t="shared" si="1040"/>
        <v>18</v>
      </c>
      <c r="E387" s="199"/>
      <c r="F387" s="93"/>
      <c r="G387" s="201"/>
      <c r="H387"/>
      <c r="I387"/>
      <c r="J387"/>
      <c r="K387" s="66"/>
      <c r="L387" s="29" t="s">
        <v>40</v>
      </c>
      <c r="M387" s="30">
        <f t="shared" ref="M387" si="1139">MAX($P378:$XX378)</f>
        <v>77.650000000000006</v>
      </c>
      <c r="N387" s="71"/>
      <c r="O387" s="27" t="str">
        <f t="shared" ref="O387" si="1140">"5 POND"</f>
        <v>5 POND</v>
      </c>
      <c r="P387" s="107">
        <f>IF(IFERROR(VLOOKUP(P374,'Tabela de Apoio'!$D:$E,2,FALSE),1)=1,"",P388)</f>
        <v>45.516309930694661</v>
      </c>
      <c r="Q387" s="107">
        <f>IF(IFERROR(VLOOKUP(Q374,'Tabela de Apoio'!$D:$E,2,FALSE),1)=1,"",Q388)</f>
        <v>77.650000000000006</v>
      </c>
      <c r="R387" s="107">
        <f>IF(IFERROR(VLOOKUP(R374,'Tabela de Apoio'!$D:$E,2,FALSE),1)=1,"",R388)</f>
        <v>64.837422916037781</v>
      </c>
      <c r="S387" s="107">
        <f>IF(IFERROR(VLOOKUP(S374,'Tabela de Apoio'!$D:$E,2,FALSE),1)=1,"",S388)</f>
        <v>70</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f t="shared" si="1039"/>
        <v>18</v>
      </c>
      <c r="C388" s="128">
        <f t="shared" si="1040"/>
        <v>1</v>
      </c>
      <c r="D388" s="127">
        <f t="shared" si="1040"/>
        <v>18</v>
      </c>
      <c r="E388" s="199"/>
      <c r="F388" s="93"/>
      <c r="G388" s="201"/>
      <c r="H388" s="134">
        <f t="shared" ref="H388" si="1141">COUNT($P388:$XX388)</f>
        <v>4</v>
      </c>
      <c r="I388" s="132">
        <f t="shared" ref="I388" si="1142">_xlfn.STDEV.P($P387:$XX388)/AVERAGE($P387:$XX388)</f>
        <v>0.18404128172662942</v>
      </c>
      <c r="J388" s="7">
        <f t="shared" ref="J388" si="1143">IF(AND(H388&gt;2,
OR(L372="MÉDIA SANEADA",L372="MEDIANA SANEADA",
AND(L372="PREÇO ESTIMADO",NOT(AND(P374="Orçamento",COUNTA(P372:XX372)=COUNTIF(P374:XX374,"Orçamento")))))),
ROW(),0)</f>
        <v>388</v>
      </c>
      <c r="K388" s="66"/>
      <c r="N388" s="71"/>
      <c r="O388" s="27" t="str">
        <f t="shared" ref="O388" si="1144">"5 RODADA"</f>
        <v>5 RODADA</v>
      </c>
      <c r="P388" s="107">
        <f t="shared" ref="P388:AI388" si="1145">IF(P386="","",IF((_xlfn.STDEV.P($P385:$XX386)/AVERAGE($P385:$XX386))&lt;=25%,P386,IF(OR(P386&gt;(AVERAGE($P385:$XX386)+_xlfn.STDEV.P($P385:$XX386)),P386&lt;(AVERAGE($P385:$XX386)-_xlfn.STDEV.P($P385:$XX386))),"DESCARTADO",P386)))</f>
        <v>45.516309930694661</v>
      </c>
      <c r="Q388" s="107">
        <f t="shared" si="1145"/>
        <v>77.650000000000006</v>
      </c>
      <c r="R388" s="107">
        <f t="shared" si="1145"/>
        <v>64.837422916037781</v>
      </c>
      <c r="S388" s="107">
        <f t="shared" si="1145"/>
        <v>70</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f t="shared" si="1039"/>
        <v>18</v>
      </c>
      <c r="C389" s="128">
        <f t="shared" si="1040"/>
        <v>1</v>
      </c>
      <c r="D389" s="127">
        <f t="shared" si="1040"/>
        <v>18</v>
      </c>
      <c r="E389" s="199"/>
      <c r="F389" s="93"/>
      <c r="G389" s="201"/>
      <c r="H389"/>
      <c r="I389"/>
      <c r="J389"/>
      <c r="K389" s="66"/>
      <c r="L389" s="22"/>
      <c r="M389" s="22"/>
      <c r="N389" s="71"/>
      <c r="O389" s="27" t="str">
        <f t="shared" ref="O389" si="1146">"6 POND"</f>
        <v>6 POND</v>
      </c>
      <c r="P389" s="107">
        <f>IF(IFERROR(VLOOKUP(P374,'Tabela de Apoio'!$D:$E,2,FALSE),1)=1,"",P390)</f>
        <v>45.516309930694661</v>
      </c>
      <c r="Q389" s="107">
        <f>IF(IFERROR(VLOOKUP(Q374,'Tabela de Apoio'!$D:$E,2,FALSE),1)=1,"",Q390)</f>
        <v>77.650000000000006</v>
      </c>
      <c r="R389" s="107">
        <f>IF(IFERROR(VLOOKUP(R374,'Tabela de Apoio'!$D:$E,2,FALSE),1)=1,"",R390)</f>
        <v>64.837422916037781</v>
      </c>
      <c r="S389" s="107">
        <f>IF(IFERROR(VLOOKUP(S374,'Tabela de Apoio'!$D:$E,2,FALSE),1)=1,"",S390)</f>
        <v>70</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f t="shared" si="1039"/>
        <v>18</v>
      </c>
      <c r="C390" s="128">
        <f t="shared" si="1040"/>
        <v>1</v>
      </c>
      <c r="D390" s="127">
        <f t="shared" si="1040"/>
        <v>18</v>
      </c>
      <c r="E390" s="199"/>
      <c r="F390" s="93"/>
      <c r="G390" s="201"/>
      <c r="H390" s="134">
        <f t="shared" ref="H390" si="1147">COUNT($P390:$XX390)</f>
        <v>4</v>
      </c>
      <c r="I390" s="132">
        <f t="shared" ref="I390" si="1148">_xlfn.STDEV.P($P389:$XX390)/AVERAGE($P389:$XX390)</f>
        <v>0.18404128172662942</v>
      </c>
      <c r="J390" s="7">
        <f t="shared" ref="J390" si="1149">IF(AND(H390&gt;2,
OR(L372="MÉDIA SANEADA",L372="MEDIANA SANEADA",
AND(L372="PREÇO ESTIMADO",NOT(AND(P374="Orçamento",COUNTA(P372:XX372)=COUNTIF(P374:XX374,"Orçamento")))))),
ROW(),0)</f>
        <v>390</v>
      </c>
      <c r="N390" s="71"/>
      <c r="O390" s="27" t="str">
        <f t="shared" ref="O390" si="1150">"6 RODADA"</f>
        <v>6 RODADA</v>
      </c>
      <c r="P390" s="107">
        <f t="shared" ref="P390:AI390" si="1151">IFERROR(IF(P388="","",IF((_xlfn.STDEV.P($P387:$XX388)/AVERAGE($P387:$XX388))&lt;=25%,P388,IF(OR(P388&gt;(AVERAGE($P387:$XX388)+_xlfn.STDEV.P($P387:$XX388)),P388&lt;(AVERAGE($P387:$XX388)-_xlfn.STDEV.P($P387:$XX388))),"DESCARTADO",P388))),)</f>
        <v>45.516309930694661</v>
      </c>
      <c r="Q390" s="107">
        <f t="shared" si="1151"/>
        <v>77.650000000000006</v>
      </c>
      <c r="R390" s="107">
        <f t="shared" si="1151"/>
        <v>64.837422916037781</v>
      </c>
      <c r="S390" s="107">
        <f t="shared" si="1151"/>
        <v>70</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f t="shared" si="1039"/>
        <v>18</v>
      </c>
      <c r="C391" s="128">
        <f t="shared" si="1040"/>
        <v>1</v>
      </c>
      <c r="D391" s="127">
        <f t="shared" si="1040"/>
        <v>18</v>
      </c>
      <c r="E391" s="199"/>
      <c r="F391" s="136"/>
      <c r="G391" s="201"/>
      <c r="H391" s="204"/>
      <c r="I391" s="204"/>
      <c r="J391" s="205"/>
      <c r="K391" s="67"/>
      <c r="L391" s="1" t="s">
        <v>43</v>
      </c>
      <c r="M391" s="143">
        <f t="shared" ref="M391" si="1152">IFERROR(ROUND(M372*M374,2),"")</f>
        <v>68047.5</v>
      </c>
      <c r="O391" s="27" t="s">
        <v>363</v>
      </c>
      <c r="P391" s="107">
        <f t="shared" ref="P391:AI412" si="1153">INDEX(P378:P390,MATCH(MAX($J378:$J390),$J378:$J390,0))</f>
        <v>45.516309930694661</v>
      </c>
      <c r="Q391" s="107">
        <f t="shared" si="1153"/>
        <v>77.650000000000006</v>
      </c>
      <c r="R391" s="107">
        <f t="shared" si="1153"/>
        <v>64.837422916037781</v>
      </c>
      <c r="S391" s="107">
        <f t="shared" si="1153"/>
        <v>70</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f t="shared" ref="B393" si="1154">LARGE(IFERROR(IF(B391+1&gt;$H$8,"",B391+1),""),1)</f>
        <v>19</v>
      </c>
      <c r="C393" s="127">
        <f>IF(_xlfn.ISFORMULA(E397),MAX(INDEX('BASE FORMAÇÃO'!A:A,B393+1),1),E397)</f>
        <v>1</v>
      </c>
      <c r="D393" s="127">
        <f t="shared" ref="D393" si="1155">IFERROR(IF(C393=C383,D383+1,1),1)</f>
        <v>19</v>
      </c>
      <c r="E393" s="38" t="s">
        <v>9</v>
      </c>
      <c r="F393" s="73"/>
      <c r="G393" s="38" t="s">
        <v>15</v>
      </c>
      <c r="H393" s="135">
        <f>INDEX('BASE FORMAÇÃO'!B:B,B393+1)</f>
        <v>0</v>
      </c>
      <c r="I393" s="181" t="s">
        <v>16</v>
      </c>
      <c r="J393" s="6">
        <f>INDEX('BASE FORMAÇÃO'!K:K,B393+1)</f>
        <v>0</v>
      </c>
      <c r="K393" s="65"/>
      <c r="L393" s="183" t="s">
        <v>10</v>
      </c>
      <c r="M393" s="185">
        <f t="shared" ref="M393" si="1156">IF(OR(ISBLANK($O$8),ISBLANK($O$7),ISBLANK($H$8),ISBLANK($O$6),ISBLANK($O$5),ISBLANK($H$5)),"",IFERROR(IF(VLOOKUP(L393,L399:M408,2,FALSE)&lt;1,ROUND(VLOOKUP(L393,L399:M408,2,FALSE),4),ROUND(VLOOKUP(L393,L399:M408,2,FALSE),2)),""))</f>
        <v>62.33</v>
      </c>
      <c r="N393" s="69"/>
      <c r="O393" s="27" t="s">
        <v>17</v>
      </c>
      <c r="P393" s="113">
        <v>55</v>
      </c>
      <c r="Q393" s="113">
        <v>65</v>
      </c>
      <c r="R393" s="113">
        <v>63.95</v>
      </c>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f t="shared" ref="B394:D394" si="1157">B393</f>
        <v>19</v>
      </c>
      <c r="C394" s="128">
        <f t="shared" si="1157"/>
        <v>1</v>
      </c>
      <c r="D394" s="127">
        <f t="shared" si="1157"/>
        <v>19</v>
      </c>
      <c r="E394" s="187">
        <f t="shared" ref="E394" si="1158">D393</f>
        <v>19</v>
      </c>
      <c r="F394" s="92"/>
      <c r="G394" s="189" t="s">
        <v>1</v>
      </c>
      <c r="H394" s="192" t="str">
        <f>INDEX('BASE FORMAÇÃO'!C:C,B393+1)</f>
        <v>Placas modelo 2</v>
      </c>
      <c r="I394" s="192"/>
      <c r="J394" s="193"/>
      <c r="K394" s="66"/>
      <c r="L394" s="184"/>
      <c r="M394" s="186"/>
      <c r="N394" s="70"/>
      <c r="O394" s="27" t="s">
        <v>13</v>
      </c>
      <c r="P394" s="122">
        <v>46003</v>
      </c>
      <c r="Q394" s="122">
        <v>46231</v>
      </c>
      <c r="R394" s="122">
        <v>46112</v>
      </c>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f t="shared" ref="B395:D395" si="1159">B394</f>
        <v>19</v>
      </c>
      <c r="C395" s="128">
        <f t="shared" si="1159"/>
        <v>1</v>
      </c>
      <c r="D395" s="127">
        <f t="shared" si="1159"/>
        <v>19</v>
      </c>
      <c r="E395" s="188"/>
      <c r="F395" s="93"/>
      <c r="G395" s="190"/>
      <c r="H395" s="194"/>
      <c r="I395" s="194"/>
      <c r="J395" s="195"/>
      <c r="K395" s="64"/>
      <c r="L395" s="130" t="s">
        <v>44</v>
      </c>
      <c r="M395" s="131">
        <f>INDEX('BASE FORMAÇÃO'!H:H,B397+1)</f>
        <v>975</v>
      </c>
      <c r="N395" s="71"/>
      <c r="O395" s="27" t="s">
        <v>380</v>
      </c>
      <c r="P395" s="114" t="s">
        <v>12</v>
      </c>
      <c r="Q395" s="114" t="s">
        <v>12</v>
      </c>
      <c r="R395" s="114" t="s">
        <v>12</v>
      </c>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f t="shared" ref="B396:C396" si="1160">B395</f>
        <v>19</v>
      </c>
      <c r="C396" s="128">
        <f t="shared" si="1160"/>
        <v>1</v>
      </c>
      <c r="D396" s="127">
        <f t="shared" si="1040"/>
        <v>19</v>
      </c>
      <c r="E396" s="38" t="s">
        <v>313</v>
      </c>
      <c r="F396" s="93"/>
      <c r="G396" s="191"/>
      <c r="H396" s="196"/>
      <c r="I396" s="196"/>
      <c r="J396" s="197"/>
      <c r="K396" s="64"/>
      <c r="L396" s="1" t="s">
        <v>2</v>
      </c>
      <c r="M396" s="6" t="str">
        <f>INDEX('BASE FORMAÇÃO'!D:D,B397+1)</f>
        <v>M2</v>
      </c>
      <c r="N396" s="71"/>
      <c r="O396" s="27" t="s">
        <v>381</v>
      </c>
      <c r="P396" s="115" t="s">
        <v>459</v>
      </c>
      <c r="Q396" s="115" t="s">
        <v>460</v>
      </c>
      <c r="R396" s="115" t="s">
        <v>460</v>
      </c>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f t="shared" ref="B397:C397" si="1161">B395</f>
        <v>19</v>
      </c>
      <c r="C397" s="128">
        <f t="shared" si="1161"/>
        <v>1</v>
      </c>
      <c r="D397" s="127">
        <f t="shared" si="1040"/>
        <v>19</v>
      </c>
      <c r="E397" s="198">
        <f t="shared" ref="E397" si="1162">C393</f>
        <v>1</v>
      </c>
      <c r="F397" s="93"/>
      <c r="G397" s="200" t="s">
        <v>304</v>
      </c>
      <c r="H397" s="202"/>
      <c r="I397" s="203"/>
      <c r="J397" s="203"/>
      <c r="K397" s="67"/>
      <c r="L397" s="28" t="s">
        <v>303</v>
      </c>
      <c r="M397" s="133">
        <f t="shared" ref="M397" si="1163">IFERROR(INDEX(I399:I411,MATCH(MAX(J399:J411),J399:J411,0)),"")</f>
        <v>6.173470182352106E-2</v>
      </c>
      <c r="N397" s="71"/>
      <c r="O397" s="27" t="s">
        <v>18</v>
      </c>
      <c r="P397" s="106">
        <f>IF(P393="","",
IF(OR(P395="Orçamento",P394="",MAX('Tabela de Apoio'!$A:$A)&lt;=P394),
P393,
(INDEX('Tabela de Apoio'!$B:$B,MATCH('MAPA DE PREÇOS'!$O$8,'Tabela de Apoio'!$A:$A,1))/INDEX('Tabela de Apoio'!$B:$B,MATCH('MAPA DE PREÇOS'!P394,'Tabela de Apoio'!$A:$A,1)-1))*P393))</f>
        <v>56.895387413368319</v>
      </c>
      <c r="Q397" s="106">
        <f>IF(Q393="","",
IF(OR(Q395="Orçamento",Q394="",MAX('Tabela de Apoio'!$A:$A)&lt;=Q394),
Q393,
(INDEX('Tabela de Apoio'!$B:$B,MATCH('MAPA DE PREÇOS'!$O$8,'Tabela de Apoio'!$A:$A,1))/INDEX('Tabela de Apoio'!$B:$B,MATCH('MAPA DE PREÇOS'!Q394,'Tabela de Apoio'!$A:$A,1)-1))*Q393))</f>
        <v>64.837422916037781</v>
      </c>
      <c r="R397" s="106">
        <f>IF(R393="","",
IF(OR(R395="Orçamento",R394="",MAX('Tabela de Apoio'!$A:$A)&lt;=R394),
R393,
(INDEX('Tabela de Apoio'!$B:$B,MATCH('MAPA DE PREÇOS'!$O$8,'Tabela de Apoio'!$A:$A,1))/INDEX('Tabela de Apoio'!$B:$B,MATCH('MAPA DE PREÇOS'!R394,'Tabela de Apoio'!$A:$A,1)-1))*R393))</f>
        <v>65.262564791950496</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f t="shared" ref="B398" si="1164">B397</f>
        <v>19</v>
      </c>
      <c r="C398" s="128">
        <f t="shared" ref="C398" si="1165">C397</f>
        <v>1</v>
      </c>
      <c r="D398" s="127">
        <f t="shared" si="1040"/>
        <v>19</v>
      </c>
      <c r="E398" s="199"/>
      <c r="F398" s="93"/>
      <c r="G398" s="201"/>
      <c r="H398"/>
      <c r="I398"/>
      <c r="J398"/>
      <c r="N398" s="71"/>
      <c r="O398" s="27" t="s">
        <v>375</v>
      </c>
      <c r="P398" s="107">
        <f>IF(IFERROR(VLOOKUP(P395,'Tabela de Apoio'!$D:$E,2,FALSE),1)=1,"",P399)</f>
        <v>56.895387413368319</v>
      </c>
      <c r="Q398" s="107">
        <f>IF(IFERROR(VLOOKUP(Q395,'Tabela de Apoio'!$D:$E,2,FALSE),1)=1,"",Q399)</f>
        <v>64.837422916037781</v>
      </c>
      <c r="R398" s="107">
        <f>IF(IFERROR(VLOOKUP(R395,'Tabela de Apoio'!$D:$E,2,FALSE),1)=1,"",R399)</f>
        <v>65.262564791950496</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f t="shared" ref="B399:C399" si="1166">B398</f>
        <v>19</v>
      </c>
      <c r="C399" s="128">
        <f t="shared" si="1166"/>
        <v>1</v>
      </c>
      <c r="D399" s="127">
        <f t="shared" si="1040"/>
        <v>19</v>
      </c>
      <c r="E399" s="199"/>
      <c r="F399" s="93"/>
      <c r="G399" s="201"/>
      <c r="H399" s="134">
        <f t="shared" ref="H399" si="1167">COUNT($P399:$XX399)</f>
        <v>3</v>
      </c>
      <c r="I399" s="132">
        <f t="shared" ref="I399" si="1168">_xlfn.STDEV.P($P398:$XX399)/AVERAGE($P398:$XX399)</f>
        <v>6.173470182352106E-2</v>
      </c>
      <c r="J399" s="7">
        <f>ROW()</f>
        <v>399</v>
      </c>
      <c r="K399" s="67"/>
      <c r="L399" s="29" t="s">
        <v>10</v>
      </c>
      <c r="M399" s="30">
        <f t="shared" ref="M399" si="1169">IFERROR(
IF(COUNTA(P393:AI393)=COUNTIF(P395:XX395,"Orçamento"),MIN(M404,M401),
IF(M402&lt;&gt;"",M402,
IF(M403&lt;&gt;"",M403,
M401
))),"")</f>
        <v>62.33179170711886</v>
      </c>
      <c r="N399" s="71"/>
      <c r="O399" s="27" t="s">
        <v>376</v>
      </c>
      <c r="P399" s="106">
        <f t="shared" ref="P399:AI399" si="1170">IFERROR(IF(P397="",
            "",
            IF(COUNT($P397:$XX397)&lt;=4,
               P397,
               IF(OR(P397&gt;(QUARTILE($P397:$XX397,3)+(QUARTILE($P397:$XX397,3)-QUARTILE($P397:$XX397,1))),
                     P397&lt;(QUARTILE($P397:$XX397,1)-(QUARTILE($P397:$XX397,3)-QUARTILE($P397:$XX397,1)))
                  ),
               "DESCARTADO",P397)
             )
  ),P397)</f>
        <v>56.895387413368319</v>
      </c>
      <c r="Q399" s="106">
        <f t="shared" si="1170"/>
        <v>64.837422916037781</v>
      </c>
      <c r="R399" s="106">
        <f t="shared" si="1170"/>
        <v>65.262564791950496</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f t="shared" ref="B400" si="1171">B399</f>
        <v>19</v>
      </c>
      <c r="C400" s="128">
        <f t="shared" ref="C400" si="1172">C399</f>
        <v>1</v>
      </c>
      <c r="D400" s="127">
        <f t="shared" si="1040"/>
        <v>19</v>
      </c>
      <c r="E400" s="199"/>
      <c r="F400" s="93"/>
      <c r="G400" s="201"/>
      <c r="H400"/>
      <c r="I400"/>
      <c r="J400"/>
      <c r="K400" s="66"/>
      <c r="L400" s="29" t="s">
        <v>360</v>
      </c>
      <c r="M400" s="30">
        <f t="shared" ref="M400" si="1173">AVERAGE($P399:$XX399)</f>
        <v>62.331791707118867</v>
      </c>
      <c r="N400" s="71"/>
      <c r="O400" s="27" t="str">
        <f t="shared" ref="O400" si="1174">"1 POND"</f>
        <v>1 POND</v>
      </c>
      <c r="P400" s="107">
        <f>IF(IFERROR(VLOOKUP(P395,'Tabela de Apoio'!$D:$E,2,FALSE),1)=1,"",P401)</f>
        <v>56.895387413368319</v>
      </c>
      <c r="Q400" s="107">
        <f>IF(IFERROR(VLOOKUP(Q395,'Tabela de Apoio'!$D:$E,2,FALSE),1)=1,"",Q401)</f>
        <v>64.837422916037781</v>
      </c>
      <c r="R400" s="107">
        <f>IF(IFERROR(VLOOKUP(R395,'Tabela de Apoio'!$D:$E,2,FALSE),1)=1,"",R401)</f>
        <v>65.262564791950496</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f t="shared" si="1039"/>
        <v>19</v>
      </c>
      <c r="C401" s="128">
        <f t="shared" si="1040"/>
        <v>1</v>
      </c>
      <c r="D401" s="127">
        <f t="shared" si="1040"/>
        <v>19</v>
      </c>
      <c r="E401" s="199"/>
      <c r="F401" s="93"/>
      <c r="G401" s="201"/>
      <c r="H401" s="134">
        <f t="shared" ref="H401" si="1175">COUNT($P401:$XX401)</f>
        <v>3</v>
      </c>
      <c r="I401" s="132">
        <f t="shared" ref="I401" si="1176">_xlfn.STDEV.P($P400:$XX401)/AVERAGE($P400:$XX401)</f>
        <v>6.173470182352106E-2</v>
      </c>
      <c r="J401" s="7">
        <f t="shared" ref="J401" si="1177">IF(AND(H401&gt;2,
OR(L393="MÉDIA SANEADA",L393="MEDIANA SANEADA",
AND(L393="PREÇO ESTIMADO",NOT(AND(P395="Orçamento",COUNTA(P393:XX393)=COUNTIF(P395:XX395,"Orçamento")))))),
ROW(),0)</f>
        <v>401</v>
      </c>
      <c r="K401" s="66"/>
      <c r="L401" s="29" t="s">
        <v>361</v>
      </c>
      <c r="M401" s="30">
        <f t="shared" ref="M401" si="1178">MEDIAN($P399:$XX399)</f>
        <v>64.837422916037781</v>
      </c>
      <c r="N401" s="71"/>
      <c r="O401" s="27" t="str">
        <f t="shared" ref="O401" si="1179">"1 RODADA"</f>
        <v>1 RODADA</v>
      </c>
      <c r="P401" s="107">
        <f t="shared" ref="P401:AI401" si="1180">IF(P399="","",IF((_xlfn.STDEV.P($P398:$XX399)/AVERAGE($P398:$XX399))&lt;=25%,P399,IF(OR(P399&gt;(AVERAGE($P398:$XX399)+_xlfn.STDEV.P($P398:$XX399)),P399&lt;(AVERAGE($P398:$XX399)-_xlfn.STDEV.P($P398:$XX399))),"DESCARTADO",P399)))</f>
        <v>56.895387413368319</v>
      </c>
      <c r="Q401" s="107">
        <f t="shared" si="1180"/>
        <v>64.837422916037781</v>
      </c>
      <c r="R401" s="107">
        <f t="shared" si="1180"/>
        <v>65.262564791950496</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f t="shared" si="1039"/>
        <v>19</v>
      </c>
      <c r="C402" s="128">
        <f t="shared" si="1040"/>
        <v>1</v>
      </c>
      <c r="D402" s="127">
        <f t="shared" si="1040"/>
        <v>19</v>
      </c>
      <c r="E402" s="199"/>
      <c r="F402" s="93"/>
      <c r="G402" s="201"/>
      <c r="H402"/>
      <c r="I402"/>
      <c r="J402"/>
      <c r="L402" s="29" t="s">
        <v>38</v>
      </c>
      <c r="M402" s="30">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62.33179170711886</v>
      </c>
      <c r="N402" s="71"/>
      <c r="O402" s="27" t="str">
        <f t="shared" ref="O402" si="1182">"2 POND"</f>
        <v>2 POND</v>
      </c>
      <c r="P402" s="107">
        <f>IF(IFERROR(VLOOKUP(P395,'Tabela de Apoio'!$D:$E,2,FALSE),1)=1,"",P403)</f>
        <v>56.895387413368319</v>
      </c>
      <c r="Q402" s="107">
        <f>IF(IFERROR(VLOOKUP(Q395,'Tabela de Apoio'!$D:$E,2,FALSE),1)=1,"",Q403)</f>
        <v>64.837422916037781</v>
      </c>
      <c r="R402" s="107">
        <f>IF(IFERROR(VLOOKUP(R395,'Tabela de Apoio'!$D:$E,2,FALSE),1)=1,"",R403)</f>
        <v>65.262564791950496</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f t="shared" si="1039"/>
        <v>19</v>
      </c>
      <c r="C403" s="128">
        <f t="shared" si="1040"/>
        <v>1</v>
      </c>
      <c r="D403" s="127">
        <f t="shared" si="1040"/>
        <v>19</v>
      </c>
      <c r="E403" s="199"/>
      <c r="F403" s="93"/>
      <c r="G403" s="201"/>
      <c r="H403" s="134">
        <f t="shared" ref="H403" si="1183">COUNT($P403:$XX403)</f>
        <v>3</v>
      </c>
      <c r="I403" s="132">
        <f t="shared" ref="I403" si="1184">_xlfn.STDEV.P($P402:$XX403)/AVERAGE($P402:$XX403)</f>
        <v>6.173470182352106E-2</v>
      </c>
      <c r="J403" s="7">
        <f t="shared" ref="J403" si="1185">IF(AND(H403&gt;2,
OR(L393="MÉDIA SANEADA",L393="MEDIANA SANEADA",
AND(L393="PREÇO ESTIMADO",NOT(AND(P395="Orçamento",COUNTA(P393:XX393)=COUNTIF(P395:XX395,"Orçamento")))))),
ROW(),0)</f>
        <v>403</v>
      </c>
      <c r="K403" s="66"/>
      <c r="L403" s="29" t="s">
        <v>362</v>
      </c>
      <c r="M403" s="30">
        <f t="shared" ref="M403" si="1186" xml:space="preserve">
IF(H401&gt;2,MEDIAN(P400:XX401),
IF(H403&gt;2,MEDIAN(P402:XX403),
IF(H405&gt;2,MEDIAN(P404:XX405),
IF(H407&gt;2,MEDIAN(P406:XX407),
IF(H409&gt;2,MEDIAN(P408:XX409),
IF(H411&gt;2,MEDIAN(P410:XX411),
MEDIAN(P398:XX399)))))))</f>
        <v>64.837422916037781</v>
      </c>
      <c r="N403" s="71"/>
      <c r="O403" s="27" t="str">
        <f t="shared" ref="O403" si="1187">"2 RODADA"</f>
        <v>2 RODADA</v>
      </c>
      <c r="P403" s="107">
        <f t="shared" ref="P403:AI403" si="1188">IF(P401="","",IF((_xlfn.STDEV.P($P400:$XX401)/AVERAGE($P400:$XX401))&lt;=25%,P401,IF(OR(P401&gt;(AVERAGE($P400:$XX401)+_xlfn.STDEV.P($P400:$XX401)),P401&lt;(AVERAGE($P400:$XX401)-_xlfn.STDEV.P($P400:$XX401))),"DESCARTADO",P401)))</f>
        <v>56.895387413368319</v>
      </c>
      <c r="Q403" s="107">
        <f t="shared" si="1188"/>
        <v>64.837422916037781</v>
      </c>
      <c r="R403" s="107">
        <f t="shared" si="1188"/>
        <v>65.262564791950496</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f t="shared" si="1039"/>
        <v>19</v>
      </c>
      <c r="C404" s="128">
        <f t="shared" si="1040"/>
        <v>1</v>
      </c>
      <c r="D404" s="127">
        <f t="shared" si="1040"/>
        <v>19</v>
      </c>
      <c r="E404" s="199"/>
      <c r="F404" s="93"/>
      <c r="G404" s="201"/>
      <c r="H404"/>
      <c r="I404"/>
      <c r="J404"/>
      <c r="K404" s="66"/>
      <c r="L404" s="29" t="s">
        <v>359</v>
      </c>
      <c r="M404" s="30">
        <f t="shared" ref="M404" si="1189">HARMEAN($P398:$XX399)</f>
        <v>62.083486034508439</v>
      </c>
      <c r="N404" s="71"/>
      <c r="O404" s="27" t="str">
        <f t="shared" ref="O404" si="1190">"3 POND"</f>
        <v>3 POND</v>
      </c>
      <c r="P404" s="107">
        <f>IF(IFERROR(VLOOKUP(P395,'Tabela de Apoio'!$D:$E,2,FALSE),1)=1,"",P405)</f>
        <v>56.895387413368319</v>
      </c>
      <c r="Q404" s="107">
        <f>IF(IFERROR(VLOOKUP(Q395,'Tabela de Apoio'!$D:$E,2,FALSE),1)=1,"",Q405)</f>
        <v>64.837422916037781</v>
      </c>
      <c r="R404" s="107">
        <f>IF(IFERROR(VLOOKUP(R395,'Tabela de Apoio'!$D:$E,2,FALSE),1)=1,"",R405)</f>
        <v>65.262564791950496</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f t="shared" si="1039"/>
        <v>19</v>
      </c>
      <c r="C405" s="128">
        <f t="shared" si="1040"/>
        <v>1</v>
      </c>
      <c r="D405" s="127">
        <f t="shared" si="1040"/>
        <v>19</v>
      </c>
      <c r="E405" s="199"/>
      <c r="F405" s="93"/>
      <c r="G405" s="201"/>
      <c r="H405" s="134">
        <f t="shared" ref="H405" si="1191">COUNT($P405:$XX405)</f>
        <v>3</v>
      </c>
      <c r="I405" s="132">
        <f t="shared" ref="I405" si="1192">_xlfn.STDEV.P($P404:$XX405)/AVERAGE($P404:$XX405)</f>
        <v>6.173470182352106E-2</v>
      </c>
      <c r="J405" s="7">
        <f t="shared" ref="J405" si="1193">IF(AND(H405&gt;2,
OR(L393="MÉDIA SANEADA",L393="MEDIANA SANEADA",
AND(L393="PREÇO ESTIMADO",NOT(AND(P395="Orçamento",COUNTA(P393:XX393)=COUNTIF(P395:XX395,"Orçamento")))))),
ROW(),0)</f>
        <v>405</v>
      </c>
      <c r="K405" s="66"/>
      <c r="L405" s="29" t="s">
        <v>41</v>
      </c>
      <c r="M405" s="30">
        <f t="shared" ref="M405" si="1194">IFERROR(_xlfn.QUARTILE.EXC($P399:$XX399,1),"")</f>
        <v>56.895387413368319</v>
      </c>
      <c r="N405" s="71"/>
      <c r="O405" s="27" t="str">
        <f t="shared" ref="O405" si="1195">"3 RODADA"</f>
        <v>3 RODADA</v>
      </c>
      <c r="P405" s="107">
        <f t="shared" ref="P405:AI405" si="1196">IF(P403="","",IF((_xlfn.STDEV.P($P402:$XX403)/AVERAGE($P402:$XX403))&lt;=25%,P403,IF(OR(P403&gt;(AVERAGE($P402:$XX403)+_xlfn.STDEV.P($P402:$XX403)),P403&lt;(AVERAGE($P402:$XX403)-_xlfn.STDEV.P($P402:$XX403))),"DESCARTADO",P403)))</f>
        <v>56.895387413368319</v>
      </c>
      <c r="Q405" s="107">
        <f t="shared" si="1196"/>
        <v>64.837422916037781</v>
      </c>
      <c r="R405" s="107">
        <f t="shared" si="1196"/>
        <v>65.262564791950496</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f t="shared" si="1039"/>
        <v>19</v>
      </c>
      <c r="C406" s="128">
        <f t="shared" si="1040"/>
        <v>1</v>
      </c>
      <c r="D406" s="127">
        <f t="shared" si="1040"/>
        <v>19</v>
      </c>
      <c r="E406" s="199"/>
      <c r="F406" s="93"/>
      <c r="G406" s="201"/>
      <c r="H406"/>
      <c r="I406"/>
      <c r="J406"/>
      <c r="K406" s="66"/>
      <c r="L406" s="29" t="s">
        <v>39</v>
      </c>
      <c r="M406" s="30">
        <f t="shared" ref="M406" si="1197">IFERROR(_xlfn.QUARTILE.EXC($P399:$XX399,3),"")</f>
        <v>65.262564791950496</v>
      </c>
      <c r="N406" s="71"/>
      <c r="O406" s="27" t="str">
        <f t="shared" ref="O406" si="1198">"4 POND"</f>
        <v>4 POND</v>
      </c>
      <c r="P406" s="107">
        <f>IF(IFERROR(VLOOKUP(P395,'Tabela de Apoio'!$D:$E,2,FALSE),1)=1,"",P407)</f>
        <v>56.895387413368319</v>
      </c>
      <c r="Q406" s="107">
        <f>IF(IFERROR(VLOOKUP(Q395,'Tabela de Apoio'!$D:$E,2,FALSE),1)=1,"",Q407)</f>
        <v>64.837422916037781</v>
      </c>
      <c r="R406" s="107">
        <f>IF(IFERROR(VLOOKUP(R395,'Tabela de Apoio'!$D:$E,2,FALSE),1)=1,"",R407)</f>
        <v>65.262564791950496</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f t="shared" si="1039"/>
        <v>19</v>
      </c>
      <c r="C407" s="128">
        <f t="shared" si="1040"/>
        <v>1</v>
      </c>
      <c r="D407" s="127">
        <f t="shared" si="1040"/>
        <v>19</v>
      </c>
      <c r="E407" s="199"/>
      <c r="F407" s="93"/>
      <c r="G407" s="201"/>
      <c r="H407" s="134">
        <f t="shared" ref="H407" si="1199">COUNT($P407:$XX407)</f>
        <v>3</v>
      </c>
      <c r="I407" s="132">
        <f t="shared" ref="I407" si="1200">_xlfn.STDEV.P($P406:$XX407)/AVERAGE($P406:$XX407)</f>
        <v>6.173470182352106E-2</v>
      </c>
      <c r="J407" s="7">
        <f t="shared" ref="J407" si="1201">IF(AND(H407&gt;2,
OR(L393="MÉDIA SANEADA",L393="MEDIANA SANEADA",
AND(L393="PREÇO ESTIMADO",NOT(AND(P395="Orçamento",COUNTA(P393:XX393)=COUNTIF(P395:XX395,"Orçamento")))))),
ROW(),0)</f>
        <v>407</v>
      </c>
      <c r="K407" s="66"/>
      <c r="L407" s="29" t="s">
        <v>42</v>
      </c>
      <c r="M407" s="30">
        <f t="shared" ref="M407" si="1202">MIN($P399:$XX399)</f>
        <v>56.895387413368319</v>
      </c>
      <c r="N407" s="71"/>
      <c r="O407" s="27" t="str">
        <f t="shared" ref="O407" si="1203">"4 RODADA"</f>
        <v>4 RODADA</v>
      </c>
      <c r="P407" s="107">
        <f t="shared" ref="P407:AI407" si="1204">IF(P405="","",IF((_xlfn.STDEV.P($P404:$XX405)/AVERAGE($P404:$XX405))&lt;=25%,P405,IF(OR(P405&gt;(AVERAGE($P404:$XX405)+_xlfn.STDEV.P($P404:$XX405)),P405&lt;(AVERAGE($P404:$XX405)-_xlfn.STDEV.P($P404:$XX405))),"DESCARTADO",P405)))</f>
        <v>56.895387413368319</v>
      </c>
      <c r="Q407" s="107">
        <f t="shared" si="1204"/>
        <v>64.837422916037781</v>
      </c>
      <c r="R407" s="107">
        <f t="shared" si="1204"/>
        <v>65.262564791950496</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f t="shared" si="1039"/>
        <v>19</v>
      </c>
      <c r="C408" s="128">
        <f t="shared" si="1040"/>
        <v>1</v>
      </c>
      <c r="D408" s="127">
        <f t="shared" si="1040"/>
        <v>19</v>
      </c>
      <c r="E408" s="199"/>
      <c r="F408" s="93"/>
      <c r="G408" s="201"/>
      <c r="H408"/>
      <c r="I408"/>
      <c r="J408"/>
      <c r="K408" s="66"/>
      <c r="L408" s="29" t="s">
        <v>40</v>
      </c>
      <c r="M408" s="30">
        <f t="shared" ref="M408" si="1205">MAX($P399:$XX399)</f>
        <v>65.262564791950496</v>
      </c>
      <c r="N408" s="71"/>
      <c r="O408" s="27" t="str">
        <f t="shared" ref="O408" si="1206">"5 POND"</f>
        <v>5 POND</v>
      </c>
      <c r="P408" s="107">
        <f>IF(IFERROR(VLOOKUP(P395,'Tabela de Apoio'!$D:$E,2,FALSE),1)=1,"",P409)</f>
        <v>56.895387413368319</v>
      </c>
      <c r="Q408" s="107">
        <f>IF(IFERROR(VLOOKUP(Q395,'Tabela de Apoio'!$D:$E,2,FALSE),1)=1,"",Q409)</f>
        <v>64.837422916037781</v>
      </c>
      <c r="R408" s="107">
        <f>IF(IFERROR(VLOOKUP(R395,'Tabela de Apoio'!$D:$E,2,FALSE),1)=1,"",R409)</f>
        <v>65.262564791950496</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f t="shared" si="1039"/>
        <v>19</v>
      </c>
      <c r="C409" s="128">
        <f t="shared" si="1040"/>
        <v>1</v>
      </c>
      <c r="D409" s="127">
        <f t="shared" si="1040"/>
        <v>19</v>
      </c>
      <c r="E409" s="199"/>
      <c r="F409" s="93"/>
      <c r="G409" s="201"/>
      <c r="H409" s="134">
        <f t="shared" ref="H409" si="1207">COUNT($P409:$XX409)</f>
        <v>3</v>
      </c>
      <c r="I409" s="132">
        <f t="shared" ref="I409" si="1208">_xlfn.STDEV.P($P408:$XX409)/AVERAGE($P408:$XX409)</f>
        <v>6.173470182352106E-2</v>
      </c>
      <c r="J409" s="7">
        <f t="shared" ref="J409" si="1209">IF(AND(H409&gt;2,
OR(L393="MÉDIA SANEADA",L393="MEDIANA SANEADA",
AND(L393="PREÇO ESTIMADO",NOT(AND(P395="Orçamento",COUNTA(P393:XX393)=COUNTIF(P395:XX395,"Orçamento")))))),
ROW(),0)</f>
        <v>409</v>
      </c>
      <c r="K409" s="66"/>
      <c r="N409" s="71"/>
      <c r="O409" s="27" t="str">
        <f t="shared" ref="O409" si="1210">"5 RODADA"</f>
        <v>5 RODADA</v>
      </c>
      <c r="P409" s="107">
        <f t="shared" ref="P409:AI409" si="1211">IF(P407="","",IF((_xlfn.STDEV.P($P406:$XX407)/AVERAGE($P406:$XX407))&lt;=25%,P407,IF(OR(P407&gt;(AVERAGE($P406:$XX407)+_xlfn.STDEV.P($P406:$XX407)),P407&lt;(AVERAGE($P406:$XX407)-_xlfn.STDEV.P($P406:$XX407))),"DESCARTADO",P407)))</f>
        <v>56.895387413368319</v>
      </c>
      <c r="Q409" s="107">
        <f t="shared" si="1211"/>
        <v>64.837422916037781</v>
      </c>
      <c r="R409" s="107">
        <f t="shared" si="1211"/>
        <v>65.262564791950496</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f t="shared" si="1039"/>
        <v>19</v>
      </c>
      <c r="C410" s="128">
        <f t="shared" si="1040"/>
        <v>1</v>
      </c>
      <c r="D410" s="127">
        <f t="shared" si="1040"/>
        <v>19</v>
      </c>
      <c r="E410" s="199"/>
      <c r="F410" s="93"/>
      <c r="G410" s="201"/>
      <c r="H410"/>
      <c r="I410"/>
      <c r="J410"/>
      <c r="K410" s="66"/>
      <c r="L410" s="22"/>
      <c r="M410" s="22"/>
      <c r="N410" s="71"/>
      <c r="O410" s="27" t="str">
        <f t="shared" ref="O410" si="1212">"6 POND"</f>
        <v>6 POND</v>
      </c>
      <c r="P410" s="107">
        <f>IF(IFERROR(VLOOKUP(P395,'Tabela de Apoio'!$D:$E,2,FALSE),1)=1,"",P411)</f>
        <v>56.895387413368319</v>
      </c>
      <c r="Q410" s="107">
        <f>IF(IFERROR(VLOOKUP(Q395,'Tabela de Apoio'!$D:$E,2,FALSE),1)=1,"",Q411)</f>
        <v>64.837422916037781</v>
      </c>
      <c r="R410" s="107">
        <f>IF(IFERROR(VLOOKUP(R395,'Tabela de Apoio'!$D:$E,2,FALSE),1)=1,"",R411)</f>
        <v>65.262564791950496</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f t="shared" si="1039"/>
        <v>19</v>
      </c>
      <c r="C411" s="128">
        <f t="shared" si="1040"/>
        <v>1</v>
      </c>
      <c r="D411" s="127">
        <f t="shared" si="1040"/>
        <v>19</v>
      </c>
      <c r="E411" s="199"/>
      <c r="F411" s="93"/>
      <c r="G411" s="201"/>
      <c r="H411" s="134">
        <f t="shared" ref="H411" si="1213">COUNT($P411:$XX411)</f>
        <v>3</v>
      </c>
      <c r="I411" s="132">
        <f t="shared" ref="I411" si="1214">_xlfn.STDEV.P($P410:$XX411)/AVERAGE($P410:$XX411)</f>
        <v>6.173470182352106E-2</v>
      </c>
      <c r="J411" s="7">
        <f t="shared" ref="J411" si="1215">IF(AND(H411&gt;2,
OR(L393="MÉDIA SANEADA",L393="MEDIANA SANEADA",
AND(L393="PREÇO ESTIMADO",NOT(AND(P395="Orçamento",COUNTA(P393:XX393)=COUNTIF(P395:XX395,"Orçamento")))))),
ROW(),0)</f>
        <v>411</v>
      </c>
      <c r="N411" s="71"/>
      <c r="O411" s="27" t="str">
        <f t="shared" ref="O411" si="1216">"6 RODADA"</f>
        <v>6 RODADA</v>
      </c>
      <c r="P411" s="107">
        <f t="shared" ref="P411:AI411" si="1217">IFERROR(IF(P409="","",IF((_xlfn.STDEV.P($P408:$XX409)/AVERAGE($P408:$XX409))&lt;=25%,P409,IF(OR(P409&gt;(AVERAGE($P408:$XX409)+_xlfn.STDEV.P($P408:$XX409)),P409&lt;(AVERAGE($P408:$XX409)-_xlfn.STDEV.P($P408:$XX409))),"DESCARTADO",P409))),)</f>
        <v>56.895387413368319</v>
      </c>
      <c r="Q411" s="107">
        <f t="shared" si="1217"/>
        <v>64.837422916037781</v>
      </c>
      <c r="R411" s="107">
        <f t="shared" si="1217"/>
        <v>65.262564791950496</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f t="shared" si="1039"/>
        <v>19</v>
      </c>
      <c r="C412" s="128">
        <f t="shared" si="1040"/>
        <v>1</v>
      </c>
      <c r="D412" s="127">
        <f t="shared" si="1040"/>
        <v>19</v>
      </c>
      <c r="E412" s="199"/>
      <c r="F412" s="136"/>
      <c r="G412" s="201"/>
      <c r="H412" s="204"/>
      <c r="I412" s="204"/>
      <c r="J412" s="205"/>
      <c r="K412" s="67"/>
      <c r="L412" s="1" t="s">
        <v>43</v>
      </c>
      <c r="M412" s="143">
        <f t="shared" ref="M412" si="1218">IFERROR(ROUND(M393*M395,2),"")</f>
        <v>60771.75</v>
      </c>
      <c r="O412" s="27" t="s">
        <v>363</v>
      </c>
      <c r="P412" s="107">
        <f t="shared" ref="P412:R412" si="1219">INDEX(P399:P411,MATCH(MAX($J399:$J411),$J399:$J411,0))</f>
        <v>56.895387413368319</v>
      </c>
      <c r="Q412" s="107">
        <f t="shared" si="1219"/>
        <v>64.837422916037781</v>
      </c>
      <c r="R412" s="107">
        <f t="shared" si="1219"/>
        <v>65.262564791950496</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f t="shared" ref="B414" si="1220">LARGE(IFERROR(IF(B412+1&gt;$H$8,"",B412+1),""),1)</f>
        <v>20</v>
      </c>
      <c r="C414" s="127">
        <f>IF(_xlfn.ISFORMULA(E418),MAX(INDEX('BASE FORMAÇÃO'!A:A,B414+1),1),E418)</f>
        <v>1</v>
      </c>
      <c r="D414" s="127">
        <f t="shared" ref="D414" si="1221">IFERROR(IF(C414=C404,D404+1,1),1)</f>
        <v>20</v>
      </c>
      <c r="E414" s="38" t="s">
        <v>9</v>
      </c>
      <c r="F414" s="73"/>
      <c r="G414" s="38" t="s">
        <v>15</v>
      </c>
      <c r="H414" s="135">
        <f>INDEX('BASE FORMAÇÃO'!B:B,B414+1)</f>
        <v>0</v>
      </c>
      <c r="I414" s="181" t="s">
        <v>16</v>
      </c>
      <c r="J414" s="6">
        <f>INDEX('BASE FORMAÇÃO'!K:K,B414+1)</f>
        <v>0</v>
      </c>
      <c r="K414" s="65"/>
      <c r="L414" s="183" t="s">
        <v>10</v>
      </c>
      <c r="M414" s="185">
        <f t="shared" ref="M414" si="1222">IF(OR(ISBLANK($O$8),ISBLANK($O$7),ISBLANK($H$8),ISBLANK($O$6),ISBLANK($O$5),ISBLANK($H$5)),"",IFERROR(IF(VLOOKUP(L414,L420:M429,2,FALSE)&lt;1,ROUND(VLOOKUP(L414,L420:M429,2,FALSE),4),ROUND(VLOOKUP(L414,L420:M429,2,FALSE),2)),""))</f>
        <v>106.93</v>
      </c>
      <c r="N414" s="69"/>
      <c r="O414" s="27" t="s">
        <v>17</v>
      </c>
      <c r="P414" s="113">
        <v>98</v>
      </c>
      <c r="Q414" s="113">
        <v>121</v>
      </c>
      <c r="R414" s="113">
        <v>115</v>
      </c>
      <c r="S414" s="113">
        <v>90</v>
      </c>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f t="shared" ref="B415:D415" si="1223">B414</f>
        <v>20</v>
      </c>
      <c r="C415" s="128">
        <f t="shared" si="1223"/>
        <v>1</v>
      </c>
      <c r="D415" s="127">
        <f t="shared" si="1223"/>
        <v>20</v>
      </c>
      <c r="E415" s="187">
        <f t="shared" ref="E415" si="1224">D414</f>
        <v>20</v>
      </c>
      <c r="F415" s="92"/>
      <c r="G415" s="189" t="s">
        <v>1</v>
      </c>
      <c r="H415" s="192" t="str">
        <f>INDEX('BASE FORMAÇÃO'!C:C,B414+1)</f>
        <v>Placas de Obra</v>
      </c>
      <c r="I415" s="192"/>
      <c r="J415" s="193"/>
      <c r="K415" s="66"/>
      <c r="L415" s="184"/>
      <c r="M415" s="186"/>
      <c r="N415" s="70"/>
      <c r="O415" s="27" t="s">
        <v>13</v>
      </c>
      <c r="P415" s="122">
        <v>46003</v>
      </c>
      <c r="Q415" s="122">
        <v>46294</v>
      </c>
      <c r="R415" s="122">
        <v>46148</v>
      </c>
      <c r="S415" s="122">
        <v>46204</v>
      </c>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f t="shared" ref="B416:D416" si="1225">B415</f>
        <v>20</v>
      </c>
      <c r="C416" s="128">
        <f t="shared" si="1225"/>
        <v>1</v>
      </c>
      <c r="D416" s="127">
        <f t="shared" si="1225"/>
        <v>20</v>
      </c>
      <c r="E416" s="188"/>
      <c r="F416" s="93"/>
      <c r="G416" s="190"/>
      <c r="H416" s="194"/>
      <c r="I416" s="194"/>
      <c r="J416" s="195"/>
      <c r="K416" s="64"/>
      <c r="L416" s="130" t="s">
        <v>44</v>
      </c>
      <c r="M416" s="131">
        <f>INDEX('BASE FORMAÇÃO'!H:H,B418+1)</f>
        <v>1649</v>
      </c>
      <c r="N416" s="71"/>
      <c r="O416" s="27" t="s">
        <v>380</v>
      </c>
      <c r="P416" s="114" t="s">
        <v>12</v>
      </c>
      <c r="Q416" s="114" t="s">
        <v>12</v>
      </c>
      <c r="R416" s="114" t="s">
        <v>12</v>
      </c>
      <c r="S416" s="114" t="s">
        <v>12</v>
      </c>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f t="shared" ref="B417:C417" si="1226">B416</f>
        <v>20</v>
      </c>
      <c r="C417" s="128">
        <f t="shared" si="1226"/>
        <v>1</v>
      </c>
      <c r="D417" s="127">
        <f t="shared" si="1040"/>
        <v>20</v>
      </c>
      <c r="E417" s="38" t="s">
        <v>313</v>
      </c>
      <c r="F417" s="93"/>
      <c r="G417" s="191"/>
      <c r="H417" s="196"/>
      <c r="I417" s="196"/>
      <c r="J417" s="197"/>
      <c r="K417" s="64"/>
      <c r="L417" s="1" t="s">
        <v>2</v>
      </c>
      <c r="M417" s="6" t="str">
        <f>INDEX('BASE FORMAÇÃO'!D:D,B418+1)</f>
        <v>M2</v>
      </c>
      <c r="N417" s="71"/>
      <c r="O417" s="27" t="s">
        <v>381</v>
      </c>
      <c r="P417" s="115" t="s">
        <v>459</v>
      </c>
      <c r="Q417" s="115" t="s">
        <v>460</v>
      </c>
      <c r="R417" s="115" t="s">
        <v>460</v>
      </c>
      <c r="S417" s="115" t="s">
        <v>460</v>
      </c>
      <c r="T417" s="115"/>
      <c r="U417" s="118"/>
      <c r="V417" s="118"/>
      <c r="W417" s="118"/>
      <c r="X417" s="118"/>
      <c r="Y417" s="118"/>
      <c r="Z417" s="118"/>
      <c r="AA417" s="118"/>
      <c r="AB417" s="118"/>
      <c r="AC417" s="118"/>
      <c r="AD417" s="118"/>
      <c r="AE417" s="118"/>
      <c r="AF417" s="118"/>
      <c r="AG417" s="118"/>
      <c r="AH417" s="118"/>
      <c r="AI417" s="118"/>
    </row>
    <row r="418" spans="1:35" x14ac:dyDescent="0.25">
      <c r="B418" s="128">
        <f t="shared" ref="B418:C418" si="1227">B416</f>
        <v>20</v>
      </c>
      <c r="C418" s="128">
        <f t="shared" si="1227"/>
        <v>1</v>
      </c>
      <c r="D418" s="127">
        <f t="shared" si="1040"/>
        <v>20</v>
      </c>
      <c r="E418" s="198">
        <f t="shared" ref="E418" si="1228">C414</f>
        <v>1</v>
      </c>
      <c r="F418" s="93"/>
      <c r="G418" s="200" t="s">
        <v>304</v>
      </c>
      <c r="H418" s="202"/>
      <c r="I418" s="203"/>
      <c r="J418" s="203"/>
      <c r="K418" s="67"/>
      <c r="L418" s="28" t="s">
        <v>303</v>
      </c>
      <c r="M418" s="133">
        <f t="shared" ref="M418" si="1229">IFERROR(INDEX(I420:I432,MATCH(MAX(J420:J432),J420:J432,0)),"")</f>
        <v>0.11431040381340202</v>
      </c>
      <c r="N418" s="71"/>
      <c r="O418" s="27" t="s">
        <v>18</v>
      </c>
      <c r="P418" s="106">
        <f>IF(P414="","",
IF(OR(P416="Orçamento",P415="",MAX('Tabela de Apoio'!$A:$A)&lt;=P415),
P414,
(INDEX('Tabela de Apoio'!$B:$B,MATCH('MAPA DE PREÇOS'!$O$8,'Tabela de Apoio'!$A:$A,1))/INDEX('Tabela de Apoio'!$B:$B,MATCH('MAPA DE PREÇOS'!P415,'Tabela de Apoio'!$A:$A,1)-1))*P414))</f>
        <v>101.37723575472901</v>
      </c>
      <c r="Q418" s="106">
        <f>IF(Q414="","",
IF(OR(Q416="Orçamento",Q415="",MAX('Tabela de Apoio'!$A:$A)&lt;=Q415),
Q414,
(INDEX('Tabela de Apoio'!$B:$B,MATCH('MAPA DE PREÇOS'!$O$8,'Tabela de Apoio'!$A:$A,1))/INDEX('Tabela de Apoio'!$B:$B,MATCH('MAPA DE PREÇOS'!Q415,'Tabela de Apoio'!$A:$A,1)-1))*Q414))</f>
        <v>121</v>
      </c>
      <c r="R418" s="106">
        <f>IF(R414="","",
IF(OR(R416="Orçamento",R415="",MAX('Tabela de Apoio'!$A:$A)&lt;=R415),
R414,
(INDEX('Tabela de Apoio'!$B:$B,MATCH('MAPA DE PREÇOS'!$O$8,'Tabela de Apoio'!$A:$A,1))/INDEX('Tabela de Apoio'!$B:$B,MATCH('MAPA DE PREÇOS'!R415,'Tabela de Apoio'!$A:$A,1)-1))*R414))</f>
        <v>115.56227611837141</v>
      </c>
      <c r="S418" s="106">
        <f>IF(S414="","",
IF(OR(S416="Orçamento",S415="",MAX('Tabela de Apoio'!$A:$A)&lt;=S415),
S414,
(INDEX('Tabela de Apoio'!$B:$B,MATCH('MAPA DE PREÇOS'!$O$8,'Tabela de Apoio'!$A:$A,1))/INDEX('Tabela de Apoio'!$B:$B,MATCH('MAPA DE PREÇOS'!S415,'Tabela de Apoio'!$A:$A,1)-1))*S414))</f>
        <v>89.774893268360003</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f t="shared" ref="B419" si="1230">B418</f>
        <v>20</v>
      </c>
      <c r="C419" s="128">
        <f t="shared" ref="C419" si="1231">C418</f>
        <v>1</v>
      </c>
      <c r="D419" s="127">
        <f t="shared" si="1040"/>
        <v>20</v>
      </c>
      <c r="E419" s="199"/>
      <c r="F419" s="93"/>
      <c r="G419" s="201"/>
      <c r="H419"/>
      <c r="I419"/>
      <c r="J419"/>
      <c r="N419" s="71"/>
      <c r="O419" s="27" t="s">
        <v>375</v>
      </c>
      <c r="P419" s="107">
        <f>IF(IFERROR(VLOOKUP(P416,'Tabela de Apoio'!$D:$E,2,FALSE),1)=1,"",P420)</f>
        <v>101.37723575472901</v>
      </c>
      <c r="Q419" s="107">
        <f>IF(IFERROR(VLOOKUP(Q416,'Tabela de Apoio'!$D:$E,2,FALSE),1)=1,"",Q420)</f>
        <v>121</v>
      </c>
      <c r="R419" s="107">
        <f>IF(IFERROR(VLOOKUP(R416,'Tabela de Apoio'!$D:$E,2,FALSE),1)=1,"",R420)</f>
        <v>115.56227611837141</v>
      </c>
      <c r="S419" s="107">
        <f>IF(IFERROR(VLOOKUP(S416,'Tabela de Apoio'!$D:$E,2,FALSE),1)=1,"",S420)</f>
        <v>89.774893268360003</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f t="shared" ref="B420:C420" si="1232">B419</f>
        <v>20</v>
      </c>
      <c r="C420" s="128">
        <f t="shared" si="1232"/>
        <v>1</v>
      </c>
      <c r="D420" s="127">
        <f t="shared" si="1040"/>
        <v>20</v>
      </c>
      <c r="E420" s="199"/>
      <c r="F420" s="93"/>
      <c r="G420" s="201"/>
      <c r="H420" s="134">
        <f t="shared" ref="H420" si="1233">COUNT($P420:$XX420)</f>
        <v>4</v>
      </c>
      <c r="I420" s="132">
        <f t="shared" ref="I420" si="1234">_xlfn.STDEV.P($P419:$XX420)/AVERAGE($P419:$XX420)</f>
        <v>0.11431040381340202</v>
      </c>
      <c r="J420" s="7">
        <f>ROW()</f>
        <v>420</v>
      </c>
      <c r="K420" s="67"/>
      <c r="L420" s="29" t="s">
        <v>10</v>
      </c>
      <c r="M420" s="30">
        <f t="shared" ref="M420" si="1235">IFERROR(
IF(COUNTA(P414:AI414)=COUNTIF(P416:XX416,"Orçamento"),MIN(M425,M422),
IF(M423&lt;&gt;"",M423,
IF(M424&lt;&gt;"",M424,
M422
))),"")</f>
        <v>106.9286012853651</v>
      </c>
      <c r="N420" s="71"/>
      <c r="O420" s="27" t="s">
        <v>376</v>
      </c>
      <c r="P420" s="106">
        <f t="shared" ref="P420:AI420" si="1236">IFERROR(IF(P418="",
            "",
            IF(COUNT($P418:$XX418)&lt;=4,
               P418,
               IF(OR(P418&gt;(QUARTILE($P418:$XX418,3)+(QUARTILE($P418:$XX418,3)-QUARTILE($P418:$XX418,1))),
                     P418&lt;(QUARTILE($P418:$XX418,1)-(QUARTILE($P418:$XX418,3)-QUARTILE($P418:$XX418,1)))
                  ),
               "DESCARTADO",P418)
             )
  ),P418)</f>
        <v>101.37723575472901</v>
      </c>
      <c r="Q420" s="106">
        <f t="shared" si="1236"/>
        <v>121</v>
      </c>
      <c r="R420" s="106">
        <f t="shared" si="1236"/>
        <v>115.56227611837141</v>
      </c>
      <c r="S420" s="106">
        <f t="shared" si="1236"/>
        <v>89.774893268360003</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f t="shared" ref="B421:B475" si="1237">B420</f>
        <v>20</v>
      </c>
      <c r="C421" s="128">
        <f t="shared" ref="C421:D484" si="1238">C420</f>
        <v>1</v>
      </c>
      <c r="D421" s="127">
        <f t="shared" si="1040"/>
        <v>20</v>
      </c>
      <c r="E421" s="199"/>
      <c r="F421" s="93"/>
      <c r="G421" s="201"/>
      <c r="H421"/>
      <c r="I421"/>
      <c r="J421"/>
      <c r="K421" s="66"/>
      <c r="L421" s="29" t="s">
        <v>360</v>
      </c>
      <c r="M421" s="30">
        <f t="shared" ref="M421" si="1239">AVERAGE($P420:$XX420)</f>
        <v>106.9286012853651</v>
      </c>
      <c r="N421" s="71"/>
      <c r="O421" s="27" t="str">
        <f t="shared" ref="O421" si="1240">"1 POND"</f>
        <v>1 POND</v>
      </c>
      <c r="P421" s="107">
        <f>IF(IFERROR(VLOOKUP(P416,'Tabela de Apoio'!$D:$E,2,FALSE),1)=1,"",P422)</f>
        <v>101.37723575472901</v>
      </c>
      <c r="Q421" s="107">
        <f>IF(IFERROR(VLOOKUP(Q416,'Tabela de Apoio'!$D:$E,2,FALSE),1)=1,"",Q422)</f>
        <v>121</v>
      </c>
      <c r="R421" s="107">
        <f>IF(IFERROR(VLOOKUP(R416,'Tabela de Apoio'!$D:$E,2,FALSE),1)=1,"",R422)</f>
        <v>115.56227611837141</v>
      </c>
      <c r="S421" s="107">
        <f>IF(IFERROR(VLOOKUP(S416,'Tabela de Apoio'!$D:$E,2,FALSE),1)=1,"",S422)</f>
        <v>89.774893268360003</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f t="shared" si="1237"/>
        <v>20</v>
      </c>
      <c r="C422" s="128">
        <f t="shared" si="1238"/>
        <v>1</v>
      </c>
      <c r="D422" s="127">
        <f t="shared" si="1238"/>
        <v>20</v>
      </c>
      <c r="E422" s="199"/>
      <c r="F422" s="93"/>
      <c r="G422" s="201"/>
      <c r="H422" s="134">
        <f t="shared" ref="H422" si="1241">COUNT($P422:$XX422)</f>
        <v>4</v>
      </c>
      <c r="I422" s="132">
        <f t="shared" ref="I422" si="1242">_xlfn.STDEV.P($P421:$XX422)/AVERAGE($P421:$XX422)</f>
        <v>0.11431040381340202</v>
      </c>
      <c r="J422" s="7">
        <f t="shared" ref="J422" si="1243">IF(AND(H422&gt;2,
OR(L414="MÉDIA SANEADA",L414="MEDIANA SANEADA",
AND(L414="PREÇO ESTIMADO",NOT(AND(P416="Orçamento",COUNTA(P414:XX414)=COUNTIF(P416:XX416,"Orçamento")))))),
ROW(),0)</f>
        <v>422</v>
      </c>
      <c r="K422" s="66"/>
      <c r="L422" s="29" t="s">
        <v>361</v>
      </c>
      <c r="M422" s="30">
        <f t="shared" ref="M422" si="1244">MEDIAN($P420:$XX420)</f>
        <v>108.46975593655021</v>
      </c>
      <c r="N422" s="71"/>
      <c r="O422" s="27" t="str">
        <f t="shared" ref="O422" si="1245">"1 RODADA"</f>
        <v>1 RODADA</v>
      </c>
      <c r="P422" s="107">
        <f t="shared" ref="P422:AI422" si="1246">IF(P420="","",IF((_xlfn.STDEV.P($P419:$XX420)/AVERAGE($P419:$XX420))&lt;=25%,P420,IF(OR(P420&gt;(AVERAGE($P419:$XX420)+_xlfn.STDEV.P($P419:$XX420)),P420&lt;(AVERAGE($P419:$XX420)-_xlfn.STDEV.P($P419:$XX420))),"DESCARTADO",P420)))</f>
        <v>101.37723575472901</v>
      </c>
      <c r="Q422" s="107">
        <f t="shared" si="1246"/>
        <v>121</v>
      </c>
      <c r="R422" s="107">
        <f t="shared" si="1246"/>
        <v>115.56227611837141</v>
      </c>
      <c r="S422" s="107">
        <f t="shared" si="1246"/>
        <v>89.774893268360003</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f t="shared" si="1237"/>
        <v>20</v>
      </c>
      <c r="C423" s="128">
        <f t="shared" si="1238"/>
        <v>1</v>
      </c>
      <c r="D423" s="127">
        <f t="shared" si="1238"/>
        <v>20</v>
      </c>
      <c r="E423" s="199"/>
      <c r="F423" s="93"/>
      <c r="G423" s="201"/>
      <c r="H423"/>
      <c r="I423"/>
      <c r="J423"/>
      <c r="L423" s="29" t="s">
        <v>38</v>
      </c>
      <c r="M423" s="30">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106.9286012853651</v>
      </c>
      <c r="N423" s="71"/>
      <c r="O423" s="27" t="str">
        <f t="shared" ref="O423" si="1248">"2 POND"</f>
        <v>2 POND</v>
      </c>
      <c r="P423" s="107">
        <f>IF(IFERROR(VLOOKUP(P416,'Tabela de Apoio'!$D:$E,2,FALSE),1)=1,"",P424)</f>
        <v>101.37723575472901</v>
      </c>
      <c r="Q423" s="107">
        <f>IF(IFERROR(VLOOKUP(Q416,'Tabela de Apoio'!$D:$E,2,FALSE),1)=1,"",Q424)</f>
        <v>121</v>
      </c>
      <c r="R423" s="107">
        <f>IF(IFERROR(VLOOKUP(R416,'Tabela de Apoio'!$D:$E,2,FALSE),1)=1,"",R424)</f>
        <v>115.56227611837141</v>
      </c>
      <c r="S423" s="107">
        <f>IF(IFERROR(VLOOKUP(S416,'Tabela de Apoio'!$D:$E,2,FALSE),1)=1,"",S424)</f>
        <v>89.774893268360003</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f t="shared" si="1237"/>
        <v>20</v>
      </c>
      <c r="C424" s="128">
        <f t="shared" si="1238"/>
        <v>1</v>
      </c>
      <c r="D424" s="127">
        <f t="shared" si="1238"/>
        <v>20</v>
      </c>
      <c r="E424" s="199"/>
      <c r="F424" s="93"/>
      <c r="G424" s="201"/>
      <c r="H424" s="134">
        <f t="shared" ref="H424" si="1249">COUNT($P424:$XX424)</f>
        <v>4</v>
      </c>
      <c r="I424" s="132">
        <f t="shared" ref="I424" si="1250">_xlfn.STDEV.P($P423:$XX424)/AVERAGE($P423:$XX424)</f>
        <v>0.11431040381340202</v>
      </c>
      <c r="J424" s="7">
        <f t="shared" ref="J424" si="1251">IF(AND(H424&gt;2,
OR(L414="MÉDIA SANEADA",L414="MEDIANA SANEADA",
AND(L414="PREÇO ESTIMADO",NOT(AND(P416="Orçamento",COUNTA(P414:XX414)=COUNTIF(P416:XX416,"Orçamento")))))),
ROW(),0)</f>
        <v>424</v>
      </c>
      <c r="K424" s="66"/>
      <c r="L424" s="29" t="s">
        <v>362</v>
      </c>
      <c r="M424" s="30">
        <f t="shared" ref="M424" si="1252" xml:space="preserve">
IF(H422&gt;2,MEDIAN(P421:XX422),
IF(H424&gt;2,MEDIAN(P423:XX424),
IF(H426&gt;2,MEDIAN(P425:XX426),
IF(H428&gt;2,MEDIAN(P427:XX428),
IF(H430&gt;2,MEDIAN(P429:XX430),
IF(H432&gt;2,MEDIAN(P431:XX432),
MEDIAN(P419:XX420)))))))</f>
        <v>108.46975593655021</v>
      </c>
      <c r="N424" s="71"/>
      <c r="O424" s="27" t="str">
        <f t="shared" ref="O424" si="1253">"2 RODADA"</f>
        <v>2 RODADA</v>
      </c>
      <c r="P424" s="107">
        <f t="shared" ref="P424:AI424" si="1254">IF(P422="","",IF((_xlfn.STDEV.P($P421:$XX422)/AVERAGE($P421:$XX422))&lt;=25%,P422,IF(OR(P422&gt;(AVERAGE($P421:$XX422)+_xlfn.STDEV.P($P421:$XX422)),P422&lt;(AVERAGE($P421:$XX422)-_xlfn.STDEV.P($P421:$XX422))),"DESCARTADO",P422)))</f>
        <v>101.37723575472901</v>
      </c>
      <c r="Q424" s="107">
        <f t="shared" si="1254"/>
        <v>121</v>
      </c>
      <c r="R424" s="107">
        <f t="shared" si="1254"/>
        <v>115.56227611837141</v>
      </c>
      <c r="S424" s="107">
        <f t="shared" si="1254"/>
        <v>89.774893268360003</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f t="shared" si="1237"/>
        <v>20</v>
      </c>
      <c r="C425" s="128">
        <f t="shared" si="1238"/>
        <v>1</v>
      </c>
      <c r="D425" s="127">
        <f t="shared" si="1238"/>
        <v>20</v>
      </c>
      <c r="E425" s="199"/>
      <c r="F425" s="93"/>
      <c r="G425" s="201"/>
      <c r="H425"/>
      <c r="I425"/>
      <c r="J425"/>
      <c r="K425" s="66"/>
      <c r="L425" s="29" t="s">
        <v>359</v>
      </c>
      <c r="M425" s="30">
        <f t="shared" ref="M425" si="1255">HARMEAN($P419:$XX420)</f>
        <v>105.48265931053955</v>
      </c>
      <c r="N425" s="71"/>
      <c r="O425" s="27" t="str">
        <f t="shared" ref="O425" si="1256">"3 POND"</f>
        <v>3 POND</v>
      </c>
      <c r="P425" s="107">
        <f>IF(IFERROR(VLOOKUP(P416,'Tabela de Apoio'!$D:$E,2,FALSE),1)=1,"",P426)</f>
        <v>101.37723575472901</v>
      </c>
      <c r="Q425" s="107">
        <f>IF(IFERROR(VLOOKUP(Q416,'Tabela de Apoio'!$D:$E,2,FALSE),1)=1,"",Q426)</f>
        <v>121</v>
      </c>
      <c r="R425" s="107">
        <f>IF(IFERROR(VLOOKUP(R416,'Tabela de Apoio'!$D:$E,2,FALSE),1)=1,"",R426)</f>
        <v>115.56227611837141</v>
      </c>
      <c r="S425" s="107">
        <f>IF(IFERROR(VLOOKUP(S416,'Tabela de Apoio'!$D:$E,2,FALSE),1)=1,"",S426)</f>
        <v>89.774893268360003</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f t="shared" si="1237"/>
        <v>20</v>
      </c>
      <c r="C426" s="128">
        <f t="shared" si="1238"/>
        <v>1</v>
      </c>
      <c r="D426" s="127">
        <f t="shared" si="1238"/>
        <v>20</v>
      </c>
      <c r="E426" s="199"/>
      <c r="F426" s="93"/>
      <c r="G426" s="201"/>
      <c r="H426" s="134">
        <f t="shared" ref="H426" si="1257">COUNT($P426:$XX426)</f>
        <v>4</v>
      </c>
      <c r="I426" s="132">
        <f t="shared" ref="I426" si="1258">_xlfn.STDEV.P($P425:$XX426)/AVERAGE($P425:$XX426)</f>
        <v>0.11431040381340202</v>
      </c>
      <c r="J426" s="7">
        <f t="shared" ref="J426" si="1259">IF(AND(H426&gt;2,
OR(L414="MÉDIA SANEADA",L414="MEDIANA SANEADA",
AND(L414="PREÇO ESTIMADO",NOT(AND(P416="Orçamento",COUNTA(P414:XX414)=COUNTIF(P416:XX416,"Orçamento")))))),
ROW(),0)</f>
        <v>426</v>
      </c>
      <c r="K426" s="66"/>
      <c r="L426" s="29" t="s">
        <v>41</v>
      </c>
      <c r="M426" s="30">
        <f t="shared" ref="M426" si="1260">IFERROR(_xlfn.QUARTILE.EXC($P420:$XX420,1),"")</f>
        <v>92.675478889952259</v>
      </c>
      <c r="N426" s="71"/>
      <c r="O426" s="27" t="str">
        <f t="shared" ref="O426" si="1261">"3 RODADA"</f>
        <v>3 RODADA</v>
      </c>
      <c r="P426" s="107">
        <f t="shared" ref="P426:AI426" si="1262">IF(P424="","",IF((_xlfn.STDEV.P($P423:$XX424)/AVERAGE($P423:$XX424))&lt;=25%,P424,IF(OR(P424&gt;(AVERAGE($P423:$XX424)+_xlfn.STDEV.P($P423:$XX424)),P424&lt;(AVERAGE($P423:$XX424)-_xlfn.STDEV.P($P423:$XX424))),"DESCARTADO",P424)))</f>
        <v>101.37723575472901</v>
      </c>
      <c r="Q426" s="107">
        <f t="shared" si="1262"/>
        <v>121</v>
      </c>
      <c r="R426" s="107">
        <f t="shared" si="1262"/>
        <v>115.56227611837141</v>
      </c>
      <c r="S426" s="107">
        <f t="shared" si="1262"/>
        <v>89.774893268360003</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f t="shared" si="1237"/>
        <v>20</v>
      </c>
      <c r="C427" s="128">
        <f t="shared" si="1238"/>
        <v>1</v>
      </c>
      <c r="D427" s="127">
        <f t="shared" si="1238"/>
        <v>20</v>
      </c>
      <c r="E427" s="199"/>
      <c r="F427" s="93"/>
      <c r="G427" s="201"/>
      <c r="H427"/>
      <c r="I427"/>
      <c r="J427"/>
      <c r="K427" s="66"/>
      <c r="L427" s="29" t="s">
        <v>39</v>
      </c>
      <c r="M427" s="30">
        <f t="shared" ref="M427" si="1263">IFERROR(_xlfn.QUARTILE.EXC($P420:$XX420,3),"")</f>
        <v>119.64056902959285</v>
      </c>
      <c r="N427" s="71"/>
      <c r="O427" s="27" t="str">
        <f t="shared" ref="O427" si="1264">"4 POND"</f>
        <v>4 POND</v>
      </c>
      <c r="P427" s="107">
        <f>IF(IFERROR(VLOOKUP(P416,'Tabela de Apoio'!$D:$E,2,FALSE),1)=1,"",P428)</f>
        <v>101.37723575472901</v>
      </c>
      <c r="Q427" s="107">
        <f>IF(IFERROR(VLOOKUP(Q416,'Tabela de Apoio'!$D:$E,2,FALSE),1)=1,"",Q428)</f>
        <v>121</v>
      </c>
      <c r="R427" s="107">
        <f>IF(IFERROR(VLOOKUP(R416,'Tabela de Apoio'!$D:$E,2,FALSE),1)=1,"",R428)</f>
        <v>115.56227611837141</v>
      </c>
      <c r="S427" s="107">
        <f>IF(IFERROR(VLOOKUP(S416,'Tabela de Apoio'!$D:$E,2,FALSE),1)=1,"",S428)</f>
        <v>89.774893268360003</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f t="shared" si="1237"/>
        <v>20</v>
      </c>
      <c r="C428" s="128">
        <f t="shared" si="1238"/>
        <v>1</v>
      </c>
      <c r="D428" s="127">
        <f t="shared" si="1238"/>
        <v>20</v>
      </c>
      <c r="E428" s="199"/>
      <c r="F428" s="93"/>
      <c r="G428" s="201"/>
      <c r="H428" s="134">
        <f t="shared" ref="H428" si="1265">COUNT($P428:$XX428)</f>
        <v>4</v>
      </c>
      <c r="I428" s="132">
        <f t="shared" ref="I428" si="1266">_xlfn.STDEV.P($P427:$XX428)/AVERAGE($P427:$XX428)</f>
        <v>0.11431040381340202</v>
      </c>
      <c r="J428" s="7">
        <f t="shared" ref="J428" si="1267">IF(AND(H428&gt;2,
OR(L414="MÉDIA SANEADA",L414="MEDIANA SANEADA",
AND(L414="PREÇO ESTIMADO",NOT(AND(P416="Orçamento",COUNTA(P414:XX414)=COUNTIF(P416:XX416,"Orçamento")))))),
ROW(),0)</f>
        <v>428</v>
      </c>
      <c r="K428" s="66"/>
      <c r="L428" s="29" t="s">
        <v>42</v>
      </c>
      <c r="M428" s="30">
        <f t="shared" ref="M428" si="1268">MIN($P420:$XX420)</f>
        <v>89.774893268360003</v>
      </c>
      <c r="N428" s="71"/>
      <c r="O428" s="27" t="str">
        <f t="shared" ref="O428" si="1269">"4 RODADA"</f>
        <v>4 RODADA</v>
      </c>
      <c r="P428" s="107">
        <f t="shared" ref="P428:AI428" si="1270">IF(P426="","",IF((_xlfn.STDEV.P($P425:$XX426)/AVERAGE($P425:$XX426))&lt;=25%,P426,IF(OR(P426&gt;(AVERAGE($P425:$XX426)+_xlfn.STDEV.P($P425:$XX426)),P426&lt;(AVERAGE($P425:$XX426)-_xlfn.STDEV.P($P425:$XX426))),"DESCARTADO",P426)))</f>
        <v>101.37723575472901</v>
      </c>
      <c r="Q428" s="107">
        <f t="shared" si="1270"/>
        <v>121</v>
      </c>
      <c r="R428" s="107">
        <f t="shared" si="1270"/>
        <v>115.56227611837141</v>
      </c>
      <c r="S428" s="107">
        <f t="shared" si="1270"/>
        <v>89.774893268360003</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f t="shared" si="1237"/>
        <v>20</v>
      </c>
      <c r="C429" s="128">
        <f t="shared" si="1238"/>
        <v>1</v>
      </c>
      <c r="D429" s="127">
        <f t="shared" si="1238"/>
        <v>20</v>
      </c>
      <c r="E429" s="199"/>
      <c r="F429" s="93"/>
      <c r="G429" s="201"/>
      <c r="H429"/>
      <c r="I429"/>
      <c r="J429"/>
      <c r="K429" s="66"/>
      <c r="L429" s="29" t="s">
        <v>40</v>
      </c>
      <c r="M429" s="30">
        <f t="shared" ref="M429" si="1271">MAX($P420:$XX420)</f>
        <v>121</v>
      </c>
      <c r="N429" s="71"/>
      <c r="O429" s="27" t="str">
        <f t="shared" ref="O429" si="1272">"5 POND"</f>
        <v>5 POND</v>
      </c>
      <c r="P429" s="107">
        <f>IF(IFERROR(VLOOKUP(P416,'Tabela de Apoio'!$D:$E,2,FALSE),1)=1,"",P430)</f>
        <v>101.37723575472901</v>
      </c>
      <c r="Q429" s="107">
        <f>IF(IFERROR(VLOOKUP(Q416,'Tabela de Apoio'!$D:$E,2,FALSE),1)=1,"",Q430)</f>
        <v>121</v>
      </c>
      <c r="R429" s="107">
        <f>IF(IFERROR(VLOOKUP(R416,'Tabela de Apoio'!$D:$E,2,FALSE),1)=1,"",R430)</f>
        <v>115.56227611837141</v>
      </c>
      <c r="S429" s="107">
        <f>IF(IFERROR(VLOOKUP(S416,'Tabela de Apoio'!$D:$E,2,FALSE),1)=1,"",S430)</f>
        <v>89.774893268360003</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f t="shared" si="1237"/>
        <v>20</v>
      </c>
      <c r="C430" s="128">
        <f t="shared" si="1238"/>
        <v>1</v>
      </c>
      <c r="D430" s="127">
        <f t="shared" si="1238"/>
        <v>20</v>
      </c>
      <c r="E430" s="199"/>
      <c r="F430" s="93"/>
      <c r="G430" s="201"/>
      <c r="H430" s="134">
        <f t="shared" ref="H430" si="1273">COUNT($P430:$XX430)</f>
        <v>4</v>
      </c>
      <c r="I430" s="132">
        <f t="shared" ref="I430" si="1274">_xlfn.STDEV.P($P429:$XX430)/AVERAGE($P429:$XX430)</f>
        <v>0.11431040381340202</v>
      </c>
      <c r="J430" s="7">
        <f t="shared" ref="J430" si="1275">IF(AND(H430&gt;2,
OR(L414="MÉDIA SANEADA",L414="MEDIANA SANEADA",
AND(L414="PREÇO ESTIMADO",NOT(AND(P416="Orçamento",COUNTA(P414:XX414)=COUNTIF(P416:XX416,"Orçamento")))))),
ROW(),0)</f>
        <v>430</v>
      </c>
      <c r="K430" s="66"/>
      <c r="N430" s="71"/>
      <c r="O430" s="27" t="str">
        <f t="shared" ref="O430" si="1276">"5 RODADA"</f>
        <v>5 RODADA</v>
      </c>
      <c r="P430" s="107">
        <f t="shared" ref="P430:AI430" si="1277">IF(P428="","",IF((_xlfn.STDEV.P($P427:$XX428)/AVERAGE($P427:$XX428))&lt;=25%,P428,IF(OR(P428&gt;(AVERAGE($P427:$XX428)+_xlfn.STDEV.P($P427:$XX428)),P428&lt;(AVERAGE($P427:$XX428)-_xlfn.STDEV.P($P427:$XX428))),"DESCARTADO",P428)))</f>
        <v>101.37723575472901</v>
      </c>
      <c r="Q430" s="107">
        <f t="shared" si="1277"/>
        <v>121</v>
      </c>
      <c r="R430" s="107">
        <f t="shared" si="1277"/>
        <v>115.56227611837141</v>
      </c>
      <c r="S430" s="107">
        <f t="shared" si="1277"/>
        <v>89.774893268360003</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f t="shared" si="1237"/>
        <v>20</v>
      </c>
      <c r="C431" s="128">
        <f t="shared" si="1238"/>
        <v>1</v>
      </c>
      <c r="D431" s="127">
        <f t="shared" si="1238"/>
        <v>20</v>
      </c>
      <c r="E431" s="199"/>
      <c r="F431" s="93"/>
      <c r="G431" s="201"/>
      <c r="H431"/>
      <c r="I431"/>
      <c r="J431"/>
      <c r="K431" s="66"/>
      <c r="L431" s="22"/>
      <c r="M431" s="22"/>
      <c r="N431" s="71"/>
      <c r="O431" s="27" t="str">
        <f t="shared" ref="O431" si="1278">"6 POND"</f>
        <v>6 POND</v>
      </c>
      <c r="P431" s="107">
        <f>IF(IFERROR(VLOOKUP(P416,'Tabela de Apoio'!$D:$E,2,FALSE),1)=1,"",P432)</f>
        <v>101.37723575472901</v>
      </c>
      <c r="Q431" s="107">
        <f>IF(IFERROR(VLOOKUP(Q416,'Tabela de Apoio'!$D:$E,2,FALSE),1)=1,"",Q432)</f>
        <v>121</v>
      </c>
      <c r="R431" s="107">
        <f>IF(IFERROR(VLOOKUP(R416,'Tabela de Apoio'!$D:$E,2,FALSE),1)=1,"",R432)</f>
        <v>115.56227611837141</v>
      </c>
      <c r="S431" s="107">
        <f>IF(IFERROR(VLOOKUP(S416,'Tabela de Apoio'!$D:$E,2,FALSE),1)=1,"",S432)</f>
        <v>89.774893268360003</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f t="shared" si="1237"/>
        <v>20</v>
      </c>
      <c r="C432" s="128">
        <f t="shared" si="1238"/>
        <v>1</v>
      </c>
      <c r="D432" s="127">
        <f t="shared" si="1238"/>
        <v>20</v>
      </c>
      <c r="E432" s="199"/>
      <c r="F432" s="93"/>
      <c r="G432" s="201"/>
      <c r="H432" s="134">
        <f t="shared" ref="H432" si="1279">COUNT($P432:$XX432)</f>
        <v>4</v>
      </c>
      <c r="I432" s="132">
        <f t="shared" ref="I432" si="1280">_xlfn.STDEV.P($P431:$XX432)/AVERAGE($P431:$XX432)</f>
        <v>0.11431040381340202</v>
      </c>
      <c r="J432" s="7">
        <f t="shared" ref="J432" si="1281">IF(AND(H432&gt;2,
OR(L414="MÉDIA SANEADA",L414="MEDIANA SANEADA",
AND(L414="PREÇO ESTIMADO",NOT(AND(P416="Orçamento",COUNTA(P414:XX414)=COUNTIF(P416:XX416,"Orçamento")))))),
ROW(),0)</f>
        <v>432</v>
      </c>
      <c r="N432" s="71"/>
      <c r="O432" s="27" t="str">
        <f t="shared" ref="O432" si="1282">"6 RODADA"</f>
        <v>6 RODADA</v>
      </c>
      <c r="P432" s="107">
        <f t="shared" ref="P432:AI432" si="1283">IFERROR(IF(P430="","",IF((_xlfn.STDEV.P($P429:$XX430)/AVERAGE($P429:$XX430))&lt;=25%,P430,IF(OR(P430&gt;(AVERAGE($P429:$XX430)+_xlfn.STDEV.P($P429:$XX430)),P430&lt;(AVERAGE($P429:$XX430)-_xlfn.STDEV.P($P429:$XX430))),"DESCARTADO",P430))),)</f>
        <v>101.37723575472901</v>
      </c>
      <c r="Q432" s="107">
        <f t="shared" si="1283"/>
        <v>121</v>
      </c>
      <c r="R432" s="107">
        <f t="shared" si="1283"/>
        <v>115.56227611837141</v>
      </c>
      <c r="S432" s="107">
        <f t="shared" si="1283"/>
        <v>89.774893268360003</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f t="shared" si="1237"/>
        <v>20</v>
      </c>
      <c r="C433" s="128">
        <f t="shared" si="1238"/>
        <v>1</v>
      </c>
      <c r="D433" s="127">
        <f t="shared" si="1238"/>
        <v>20</v>
      </c>
      <c r="E433" s="199"/>
      <c r="F433" s="136"/>
      <c r="G433" s="201"/>
      <c r="H433" s="204"/>
      <c r="I433" s="204"/>
      <c r="J433" s="205"/>
      <c r="K433" s="67"/>
      <c r="L433" s="1" t="s">
        <v>43</v>
      </c>
      <c r="M433" s="143">
        <f t="shared" ref="M433" si="1284">IFERROR(ROUND(M414*M416,2),"")</f>
        <v>176327.57</v>
      </c>
      <c r="O433" s="27" t="s">
        <v>363</v>
      </c>
      <c r="P433" s="107">
        <f t="shared" ref="P433:AI454" si="1285">INDEX(P420:P432,MATCH(MAX($J420:$J432),$J420:$J432,0))</f>
        <v>101.37723575472901</v>
      </c>
      <c r="Q433" s="107">
        <f t="shared" si="1285"/>
        <v>121</v>
      </c>
      <c r="R433" s="107">
        <f t="shared" si="1285"/>
        <v>115.56227611837141</v>
      </c>
      <c r="S433" s="107">
        <f t="shared" si="1285"/>
        <v>89.774893268360003</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f t="shared" ref="B435" si="1286">LARGE(IFERROR(IF(B433+1&gt;$H$8,"",B433+1),""),1)</f>
        <v>21</v>
      </c>
      <c r="C435" s="127">
        <f>IF(_xlfn.ISFORMULA(E439),MAX(INDEX('BASE FORMAÇÃO'!A:A,B435+1),1),E439)</f>
        <v>1</v>
      </c>
      <c r="D435" s="127">
        <f t="shared" ref="D435" si="1287">IFERROR(IF(C435=C425,D425+1,1),1)</f>
        <v>21</v>
      </c>
      <c r="E435" s="38" t="s">
        <v>9</v>
      </c>
      <c r="F435" s="73"/>
      <c r="G435" s="38" t="s">
        <v>15</v>
      </c>
      <c r="H435" s="135">
        <f>INDEX('BASE FORMAÇÃO'!B:B,B435+1)</f>
        <v>0</v>
      </c>
      <c r="I435" s="181" t="s">
        <v>16</v>
      </c>
      <c r="J435" s="6">
        <f>INDEX('BASE FORMAÇÃO'!K:K,B435+1)</f>
        <v>0</v>
      </c>
      <c r="K435" s="65"/>
      <c r="L435" s="183" t="s">
        <v>10</v>
      </c>
      <c r="M435" s="185">
        <f t="shared" ref="M435" si="1288">IF(OR(ISBLANK($O$8),ISBLANK($O$7),ISBLANK($H$8),ISBLANK($O$6),ISBLANK($O$5),ISBLANK($H$5)),"",IFERROR(IF(VLOOKUP(L435,L441:M450,2,FALSE)&lt;1,ROUND(VLOOKUP(L435,L441:M450,2,FALSE),4),ROUND(VLOOKUP(L435,L441:M450,2,FALSE),2)),""))</f>
        <v>789.96</v>
      </c>
      <c r="N435" s="69"/>
      <c r="O435" s="27" t="s">
        <v>17</v>
      </c>
      <c r="P435" s="113">
        <v>710</v>
      </c>
      <c r="Q435" s="113">
        <v>836.6</v>
      </c>
      <c r="R435" s="113">
        <v>800</v>
      </c>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f t="shared" ref="B436:D436" si="1289">B435</f>
        <v>21</v>
      </c>
      <c r="C436" s="128">
        <f t="shared" si="1289"/>
        <v>1</v>
      </c>
      <c r="D436" s="127">
        <f t="shared" si="1289"/>
        <v>21</v>
      </c>
      <c r="E436" s="187">
        <f t="shared" ref="E436" si="1290">D435</f>
        <v>21</v>
      </c>
      <c r="F436" s="92"/>
      <c r="G436" s="189" t="s">
        <v>1</v>
      </c>
      <c r="H436" s="192" t="str">
        <f>INDEX('BASE FORMAÇÃO'!C:C,B435+1)</f>
        <v>Inserção de Mural Modelo 1</v>
      </c>
      <c r="I436" s="192"/>
      <c r="J436" s="193"/>
      <c r="K436" s="66"/>
      <c r="L436" s="184"/>
      <c r="M436" s="186"/>
      <c r="N436" s="70"/>
      <c r="O436" s="27" t="s">
        <v>13</v>
      </c>
      <c r="P436" s="122">
        <v>46003</v>
      </c>
      <c r="Q436" s="122">
        <v>46297</v>
      </c>
      <c r="R436" s="122">
        <v>46080</v>
      </c>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f t="shared" ref="B437:D437" si="1291">B436</f>
        <v>21</v>
      </c>
      <c r="C437" s="128">
        <f t="shared" si="1291"/>
        <v>1</v>
      </c>
      <c r="D437" s="127">
        <f t="shared" si="1291"/>
        <v>21</v>
      </c>
      <c r="E437" s="188"/>
      <c r="F437" s="93"/>
      <c r="G437" s="190"/>
      <c r="H437" s="194"/>
      <c r="I437" s="194"/>
      <c r="J437" s="195"/>
      <c r="K437" s="64"/>
      <c r="L437" s="130" t="s">
        <v>44</v>
      </c>
      <c r="M437" s="131">
        <f>INDEX('BASE FORMAÇÃO'!H:H,B439+1)</f>
        <v>395</v>
      </c>
      <c r="N437" s="71"/>
      <c r="O437" s="27" t="s">
        <v>380</v>
      </c>
      <c r="P437" s="114" t="s">
        <v>12</v>
      </c>
      <c r="Q437" s="114" t="s">
        <v>302</v>
      </c>
      <c r="R437" s="114" t="s">
        <v>12</v>
      </c>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f t="shared" ref="B438:C438" si="1292">B437</f>
        <v>21</v>
      </c>
      <c r="C438" s="128">
        <f t="shared" si="1292"/>
        <v>1</v>
      </c>
      <c r="D438" s="127">
        <f t="shared" si="1238"/>
        <v>21</v>
      </c>
      <c r="E438" s="38" t="s">
        <v>313</v>
      </c>
      <c r="F438" s="93"/>
      <c r="G438" s="191"/>
      <c r="H438" s="196"/>
      <c r="I438" s="196"/>
      <c r="J438" s="197"/>
      <c r="K438" s="64"/>
      <c r="L438" s="1" t="s">
        <v>2</v>
      </c>
      <c r="M438" s="6" t="str">
        <f>INDEX('BASE FORMAÇÃO'!D:D,B439+1)</f>
        <v>UND</v>
      </c>
      <c r="N438" s="71"/>
      <c r="O438" s="27" t="s">
        <v>381</v>
      </c>
      <c r="P438" s="115" t="s">
        <v>459</v>
      </c>
      <c r="Q438" s="182" t="s">
        <v>466</v>
      </c>
      <c r="R438" s="115" t="s">
        <v>460</v>
      </c>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f t="shared" ref="B439:C439" si="1293">B437</f>
        <v>21</v>
      </c>
      <c r="C439" s="128">
        <f t="shared" si="1293"/>
        <v>1</v>
      </c>
      <c r="D439" s="127">
        <f t="shared" si="1238"/>
        <v>21</v>
      </c>
      <c r="E439" s="198">
        <f t="shared" ref="E439" si="1294">C435</f>
        <v>1</v>
      </c>
      <c r="F439" s="93"/>
      <c r="G439" s="200" t="s">
        <v>304</v>
      </c>
      <c r="H439" s="202" t="s">
        <v>465</v>
      </c>
      <c r="I439" s="203"/>
      <c r="J439" s="203"/>
      <c r="K439" s="67"/>
      <c r="L439" s="28" t="s">
        <v>303</v>
      </c>
      <c r="M439" s="133">
        <f t="shared" ref="M439" si="1295">IFERROR(INDEX(I441:I453,MATCH(MAX(J441:J453),J441:J453,0)),"")</f>
        <v>5.774562927850789E-2</v>
      </c>
      <c r="N439" s="71"/>
      <c r="O439" s="27" t="s">
        <v>18</v>
      </c>
      <c r="P439" s="106">
        <f>IF(P435="","",
IF(OR(P437="Orçamento",P436="",MAX('Tabela de Apoio'!$A:$A)&lt;=P436),
P435,
(INDEX('Tabela de Apoio'!$B:$B,MATCH('MAPA DE PREÇOS'!$O$8,'Tabela de Apoio'!$A:$A,1))/INDEX('Tabela de Apoio'!$B:$B,MATCH('MAPA DE PREÇOS'!P436,'Tabela de Apoio'!$A:$A,1)-1))*P435))</f>
        <v>734.46772842711835</v>
      </c>
      <c r="Q439" s="106">
        <f>IF(Q435="","",
IF(OR(Q437="Orçamento",Q436="",MAX('Tabela de Apoio'!$A:$A)&lt;=Q436),
Q435,
(INDEX('Tabela de Apoio'!$B:$B,MATCH('MAPA DE PREÇOS'!$O$8,'Tabela de Apoio'!$A:$A,1))/INDEX('Tabela de Apoio'!$B:$B,MATCH('MAPA DE PREÇOS'!Q436,'Tabela de Apoio'!$A:$A,1)-1))*Q435))</f>
        <v>836.6</v>
      </c>
      <c r="R439" s="106">
        <f>IF(R435="","",
IF(OR(R437="Orçamento",R436="",MAX('Tabela de Apoio'!$A:$A)&lt;=R436),
R435,
(INDEX('Tabela de Apoio'!$B:$B,MATCH('MAPA DE PREÇOS'!$O$8,'Tabela de Apoio'!$A:$A,1))/INDEX('Tabela de Apoio'!$B:$B,MATCH('MAPA DE PREÇOS'!R436,'Tabela de Apoio'!$A:$A,1)-1))*R435))</f>
        <v>822.13438309467767</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f t="shared" ref="B440" si="1296">B439</f>
        <v>21</v>
      </c>
      <c r="C440" s="128">
        <f t="shared" ref="C440" si="1297">C439</f>
        <v>1</v>
      </c>
      <c r="D440" s="127">
        <f t="shared" si="1238"/>
        <v>21</v>
      </c>
      <c r="E440" s="199"/>
      <c r="F440" s="93"/>
      <c r="G440" s="201"/>
      <c r="H440"/>
      <c r="I440"/>
      <c r="J440"/>
      <c r="N440" s="71"/>
      <c r="O440" s="27" t="s">
        <v>375</v>
      </c>
      <c r="P440" s="107">
        <f>IF(IFERROR(VLOOKUP(P437,'Tabela de Apoio'!$D:$E,2,FALSE),1)=1,"",P441)</f>
        <v>734.46772842711835</v>
      </c>
      <c r="Q440" s="107" t="str">
        <f>IF(IFERROR(VLOOKUP(Q437,'Tabela de Apoio'!$D:$E,2,FALSE),1)=1,"",Q441)</f>
        <v/>
      </c>
      <c r="R440" s="107">
        <f>IF(IFERROR(VLOOKUP(R437,'Tabela de Apoio'!$D:$E,2,FALSE),1)=1,"",R441)</f>
        <v>822.13438309467767</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f t="shared" ref="B441:C441" si="1298">B440</f>
        <v>21</v>
      </c>
      <c r="C441" s="128">
        <f t="shared" si="1298"/>
        <v>1</v>
      </c>
      <c r="D441" s="127">
        <f t="shared" si="1238"/>
        <v>21</v>
      </c>
      <c r="E441" s="199"/>
      <c r="F441" s="93"/>
      <c r="G441" s="201"/>
      <c r="H441" s="134">
        <f t="shared" ref="H441" si="1299">COUNT($P441:$XX441)</f>
        <v>3</v>
      </c>
      <c r="I441" s="132">
        <f t="shared" ref="I441" si="1300">_xlfn.STDEV.P($P440:$XX441)/AVERAGE($P440:$XX441)</f>
        <v>5.774562927850789E-2</v>
      </c>
      <c r="J441" s="7">
        <f>ROW()</f>
        <v>441</v>
      </c>
      <c r="K441" s="67"/>
      <c r="L441" s="29" t="s">
        <v>10</v>
      </c>
      <c r="M441" s="30">
        <f t="shared" ref="M441" si="1301">IFERROR(
IF(COUNTA(P435:AI435)=COUNTIF(P437:XX437,"Orçamento"),MIN(M446,M443),
IF(M444&lt;&gt;"",M444,
IF(M445&lt;&gt;"",M445,
M443
))),"")</f>
        <v>789.96084460871839</v>
      </c>
      <c r="N441" s="71"/>
      <c r="O441" s="27" t="s">
        <v>376</v>
      </c>
      <c r="P441" s="106">
        <f t="shared" ref="P441:AI441" si="1302">IFERROR(IF(P439="",
            "",
            IF(COUNT($P439:$XX439)&lt;=4,
               P439,
               IF(OR(P439&gt;(QUARTILE($P439:$XX439,3)+(QUARTILE($P439:$XX439,3)-QUARTILE($P439:$XX439,1))),
                     P439&lt;(QUARTILE($P439:$XX439,1)-(QUARTILE($P439:$XX439,3)-QUARTILE($P439:$XX439,1)))
                  ),
               "DESCARTADO",P439)
             )
  ),P439)</f>
        <v>734.46772842711835</v>
      </c>
      <c r="Q441" s="106">
        <f t="shared" si="1302"/>
        <v>836.6</v>
      </c>
      <c r="R441" s="106">
        <f t="shared" si="1302"/>
        <v>822.13438309467767</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f t="shared" ref="B442" si="1303">B441</f>
        <v>21</v>
      </c>
      <c r="C442" s="128">
        <f t="shared" ref="C442" si="1304">C441</f>
        <v>1</v>
      </c>
      <c r="D442" s="127">
        <f t="shared" si="1238"/>
        <v>21</v>
      </c>
      <c r="E442" s="199"/>
      <c r="F442" s="93"/>
      <c r="G442" s="201"/>
      <c r="H442"/>
      <c r="I442"/>
      <c r="J442"/>
      <c r="K442" s="66"/>
      <c r="L442" s="29" t="s">
        <v>360</v>
      </c>
      <c r="M442" s="30">
        <f t="shared" ref="M442" si="1305">AVERAGE($P441:$XX441)</f>
        <v>797.73403717393194</v>
      </c>
      <c r="N442" s="71"/>
      <c r="O442" s="27" t="str">
        <f t="shared" ref="O442" si="1306">"1 POND"</f>
        <v>1 POND</v>
      </c>
      <c r="P442" s="107">
        <f>IF(IFERROR(VLOOKUP(P437,'Tabela de Apoio'!$D:$E,2,FALSE),1)=1,"",P443)</f>
        <v>734.46772842711835</v>
      </c>
      <c r="Q442" s="107" t="str">
        <f>IF(IFERROR(VLOOKUP(Q437,'Tabela de Apoio'!$D:$E,2,FALSE),1)=1,"",Q443)</f>
        <v/>
      </c>
      <c r="R442" s="107">
        <f>IF(IFERROR(VLOOKUP(R437,'Tabela de Apoio'!$D:$E,2,FALSE),1)=1,"",R443)</f>
        <v>822.13438309467767</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f t="shared" si="1237"/>
        <v>21</v>
      </c>
      <c r="C443" s="128">
        <f t="shared" si="1238"/>
        <v>1</v>
      </c>
      <c r="D443" s="127">
        <f t="shared" si="1238"/>
        <v>21</v>
      </c>
      <c r="E443" s="199"/>
      <c r="F443" s="93"/>
      <c r="G443" s="201"/>
      <c r="H443" s="134">
        <f t="shared" ref="H443" si="1307">COUNT($P443:$XX443)</f>
        <v>3</v>
      </c>
      <c r="I443" s="132">
        <f t="shared" ref="I443" si="1308">_xlfn.STDEV.P($P442:$XX443)/AVERAGE($P442:$XX443)</f>
        <v>5.774562927850789E-2</v>
      </c>
      <c r="J443" s="7">
        <f t="shared" ref="J443" si="1309">IF(AND(H443&gt;2,
OR(L435="MÉDIA SANEADA",L435="MEDIANA SANEADA",
AND(L435="PREÇO ESTIMADO",NOT(AND(P437="Orçamento",COUNTA(P435:XX435)=COUNTIF(P437:XX437,"Orçamento")))))),
ROW(),0)</f>
        <v>443</v>
      </c>
      <c r="K443" s="66"/>
      <c r="L443" s="29" t="s">
        <v>361</v>
      </c>
      <c r="M443" s="30">
        <f t="shared" ref="M443" si="1310">MEDIAN($P441:$XX441)</f>
        <v>822.13438309467767</v>
      </c>
      <c r="N443" s="71"/>
      <c r="O443" s="27" t="str">
        <f t="shared" ref="O443" si="1311">"1 RODADA"</f>
        <v>1 RODADA</v>
      </c>
      <c r="P443" s="107">
        <f t="shared" ref="P443:AI443" si="1312">IF(P441="","",IF((_xlfn.STDEV.P($P440:$XX441)/AVERAGE($P440:$XX441))&lt;=25%,P441,IF(OR(P441&gt;(AVERAGE($P440:$XX441)+_xlfn.STDEV.P($P440:$XX441)),P441&lt;(AVERAGE($P440:$XX441)-_xlfn.STDEV.P($P440:$XX441))),"DESCARTADO",P441)))</f>
        <v>734.46772842711835</v>
      </c>
      <c r="Q443" s="107">
        <f t="shared" si="1312"/>
        <v>836.6</v>
      </c>
      <c r="R443" s="107">
        <f t="shared" si="1312"/>
        <v>822.13438309467767</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f t="shared" si="1237"/>
        <v>21</v>
      </c>
      <c r="C444" s="128">
        <f t="shared" si="1238"/>
        <v>1</v>
      </c>
      <c r="D444" s="127">
        <f t="shared" si="1238"/>
        <v>21</v>
      </c>
      <c r="E444" s="199"/>
      <c r="F444" s="93"/>
      <c r="G444" s="201"/>
      <c r="H444"/>
      <c r="I444"/>
      <c r="J444"/>
      <c r="L444" s="29" t="s">
        <v>38</v>
      </c>
      <c r="M444" s="30">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789.96084460871839</v>
      </c>
      <c r="N444" s="71"/>
      <c r="O444" s="27" t="str">
        <f t="shared" ref="O444" si="1314">"2 POND"</f>
        <v>2 POND</v>
      </c>
      <c r="P444" s="107">
        <f>IF(IFERROR(VLOOKUP(P437,'Tabela de Apoio'!$D:$E,2,FALSE),1)=1,"",P445)</f>
        <v>734.46772842711835</v>
      </c>
      <c r="Q444" s="107" t="str">
        <f>IF(IFERROR(VLOOKUP(Q437,'Tabela de Apoio'!$D:$E,2,FALSE),1)=1,"",Q445)</f>
        <v/>
      </c>
      <c r="R444" s="107">
        <f>IF(IFERROR(VLOOKUP(R437,'Tabela de Apoio'!$D:$E,2,FALSE),1)=1,"",R445)</f>
        <v>822.13438309467767</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f t="shared" si="1237"/>
        <v>21</v>
      </c>
      <c r="C445" s="128">
        <f t="shared" si="1238"/>
        <v>1</v>
      </c>
      <c r="D445" s="127">
        <f t="shared" si="1238"/>
        <v>21</v>
      </c>
      <c r="E445" s="199"/>
      <c r="F445" s="93"/>
      <c r="G445" s="201"/>
      <c r="H445" s="134">
        <f t="shared" ref="H445" si="1315">COUNT($P445:$XX445)</f>
        <v>3</v>
      </c>
      <c r="I445" s="132">
        <f t="shared" ref="I445" si="1316">_xlfn.STDEV.P($P444:$XX445)/AVERAGE($P444:$XX445)</f>
        <v>5.774562927850789E-2</v>
      </c>
      <c r="J445" s="7">
        <f t="shared" ref="J445" si="1317">IF(AND(H445&gt;2,
OR(L435="MÉDIA SANEADA",L435="MEDIANA SANEADA",
AND(L435="PREÇO ESTIMADO",NOT(AND(P437="Orçamento",COUNTA(P435:XX435)=COUNTIF(P437:XX437,"Orçamento")))))),
ROW(),0)</f>
        <v>445</v>
      </c>
      <c r="K445" s="66"/>
      <c r="L445" s="29" t="s">
        <v>362</v>
      </c>
      <c r="M445" s="30">
        <f t="shared" ref="M445" si="1318" xml:space="preserve">
IF(H443&gt;2,MEDIAN(P442:XX443),
IF(H445&gt;2,MEDIAN(P444:XX445),
IF(H447&gt;2,MEDIAN(P446:XX447),
IF(H449&gt;2,MEDIAN(P448:XX449),
IF(H451&gt;2,MEDIAN(P450:XX451),
IF(H453&gt;2,MEDIAN(P452:XX453),
MEDIAN(P440:XX441)))))))</f>
        <v>822.13438309467767</v>
      </c>
      <c r="N445" s="71"/>
      <c r="O445" s="27" t="str">
        <f t="shared" ref="O445" si="1319">"2 RODADA"</f>
        <v>2 RODADA</v>
      </c>
      <c r="P445" s="107">
        <f t="shared" ref="P445:AI445" si="1320">IF(P443="","",IF((_xlfn.STDEV.P($P442:$XX443)/AVERAGE($P442:$XX443))&lt;=25%,P443,IF(OR(P443&gt;(AVERAGE($P442:$XX443)+_xlfn.STDEV.P($P442:$XX443)),P443&lt;(AVERAGE($P442:$XX443)-_xlfn.STDEV.P($P442:$XX443))),"DESCARTADO",P443)))</f>
        <v>734.46772842711835</v>
      </c>
      <c r="Q445" s="107">
        <f t="shared" si="1320"/>
        <v>836.6</v>
      </c>
      <c r="R445" s="107">
        <f t="shared" si="1320"/>
        <v>822.13438309467767</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f t="shared" si="1237"/>
        <v>21</v>
      </c>
      <c r="C446" s="128">
        <f t="shared" si="1238"/>
        <v>1</v>
      </c>
      <c r="D446" s="127">
        <f t="shared" si="1238"/>
        <v>21</v>
      </c>
      <c r="E446" s="199"/>
      <c r="F446" s="93"/>
      <c r="G446" s="201"/>
      <c r="H446"/>
      <c r="I446"/>
      <c r="J446"/>
      <c r="K446" s="66"/>
      <c r="L446" s="29" t="s">
        <v>359</v>
      </c>
      <c r="M446" s="30">
        <f t="shared" ref="M446" si="1321">HARMEAN($P440:$XX441)</f>
        <v>787.26927555996247</v>
      </c>
      <c r="N446" s="71"/>
      <c r="O446" s="27" t="str">
        <f t="shared" ref="O446" si="1322">"3 POND"</f>
        <v>3 POND</v>
      </c>
      <c r="P446" s="107">
        <f>IF(IFERROR(VLOOKUP(P437,'Tabela de Apoio'!$D:$E,2,FALSE),1)=1,"",P447)</f>
        <v>734.46772842711835</v>
      </c>
      <c r="Q446" s="107" t="str">
        <f>IF(IFERROR(VLOOKUP(Q437,'Tabela de Apoio'!$D:$E,2,FALSE),1)=1,"",Q447)</f>
        <v/>
      </c>
      <c r="R446" s="107">
        <f>IF(IFERROR(VLOOKUP(R437,'Tabela de Apoio'!$D:$E,2,FALSE),1)=1,"",R447)</f>
        <v>822.13438309467767</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f t="shared" si="1237"/>
        <v>21</v>
      </c>
      <c r="C447" s="128">
        <f t="shared" si="1238"/>
        <v>1</v>
      </c>
      <c r="D447" s="127">
        <f t="shared" si="1238"/>
        <v>21</v>
      </c>
      <c r="E447" s="199"/>
      <c r="F447" s="93"/>
      <c r="G447" s="201"/>
      <c r="H447" s="134">
        <f t="shared" ref="H447" si="1323">COUNT($P447:$XX447)</f>
        <v>3</v>
      </c>
      <c r="I447" s="132">
        <f t="shared" ref="I447" si="1324">_xlfn.STDEV.P($P446:$XX447)/AVERAGE($P446:$XX447)</f>
        <v>5.774562927850789E-2</v>
      </c>
      <c r="J447" s="7">
        <f t="shared" ref="J447" si="1325">IF(AND(H447&gt;2,
OR(L435="MÉDIA SANEADA",L435="MEDIANA SANEADA",
AND(L435="PREÇO ESTIMADO",NOT(AND(P437="Orçamento",COUNTA(P435:XX435)=COUNTIF(P437:XX437,"Orçamento")))))),
ROW(),0)</f>
        <v>447</v>
      </c>
      <c r="K447" s="66"/>
      <c r="L447" s="29" t="s">
        <v>41</v>
      </c>
      <c r="M447" s="30">
        <f t="shared" ref="M447" si="1326">IFERROR(_xlfn.QUARTILE.EXC($P441:$XX441,1),"")</f>
        <v>734.46772842711835</v>
      </c>
      <c r="N447" s="71"/>
      <c r="O447" s="27" t="str">
        <f t="shared" ref="O447" si="1327">"3 RODADA"</f>
        <v>3 RODADA</v>
      </c>
      <c r="P447" s="107">
        <f t="shared" ref="P447:AI447" si="1328">IF(P445="","",IF((_xlfn.STDEV.P($P444:$XX445)/AVERAGE($P444:$XX445))&lt;=25%,P445,IF(OR(P445&gt;(AVERAGE($P444:$XX445)+_xlfn.STDEV.P($P444:$XX445)),P445&lt;(AVERAGE($P444:$XX445)-_xlfn.STDEV.P($P444:$XX445))),"DESCARTADO",P445)))</f>
        <v>734.46772842711835</v>
      </c>
      <c r="Q447" s="107">
        <f t="shared" si="1328"/>
        <v>836.6</v>
      </c>
      <c r="R447" s="107">
        <f t="shared" si="1328"/>
        <v>822.13438309467767</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f t="shared" si="1237"/>
        <v>21</v>
      </c>
      <c r="C448" s="128">
        <f t="shared" si="1238"/>
        <v>1</v>
      </c>
      <c r="D448" s="127">
        <f t="shared" si="1238"/>
        <v>21</v>
      </c>
      <c r="E448" s="199"/>
      <c r="F448" s="93"/>
      <c r="G448" s="201"/>
      <c r="H448"/>
      <c r="I448"/>
      <c r="J448"/>
      <c r="K448" s="66"/>
      <c r="L448" s="29" t="s">
        <v>39</v>
      </c>
      <c r="M448" s="30">
        <f t="shared" ref="M448" si="1329">IFERROR(_xlfn.QUARTILE.EXC($P441:$XX441,3),"")</f>
        <v>836.6</v>
      </c>
      <c r="N448" s="71"/>
      <c r="O448" s="27" t="str">
        <f t="shared" ref="O448" si="1330">"4 POND"</f>
        <v>4 POND</v>
      </c>
      <c r="P448" s="107">
        <f>IF(IFERROR(VLOOKUP(P437,'Tabela de Apoio'!$D:$E,2,FALSE),1)=1,"",P449)</f>
        <v>734.46772842711835</v>
      </c>
      <c r="Q448" s="107" t="str">
        <f>IF(IFERROR(VLOOKUP(Q437,'Tabela de Apoio'!$D:$E,2,FALSE),1)=1,"",Q449)</f>
        <v/>
      </c>
      <c r="R448" s="107">
        <f>IF(IFERROR(VLOOKUP(R437,'Tabela de Apoio'!$D:$E,2,FALSE),1)=1,"",R449)</f>
        <v>822.13438309467767</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f t="shared" si="1237"/>
        <v>21</v>
      </c>
      <c r="C449" s="128">
        <f t="shared" si="1238"/>
        <v>1</v>
      </c>
      <c r="D449" s="127">
        <f t="shared" si="1238"/>
        <v>21</v>
      </c>
      <c r="E449" s="199"/>
      <c r="F449" s="93"/>
      <c r="G449" s="201"/>
      <c r="H449" s="134">
        <f t="shared" ref="H449" si="1331">COUNT($P449:$XX449)</f>
        <v>3</v>
      </c>
      <c r="I449" s="132">
        <f t="shared" ref="I449" si="1332">_xlfn.STDEV.P($P448:$XX449)/AVERAGE($P448:$XX449)</f>
        <v>5.774562927850789E-2</v>
      </c>
      <c r="J449" s="7">
        <f t="shared" ref="J449" si="1333">IF(AND(H449&gt;2,
OR(L435="MÉDIA SANEADA",L435="MEDIANA SANEADA",
AND(L435="PREÇO ESTIMADO",NOT(AND(P437="Orçamento",COUNTA(P435:XX435)=COUNTIF(P437:XX437,"Orçamento")))))),
ROW(),0)</f>
        <v>449</v>
      </c>
      <c r="K449" s="66"/>
      <c r="L449" s="29" t="s">
        <v>42</v>
      </c>
      <c r="M449" s="30">
        <f t="shared" ref="M449" si="1334">MIN($P441:$XX441)</f>
        <v>734.46772842711835</v>
      </c>
      <c r="N449" s="71"/>
      <c r="O449" s="27" t="str">
        <f t="shared" ref="O449" si="1335">"4 RODADA"</f>
        <v>4 RODADA</v>
      </c>
      <c r="P449" s="107">
        <f t="shared" ref="P449:AI449" si="1336">IF(P447="","",IF((_xlfn.STDEV.P($P446:$XX447)/AVERAGE($P446:$XX447))&lt;=25%,P447,IF(OR(P447&gt;(AVERAGE($P446:$XX447)+_xlfn.STDEV.P($P446:$XX447)),P447&lt;(AVERAGE($P446:$XX447)-_xlfn.STDEV.P($P446:$XX447))),"DESCARTADO",P447)))</f>
        <v>734.46772842711835</v>
      </c>
      <c r="Q449" s="107">
        <f t="shared" si="1336"/>
        <v>836.6</v>
      </c>
      <c r="R449" s="107">
        <f t="shared" si="1336"/>
        <v>822.13438309467767</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f t="shared" si="1237"/>
        <v>21</v>
      </c>
      <c r="C450" s="128">
        <f t="shared" si="1238"/>
        <v>1</v>
      </c>
      <c r="D450" s="127">
        <f t="shared" si="1238"/>
        <v>21</v>
      </c>
      <c r="E450" s="199"/>
      <c r="F450" s="93"/>
      <c r="G450" s="201"/>
      <c r="H450"/>
      <c r="I450"/>
      <c r="J450"/>
      <c r="K450" s="66"/>
      <c r="L450" s="29" t="s">
        <v>40</v>
      </c>
      <c r="M450" s="30">
        <f t="shared" ref="M450" si="1337">MAX($P441:$XX441)</f>
        <v>836.6</v>
      </c>
      <c r="N450" s="71"/>
      <c r="O450" s="27" t="str">
        <f t="shared" ref="O450" si="1338">"5 POND"</f>
        <v>5 POND</v>
      </c>
      <c r="P450" s="107">
        <f>IF(IFERROR(VLOOKUP(P437,'Tabela de Apoio'!$D:$E,2,FALSE),1)=1,"",P451)</f>
        <v>734.46772842711835</v>
      </c>
      <c r="Q450" s="107" t="str">
        <f>IF(IFERROR(VLOOKUP(Q437,'Tabela de Apoio'!$D:$E,2,FALSE),1)=1,"",Q451)</f>
        <v/>
      </c>
      <c r="R450" s="107">
        <f>IF(IFERROR(VLOOKUP(R437,'Tabela de Apoio'!$D:$E,2,FALSE),1)=1,"",R451)</f>
        <v>822.13438309467767</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f t="shared" si="1237"/>
        <v>21</v>
      </c>
      <c r="C451" s="128">
        <f t="shared" si="1238"/>
        <v>1</v>
      </c>
      <c r="D451" s="127">
        <f t="shared" si="1238"/>
        <v>21</v>
      </c>
      <c r="E451" s="199"/>
      <c r="F451" s="93"/>
      <c r="G451" s="201"/>
      <c r="H451" s="134">
        <f t="shared" ref="H451" si="1339">COUNT($P451:$XX451)</f>
        <v>3</v>
      </c>
      <c r="I451" s="132">
        <f t="shared" ref="I451" si="1340">_xlfn.STDEV.P($P450:$XX451)/AVERAGE($P450:$XX451)</f>
        <v>5.774562927850789E-2</v>
      </c>
      <c r="J451" s="7">
        <f t="shared" ref="J451" si="1341">IF(AND(H451&gt;2,
OR(L435="MÉDIA SANEADA",L435="MEDIANA SANEADA",
AND(L435="PREÇO ESTIMADO",NOT(AND(P437="Orçamento",COUNTA(P435:XX435)=COUNTIF(P437:XX437,"Orçamento")))))),
ROW(),0)</f>
        <v>451</v>
      </c>
      <c r="K451" s="66"/>
      <c r="N451" s="71"/>
      <c r="O451" s="27" t="str">
        <f t="shared" ref="O451" si="1342">"5 RODADA"</f>
        <v>5 RODADA</v>
      </c>
      <c r="P451" s="107">
        <f t="shared" ref="P451:AI451" si="1343">IF(P449="","",IF((_xlfn.STDEV.P($P448:$XX449)/AVERAGE($P448:$XX449))&lt;=25%,P449,IF(OR(P449&gt;(AVERAGE($P448:$XX449)+_xlfn.STDEV.P($P448:$XX449)),P449&lt;(AVERAGE($P448:$XX449)-_xlfn.STDEV.P($P448:$XX449))),"DESCARTADO",P449)))</f>
        <v>734.46772842711835</v>
      </c>
      <c r="Q451" s="107">
        <f t="shared" si="1343"/>
        <v>836.6</v>
      </c>
      <c r="R451" s="107">
        <f t="shared" si="1343"/>
        <v>822.13438309467767</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f t="shared" si="1237"/>
        <v>21</v>
      </c>
      <c r="C452" s="128">
        <f t="shared" si="1238"/>
        <v>1</v>
      </c>
      <c r="D452" s="127">
        <f t="shared" si="1238"/>
        <v>21</v>
      </c>
      <c r="E452" s="199"/>
      <c r="F452" s="93"/>
      <c r="G452" s="201"/>
      <c r="H452"/>
      <c r="I452"/>
      <c r="J452"/>
      <c r="K452" s="66"/>
      <c r="L452" s="22"/>
      <c r="M452" s="22"/>
      <c r="N452" s="71"/>
      <c r="O452" s="27" t="str">
        <f t="shared" ref="O452" si="1344">"6 POND"</f>
        <v>6 POND</v>
      </c>
      <c r="P452" s="107">
        <f>IF(IFERROR(VLOOKUP(P437,'Tabela de Apoio'!$D:$E,2,FALSE),1)=1,"",P453)</f>
        <v>734.46772842711835</v>
      </c>
      <c r="Q452" s="107" t="str">
        <f>IF(IFERROR(VLOOKUP(Q437,'Tabela de Apoio'!$D:$E,2,FALSE),1)=1,"",Q453)</f>
        <v/>
      </c>
      <c r="R452" s="107">
        <f>IF(IFERROR(VLOOKUP(R437,'Tabela de Apoio'!$D:$E,2,FALSE),1)=1,"",R453)</f>
        <v>822.13438309467767</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f t="shared" si="1237"/>
        <v>21</v>
      </c>
      <c r="C453" s="128">
        <f t="shared" si="1238"/>
        <v>1</v>
      </c>
      <c r="D453" s="127">
        <f t="shared" si="1238"/>
        <v>21</v>
      </c>
      <c r="E453" s="199"/>
      <c r="F453" s="93"/>
      <c r="G453" s="201"/>
      <c r="H453" s="134">
        <f t="shared" ref="H453" si="1345">COUNT($P453:$XX453)</f>
        <v>3</v>
      </c>
      <c r="I453" s="132">
        <f t="shared" ref="I453" si="1346">_xlfn.STDEV.P($P452:$XX453)/AVERAGE($P452:$XX453)</f>
        <v>5.774562927850789E-2</v>
      </c>
      <c r="J453" s="7">
        <f t="shared" ref="J453" si="1347">IF(AND(H453&gt;2,
OR(L435="MÉDIA SANEADA",L435="MEDIANA SANEADA",
AND(L435="PREÇO ESTIMADO",NOT(AND(P437="Orçamento",COUNTA(P435:XX435)=COUNTIF(P437:XX437,"Orçamento")))))),
ROW(),0)</f>
        <v>453</v>
      </c>
      <c r="N453" s="71"/>
      <c r="O453" s="27" t="str">
        <f t="shared" ref="O453" si="1348">"6 RODADA"</f>
        <v>6 RODADA</v>
      </c>
      <c r="P453" s="107">
        <f t="shared" ref="P453:AI453" si="1349">IFERROR(IF(P451="","",IF((_xlfn.STDEV.P($P450:$XX451)/AVERAGE($P450:$XX451))&lt;=25%,P451,IF(OR(P451&gt;(AVERAGE($P450:$XX451)+_xlfn.STDEV.P($P450:$XX451)),P451&lt;(AVERAGE($P450:$XX451)-_xlfn.STDEV.P($P450:$XX451))),"DESCARTADO",P451))),)</f>
        <v>734.46772842711835</v>
      </c>
      <c r="Q453" s="107">
        <f t="shared" si="1349"/>
        <v>836.6</v>
      </c>
      <c r="R453" s="107">
        <f t="shared" si="1349"/>
        <v>822.13438309467767</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f t="shared" si="1237"/>
        <v>21</v>
      </c>
      <c r="C454" s="128">
        <f t="shared" si="1238"/>
        <v>1</v>
      </c>
      <c r="D454" s="127">
        <f t="shared" si="1238"/>
        <v>21</v>
      </c>
      <c r="E454" s="199"/>
      <c r="F454" s="136"/>
      <c r="G454" s="201"/>
      <c r="H454" s="204"/>
      <c r="I454" s="204"/>
      <c r="J454" s="205"/>
      <c r="K454" s="67"/>
      <c r="L454" s="1" t="s">
        <v>43</v>
      </c>
      <c r="M454" s="143">
        <f t="shared" ref="M454" si="1350">IFERROR(ROUND(M435*M437,2),"")</f>
        <v>312034.2</v>
      </c>
      <c r="O454" s="27" t="s">
        <v>363</v>
      </c>
      <c r="P454" s="107">
        <f t="shared" ref="P454:R454" si="1351">INDEX(P441:P453,MATCH(MAX($J441:$J453),$J441:$J453,0))</f>
        <v>734.46772842711835</v>
      </c>
      <c r="Q454" s="107">
        <f t="shared" si="1351"/>
        <v>836.6</v>
      </c>
      <c r="R454" s="107">
        <f t="shared" si="1351"/>
        <v>822.13438309467767</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f t="shared" ref="B456" si="1352">LARGE(IFERROR(IF(B454+1&gt;$H$8,"",B454+1),""),1)</f>
        <v>22</v>
      </c>
      <c r="C456" s="127">
        <f>IF(_xlfn.ISFORMULA(E460),MAX(INDEX('BASE FORMAÇÃO'!A:A,B456+1),1),E460)</f>
        <v>1</v>
      </c>
      <c r="D456" s="127">
        <f t="shared" ref="D456" si="1353">IFERROR(IF(C456=C446,D446+1,1),1)</f>
        <v>22</v>
      </c>
      <c r="E456" s="38" t="s">
        <v>9</v>
      </c>
      <c r="F456" s="73"/>
      <c r="G456" s="38" t="s">
        <v>15</v>
      </c>
      <c r="H456" s="135">
        <f>INDEX('BASE FORMAÇÃO'!B:B,B456+1)</f>
        <v>0</v>
      </c>
      <c r="I456" s="181" t="s">
        <v>16</v>
      </c>
      <c r="J456" s="6">
        <f>INDEX('BASE FORMAÇÃO'!K:K,B456+1)</f>
        <v>0</v>
      </c>
      <c r="K456" s="65"/>
      <c r="L456" s="183" t="s">
        <v>10</v>
      </c>
      <c r="M456" s="185">
        <f t="shared" ref="M456" si="1354">IF(OR(ISBLANK($O$8),ISBLANK($O$7),ISBLANK($H$8),ISBLANK($O$6),ISBLANK($O$5),ISBLANK($H$5)),"",IFERROR(IF(VLOOKUP(L456,L462:M471,2,FALSE)&lt;1,ROUND(VLOOKUP(L456,L462:M471,2,FALSE),4),ROUND(VLOOKUP(L456,L462:M471,2,FALSE),2)),""))</f>
        <v>256.73</v>
      </c>
      <c r="N456" s="69"/>
      <c r="O456" s="27" t="s">
        <v>17</v>
      </c>
      <c r="P456" s="113">
        <v>180</v>
      </c>
      <c r="Q456" s="113">
        <v>407.55</v>
      </c>
      <c r="R456" s="113">
        <v>249</v>
      </c>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f t="shared" ref="B457:D457" si="1355">B456</f>
        <v>22</v>
      </c>
      <c r="C457" s="128">
        <f t="shared" si="1355"/>
        <v>1</v>
      </c>
      <c r="D457" s="127">
        <f t="shared" si="1355"/>
        <v>22</v>
      </c>
      <c r="E457" s="187">
        <f t="shared" ref="E457" si="1356">D456</f>
        <v>22</v>
      </c>
      <c r="F457" s="92"/>
      <c r="G457" s="189" t="s">
        <v>1</v>
      </c>
      <c r="H457" s="192" t="str">
        <f>INDEX('BASE FORMAÇÃO'!C:C,B456+1)</f>
        <v>Inserção de Mural Modelo 2</v>
      </c>
      <c r="I457" s="192"/>
      <c r="J457" s="193"/>
      <c r="K457" s="66"/>
      <c r="L457" s="184"/>
      <c r="M457" s="186"/>
      <c r="N457" s="70"/>
      <c r="O457" s="27" t="s">
        <v>13</v>
      </c>
      <c r="P457" s="122">
        <v>46003</v>
      </c>
      <c r="Q457" s="122">
        <v>46297</v>
      </c>
      <c r="R457" s="122">
        <v>46037</v>
      </c>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f t="shared" ref="B458:D458" si="1357">B457</f>
        <v>22</v>
      </c>
      <c r="C458" s="128">
        <f t="shared" si="1357"/>
        <v>1</v>
      </c>
      <c r="D458" s="127">
        <f t="shared" si="1357"/>
        <v>22</v>
      </c>
      <c r="E458" s="188"/>
      <c r="F458" s="93"/>
      <c r="G458" s="190"/>
      <c r="H458" s="194"/>
      <c r="I458" s="194"/>
      <c r="J458" s="195"/>
      <c r="K458" s="64"/>
      <c r="L458" s="130" t="s">
        <v>44</v>
      </c>
      <c r="M458" s="131">
        <f>INDEX('BASE FORMAÇÃO'!H:H,B460+1)</f>
        <v>578</v>
      </c>
      <c r="N458" s="71"/>
      <c r="O458" s="27" t="s">
        <v>380</v>
      </c>
      <c r="P458" s="114" t="s">
        <v>12</v>
      </c>
      <c r="Q458" s="114" t="s">
        <v>302</v>
      </c>
      <c r="R458" s="114" t="s">
        <v>12</v>
      </c>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f t="shared" ref="B459:C459" si="1358">B458</f>
        <v>22</v>
      </c>
      <c r="C459" s="128">
        <f t="shared" si="1358"/>
        <v>1</v>
      </c>
      <c r="D459" s="127">
        <f t="shared" si="1238"/>
        <v>22</v>
      </c>
      <c r="E459" s="38" t="s">
        <v>313</v>
      </c>
      <c r="F459" s="93"/>
      <c r="G459" s="191"/>
      <c r="H459" s="196"/>
      <c r="I459" s="196"/>
      <c r="J459" s="197"/>
      <c r="K459" s="64"/>
      <c r="L459" s="1" t="s">
        <v>2</v>
      </c>
      <c r="M459" s="6" t="str">
        <f>INDEX('BASE FORMAÇÃO'!D:D,B460+1)</f>
        <v>UND</v>
      </c>
      <c r="N459" s="71"/>
      <c r="O459" s="27" t="s">
        <v>381</v>
      </c>
      <c r="P459" s="115" t="s">
        <v>459</v>
      </c>
      <c r="Q459" s="182" t="s">
        <v>464</v>
      </c>
      <c r="R459" s="115" t="s">
        <v>460</v>
      </c>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f t="shared" ref="B460:C460" si="1359">B458</f>
        <v>22</v>
      </c>
      <c r="C460" s="128">
        <f t="shared" si="1359"/>
        <v>1</v>
      </c>
      <c r="D460" s="127">
        <f t="shared" si="1238"/>
        <v>22</v>
      </c>
      <c r="E460" s="198">
        <f t="shared" ref="E460" si="1360">C456</f>
        <v>1</v>
      </c>
      <c r="F460" s="93"/>
      <c r="G460" s="200" t="s">
        <v>304</v>
      </c>
      <c r="H460" s="202" t="s">
        <v>465</v>
      </c>
      <c r="I460" s="203"/>
      <c r="J460" s="203"/>
      <c r="K460" s="67"/>
      <c r="L460" s="28" t="s">
        <v>303</v>
      </c>
      <c r="M460" s="133">
        <f t="shared" ref="M460" si="1361">IFERROR(INDEX(I462:I474,MATCH(MAX(J462:J474),J462:J474,0)),"")</f>
        <v>0.31250457918984936</v>
      </c>
      <c r="N460" s="71"/>
      <c r="O460" s="27" t="s">
        <v>18</v>
      </c>
      <c r="P460" s="106">
        <f>IF(P456="","",
IF(OR(P458="Orçamento",P457="",MAX('Tabela de Apoio'!$A:$A)&lt;=P457),
P456,
(INDEX('Tabela de Apoio'!$B:$B,MATCH('MAPA DE PREÇOS'!$O$8,'Tabela de Apoio'!$A:$A,1))/INDEX('Tabela de Apoio'!$B:$B,MATCH('MAPA DE PREÇOS'!P457,'Tabela de Apoio'!$A:$A,1)-1))*P456))</f>
        <v>186.2030860801145</v>
      </c>
      <c r="Q460" s="106">
        <f>IF(Q456="","",
IF(OR(Q458="Orçamento",Q457="",MAX('Tabela de Apoio'!$A:$A)&lt;=Q457),
Q456,
(INDEX('Tabela de Apoio'!$B:$B,MATCH('MAPA DE PREÇOS'!$O$8,'Tabela de Apoio'!$A:$A,1))/INDEX('Tabela de Apoio'!$B:$B,MATCH('MAPA DE PREÇOS'!Q457,'Tabela de Apoio'!$A:$A,1)-1))*Q456))</f>
        <v>407.55</v>
      </c>
      <c r="R460" s="106">
        <f>IF(R456="","",
IF(OR(R458="Orçamento",R457="",MAX('Tabela de Apoio'!$A:$A)&lt;=R457),
R456,
(INDEX('Tabela de Apoio'!$B:$B,MATCH('MAPA DE PREÇOS'!$O$8,'Tabela de Apoio'!$A:$A,1))/INDEX('Tabela de Apoio'!$B:$B,MATCH('MAPA DE PREÇOS'!R457,'Tabela de Apoio'!$A:$A,1)-1))*R456))</f>
        <v>256.73373189487376</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f t="shared" ref="B461" si="1362">B460</f>
        <v>22</v>
      </c>
      <c r="C461" s="128">
        <f t="shared" ref="C461" si="1363">C460</f>
        <v>1</v>
      </c>
      <c r="D461" s="127">
        <f t="shared" si="1238"/>
        <v>22</v>
      </c>
      <c r="E461" s="199"/>
      <c r="F461" s="93"/>
      <c r="G461" s="201"/>
      <c r="H461"/>
      <c r="I461"/>
      <c r="J461"/>
      <c r="N461" s="71"/>
      <c r="O461" s="27" t="s">
        <v>375</v>
      </c>
      <c r="P461" s="107">
        <f>IF(IFERROR(VLOOKUP(P458,'Tabela de Apoio'!$D:$E,2,FALSE),1)=1,"",P462)</f>
        <v>186.2030860801145</v>
      </c>
      <c r="Q461" s="107" t="str">
        <f>IF(IFERROR(VLOOKUP(Q458,'Tabela de Apoio'!$D:$E,2,FALSE),1)=1,"",Q462)</f>
        <v/>
      </c>
      <c r="R461" s="107">
        <f>IF(IFERROR(VLOOKUP(R458,'Tabela de Apoio'!$D:$E,2,FALSE),1)=1,"",R462)</f>
        <v>256.73373189487376</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f t="shared" ref="B462:C462" si="1364">B461</f>
        <v>22</v>
      </c>
      <c r="C462" s="128">
        <f t="shared" si="1364"/>
        <v>1</v>
      </c>
      <c r="D462" s="127">
        <f t="shared" si="1238"/>
        <v>22</v>
      </c>
      <c r="E462" s="199"/>
      <c r="F462" s="93"/>
      <c r="G462" s="201"/>
      <c r="H462" s="134">
        <f t="shared" ref="H462" si="1365">COUNT($P462:$XX462)</f>
        <v>3</v>
      </c>
      <c r="I462" s="132">
        <f t="shared" ref="I462" si="1366">_xlfn.STDEV.P($P461:$XX462)/AVERAGE($P461:$XX462)</f>
        <v>0.31250457918984936</v>
      </c>
      <c r="J462" s="7">
        <f>ROW()</f>
        <v>462</v>
      </c>
      <c r="K462" s="67"/>
      <c r="L462" s="29" t="s">
        <v>10</v>
      </c>
      <c r="M462" s="30">
        <f t="shared" ref="M462" si="1367">IFERROR(
IF(COUNTA(P456:AI456)=COUNTIF(P458:XX458,"Orçamento"),MIN(M467,M464),
IF(M465&lt;&gt;"",M465,
IF(M466&lt;&gt;"",M466,
M464
))),"")</f>
        <v>256.73373189487376</v>
      </c>
      <c r="N462" s="71"/>
      <c r="O462" s="27" t="s">
        <v>376</v>
      </c>
      <c r="P462" s="106">
        <f t="shared" ref="P462:AI462" si="1368">IFERROR(IF(P460="",
            "",
            IF(COUNT($P460:$XX460)&lt;=4,
               P460,
               IF(OR(P460&gt;(QUARTILE($P460:$XX460,3)+(QUARTILE($P460:$XX460,3)-QUARTILE($P460:$XX460,1))),
                     P460&lt;(QUARTILE($P460:$XX460,1)-(QUARTILE($P460:$XX460,3)-QUARTILE($P460:$XX460,1)))
                  ),
               "DESCARTADO",P460)
             )
  ),P460)</f>
        <v>186.2030860801145</v>
      </c>
      <c r="Q462" s="106">
        <f t="shared" si="1368"/>
        <v>407.55</v>
      </c>
      <c r="R462" s="106">
        <f t="shared" si="1368"/>
        <v>256.73373189487376</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f t="shared" ref="B463" si="1369">B462</f>
        <v>22</v>
      </c>
      <c r="C463" s="128">
        <f t="shared" ref="C463" si="1370">C462</f>
        <v>1</v>
      </c>
      <c r="D463" s="127">
        <f t="shared" si="1238"/>
        <v>22</v>
      </c>
      <c r="E463" s="199"/>
      <c r="F463" s="93"/>
      <c r="G463" s="201"/>
      <c r="H463"/>
      <c r="I463"/>
      <c r="J463"/>
      <c r="K463" s="66"/>
      <c r="L463" s="29" t="s">
        <v>360</v>
      </c>
      <c r="M463" s="30">
        <f t="shared" ref="M463" si="1371">AVERAGE($P462:$XX462)</f>
        <v>283.49560599166279</v>
      </c>
      <c r="N463" s="71"/>
      <c r="O463" s="27" t="str">
        <f t="shared" ref="O463" si="1372">"1 POND"</f>
        <v>1 POND</v>
      </c>
      <c r="P463" s="107">
        <f>IF(IFERROR(VLOOKUP(P458,'Tabela de Apoio'!$D:$E,2,FALSE),1)=1,"",P464)</f>
        <v>186.2030860801145</v>
      </c>
      <c r="Q463" s="107" t="str">
        <f>IF(IFERROR(VLOOKUP(Q458,'Tabela de Apoio'!$D:$E,2,FALSE),1)=1,"",Q464)</f>
        <v/>
      </c>
      <c r="R463" s="107">
        <f>IF(IFERROR(VLOOKUP(R458,'Tabela de Apoio'!$D:$E,2,FALSE),1)=1,"",R464)</f>
        <v>256.73373189487376</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f t="shared" si="1237"/>
        <v>22</v>
      </c>
      <c r="C464" s="128">
        <f t="shared" si="1238"/>
        <v>1</v>
      </c>
      <c r="D464" s="127">
        <f t="shared" si="1238"/>
        <v>22</v>
      </c>
      <c r="E464" s="199"/>
      <c r="F464" s="93"/>
      <c r="G464" s="201"/>
      <c r="H464" s="134">
        <f t="shared" ref="H464" si="1373">COUNT($P464:$XX464)</f>
        <v>2</v>
      </c>
      <c r="I464" s="132">
        <f t="shared" ref="I464" si="1374">_xlfn.STDEV.P($P463:$XX464)/AVERAGE($P463:$XX464)</f>
        <v>0.15923410055910533</v>
      </c>
      <c r="J464" s="7">
        <f t="shared" ref="J464" si="1375">IF(AND(H464&gt;2,
OR(L456="MÉDIA SANEADA",L456="MEDIANA SANEADA",
AND(L456="PREÇO ESTIMADO",NOT(AND(P458="Orçamento",COUNTA(P456:XX456)=COUNTIF(P458:XX458,"Orçamento")))))),
ROW(),0)</f>
        <v>0</v>
      </c>
      <c r="K464" s="66"/>
      <c r="L464" s="29" t="s">
        <v>361</v>
      </c>
      <c r="M464" s="30">
        <f t="shared" ref="M464" si="1376">MEDIAN($P462:$XX462)</f>
        <v>256.73373189487376</v>
      </c>
      <c r="N464" s="71"/>
      <c r="O464" s="27" t="str">
        <f t="shared" ref="O464" si="1377">"1 RODADA"</f>
        <v>1 RODADA</v>
      </c>
      <c r="P464" s="107">
        <f t="shared" ref="P464:AI464" si="1378">IF(P462="","",IF((_xlfn.STDEV.P($P461:$XX462)/AVERAGE($P461:$XX462))&lt;=25%,P462,IF(OR(P462&gt;(AVERAGE($P461:$XX462)+_xlfn.STDEV.P($P461:$XX462)),P462&lt;(AVERAGE($P461:$XX462)-_xlfn.STDEV.P($P461:$XX462))),"DESCARTADO",P462)))</f>
        <v>186.2030860801145</v>
      </c>
      <c r="Q464" s="107" t="str">
        <f t="shared" si="1378"/>
        <v>DESCARTADO</v>
      </c>
      <c r="R464" s="107">
        <f t="shared" si="1378"/>
        <v>256.73373189487376</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f t="shared" si="1237"/>
        <v>22</v>
      </c>
      <c r="C465" s="128">
        <f t="shared" si="1238"/>
        <v>1</v>
      </c>
      <c r="D465" s="127">
        <f t="shared" si="1238"/>
        <v>22</v>
      </c>
      <c r="E465" s="199"/>
      <c r="F465" s="93"/>
      <c r="G465" s="201"/>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f>IF(IFERROR(VLOOKUP(P458,'Tabela de Apoio'!$D:$E,2,FALSE),1)=1,"",P466)</f>
        <v>186.2030860801145</v>
      </c>
      <c r="Q465" s="107" t="str">
        <f>IF(IFERROR(VLOOKUP(Q458,'Tabela de Apoio'!$D:$E,2,FALSE),1)=1,"",Q466)</f>
        <v/>
      </c>
      <c r="R465" s="107">
        <f>IF(IFERROR(VLOOKUP(R458,'Tabela de Apoio'!$D:$E,2,FALSE),1)=1,"",R466)</f>
        <v>256.73373189487376</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f t="shared" si="1237"/>
        <v>22</v>
      </c>
      <c r="C466" s="128">
        <f t="shared" si="1238"/>
        <v>1</v>
      </c>
      <c r="D466" s="127">
        <f t="shared" si="1238"/>
        <v>22</v>
      </c>
      <c r="E466" s="199"/>
      <c r="F466" s="93"/>
      <c r="G466" s="201"/>
      <c r="H466" s="134">
        <f t="shared" ref="H466" si="1381">COUNT($P466:$XX466)</f>
        <v>2</v>
      </c>
      <c r="I466" s="132">
        <f t="shared" ref="I466" si="1382">_xlfn.STDEV.P($P465:$XX466)/AVERAGE($P465:$XX466)</f>
        <v>0.15923410055910533</v>
      </c>
      <c r="J466" s="7">
        <f t="shared" ref="J466" si="1383">IF(AND(H466&gt;2,
OR(L456="MÉDIA SANEADA",L456="MEDIANA SANEADA",
AND(L456="PREÇO ESTIMADO",NOT(AND(P458="Orçamento",COUNTA(P456:XX456)=COUNTIF(P458:XX458,"Orçamento")))))),
ROW(),0)</f>
        <v>0</v>
      </c>
      <c r="K466" s="66"/>
      <c r="L466" s="29" t="s">
        <v>362</v>
      </c>
      <c r="M466" s="30">
        <f t="shared" ref="M466" si="1384" xml:space="preserve">
IF(H464&gt;2,MEDIAN(P463:XX464),
IF(H466&gt;2,MEDIAN(P465:XX466),
IF(H468&gt;2,MEDIAN(P467:XX468),
IF(H470&gt;2,MEDIAN(P469:XX470),
IF(H472&gt;2,MEDIAN(P471:XX472),
IF(H474&gt;2,MEDIAN(P473:XX474),
MEDIAN(P461:XX462)))))))</f>
        <v>256.73373189487376</v>
      </c>
      <c r="N466" s="71"/>
      <c r="O466" s="27" t="str">
        <f t="shared" ref="O466" si="1385">"2 RODADA"</f>
        <v>2 RODADA</v>
      </c>
      <c r="P466" s="107">
        <f t="shared" ref="P466:AI466" si="1386">IF(P464="","",IF((_xlfn.STDEV.P($P463:$XX464)/AVERAGE($P463:$XX464))&lt;=25%,P464,IF(OR(P464&gt;(AVERAGE($P463:$XX464)+_xlfn.STDEV.P($P463:$XX464)),P464&lt;(AVERAGE($P463:$XX464)-_xlfn.STDEV.P($P463:$XX464))),"DESCARTADO",P464)))</f>
        <v>186.2030860801145</v>
      </c>
      <c r="Q466" s="107" t="str">
        <f t="shared" si="1386"/>
        <v>DESCARTADO</v>
      </c>
      <c r="R466" s="107">
        <f t="shared" si="1386"/>
        <v>256.73373189487376</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f t="shared" si="1237"/>
        <v>22</v>
      </c>
      <c r="C467" s="128">
        <f t="shared" si="1238"/>
        <v>1</v>
      </c>
      <c r="D467" s="127">
        <f t="shared" si="1238"/>
        <v>22</v>
      </c>
      <c r="E467" s="199"/>
      <c r="F467" s="93"/>
      <c r="G467" s="201"/>
      <c r="H467"/>
      <c r="I467"/>
      <c r="J467"/>
      <c r="K467" s="66"/>
      <c r="L467" s="29" t="s">
        <v>359</v>
      </c>
      <c r="M467" s="30">
        <f t="shared" ref="M467" si="1387">HARMEAN($P461:$XX462)</f>
        <v>238.26747736452305</v>
      </c>
      <c r="N467" s="71"/>
      <c r="O467" s="27" t="str">
        <f t="shared" ref="O467" si="1388">"3 POND"</f>
        <v>3 POND</v>
      </c>
      <c r="P467" s="107">
        <f>IF(IFERROR(VLOOKUP(P458,'Tabela de Apoio'!$D:$E,2,FALSE),1)=1,"",P468)</f>
        <v>186.2030860801145</v>
      </c>
      <c r="Q467" s="107" t="str">
        <f>IF(IFERROR(VLOOKUP(Q458,'Tabela de Apoio'!$D:$E,2,FALSE),1)=1,"",Q468)</f>
        <v/>
      </c>
      <c r="R467" s="107">
        <f>IF(IFERROR(VLOOKUP(R458,'Tabela de Apoio'!$D:$E,2,FALSE),1)=1,"",R468)</f>
        <v>256.73373189487376</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f t="shared" si="1237"/>
        <v>22</v>
      </c>
      <c r="C468" s="128">
        <f t="shared" si="1238"/>
        <v>1</v>
      </c>
      <c r="D468" s="127">
        <f t="shared" si="1238"/>
        <v>22</v>
      </c>
      <c r="E468" s="199"/>
      <c r="F468" s="93"/>
      <c r="G468" s="201"/>
      <c r="H468" s="134">
        <f t="shared" ref="H468" si="1389">COUNT($P468:$XX468)</f>
        <v>2</v>
      </c>
      <c r="I468" s="132">
        <f t="shared" ref="I468" si="1390">_xlfn.STDEV.P($P467:$XX468)/AVERAGE($P467:$XX468)</f>
        <v>0.15923410055910533</v>
      </c>
      <c r="J468" s="7">
        <f t="shared" ref="J468" si="1391">IF(AND(H468&gt;2,
OR(L456="MÉDIA SANEADA",L456="MEDIANA SANEADA",
AND(L456="PREÇO ESTIMADO",NOT(AND(P458="Orçamento",COUNTA(P456:XX456)=COUNTIF(P458:XX458,"Orçamento")))))),
ROW(),0)</f>
        <v>0</v>
      </c>
      <c r="K468" s="66"/>
      <c r="L468" s="29" t="s">
        <v>41</v>
      </c>
      <c r="M468" s="30">
        <f t="shared" ref="M468" si="1392">IFERROR(_xlfn.QUARTILE.EXC($P462:$XX462,1),"")</f>
        <v>186.2030860801145</v>
      </c>
      <c r="N468" s="71"/>
      <c r="O468" s="27" t="str">
        <f t="shared" ref="O468" si="1393">"3 RODADA"</f>
        <v>3 RODADA</v>
      </c>
      <c r="P468" s="107">
        <f t="shared" ref="P468:AI468" si="1394">IF(P466="","",IF((_xlfn.STDEV.P($P465:$XX466)/AVERAGE($P465:$XX466))&lt;=25%,P466,IF(OR(P466&gt;(AVERAGE($P465:$XX466)+_xlfn.STDEV.P($P465:$XX466)),P466&lt;(AVERAGE($P465:$XX466)-_xlfn.STDEV.P($P465:$XX466))),"DESCARTADO",P466)))</f>
        <v>186.2030860801145</v>
      </c>
      <c r="Q468" s="107" t="str">
        <f t="shared" si="1394"/>
        <v>DESCARTADO</v>
      </c>
      <c r="R468" s="107">
        <f t="shared" si="1394"/>
        <v>256.73373189487376</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f t="shared" si="1237"/>
        <v>22</v>
      </c>
      <c r="C469" s="128">
        <f t="shared" si="1238"/>
        <v>1</v>
      </c>
      <c r="D469" s="127">
        <f t="shared" si="1238"/>
        <v>22</v>
      </c>
      <c r="E469" s="199"/>
      <c r="F469" s="93"/>
      <c r="G469" s="201"/>
      <c r="H469"/>
      <c r="I469"/>
      <c r="J469"/>
      <c r="K469" s="66"/>
      <c r="L469" s="29" t="s">
        <v>39</v>
      </c>
      <c r="M469" s="30">
        <f t="shared" ref="M469" si="1395">IFERROR(_xlfn.QUARTILE.EXC($P462:$XX462,3),"")</f>
        <v>407.55</v>
      </c>
      <c r="N469" s="71"/>
      <c r="O469" s="27" t="str">
        <f t="shared" ref="O469" si="1396">"4 POND"</f>
        <v>4 POND</v>
      </c>
      <c r="P469" s="107">
        <f>IF(IFERROR(VLOOKUP(P458,'Tabela de Apoio'!$D:$E,2,FALSE),1)=1,"",P470)</f>
        <v>186.2030860801145</v>
      </c>
      <c r="Q469" s="107" t="str">
        <f>IF(IFERROR(VLOOKUP(Q458,'Tabela de Apoio'!$D:$E,2,FALSE),1)=1,"",Q470)</f>
        <v/>
      </c>
      <c r="R469" s="107">
        <f>IF(IFERROR(VLOOKUP(R458,'Tabela de Apoio'!$D:$E,2,FALSE),1)=1,"",R470)</f>
        <v>256.73373189487376</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f t="shared" si="1237"/>
        <v>22</v>
      </c>
      <c r="C470" s="128">
        <f t="shared" si="1238"/>
        <v>1</v>
      </c>
      <c r="D470" s="127">
        <f t="shared" si="1238"/>
        <v>22</v>
      </c>
      <c r="E470" s="199"/>
      <c r="F470" s="93"/>
      <c r="G470" s="201"/>
      <c r="H470" s="134">
        <f t="shared" ref="H470" si="1397">COUNT($P470:$XX470)</f>
        <v>2</v>
      </c>
      <c r="I470" s="132">
        <f t="shared" ref="I470" si="1398">_xlfn.STDEV.P($P469:$XX470)/AVERAGE($P469:$XX470)</f>
        <v>0.15923410055910533</v>
      </c>
      <c r="J470" s="7">
        <f t="shared" ref="J470" si="1399">IF(AND(H470&gt;2,
OR(L456="MÉDIA SANEADA",L456="MEDIANA SANEADA",
AND(L456="PREÇO ESTIMADO",NOT(AND(P458="Orçamento",COUNTA(P456:XX456)=COUNTIF(P458:XX458,"Orçamento")))))),
ROW(),0)</f>
        <v>0</v>
      </c>
      <c r="K470" s="66"/>
      <c r="L470" s="29" t="s">
        <v>42</v>
      </c>
      <c r="M470" s="30">
        <f t="shared" ref="M470" si="1400">MIN($P462:$XX462)</f>
        <v>186.2030860801145</v>
      </c>
      <c r="N470" s="71"/>
      <c r="O470" s="27" t="str">
        <f t="shared" ref="O470" si="1401">"4 RODADA"</f>
        <v>4 RODADA</v>
      </c>
      <c r="P470" s="107">
        <f t="shared" ref="P470:AI470" si="1402">IF(P468="","",IF((_xlfn.STDEV.P($P467:$XX468)/AVERAGE($P467:$XX468))&lt;=25%,P468,IF(OR(P468&gt;(AVERAGE($P467:$XX468)+_xlfn.STDEV.P($P467:$XX468)),P468&lt;(AVERAGE($P467:$XX468)-_xlfn.STDEV.P($P467:$XX468))),"DESCARTADO",P468)))</f>
        <v>186.2030860801145</v>
      </c>
      <c r="Q470" s="107" t="str">
        <f t="shared" si="1402"/>
        <v>DESCARTADO</v>
      </c>
      <c r="R470" s="107">
        <f t="shared" si="1402"/>
        <v>256.73373189487376</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f t="shared" si="1237"/>
        <v>22</v>
      </c>
      <c r="C471" s="128">
        <f t="shared" si="1238"/>
        <v>1</v>
      </c>
      <c r="D471" s="127">
        <f t="shared" si="1238"/>
        <v>22</v>
      </c>
      <c r="E471" s="199"/>
      <c r="F471" s="93"/>
      <c r="G471" s="201"/>
      <c r="H471"/>
      <c r="I471"/>
      <c r="J471"/>
      <c r="K471" s="66"/>
      <c r="L471" s="29" t="s">
        <v>40</v>
      </c>
      <c r="M471" s="30">
        <f t="shared" ref="M471" si="1403">MAX($P462:$XX462)</f>
        <v>407.55</v>
      </c>
      <c r="N471" s="71"/>
      <c r="O471" s="27" t="str">
        <f t="shared" ref="O471" si="1404">"5 POND"</f>
        <v>5 POND</v>
      </c>
      <c r="P471" s="107">
        <f>IF(IFERROR(VLOOKUP(P458,'Tabela de Apoio'!$D:$E,2,FALSE),1)=1,"",P472)</f>
        <v>186.2030860801145</v>
      </c>
      <c r="Q471" s="107" t="str">
        <f>IF(IFERROR(VLOOKUP(Q458,'Tabela de Apoio'!$D:$E,2,FALSE),1)=1,"",Q472)</f>
        <v/>
      </c>
      <c r="R471" s="107">
        <f>IF(IFERROR(VLOOKUP(R458,'Tabela de Apoio'!$D:$E,2,FALSE),1)=1,"",R472)</f>
        <v>256.73373189487376</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f t="shared" si="1237"/>
        <v>22</v>
      </c>
      <c r="C472" s="128">
        <f t="shared" si="1238"/>
        <v>1</v>
      </c>
      <c r="D472" s="127">
        <f t="shared" si="1238"/>
        <v>22</v>
      </c>
      <c r="E472" s="199"/>
      <c r="F472" s="93"/>
      <c r="G472" s="201"/>
      <c r="H472" s="134">
        <f t="shared" ref="H472" si="1405">COUNT($P472:$XX472)</f>
        <v>2</v>
      </c>
      <c r="I472" s="132">
        <f t="shared" ref="I472" si="1406">_xlfn.STDEV.P($P471:$XX472)/AVERAGE($P471:$XX472)</f>
        <v>0.15923410055910533</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f t="shared" ref="P472:AI472" si="1409">IF(P470="","",IF((_xlfn.STDEV.P($P469:$XX470)/AVERAGE($P469:$XX470))&lt;=25%,P470,IF(OR(P470&gt;(AVERAGE($P469:$XX470)+_xlfn.STDEV.P($P469:$XX470)),P470&lt;(AVERAGE($P469:$XX470)-_xlfn.STDEV.P($P469:$XX470))),"DESCARTADO",P470)))</f>
        <v>186.2030860801145</v>
      </c>
      <c r="Q472" s="107" t="str">
        <f t="shared" si="1409"/>
        <v>DESCARTADO</v>
      </c>
      <c r="R472" s="107">
        <f t="shared" si="1409"/>
        <v>256.73373189487376</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f t="shared" si="1237"/>
        <v>22</v>
      </c>
      <c r="C473" s="128">
        <f t="shared" si="1238"/>
        <v>1</v>
      </c>
      <c r="D473" s="127">
        <f t="shared" si="1238"/>
        <v>22</v>
      </c>
      <c r="E473" s="199"/>
      <c r="F473" s="93"/>
      <c r="G473" s="201"/>
      <c r="H473"/>
      <c r="I473"/>
      <c r="J473"/>
      <c r="K473" s="66"/>
      <c r="L473" s="22"/>
      <c r="M473" s="22"/>
      <c r="N473" s="71"/>
      <c r="O473" s="27" t="str">
        <f t="shared" ref="O473" si="1410">"6 POND"</f>
        <v>6 POND</v>
      </c>
      <c r="P473" s="107">
        <f>IF(IFERROR(VLOOKUP(P458,'Tabela de Apoio'!$D:$E,2,FALSE),1)=1,"",P474)</f>
        <v>186.2030860801145</v>
      </c>
      <c r="Q473" s="107" t="str">
        <f>IF(IFERROR(VLOOKUP(Q458,'Tabela de Apoio'!$D:$E,2,FALSE),1)=1,"",Q474)</f>
        <v/>
      </c>
      <c r="R473" s="107">
        <f>IF(IFERROR(VLOOKUP(R458,'Tabela de Apoio'!$D:$E,2,FALSE),1)=1,"",R474)</f>
        <v>256.73373189487376</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f t="shared" si="1237"/>
        <v>22</v>
      </c>
      <c r="C474" s="128">
        <f t="shared" si="1238"/>
        <v>1</v>
      </c>
      <c r="D474" s="127">
        <f t="shared" si="1238"/>
        <v>22</v>
      </c>
      <c r="E474" s="199"/>
      <c r="F474" s="93"/>
      <c r="G474" s="201"/>
      <c r="H474" s="134">
        <f t="shared" ref="H474" si="1411">COUNT($P474:$XX474)</f>
        <v>2</v>
      </c>
      <c r="I474" s="132">
        <f t="shared" ref="I474" si="1412">_xlfn.STDEV.P($P473:$XX474)/AVERAGE($P473:$XX474)</f>
        <v>0.15923410055910533</v>
      </c>
      <c r="J474" s="7">
        <f t="shared" ref="J474" si="1413">IF(AND(H474&gt;2,
OR(L456="MÉDIA SANEADA",L456="MEDIANA SANEADA",
AND(L456="PREÇO ESTIMADO",NOT(AND(P458="Orçamento",COUNTA(P456:XX456)=COUNTIF(P458:XX458,"Orçamento")))))),
ROW(),0)</f>
        <v>0</v>
      </c>
      <c r="N474" s="71"/>
      <c r="O474" s="27" t="str">
        <f t="shared" ref="O474" si="1414">"6 RODADA"</f>
        <v>6 RODADA</v>
      </c>
      <c r="P474" s="107">
        <f t="shared" ref="P474:AI474" si="1415">IFERROR(IF(P472="","",IF((_xlfn.STDEV.P($P471:$XX472)/AVERAGE($P471:$XX472))&lt;=25%,P472,IF(OR(P472&gt;(AVERAGE($P471:$XX472)+_xlfn.STDEV.P($P471:$XX472)),P472&lt;(AVERAGE($P471:$XX472)-_xlfn.STDEV.P($P471:$XX472))),"DESCARTADO",P472))),)</f>
        <v>186.2030860801145</v>
      </c>
      <c r="Q474" s="107" t="str">
        <f t="shared" si="1415"/>
        <v>DESCARTADO</v>
      </c>
      <c r="R474" s="107">
        <f t="shared" si="1415"/>
        <v>256.73373189487376</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f t="shared" si="1237"/>
        <v>22</v>
      </c>
      <c r="C475" s="128">
        <f t="shared" si="1238"/>
        <v>1</v>
      </c>
      <c r="D475" s="127">
        <f t="shared" si="1238"/>
        <v>22</v>
      </c>
      <c r="E475" s="199"/>
      <c r="F475" s="136"/>
      <c r="G475" s="201"/>
      <c r="H475" s="204"/>
      <c r="I475" s="204"/>
      <c r="J475" s="205"/>
      <c r="K475" s="67"/>
      <c r="L475" s="1" t="s">
        <v>43</v>
      </c>
      <c r="M475" s="143">
        <f t="shared" ref="M475" si="1416">IFERROR(ROUND(M456*M458,2),"")</f>
        <v>148389.94</v>
      </c>
      <c r="O475" s="27" t="s">
        <v>363</v>
      </c>
      <c r="P475" s="107">
        <f t="shared" ref="P475:AI496" si="1417">INDEX(P462:P474,MATCH(MAX($J462:$J474),$J462:$J474,0))</f>
        <v>186.2030860801145</v>
      </c>
      <c r="Q475" s="107">
        <f t="shared" si="1417"/>
        <v>407.55</v>
      </c>
      <c r="R475" s="107">
        <f t="shared" si="1417"/>
        <v>256.73373189487376</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f t="shared" ref="B477" si="1418">LARGE(IFERROR(IF(B475+1&gt;$H$8,"",B475+1),""),1)</f>
        <v>23</v>
      </c>
      <c r="C477" s="127">
        <f>IF(_xlfn.ISFORMULA(E481),MAX(INDEX('BASE FORMAÇÃO'!A:A,B477+1),1),E481)</f>
        <v>1</v>
      </c>
      <c r="D477" s="127">
        <f t="shared" ref="D477" si="1419">IFERROR(IF(C477=C467,D467+1,1),1)</f>
        <v>23</v>
      </c>
      <c r="E477" s="38" t="s">
        <v>9</v>
      </c>
      <c r="F477" s="73"/>
      <c r="G477" s="38" t="s">
        <v>15</v>
      </c>
      <c r="H477" s="135">
        <f>INDEX('BASE FORMAÇÃO'!B:B,B477+1)</f>
        <v>0</v>
      </c>
      <c r="I477" s="181" t="s">
        <v>16</v>
      </c>
      <c r="J477" s="6">
        <f>INDEX('BASE FORMAÇÃO'!K:K,B477+1)</f>
        <v>0</v>
      </c>
      <c r="K477" s="65"/>
      <c r="L477" s="183" t="s">
        <v>10</v>
      </c>
      <c r="M477" s="185">
        <f t="shared" ref="M477" si="1420">IF(OR(ISBLANK($O$8),ISBLANK($O$7),ISBLANK($H$8),ISBLANK($O$6),ISBLANK($O$5),ISBLANK($H$5)),"",IFERROR(IF(VLOOKUP(L477,L483:M492,2,FALSE)&lt;1,ROUND(VLOOKUP(L477,L483:M492,2,FALSE),4),ROUND(VLOOKUP(L477,L483:M492,2,FALSE),2)),""))</f>
        <v>28.47</v>
      </c>
      <c r="N477" s="69"/>
      <c r="O477" s="27" t="s">
        <v>17</v>
      </c>
      <c r="P477" s="113">
        <v>26.5</v>
      </c>
      <c r="Q477" s="113">
        <v>28</v>
      </c>
      <c r="R477" s="113">
        <v>32.96</v>
      </c>
      <c r="S477" s="113">
        <v>29.02</v>
      </c>
      <c r="T477" s="113">
        <v>22</v>
      </c>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f t="shared" ref="B478:D478" si="1421">B477</f>
        <v>23</v>
      </c>
      <c r="C478" s="128">
        <f t="shared" si="1421"/>
        <v>1</v>
      </c>
      <c r="D478" s="127">
        <f t="shared" si="1421"/>
        <v>23</v>
      </c>
      <c r="E478" s="187">
        <f t="shared" ref="E478" si="1422">D477</f>
        <v>23</v>
      </c>
      <c r="F478" s="92"/>
      <c r="G478" s="189" t="s">
        <v>1</v>
      </c>
      <c r="H478" s="192" t="str">
        <f>INDEX('BASE FORMAÇÃO'!C:C,B477+1)</f>
        <v>Lona de chão</v>
      </c>
      <c r="I478" s="192"/>
      <c r="J478" s="193"/>
      <c r="K478" s="66"/>
      <c r="L478" s="184"/>
      <c r="M478" s="186"/>
      <c r="N478" s="70"/>
      <c r="O478" s="27" t="s">
        <v>13</v>
      </c>
      <c r="P478" s="122">
        <v>46003</v>
      </c>
      <c r="Q478" s="122">
        <v>46220</v>
      </c>
      <c r="R478" s="122">
        <v>45992</v>
      </c>
      <c r="S478" s="122">
        <v>45987</v>
      </c>
      <c r="T478" s="122">
        <v>46233</v>
      </c>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f t="shared" ref="B479:D479" si="1423">B478</f>
        <v>23</v>
      </c>
      <c r="C479" s="128">
        <f t="shared" si="1423"/>
        <v>1</v>
      </c>
      <c r="D479" s="127">
        <f t="shared" si="1423"/>
        <v>23</v>
      </c>
      <c r="E479" s="188"/>
      <c r="F479" s="93"/>
      <c r="G479" s="190"/>
      <c r="H479" s="194"/>
      <c r="I479" s="194"/>
      <c r="J479" s="195"/>
      <c r="K479" s="64"/>
      <c r="L479" s="130" t="s">
        <v>44</v>
      </c>
      <c r="M479" s="131">
        <f>INDEX('BASE FORMAÇÃO'!H:H,B481+1)</f>
        <v>621</v>
      </c>
      <c r="N479" s="71"/>
      <c r="O479" s="27" t="s">
        <v>380</v>
      </c>
      <c r="P479" s="114" t="s">
        <v>12</v>
      </c>
      <c r="Q479" s="114" t="s">
        <v>12</v>
      </c>
      <c r="R479" s="114" t="s">
        <v>12</v>
      </c>
      <c r="S479" s="114" t="s">
        <v>12</v>
      </c>
      <c r="T479" s="114" t="s">
        <v>12</v>
      </c>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f t="shared" ref="B480:C480" si="1424">B479</f>
        <v>23</v>
      </c>
      <c r="C480" s="128">
        <f t="shared" si="1424"/>
        <v>1</v>
      </c>
      <c r="D480" s="127">
        <f t="shared" si="1238"/>
        <v>23</v>
      </c>
      <c r="E480" s="38" t="s">
        <v>313</v>
      </c>
      <c r="F480" s="93"/>
      <c r="G480" s="191"/>
      <c r="H480" s="196"/>
      <c r="I480" s="196"/>
      <c r="J480" s="197"/>
      <c r="K480" s="64"/>
      <c r="L480" s="1" t="s">
        <v>2</v>
      </c>
      <c r="M480" s="6" t="str">
        <f>INDEX('BASE FORMAÇÃO'!D:D,B481+1)</f>
        <v>M2</v>
      </c>
      <c r="N480" s="71"/>
      <c r="O480" s="27" t="s">
        <v>381</v>
      </c>
      <c r="P480" s="115" t="s">
        <v>459</v>
      </c>
      <c r="Q480" s="115" t="s">
        <v>460</v>
      </c>
      <c r="R480" s="115" t="s">
        <v>460</v>
      </c>
      <c r="S480" s="115" t="s">
        <v>460</v>
      </c>
      <c r="T480" s="115" t="s">
        <v>460</v>
      </c>
      <c r="U480" s="118"/>
      <c r="V480" s="118"/>
      <c r="W480" s="118"/>
      <c r="X480" s="118"/>
      <c r="Y480" s="118"/>
      <c r="Z480" s="118"/>
      <c r="AA480" s="118"/>
      <c r="AB480" s="118"/>
      <c r="AC480" s="118"/>
      <c r="AD480" s="118"/>
      <c r="AE480" s="118"/>
      <c r="AF480" s="118"/>
      <c r="AG480" s="118"/>
      <c r="AH480" s="118"/>
      <c r="AI480" s="118"/>
    </row>
    <row r="481" spans="2:35" x14ac:dyDescent="0.25">
      <c r="B481" s="128">
        <f t="shared" ref="B481:C481" si="1425">B479</f>
        <v>23</v>
      </c>
      <c r="C481" s="128">
        <f t="shared" si="1425"/>
        <v>1</v>
      </c>
      <c r="D481" s="127">
        <f t="shared" si="1238"/>
        <v>23</v>
      </c>
      <c r="E481" s="198">
        <f t="shared" ref="E481" si="1426">C477</f>
        <v>1</v>
      </c>
      <c r="F481" s="93"/>
      <c r="G481" s="200" t="s">
        <v>304</v>
      </c>
      <c r="H481" s="202"/>
      <c r="I481" s="203"/>
      <c r="J481" s="203"/>
      <c r="K481" s="67"/>
      <c r="L481" s="28" t="s">
        <v>303</v>
      </c>
      <c r="M481" s="133">
        <f t="shared" ref="M481" si="1427">IFERROR(INDEX(I483:I495,MATCH(MAX(J483:J495),J483:J495,0)),"")</f>
        <v>4.0461506487033477E-2</v>
      </c>
      <c r="N481" s="71"/>
      <c r="O481" s="27" t="s">
        <v>18</v>
      </c>
      <c r="P481" s="106">
        <f>IF(P477="","",
IF(OR(P479="Orçamento",P478="",MAX('Tabela de Apoio'!$A:$A)&lt;=P478),
P477,
(INDEX('Tabela de Apoio'!$B:$B,MATCH('MAPA DE PREÇOS'!$O$8,'Tabela de Apoio'!$A:$A,1))/INDEX('Tabela de Apoio'!$B:$B,MATCH('MAPA DE PREÇOS'!P478,'Tabela de Apoio'!$A:$A,1)-1))*P477))</f>
        <v>27.413232117350191</v>
      </c>
      <c r="Q481" s="106">
        <f>IF(Q477="","",
IF(OR(Q479="Orçamento",Q478="",MAX('Tabela de Apoio'!$A:$A)&lt;=Q478),
Q477,
(INDEX('Tabela de Apoio'!$B:$B,MATCH('MAPA DE PREÇOS'!$O$8,'Tabela de Apoio'!$A:$A,1))/INDEX('Tabela de Apoio'!$B:$B,MATCH('MAPA DE PREÇOS'!Q478,'Tabela de Apoio'!$A:$A,1)-1))*Q477))</f>
        <v>27.929966794600887</v>
      </c>
      <c r="R481" s="106">
        <f>IF(R477="","",
IF(OR(R479="Orçamento",R478="",MAX('Tabela de Apoio'!$A:$A)&lt;=R478),
R477,
(INDEX('Tabela de Apoio'!$B:$B,MATCH('MAPA DE PREÇOS'!$O$8,'Tabela de Apoio'!$A:$A,1))/INDEX('Tabela de Apoio'!$B:$B,MATCH('MAPA DE PREÇOS'!R478,'Tabela de Apoio'!$A:$A,1)-1))*R477))</f>
        <v>34.095853984447636</v>
      </c>
      <c r="S481" s="106">
        <f>IF(S477="","",
IF(OR(S479="Orçamento",S478="",MAX('Tabela de Apoio'!$A:$A)&lt;=S478),
S477,
(INDEX('Tabela de Apoio'!$B:$B,MATCH('MAPA DE PREÇOS'!$O$8,'Tabela de Apoio'!$A:$A,1))/INDEX('Tabela de Apoio'!$B:$B,MATCH('MAPA DE PREÇOS'!S478,'Tabela de Apoio'!$A:$A,1)-1))*S477))</f>
        <v>30.074118696440785</v>
      </c>
      <c r="T481" s="106">
        <f>IF(T477="","",
IF(OR(T479="Orçamento",T478="",MAX('Tabela de Apoio'!$A:$A)&lt;=T478),
T477,
(INDEX('Tabela de Apoio'!$B:$B,MATCH('MAPA DE PREÇOS'!$O$8,'Tabela de Apoio'!$A:$A,1))/INDEX('Tabela de Apoio'!$B:$B,MATCH('MAPA DE PREÇOS'!T478,'Tabela de Apoio'!$A:$A,1)-1))*T477))</f>
        <v>21.944973910043554</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f t="shared" ref="B482" si="1428">B481</f>
        <v>23</v>
      </c>
      <c r="C482" s="128">
        <f t="shared" ref="C482" si="1429">C481</f>
        <v>1</v>
      </c>
      <c r="D482" s="127">
        <f t="shared" si="1238"/>
        <v>23</v>
      </c>
      <c r="E482" s="199"/>
      <c r="F482" s="93"/>
      <c r="G482" s="201"/>
      <c r="H482"/>
      <c r="I482"/>
      <c r="J482"/>
      <c r="N482" s="71"/>
      <c r="O482" s="27" t="s">
        <v>375</v>
      </c>
      <c r="P482" s="107">
        <f>IF(IFERROR(VLOOKUP(P479,'Tabela de Apoio'!$D:$E,2,FALSE),1)=1,"",P483)</f>
        <v>27.413232117350191</v>
      </c>
      <c r="Q482" s="107">
        <f>IF(IFERROR(VLOOKUP(Q479,'Tabela de Apoio'!$D:$E,2,FALSE),1)=1,"",Q483)</f>
        <v>27.929966794600887</v>
      </c>
      <c r="R482" s="107" t="str">
        <f>IF(IFERROR(VLOOKUP(R479,'Tabela de Apoio'!$D:$E,2,FALSE),1)=1,"",R483)</f>
        <v>DESCARTADO</v>
      </c>
      <c r="S482" s="107">
        <f>IF(IFERROR(VLOOKUP(S479,'Tabela de Apoio'!$D:$E,2,FALSE),1)=1,"",S483)</f>
        <v>30.074118696440785</v>
      </c>
      <c r="T482" s="107" t="str">
        <f>IF(IFERROR(VLOOKUP(T479,'Tabela de Apoio'!$D:$E,2,FALSE),1)=1,"",T483)</f>
        <v>DESCARTADO</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f t="shared" ref="B483:C483" si="1430">B482</f>
        <v>23</v>
      </c>
      <c r="C483" s="128">
        <f t="shared" si="1430"/>
        <v>1</v>
      </c>
      <c r="D483" s="127">
        <f t="shared" si="1238"/>
        <v>23</v>
      </c>
      <c r="E483" s="199"/>
      <c r="F483" s="93"/>
      <c r="G483" s="201"/>
      <c r="H483" s="134">
        <f t="shared" ref="H483" si="1431">COUNT($P483:$XX483)</f>
        <v>3</v>
      </c>
      <c r="I483" s="132">
        <f t="shared" ref="I483" si="1432">_xlfn.STDEV.P($P482:$XX483)/AVERAGE($P482:$XX483)</f>
        <v>4.0461506487033477E-2</v>
      </c>
      <c r="J483" s="7">
        <f>ROW()</f>
        <v>483</v>
      </c>
      <c r="K483" s="67"/>
      <c r="L483" s="29" t="s">
        <v>10</v>
      </c>
      <c r="M483" s="30">
        <f t="shared" ref="M483" si="1433">IFERROR(
IF(COUNTA(P477:AI477)=COUNTIF(P479:XX479,"Orçamento"),MIN(M488,M485),
IF(M486&lt;&gt;"",M486,
IF(M487&lt;&gt;"",M487,
M485
))),"")</f>
        <v>28.47243920279729</v>
      </c>
      <c r="N483" s="71"/>
      <c r="O483" s="27" t="s">
        <v>376</v>
      </c>
      <c r="P483" s="106">
        <f t="shared" ref="P483:AI483" si="1434">IFERROR(IF(P481="",
            "",
            IF(COUNT($P481:$XX481)&lt;=4,
               P481,
               IF(OR(P481&gt;(QUARTILE($P481:$XX481,3)+(QUARTILE($P481:$XX481,3)-QUARTILE($P481:$XX481,1))),
                     P481&lt;(QUARTILE($P481:$XX481,1)-(QUARTILE($P481:$XX481,3)-QUARTILE($P481:$XX481,1)))
                  ),
               "DESCARTADO",P481)
             )
  ),P481)</f>
        <v>27.413232117350191</v>
      </c>
      <c r="Q483" s="106">
        <f t="shared" si="1434"/>
        <v>27.929966794600887</v>
      </c>
      <c r="R483" s="106" t="str">
        <f t="shared" si="1434"/>
        <v>DESCARTADO</v>
      </c>
      <c r="S483" s="106">
        <f t="shared" si="1434"/>
        <v>30.074118696440785</v>
      </c>
      <c r="T483" s="106" t="str">
        <f t="shared" si="1434"/>
        <v>DESCARTADO</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f t="shared" ref="B484:B538" si="1435">B483</f>
        <v>23</v>
      </c>
      <c r="C484" s="128">
        <f t="shared" ref="C484:D547" si="1436">C483</f>
        <v>1</v>
      </c>
      <c r="D484" s="127">
        <f t="shared" si="1238"/>
        <v>23</v>
      </c>
      <c r="E484" s="199"/>
      <c r="F484" s="93"/>
      <c r="G484" s="201"/>
      <c r="H484"/>
      <c r="I484"/>
      <c r="J484"/>
      <c r="K484" s="66"/>
      <c r="L484" s="29" t="s">
        <v>360</v>
      </c>
      <c r="M484" s="30">
        <f t="shared" ref="M484" si="1437">AVERAGE($P483:$XX483)</f>
        <v>28.47243920279729</v>
      </c>
      <c r="N484" s="71"/>
      <c r="O484" s="27" t="str">
        <f t="shared" ref="O484" si="1438">"1 POND"</f>
        <v>1 POND</v>
      </c>
      <c r="P484" s="107">
        <f>IF(IFERROR(VLOOKUP(P479,'Tabela de Apoio'!$D:$E,2,FALSE),1)=1,"",P485)</f>
        <v>27.413232117350191</v>
      </c>
      <c r="Q484" s="107">
        <f>IF(IFERROR(VLOOKUP(Q479,'Tabela de Apoio'!$D:$E,2,FALSE),1)=1,"",Q485)</f>
        <v>27.929966794600887</v>
      </c>
      <c r="R484" s="107" t="str">
        <f>IF(IFERROR(VLOOKUP(R479,'Tabela de Apoio'!$D:$E,2,FALSE),1)=1,"",R485)</f>
        <v>DESCARTADO</v>
      </c>
      <c r="S484" s="107">
        <f>IF(IFERROR(VLOOKUP(S479,'Tabela de Apoio'!$D:$E,2,FALSE),1)=1,"",S485)</f>
        <v>30.074118696440785</v>
      </c>
      <c r="T484" s="107" t="str">
        <f>IF(IFERROR(VLOOKUP(T479,'Tabela de Apoio'!$D:$E,2,FALSE),1)=1,"",T485)</f>
        <v>DESCARTADO</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f t="shared" si="1435"/>
        <v>23</v>
      </c>
      <c r="C485" s="128">
        <f t="shared" si="1436"/>
        <v>1</v>
      </c>
      <c r="D485" s="127">
        <f t="shared" si="1436"/>
        <v>23</v>
      </c>
      <c r="E485" s="199"/>
      <c r="F485" s="93"/>
      <c r="G485" s="201"/>
      <c r="H485" s="134">
        <f t="shared" ref="H485" si="1439">COUNT($P485:$XX485)</f>
        <v>3</v>
      </c>
      <c r="I485" s="132">
        <f t="shared" ref="I485" si="1440">_xlfn.STDEV.P($P484:$XX485)/AVERAGE($P484:$XX485)</f>
        <v>4.0461506487033477E-2</v>
      </c>
      <c r="J485" s="7">
        <f t="shared" ref="J485" si="1441">IF(AND(H485&gt;2,
OR(L477="MÉDIA SANEADA",L477="MEDIANA SANEADA",
AND(L477="PREÇO ESTIMADO",NOT(AND(P479="Orçamento",COUNTA(P477:XX477)=COUNTIF(P479:XX479,"Orçamento")))))),
ROW(),0)</f>
        <v>485</v>
      </c>
      <c r="K485" s="66"/>
      <c r="L485" s="29" t="s">
        <v>361</v>
      </c>
      <c r="M485" s="30">
        <f t="shared" ref="M485" si="1442">MEDIAN($P483:$XX483)</f>
        <v>27.929966794600887</v>
      </c>
      <c r="N485" s="71"/>
      <c r="O485" s="27" t="str">
        <f t="shared" ref="O485" si="1443">"1 RODADA"</f>
        <v>1 RODADA</v>
      </c>
      <c r="P485" s="107">
        <f t="shared" ref="P485:AI485" si="1444">IF(P483="","",IF((_xlfn.STDEV.P($P482:$XX483)/AVERAGE($P482:$XX483))&lt;=25%,P483,IF(OR(P483&gt;(AVERAGE($P482:$XX483)+_xlfn.STDEV.P($P482:$XX483)),P483&lt;(AVERAGE($P482:$XX483)-_xlfn.STDEV.P($P482:$XX483))),"DESCARTADO",P483)))</f>
        <v>27.413232117350191</v>
      </c>
      <c r="Q485" s="107">
        <f t="shared" si="1444"/>
        <v>27.929966794600887</v>
      </c>
      <c r="R485" s="107" t="str">
        <f t="shared" si="1444"/>
        <v>DESCARTADO</v>
      </c>
      <c r="S485" s="107">
        <f t="shared" si="1444"/>
        <v>30.074118696440785</v>
      </c>
      <c r="T485" s="107" t="str">
        <f t="shared" si="1444"/>
        <v>DESCARTADO</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f t="shared" si="1435"/>
        <v>23</v>
      </c>
      <c r="C486" s="128">
        <f t="shared" si="1436"/>
        <v>1</v>
      </c>
      <c r="D486" s="127">
        <f t="shared" si="1436"/>
        <v>23</v>
      </c>
      <c r="E486" s="199"/>
      <c r="F486" s="93"/>
      <c r="G486" s="201"/>
      <c r="H486"/>
      <c r="I486"/>
      <c r="J486"/>
      <c r="L486" s="29" t="s">
        <v>38</v>
      </c>
      <c r="M486" s="30">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28.47243920279729</v>
      </c>
      <c r="N486" s="71"/>
      <c r="O486" s="27" t="str">
        <f t="shared" ref="O486" si="1446">"2 POND"</f>
        <v>2 POND</v>
      </c>
      <c r="P486" s="107">
        <f>IF(IFERROR(VLOOKUP(P479,'Tabela de Apoio'!$D:$E,2,FALSE),1)=1,"",P487)</f>
        <v>27.413232117350191</v>
      </c>
      <c r="Q486" s="107">
        <f>IF(IFERROR(VLOOKUP(Q479,'Tabela de Apoio'!$D:$E,2,FALSE),1)=1,"",Q487)</f>
        <v>27.929966794600887</v>
      </c>
      <c r="R486" s="107" t="str">
        <f>IF(IFERROR(VLOOKUP(R479,'Tabela de Apoio'!$D:$E,2,FALSE),1)=1,"",R487)</f>
        <v>DESCARTADO</v>
      </c>
      <c r="S486" s="107">
        <f>IF(IFERROR(VLOOKUP(S479,'Tabela de Apoio'!$D:$E,2,FALSE),1)=1,"",S487)</f>
        <v>30.074118696440785</v>
      </c>
      <c r="T486" s="107" t="str">
        <f>IF(IFERROR(VLOOKUP(T479,'Tabela de Apoio'!$D:$E,2,FALSE),1)=1,"",T487)</f>
        <v>DESCARTADO</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f t="shared" si="1435"/>
        <v>23</v>
      </c>
      <c r="C487" s="128">
        <f t="shared" si="1436"/>
        <v>1</v>
      </c>
      <c r="D487" s="127">
        <f t="shared" si="1436"/>
        <v>23</v>
      </c>
      <c r="E487" s="199"/>
      <c r="F487" s="93"/>
      <c r="G487" s="201"/>
      <c r="H487" s="134">
        <f t="shared" ref="H487" si="1447">COUNT($P487:$XX487)</f>
        <v>3</v>
      </c>
      <c r="I487" s="132">
        <f t="shared" ref="I487" si="1448">_xlfn.STDEV.P($P486:$XX487)/AVERAGE($P486:$XX487)</f>
        <v>4.0461506487033477E-2</v>
      </c>
      <c r="J487" s="7">
        <f t="shared" ref="J487" si="1449">IF(AND(H487&gt;2,
OR(L477="MÉDIA SANEADA",L477="MEDIANA SANEADA",
AND(L477="PREÇO ESTIMADO",NOT(AND(P479="Orçamento",COUNTA(P477:XX477)=COUNTIF(P479:XX479,"Orçamento")))))),
ROW(),0)</f>
        <v>487</v>
      </c>
      <c r="K487" s="66"/>
      <c r="L487" s="29" t="s">
        <v>362</v>
      </c>
      <c r="M487" s="30">
        <f t="shared" ref="M487" si="1450" xml:space="preserve">
IF(H485&gt;2,MEDIAN(P484:XX485),
IF(H487&gt;2,MEDIAN(P486:XX487),
IF(H489&gt;2,MEDIAN(P488:XX489),
IF(H491&gt;2,MEDIAN(P490:XX491),
IF(H493&gt;2,MEDIAN(P492:XX493),
IF(H495&gt;2,MEDIAN(P494:XX495),
MEDIAN(P482:XX483)))))))</f>
        <v>27.929966794600887</v>
      </c>
      <c r="N487" s="71"/>
      <c r="O487" s="27" t="str">
        <f t="shared" ref="O487" si="1451">"2 RODADA"</f>
        <v>2 RODADA</v>
      </c>
      <c r="P487" s="107">
        <f t="shared" ref="P487:AI487" si="1452">IF(P485="","",IF((_xlfn.STDEV.P($P484:$XX485)/AVERAGE($P484:$XX485))&lt;=25%,P485,IF(OR(P485&gt;(AVERAGE($P484:$XX485)+_xlfn.STDEV.P($P484:$XX485)),P485&lt;(AVERAGE($P484:$XX485)-_xlfn.STDEV.P($P484:$XX485))),"DESCARTADO",P485)))</f>
        <v>27.413232117350191</v>
      </c>
      <c r="Q487" s="107">
        <f t="shared" si="1452"/>
        <v>27.929966794600887</v>
      </c>
      <c r="R487" s="107" t="str">
        <f t="shared" si="1452"/>
        <v>DESCARTADO</v>
      </c>
      <c r="S487" s="107">
        <f t="shared" si="1452"/>
        <v>30.074118696440785</v>
      </c>
      <c r="T487" s="107" t="str">
        <f t="shared" si="1452"/>
        <v>DESCARTADO</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f t="shared" si="1435"/>
        <v>23</v>
      </c>
      <c r="C488" s="128">
        <f t="shared" si="1436"/>
        <v>1</v>
      </c>
      <c r="D488" s="127">
        <f t="shared" si="1436"/>
        <v>23</v>
      </c>
      <c r="E488" s="199"/>
      <c r="F488" s="93"/>
      <c r="G488" s="201"/>
      <c r="H488"/>
      <c r="I488"/>
      <c r="J488"/>
      <c r="K488" s="66"/>
      <c r="L488" s="29" t="s">
        <v>359</v>
      </c>
      <c r="M488" s="30">
        <f t="shared" ref="M488" si="1453">HARMEAN($P482:$XX483)</f>
        <v>28.426923993762088</v>
      </c>
      <c r="N488" s="71"/>
      <c r="O488" s="27" t="str">
        <f t="shared" ref="O488" si="1454">"3 POND"</f>
        <v>3 POND</v>
      </c>
      <c r="P488" s="107">
        <f>IF(IFERROR(VLOOKUP(P479,'Tabela de Apoio'!$D:$E,2,FALSE),1)=1,"",P489)</f>
        <v>27.413232117350191</v>
      </c>
      <c r="Q488" s="107">
        <f>IF(IFERROR(VLOOKUP(Q479,'Tabela de Apoio'!$D:$E,2,FALSE),1)=1,"",Q489)</f>
        <v>27.929966794600887</v>
      </c>
      <c r="R488" s="107" t="str">
        <f>IF(IFERROR(VLOOKUP(R479,'Tabela de Apoio'!$D:$E,2,FALSE),1)=1,"",R489)</f>
        <v>DESCARTADO</v>
      </c>
      <c r="S488" s="107">
        <f>IF(IFERROR(VLOOKUP(S479,'Tabela de Apoio'!$D:$E,2,FALSE),1)=1,"",S489)</f>
        <v>30.074118696440785</v>
      </c>
      <c r="T488" s="107" t="str">
        <f>IF(IFERROR(VLOOKUP(T479,'Tabela de Apoio'!$D:$E,2,FALSE),1)=1,"",T489)</f>
        <v>DESCARTADO</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f t="shared" si="1435"/>
        <v>23</v>
      </c>
      <c r="C489" s="128">
        <f t="shared" si="1436"/>
        <v>1</v>
      </c>
      <c r="D489" s="127">
        <f t="shared" si="1436"/>
        <v>23</v>
      </c>
      <c r="E489" s="199"/>
      <c r="F489" s="93"/>
      <c r="G489" s="201"/>
      <c r="H489" s="134">
        <f t="shared" ref="H489" si="1455">COUNT($P489:$XX489)</f>
        <v>3</v>
      </c>
      <c r="I489" s="132">
        <f t="shared" ref="I489" si="1456">_xlfn.STDEV.P($P488:$XX489)/AVERAGE($P488:$XX489)</f>
        <v>4.0461506487033477E-2</v>
      </c>
      <c r="J489" s="7">
        <f t="shared" ref="J489" si="1457">IF(AND(H489&gt;2,
OR(L477="MÉDIA SANEADA",L477="MEDIANA SANEADA",
AND(L477="PREÇO ESTIMADO",NOT(AND(P479="Orçamento",COUNTA(P477:XX477)=COUNTIF(P479:XX479,"Orçamento")))))),
ROW(),0)</f>
        <v>489</v>
      </c>
      <c r="K489" s="66"/>
      <c r="L489" s="29" t="s">
        <v>41</v>
      </c>
      <c r="M489" s="30">
        <f t="shared" ref="M489" si="1458">IFERROR(_xlfn.QUARTILE.EXC($P483:$XX483,1),"")</f>
        <v>27.413232117350191</v>
      </c>
      <c r="N489" s="71"/>
      <c r="O489" s="27" t="str">
        <f t="shared" ref="O489" si="1459">"3 RODADA"</f>
        <v>3 RODADA</v>
      </c>
      <c r="P489" s="107">
        <f t="shared" ref="P489:AI489" si="1460">IF(P487="","",IF((_xlfn.STDEV.P($P486:$XX487)/AVERAGE($P486:$XX487))&lt;=25%,P487,IF(OR(P487&gt;(AVERAGE($P486:$XX487)+_xlfn.STDEV.P($P486:$XX487)),P487&lt;(AVERAGE($P486:$XX487)-_xlfn.STDEV.P($P486:$XX487))),"DESCARTADO",P487)))</f>
        <v>27.413232117350191</v>
      </c>
      <c r="Q489" s="107">
        <f t="shared" si="1460"/>
        <v>27.929966794600887</v>
      </c>
      <c r="R489" s="107" t="str">
        <f t="shared" si="1460"/>
        <v>DESCARTADO</v>
      </c>
      <c r="S489" s="107">
        <f t="shared" si="1460"/>
        <v>30.074118696440785</v>
      </c>
      <c r="T489" s="107" t="str">
        <f t="shared" si="1460"/>
        <v>DESCARTADO</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f t="shared" si="1435"/>
        <v>23</v>
      </c>
      <c r="C490" s="128">
        <f t="shared" si="1436"/>
        <v>1</v>
      </c>
      <c r="D490" s="127">
        <f t="shared" si="1436"/>
        <v>23</v>
      </c>
      <c r="E490" s="199"/>
      <c r="F490" s="93"/>
      <c r="G490" s="201"/>
      <c r="H490"/>
      <c r="I490"/>
      <c r="J490"/>
      <c r="K490" s="66"/>
      <c r="L490" s="29" t="s">
        <v>39</v>
      </c>
      <c r="M490" s="30">
        <f t="shared" ref="M490" si="1461">IFERROR(_xlfn.QUARTILE.EXC($P483:$XX483,3),"")</f>
        <v>30.074118696440785</v>
      </c>
      <c r="N490" s="71"/>
      <c r="O490" s="27" t="str">
        <f t="shared" ref="O490" si="1462">"4 POND"</f>
        <v>4 POND</v>
      </c>
      <c r="P490" s="107">
        <f>IF(IFERROR(VLOOKUP(P479,'Tabela de Apoio'!$D:$E,2,FALSE),1)=1,"",P491)</f>
        <v>27.413232117350191</v>
      </c>
      <c r="Q490" s="107">
        <f>IF(IFERROR(VLOOKUP(Q479,'Tabela de Apoio'!$D:$E,2,FALSE),1)=1,"",Q491)</f>
        <v>27.929966794600887</v>
      </c>
      <c r="R490" s="107" t="str">
        <f>IF(IFERROR(VLOOKUP(R479,'Tabela de Apoio'!$D:$E,2,FALSE),1)=1,"",R491)</f>
        <v>DESCARTADO</v>
      </c>
      <c r="S490" s="107">
        <f>IF(IFERROR(VLOOKUP(S479,'Tabela de Apoio'!$D:$E,2,FALSE),1)=1,"",S491)</f>
        <v>30.074118696440785</v>
      </c>
      <c r="T490" s="107" t="str">
        <f>IF(IFERROR(VLOOKUP(T479,'Tabela de Apoio'!$D:$E,2,FALSE),1)=1,"",T491)</f>
        <v>DESCARTADO</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f t="shared" si="1435"/>
        <v>23</v>
      </c>
      <c r="C491" s="128">
        <f t="shared" si="1436"/>
        <v>1</v>
      </c>
      <c r="D491" s="127">
        <f t="shared" si="1436"/>
        <v>23</v>
      </c>
      <c r="E491" s="199"/>
      <c r="F491" s="93"/>
      <c r="G491" s="201"/>
      <c r="H491" s="134">
        <f t="shared" ref="H491" si="1463">COUNT($P491:$XX491)</f>
        <v>3</v>
      </c>
      <c r="I491" s="132">
        <f t="shared" ref="I491" si="1464">_xlfn.STDEV.P($P490:$XX491)/AVERAGE($P490:$XX491)</f>
        <v>4.0461506487033477E-2</v>
      </c>
      <c r="J491" s="7">
        <f t="shared" ref="J491" si="1465">IF(AND(H491&gt;2,
OR(L477="MÉDIA SANEADA",L477="MEDIANA SANEADA",
AND(L477="PREÇO ESTIMADO",NOT(AND(P479="Orçamento",COUNTA(P477:XX477)=COUNTIF(P479:XX479,"Orçamento")))))),
ROW(),0)</f>
        <v>491</v>
      </c>
      <c r="K491" s="66"/>
      <c r="L491" s="29" t="s">
        <v>42</v>
      </c>
      <c r="M491" s="30">
        <f t="shared" ref="M491" si="1466">MIN($P483:$XX483)</f>
        <v>27.413232117350191</v>
      </c>
      <c r="N491" s="71"/>
      <c r="O491" s="27" t="str">
        <f t="shared" ref="O491" si="1467">"4 RODADA"</f>
        <v>4 RODADA</v>
      </c>
      <c r="P491" s="107">
        <f t="shared" ref="P491:AI491" si="1468">IF(P489="","",IF((_xlfn.STDEV.P($P488:$XX489)/AVERAGE($P488:$XX489))&lt;=25%,P489,IF(OR(P489&gt;(AVERAGE($P488:$XX489)+_xlfn.STDEV.P($P488:$XX489)),P489&lt;(AVERAGE($P488:$XX489)-_xlfn.STDEV.P($P488:$XX489))),"DESCARTADO",P489)))</f>
        <v>27.413232117350191</v>
      </c>
      <c r="Q491" s="107">
        <f t="shared" si="1468"/>
        <v>27.929966794600887</v>
      </c>
      <c r="R491" s="107" t="str">
        <f t="shared" si="1468"/>
        <v>DESCARTADO</v>
      </c>
      <c r="S491" s="107">
        <f t="shared" si="1468"/>
        <v>30.074118696440785</v>
      </c>
      <c r="T491" s="107" t="str">
        <f t="shared" si="1468"/>
        <v>DESCARTADO</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f t="shared" si="1435"/>
        <v>23</v>
      </c>
      <c r="C492" s="128">
        <f t="shared" si="1436"/>
        <v>1</v>
      </c>
      <c r="D492" s="127">
        <f t="shared" si="1436"/>
        <v>23</v>
      </c>
      <c r="E492" s="199"/>
      <c r="F492" s="93"/>
      <c r="G492" s="201"/>
      <c r="H492"/>
      <c r="I492"/>
      <c r="J492"/>
      <c r="K492" s="66"/>
      <c r="L492" s="29" t="s">
        <v>40</v>
      </c>
      <c r="M492" s="30">
        <f t="shared" ref="M492" si="1469">MAX($P483:$XX483)</f>
        <v>30.074118696440785</v>
      </c>
      <c r="N492" s="71"/>
      <c r="O492" s="27" t="str">
        <f t="shared" ref="O492" si="1470">"5 POND"</f>
        <v>5 POND</v>
      </c>
      <c r="P492" s="107">
        <f>IF(IFERROR(VLOOKUP(P479,'Tabela de Apoio'!$D:$E,2,FALSE),1)=1,"",P493)</f>
        <v>27.413232117350191</v>
      </c>
      <c r="Q492" s="107">
        <f>IF(IFERROR(VLOOKUP(Q479,'Tabela de Apoio'!$D:$E,2,FALSE),1)=1,"",Q493)</f>
        <v>27.929966794600887</v>
      </c>
      <c r="R492" s="107" t="str">
        <f>IF(IFERROR(VLOOKUP(R479,'Tabela de Apoio'!$D:$E,2,FALSE),1)=1,"",R493)</f>
        <v>DESCARTADO</v>
      </c>
      <c r="S492" s="107">
        <f>IF(IFERROR(VLOOKUP(S479,'Tabela de Apoio'!$D:$E,2,FALSE),1)=1,"",S493)</f>
        <v>30.074118696440785</v>
      </c>
      <c r="T492" s="107" t="str">
        <f>IF(IFERROR(VLOOKUP(T479,'Tabela de Apoio'!$D:$E,2,FALSE),1)=1,"",T493)</f>
        <v>DESCARTADO</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f t="shared" si="1435"/>
        <v>23</v>
      </c>
      <c r="C493" s="128">
        <f t="shared" si="1436"/>
        <v>1</v>
      </c>
      <c r="D493" s="127">
        <f t="shared" si="1436"/>
        <v>23</v>
      </c>
      <c r="E493" s="199"/>
      <c r="F493" s="93"/>
      <c r="G493" s="201"/>
      <c r="H493" s="134">
        <f t="shared" ref="H493" si="1471">COUNT($P493:$XX493)</f>
        <v>3</v>
      </c>
      <c r="I493" s="132">
        <f t="shared" ref="I493" si="1472">_xlfn.STDEV.P($P492:$XX493)/AVERAGE($P492:$XX493)</f>
        <v>4.0461506487033477E-2</v>
      </c>
      <c r="J493" s="7">
        <f t="shared" ref="J493" si="1473">IF(AND(H493&gt;2,
OR(L477="MÉDIA SANEADA",L477="MEDIANA SANEADA",
AND(L477="PREÇO ESTIMADO",NOT(AND(P479="Orçamento",COUNTA(P477:XX477)=COUNTIF(P479:XX479,"Orçamento")))))),
ROW(),0)</f>
        <v>493</v>
      </c>
      <c r="K493" s="66"/>
      <c r="N493" s="71"/>
      <c r="O493" s="27" t="str">
        <f t="shared" ref="O493" si="1474">"5 RODADA"</f>
        <v>5 RODADA</v>
      </c>
      <c r="P493" s="107">
        <f t="shared" ref="P493:AI493" si="1475">IF(P491="","",IF((_xlfn.STDEV.P($P490:$XX491)/AVERAGE($P490:$XX491))&lt;=25%,P491,IF(OR(P491&gt;(AVERAGE($P490:$XX491)+_xlfn.STDEV.P($P490:$XX491)),P491&lt;(AVERAGE($P490:$XX491)-_xlfn.STDEV.P($P490:$XX491))),"DESCARTADO",P491)))</f>
        <v>27.413232117350191</v>
      </c>
      <c r="Q493" s="107">
        <f t="shared" si="1475"/>
        <v>27.929966794600887</v>
      </c>
      <c r="R493" s="107" t="str">
        <f t="shared" si="1475"/>
        <v>DESCARTADO</v>
      </c>
      <c r="S493" s="107">
        <f t="shared" si="1475"/>
        <v>30.074118696440785</v>
      </c>
      <c r="T493" s="107" t="str">
        <f t="shared" si="1475"/>
        <v>DESCARTADO</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f t="shared" si="1435"/>
        <v>23</v>
      </c>
      <c r="C494" s="128">
        <f t="shared" si="1436"/>
        <v>1</v>
      </c>
      <c r="D494" s="127">
        <f t="shared" si="1436"/>
        <v>23</v>
      </c>
      <c r="E494" s="199"/>
      <c r="F494" s="93"/>
      <c r="G494" s="201"/>
      <c r="H494"/>
      <c r="I494"/>
      <c r="J494"/>
      <c r="K494" s="66"/>
      <c r="L494" s="22"/>
      <c r="M494" s="22"/>
      <c r="N494" s="71"/>
      <c r="O494" s="27" t="str">
        <f t="shared" ref="O494" si="1476">"6 POND"</f>
        <v>6 POND</v>
      </c>
      <c r="P494" s="107">
        <f>IF(IFERROR(VLOOKUP(P479,'Tabela de Apoio'!$D:$E,2,FALSE),1)=1,"",P495)</f>
        <v>27.413232117350191</v>
      </c>
      <c r="Q494" s="107">
        <f>IF(IFERROR(VLOOKUP(Q479,'Tabela de Apoio'!$D:$E,2,FALSE),1)=1,"",Q495)</f>
        <v>27.929966794600887</v>
      </c>
      <c r="R494" s="107" t="str">
        <f>IF(IFERROR(VLOOKUP(R479,'Tabela de Apoio'!$D:$E,2,FALSE),1)=1,"",R495)</f>
        <v>DESCARTADO</v>
      </c>
      <c r="S494" s="107">
        <f>IF(IFERROR(VLOOKUP(S479,'Tabela de Apoio'!$D:$E,2,FALSE),1)=1,"",S495)</f>
        <v>30.074118696440785</v>
      </c>
      <c r="T494" s="107" t="str">
        <f>IF(IFERROR(VLOOKUP(T479,'Tabela de Apoio'!$D:$E,2,FALSE),1)=1,"",T495)</f>
        <v>DESCARTADO</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f t="shared" si="1435"/>
        <v>23</v>
      </c>
      <c r="C495" s="128">
        <f t="shared" si="1436"/>
        <v>1</v>
      </c>
      <c r="D495" s="127">
        <f t="shared" si="1436"/>
        <v>23</v>
      </c>
      <c r="E495" s="199"/>
      <c r="F495" s="93"/>
      <c r="G495" s="201"/>
      <c r="H495" s="134">
        <f t="shared" ref="H495" si="1477">COUNT($P495:$XX495)</f>
        <v>3</v>
      </c>
      <c r="I495" s="132">
        <f t="shared" ref="I495" si="1478">_xlfn.STDEV.P($P494:$XX495)/AVERAGE($P494:$XX495)</f>
        <v>4.0461506487033477E-2</v>
      </c>
      <c r="J495" s="7">
        <f t="shared" ref="J495" si="1479">IF(AND(H495&gt;2,
OR(L477="MÉDIA SANEADA",L477="MEDIANA SANEADA",
AND(L477="PREÇO ESTIMADO",NOT(AND(P479="Orçamento",COUNTA(P477:XX477)=COUNTIF(P479:XX479,"Orçamento")))))),
ROW(),0)</f>
        <v>495</v>
      </c>
      <c r="N495" s="71"/>
      <c r="O495" s="27" t="str">
        <f t="shared" ref="O495" si="1480">"6 RODADA"</f>
        <v>6 RODADA</v>
      </c>
      <c r="P495" s="107">
        <f t="shared" ref="P495:AI495" si="1481">IFERROR(IF(P493="","",IF((_xlfn.STDEV.P($P492:$XX493)/AVERAGE($P492:$XX493))&lt;=25%,P493,IF(OR(P493&gt;(AVERAGE($P492:$XX493)+_xlfn.STDEV.P($P492:$XX493)),P493&lt;(AVERAGE($P492:$XX493)-_xlfn.STDEV.P($P492:$XX493))),"DESCARTADO",P493))),)</f>
        <v>27.413232117350191</v>
      </c>
      <c r="Q495" s="107">
        <f t="shared" si="1481"/>
        <v>27.929966794600887</v>
      </c>
      <c r="R495" s="107" t="str">
        <f t="shared" si="1481"/>
        <v>DESCARTADO</v>
      </c>
      <c r="S495" s="107">
        <f t="shared" si="1481"/>
        <v>30.074118696440785</v>
      </c>
      <c r="T495" s="107" t="str">
        <f t="shared" si="1481"/>
        <v>DESCARTADO</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f t="shared" si="1435"/>
        <v>23</v>
      </c>
      <c r="C496" s="128">
        <f t="shared" si="1436"/>
        <v>1</v>
      </c>
      <c r="D496" s="127">
        <f t="shared" si="1436"/>
        <v>23</v>
      </c>
      <c r="E496" s="199"/>
      <c r="F496" s="136"/>
      <c r="G496" s="201"/>
      <c r="H496" s="204"/>
      <c r="I496" s="204"/>
      <c r="J496" s="205"/>
      <c r="K496" s="67"/>
      <c r="L496" s="1" t="s">
        <v>43</v>
      </c>
      <c r="M496" s="143">
        <f t="shared" ref="M496" si="1482">IFERROR(ROUND(M477*M479,2),"")</f>
        <v>17679.87</v>
      </c>
      <c r="O496" s="27" t="s">
        <v>363</v>
      </c>
      <c r="P496" s="107">
        <f t="shared" ref="P496:R496" si="1483">INDEX(P483:P495,MATCH(MAX($J483:$J495),$J483:$J495,0))</f>
        <v>27.413232117350191</v>
      </c>
      <c r="Q496" s="107">
        <f t="shared" si="1483"/>
        <v>27.929966794600887</v>
      </c>
      <c r="R496" s="107" t="str">
        <f t="shared" si="1483"/>
        <v>DESCARTADO</v>
      </c>
      <c r="S496" s="107">
        <f t="shared" si="1417"/>
        <v>30.074118696440785</v>
      </c>
      <c r="T496" s="107" t="str">
        <f t="shared" si="1417"/>
        <v>DESCARTADO</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f t="shared" ref="B498" si="1484">LARGE(IFERROR(IF(B496+1&gt;$H$8,"",B496+1),""),1)</f>
        <v>24</v>
      </c>
      <c r="C498" s="127">
        <f>IF(_xlfn.ISFORMULA(E502),MAX(INDEX('BASE FORMAÇÃO'!A:A,B498+1),1),E502)</f>
        <v>1</v>
      </c>
      <c r="D498" s="127">
        <f t="shared" ref="D498" si="1485">IFERROR(IF(C498=C488,D488+1,1),1)</f>
        <v>24</v>
      </c>
      <c r="E498" s="38" t="s">
        <v>9</v>
      </c>
      <c r="F498" s="73"/>
      <c r="G498" s="38" t="s">
        <v>15</v>
      </c>
      <c r="H498" s="135">
        <f>INDEX('BASE FORMAÇÃO'!B:B,B498+1)</f>
        <v>0</v>
      </c>
      <c r="I498" s="181" t="s">
        <v>16</v>
      </c>
      <c r="J498" s="6">
        <f>INDEX('BASE FORMAÇÃO'!K:K,B498+1)</f>
        <v>0</v>
      </c>
      <c r="K498" s="65"/>
      <c r="L498" s="183" t="s">
        <v>10</v>
      </c>
      <c r="M498" s="185">
        <f t="shared" ref="M498" si="1486">IF(OR(ISBLANK($O$8),ISBLANK($O$7),ISBLANK($H$8),ISBLANK($O$6),ISBLANK($O$5),ISBLANK($H$5)),"",IFERROR(IF(VLOOKUP(L498,L504:M513,2,FALSE)&lt;1,ROUND(VLOOKUP(L498,L504:M513,2,FALSE),4),ROUND(VLOOKUP(L498,L504:M513,2,FALSE),2)),""))</f>
        <v>279.45</v>
      </c>
      <c r="N498" s="69"/>
      <c r="O498" s="27" t="s">
        <v>17</v>
      </c>
      <c r="P498" s="113">
        <v>191.88</v>
      </c>
      <c r="Q498" s="113">
        <v>288</v>
      </c>
      <c r="R498" s="113">
        <v>350</v>
      </c>
      <c r="S498" s="113">
        <v>285</v>
      </c>
      <c r="T498" s="113">
        <v>260</v>
      </c>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f t="shared" ref="B499:D499" si="1487">B498</f>
        <v>24</v>
      </c>
      <c r="C499" s="128">
        <f t="shared" si="1487"/>
        <v>1</v>
      </c>
      <c r="D499" s="127">
        <f t="shared" si="1487"/>
        <v>24</v>
      </c>
      <c r="E499" s="187">
        <f t="shared" ref="E499" si="1488">D498</f>
        <v>24</v>
      </c>
      <c r="F499" s="92"/>
      <c r="G499" s="189" t="s">
        <v>1</v>
      </c>
      <c r="H499" s="192" t="str">
        <f>INDEX('BASE FORMAÇÃO'!C:C,B498+1)</f>
        <v>Placa de Comunicação Visual em painel de ACM</v>
      </c>
      <c r="I499" s="192"/>
      <c r="J499" s="193"/>
      <c r="K499" s="66"/>
      <c r="L499" s="184"/>
      <c r="M499" s="186"/>
      <c r="N499" s="70"/>
      <c r="O499" s="27" t="s">
        <v>13</v>
      </c>
      <c r="P499" s="122">
        <v>46260</v>
      </c>
      <c r="Q499" s="122">
        <v>46254</v>
      </c>
      <c r="R499" s="122">
        <v>46227</v>
      </c>
      <c r="S499" s="122">
        <v>46237</v>
      </c>
      <c r="T499" s="122">
        <v>46090</v>
      </c>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f t="shared" ref="B500:D500" si="1489">B499</f>
        <v>24</v>
      </c>
      <c r="C500" s="128">
        <f t="shared" si="1489"/>
        <v>1</v>
      </c>
      <c r="D500" s="127">
        <f t="shared" si="1489"/>
        <v>24</v>
      </c>
      <c r="E500" s="188"/>
      <c r="F500" s="93"/>
      <c r="G500" s="190"/>
      <c r="H500" s="194"/>
      <c r="I500" s="194"/>
      <c r="J500" s="195"/>
      <c r="K500" s="64"/>
      <c r="L500" s="130" t="s">
        <v>44</v>
      </c>
      <c r="M500" s="131">
        <f>INDEX('BASE FORMAÇÃO'!H:H,B502+1)</f>
        <v>1289</v>
      </c>
      <c r="N500" s="71"/>
      <c r="O500" s="27" t="s">
        <v>380</v>
      </c>
      <c r="P500" s="114" t="s">
        <v>12</v>
      </c>
      <c r="Q500" s="114" t="s">
        <v>12</v>
      </c>
      <c r="R500" s="114" t="s">
        <v>12</v>
      </c>
      <c r="S500" s="114" t="s">
        <v>12</v>
      </c>
      <c r="T500" s="114" t="s">
        <v>12</v>
      </c>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f t="shared" ref="B501:C501" si="1490">B500</f>
        <v>24</v>
      </c>
      <c r="C501" s="128">
        <f t="shared" si="1490"/>
        <v>1</v>
      </c>
      <c r="D501" s="127">
        <f t="shared" si="1436"/>
        <v>24</v>
      </c>
      <c r="E501" s="38" t="s">
        <v>313</v>
      </c>
      <c r="F501" s="93"/>
      <c r="G501" s="191"/>
      <c r="H501" s="196"/>
      <c r="I501" s="196"/>
      <c r="J501" s="197"/>
      <c r="K501" s="64"/>
      <c r="L501" s="1" t="s">
        <v>2</v>
      </c>
      <c r="M501" s="6" t="str">
        <f>INDEX('BASE FORMAÇÃO'!D:D,B502+1)</f>
        <v>M2</v>
      </c>
      <c r="N501" s="71"/>
      <c r="O501" s="27" t="s">
        <v>381</v>
      </c>
      <c r="P501" s="115" t="s">
        <v>460</v>
      </c>
      <c r="Q501" s="115" t="s">
        <v>460</v>
      </c>
      <c r="R501" s="115" t="s">
        <v>460</v>
      </c>
      <c r="S501" s="115" t="s">
        <v>460</v>
      </c>
      <c r="T501" s="115" t="s">
        <v>460</v>
      </c>
      <c r="U501" s="118"/>
      <c r="V501" s="118"/>
      <c r="W501" s="118"/>
      <c r="X501" s="118"/>
      <c r="Y501" s="118"/>
      <c r="Z501" s="118"/>
      <c r="AA501" s="118"/>
      <c r="AB501" s="118"/>
      <c r="AC501" s="118"/>
      <c r="AD501" s="118"/>
      <c r="AE501" s="118"/>
      <c r="AF501" s="118"/>
      <c r="AG501" s="118"/>
      <c r="AH501" s="118"/>
      <c r="AI501" s="118"/>
    </row>
    <row r="502" spans="1:167" x14ac:dyDescent="0.25">
      <c r="B502" s="128">
        <f t="shared" ref="B502:C502" si="1491">B500</f>
        <v>24</v>
      </c>
      <c r="C502" s="128">
        <f t="shared" si="1491"/>
        <v>1</v>
      </c>
      <c r="D502" s="127">
        <f t="shared" si="1436"/>
        <v>24</v>
      </c>
      <c r="E502" s="198">
        <f t="shared" ref="E502" si="1492">C498</f>
        <v>1</v>
      </c>
      <c r="F502" s="93"/>
      <c r="G502" s="200" t="s">
        <v>304</v>
      </c>
      <c r="H502" s="202"/>
      <c r="I502" s="203"/>
      <c r="J502" s="203"/>
      <c r="K502" s="67"/>
      <c r="L502" s="28" t="s">
        <v>303</v>
      </c>
      <c r="M502" s="133">
        <f t="shared" ref="M502" si="1493">IFERROR(INDEX(I504:I516,MATCH(MAX(J504:J516),J504:J516,0)),"")</f>
        <v>3.5969382481822194E-2</v>
      </c>
      <c r="N502" s="71"/>
      <c r="O502" s="27" t="s">
        <v>18</v>
      </c>
      <c r="P502" s="106">
        <f>IF(P498="","",
IF(OR(P500="Orçamento",P499="",MAX('Tabela de Apoio'!$A:$A)&lt;=P499),
P498,
(INDEX('Tabela de Apoio'!$B:$B,MATCH('MAPA DE PREÇOS'!$O$8,'Tabela de Apoio'!$A:$A,1))/INDEX('Tabela de Apoio'!$B:$B,MATCH('MAPA DE PREÇOS'!P499,'Tabela de Apoio'!$A:$A,1)-1))*P498))</f>
        <v>191.88</v>
      </c>
      <c r="Q502" s="106">
        <f>IF(Q498="","",
IF(OR(Q500="Orçamento",Q499="",MAX('Tabela de Apoio'!$A:$A)&lt;=Q499),
Q498,
(INDEX('Tabela de Apoio'!$B:$B,MATCH('MAPA DE PREÇOS'!$O$8,'Tabela de Apoio'!$A:$A,1))/INDEX('Tabela de Apoio'!$B:$B,MATCH('MAPA DE PREÇOS'!Q499,'Tabela de Apoio'!$A:$A,1)-1))*Q498))</f>
        <v>288</v>
      </c>
      <c r="R502" s="106">
        <f>IF(R498="","",
IF(OR(R500="Orçamento",R499="",MAX('Tabela de Apoio'!$A:$A)&lt;=R499),
R498,
(INDEX('Tabela de Apoio'!$B:$B,MATCH('MAPA DE PREÇOS'!$O$8,'Tabela de Apoio'!$A:$A,1))/INDEX('Tabela de Apoio'!$B:$B,MATCH('MAPA DE PREÇOS'!R499,'Tabela de Apoio'!$A:$A,1)-1))*R498))</f>
        <v>349.12458493251108</v>
      </c>
      <c r="S502" s="106">
        <f>IF(S498="","",
IF(OR(S500="Orçamento",S499="",MAX('Tabela de Apoio'!$A:$A)&lt;=S499),
S498,
(INDEX('Tabela de Apoio'!$B:$B,MATCH('MAPA DE PREÇOS'!$O$8,'Tabela de Apoio'!$A:$A,1))/INDEX('Tabela de Apoio'!$B:$B,MATCH('MAPA DE PREÇOS'!S499,'Tabela de Apoio'!$A:$A,1)-1))*S498))</f>
        <v>285</v>
      </c>
      <c r="T502" s="106">
        <f>IF(T498="","",
IF(OR(T500="Orçamento",T499="",MAX('Tabela de Apoio'!$A:$A)&lt;=T499),
T498,
(INDEX('Tabela de Apoio'!$B:$B,MATCH('MAPA DE PREÇOS'!$O$8,'Tabela de Apoio'!$A:$A,1))/INDEX('Tabela de Apoio'!$B:$B,MATCH('MAPA DE PREÇOS'!T499,'Tabela de Apoio'!$A:$A,1)-1))*T498))</f>
        <v>265.33646357947032</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f t="shared" ref="B503" si="1494">B502</f>
        <v>24</v>
      </c>
      <c r="C503" s="128">
        <f t="shared" ref="C503" si="1495">C502</f>
        <v>1</v>
      </c>
      <c r="D503" s="127">
        <f t="shared" si="1436"/>
        <v>24</v>
      </c>
      <c r="E503" s="199"/>
      <c r="F503" s="93"/>
      <c r="G503" s="201"/>
      <c r="H503"/>
      <c r="I503"/>
      <c r="J503"/>
      <c r="N503" s="71"/>
      <c r="O503" s="27" t="s">
        <v>375</v>
      </c>
      <c r="P503" s="107" t="str">
        <f>IF(IFERROR(VLOOKUP(P500,'Tabela de Apoio'!$D:$E,2,FALSE),1)=1,"",P504)</f>
        <v>DESCARTADO</v>
      </c>
      <c r="Q503" s="107">
        <f>IF(IFERROR(VLOOKUP(Q500,'Tabela de Apoio'!$D:$E,2,FALSE),1)=1,"",Q504)</f>
        <v>288</v>
      </c>
      <c r="R503" s="107" t="str">
        <f>IF(IFERROR(VLOOKUP(R500,'Tabela de Apoio'!$D:$E,2,FALSE),1)=1,"",R504)</f>
        <v>DESCARTADO</v>
      </c>
      <c r="S503" s="107">
        <f>IF(IFERROR(VLOOKUP(S500,'Tabela de Apoio'!$D:$E,2,FALSE),1)=1,"",S504)</f>
        <v>285</v>
      </c>
      <c r="T503" s="107">
        <f>IF(IFERROR(VLOOKUP(T500,'Tabela de Apoio'!$D:$E,2,FALSE),1)=1,"",T504)</f>
        <v>265.33646357947032</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f t="shared" ref="B504:C504" si="1496">B503</f>
        <v>24</v>
      </c>
      <c r="C504" s="128">
        <f t="shared" si="1496"/>
        <v>1</v>
      </c>
      <c r="D504" s="127">
        <f t="shared" si="1436"/>
        <v>24</v>
      </c>
      <c r="E504" s="199"/>
      <c r="F504" s="93"/>
      <c r="G504" s="201"/>
      <c r="H504" s="134">
        <f t="shared" ref="H504" si="1497">COUNT($P504:$XX504)</f>
        <v>3</v>
      </c>
      <c r="I504" s="132">
        <f t="shared" ref="I504" si="1498">_xlfn.STDEV.P($P503:$XX504)/AVERAGE($P503:$XX504)</f>
        <v>3.5969382481822194E-2</v>
      </c>
      <c r="J504" s="7">
        <f>ROW()</f>
        <v>504</v>
      </c>
      <c r="K504" s="67"/>
      <c r="L504" s="29" t="s">
        <v>10</v>
      </c>
      <c r="M504" s="30">
        <f t="shared" ref="M504" si="1499">IFERROR(
IF(COUNTA(P498:AI498)=COUNTIF(P500:XX500,"Orçamento"),MIN(M509,M506),
IF(M507&lt;&gt;"",M507,
IF(M508&lt;&gt;"",M508,
M506
))),"")</f>
        <v>279.44548785982346</v>
      </c>
      <c r="N504" s="71"/>
      <c r="O504" s="27" t="s">
        <v>376</v>
      </c>
      <c r="P504" s="106" t="str">
        <f t="shared" ref="P504:AI504" si="1500">IFERROR(IF(P502="",
            "",
            IF(COUNT($P502:$XX502)&lt;=4,
               P502,
               IF(OR(P502&gt;(QUARTILE($P502:$XX502,3)+(QUARTILE($P502:$XX502,3)-QUARTILE($P502:$XX502,1))),
                     P502&lt;(QUARTILE($P502:$XX502,1)-(QUARTILE($P502:$XX502,3)-QUARTILE($P502:$XX502,1)))
                  ),
               "DESCARTADO",P502)
             )
  ),P502)</f>
        <v>DESCARTADO</v>
      </c>
      <c r="Q504" s="106">
        <f t="shared" si="1500"/>
        <v>288</v>
      </c>
      <c r="R504" s="106" t="str">
        <f t="shared" si="1500"/>
        <v>DESCARTADO</v>
      </c>
      <c r="S504" s="106">
        <f t="shared" si="1500"/>
        <v>285</v>
      </c>
      <c r="T504" s="106">
        <f t="shared" si="1500"/>
        <v>265.33646357947032</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f t="shared" ref="B505" si="1501">B504</f>
        <v>24</v>
      </c>
      <c r="C505" s="128">
        <f t="shared" ref="C505" si="1502">C504</f>
        <v>1</v>
      </c>
      <c r="D505" s="127">
        <f t="shared" si="1436"/>
        <v>24</v>
      </c>
      <c r="E505" s="199"/>
      <c r="F505" s="93"/>
      <c r="G505" s="201"/>
      <c r="H505"/>
      <c r="I505"/>
      <c r="J505"/>
      <c r="K505" s="66"/>
      <c r="L505" s="29" t="s">
        <v>360</v>
      </c>
      <c r="M505" s="30">
        <f t="shared" ref="M505" si="1503">AVERAGE($P504:$XX504)</f>
        <v>279.44548785982346</v>
      </c>
      <c r="N505" s="71"/>
      <c r="O505" s="27" t="str">
        <f t="shared" ref="O505" si="1504">"1 POND"</f>
        <v>1 POND</v>
      </c>
      <c r="P505" s="107" t="str">
        <f>IF(IFERROR(VLOOKUP(P500,'Tabela de Apoio'!$D:$E,2,FALSE),1)=1,"",P506)</f>
        <v>DESCARTADO</v>
      </c>
      <c r="Q505" s="107">
        <f>IF(IFERROR(VLOOKUP(Q500,'Tabela de Apoio'!$D:$E,2,FALSE),1)=1,"",Q506)</f>
        <v>288</v>
      </c>
      <c r="R505" s="107" t="str">
        <f>IF(IFERROR(VLOOKUP(R500,'Tabela de Apoio'!$D:$E,2,FALSE),1)=1,"",R506)</f>
        <v>DESCARTADO</v>
      </c>
      <c r="S505" s="107">
        <f>IF(IFERROR(VLOOKUP(S500,'Tabela de Apoio'!$D:$E,2,FALSE),1)=1,"",S506)</f>
        <v>285</v>
      </c>
      <c r="T505" s="107">
        <f>IF(IFERROR(VLOOKUP(T500,'Tabela de Apoio'!$D:$E,2,FALSE),1)=1,"",T506)</f>
        <v>265.33646357947032</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f t="shared" si="1435"/>
        <v>24</v>
      </c>
      <c r="C506" s="128">
        <f t="shared" si="1436"/>
        <v>1</v>
      </c>
      <c r="D506" s="127">
        <f t="shared" si="1436"/>
        <v>24</v>
      </c>
      <c r="E506" s="199"/>
      <c r="F506" s="93"/>
      <c r="G506" s="201"/>
      <c r="H506" s="134">
        <f t="shared" ref="H506" si="1505">COUNT($P506:$XX506)</f>
        <v>3</v>
      </c>
      <c r="I506" s="132">
        <f t="shared" ref="I506" si="1506">_xlfn.STDEV.P($P505:$XX506)/AVERAGE($P505:$XX506)</f>
        <v>3.5969382481822194E-2</v>
      </c>
      <c r="J506" s="7">
        <f t="shared" ref="J506" si="1507">IF(AND(H506&gt;2,
OR(L498="MÉDIA SANEADA",L498="MEDIANA SANEADA",
AND(L498="PREÇO ESTIMADO",NOT(AND(P500="Orçamento",COUNTA(P498:XX498)=COUNTIF(P500:XX500,"Orçamento")))))),
ROW(),0)</f>
        <v>506</v>
      </c>
      <c r="K506" s="66"/>
      <c r="L506" s="29" t="s">
        <v>361</v>
      </c>
      <c r="M506" s="30">
        <f t="shared" ref="M506" si="1508">MEDIAN($P504:$XX504)</f>
        <v>285</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DESCARTADO</v>
      </c>
      <c r="Q506" s="107">
        <f t="shared" si="1510"/>
        <v>288</v>
      </c>
      <c r="R506" s="107" t="str">
        <f t="shared" si="1510"/>
        <v>DESCARTADO</v>
      </c>
      <c r="S506" s="107">
        <f t="shared" si="1510"/>
        <v>285</v>
      </c>
      <c r="T506" s="107">
        <f t="shared" si="1510"/>
        <v>265.33646357947032</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f t="shared" si="1435"/>
        <v>24</v>
      </c>
      <c r="C507" s="128">
        <f t="shared" si="1436"/>
        <v>1</v>
      </c>
      <c r="D507" s="127">
        <f t="shared" si="1436"/>
        <v>24</v>
      </c>
      <c r="E507" s="199"/>
      <c r="F507" s="93"/>
      <c r="G507" s="201"/>
      <c r="H507"/>
      <c r="I507"/>
      <c r="J507"/>
      <c r="L507" s="29" t="s">
        <v>38</v>
      </c>
      <c r="M507" s="30">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279.44548785982346</v>
      </c>
      <c r="N507" s="71"/>
      <c r="O507" s="27" t="str">
        <f t="shared" ref="O507" si="1512">"2 POND"</f>
        <v>2 POND</v>
      </c>
      <c r="P507" s="107" t="str">
        <f>IF(IFERROR(VLOOKUP(P500,'Tabela de Apoio'!$D:$E,2,FALSE),1)=1,"",P508)</f>
        <v>DESCARTADO</v>
      </c>
      <c r="Q507" s="107">
        <f>IF(IFERROR(VLOOKUP(Q500,'Tabela de Apoio'!$D:$E,2,FALSE),1)=1,"",Q508)</f>
        <v>288</v>
      </c>
      <c r="R507" s="107" t="str">
        <f>IF(IFERROR(VLOOKUP(R500,'Tabela de Apoio'!$D:$E,2,FALSE),1)=1,"",R508)</f>
        <v>DESCARTADO</v>
      </c>
      <c r="S507" s="107">
        <f>IF(IFERROR(VLOOKUP(S500,'Tabela de Apoio'!$D:$E,2,FALSE),1)=1,"",S508)</f>
        <v>285</v>
      </c>
      <c r="T507" s="107">
        <f>IF(IFERROR(VLOOKUP(T500,'Tabela de Apoio'!$D:$E,2,FALSE),1)=1,"",T508)</f>
        <v>265.33646357947032</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f t="shared" si="1435"/>
        <v>24</v>
      </c>
      <c r="C508" s="128">
        <f t="shared" si="1436"/>
        <v>1</v>
      </c>
      <c r="D508" s="127">
        <f t="shared" si="1436"/>
        <v>24</v>
      </c>
      <c r="E508" s="199"/>
      <c r="F508" s="93"/>
      <c r="G508" s="201"/>
      <c r="H508" s="134">
        <f t="shared" ref="H508" si="1513">COUNT($P508:$XX508)</f>
        <v>3</v>
      </c>
      <c r="I508" s="132">
        <f t="shared" ref="I508" si="1514">_xlfn.STDEV.P($P507:$XX508)/AVERAGE($P507:$XX508)</f>
        <v>3.5969382481822194E-2</v>
      </c>
      <c r="J508" s="7">
        <f t="shared" ref="J508" si="1515">IF(AND(H508&gt;2,
OR(L498="MÉDIA SANEADA",L498="MEDIANA SANEADA",
AND(L498="PREÇO ESTIMADO",NOT(AND(P500="Orçamento",COUNTA(P498:XX498)=COUNTIF(P500:XX500,"Orçamento")))))),
ROW(),0)</f>
        <v>508</v>
      </c>
      <c r="K508" s="66"/>
      <c r="L508" s="29" t="s">
        <v>362</v>
      </c>
      <c r="M508" s="30">
        <f t="shared" ref="M508" si="1516" xml:space="preserve">
IF(H506&gt;2,MEDIAN(P505:XX506),
IF(H508&gt;2,MEDIAN(P507:XX508),
IF(H510&gt;2,MEDIAN(P509:XX510),
IF(H512&gt;2,MEDIAN(P511:XX512),
IF(H514&gt;2,MEDIAN(P513:XX514),
IF(H516&gt;2,MEDIAN(P515:XX516),
MEDIAN(P503:XX504)))))))</f>
        <v>285</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DESCARTADO</v>
      </c>
      <c r="Q508" s="107">
        <f t="shared" si="1518"/>
        <v>288</v>
      </c>
      <c r="R508" s="107" t="str">
        <f t="shared" si="1518"/>
        <v>DESCARTADO</v>
      </c>
      <c r="S508" s="107">
        <f t="shared" si="1518"/>
        <v>285</v>
      </c>
      <c r="T508" s="107">
        <f t="shared" si="1518"/>
        <v>265.33646357947032</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f t="shared" si="1435"/>
        <v>24</v>
      </c>
      <c r="C509" s="128">
        <f t="shared" si="1436"/>
        <v>1</v>
      </c>
      <c r="D509" s="127">
        <f t="shared" si="1436"/>
        <v>24</v>
      </c>
      <c r="E509" s="199"/>
      <c r="F509" s="93"/>
      <c r="G509" s="201"/>
      <c r="H509"/>
      <c r="I509"/>
      <c r="J509"/>
      <c r="K509" s="66"/>
      <c r="L509" s="29" t="s">
        <v>359</v>
      </c>
      <c r="M509" s="30">
        <f t="shared" ref="M509" si="1519">HARMEAN($P503:$XX504)</f>
        <v>279.07511760843477</v>
      </c>
      <c r="N509" s="71"/>
      <c r="O509" s="27" t="str">
        <f t="shared" ref="O509" si="1520">"3 POND"</f>
        <v>3 POND</v>
      </c>
      <c r="P509" s="107" t="str">
        <f>IF(IFERROR(VLOOKUP(P500,'Tabela de Apoio'!$D:$E,2,FALSE),1)=1,"",P510)</f>
        <v>DESCARTADO</v>
      </c>
      <c r="Q509" s="107">
        <f>IF(IFERROR(VLOOKUP(Q500,'Tabela de Apoio'!$D:$E,2,FALSE),1)=1,"",Q510)</f>
        <v>288</v>
      </c>
      <c r="R509" s="107" t="str">
        <f>IF(IFERROR(VLOOKUP(R500,'Tabela de Apoio'!$D:$E,2,FALSE),1)=1,"",R510)</f>
        <v>DESCARTADO</v>
      </c>
      <c r="S509" s="107">
        <f>IF(IFERROR(VLOOKUP(S500,'Tabela de Apoio'!$D:$E,2,FALSE),1)=1,"",S510)</f>
        <v>285</v>
      </c>
      <c r="T509" s="107">
        <f>IF(IFERROR(VLOOKUP(T500,'Tabela de Apoio'!$D:$E,2,FALSE),1)=1,"",T510)</f>
        <v>265.33646357947032</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f t="shared" si="1435"/>
        <v>24</v>
      </c>
      <c r="C510" s="128">
        <f t="shared" si="1436"/>
        <v>1</v>
      </c>
      <c r="D510" s="127">
        <f t="shared" si="1436"/>
        <v>24</v>
      </c>
      <c r="E510" s="199"/>
      <c r="F510" s="93"/>
      <c r="G510" s="201"/>
      <c r="H510" s="134">
        <f t="shared" ref="H510" si="1521">COUNT($P510:$XX510)</f>
        <v>3</v>
      </c>
      <c r="I510" s="132">
        <f t="shared" ref="I510" si="1522">_xlfn.STDEV.P($P509:$XX510)/AVERAGE($P509:$XX510)</f>
        <v>3.5969382481822194E-2</v>
      </c>
      <c r="J510" s="7">
        <f t="shared" ref="J510" si="1523">IF(AND(H510&gt;2,
OR(L498="MÉDIA SANEADA",L498="MEDIANA SANEADA",
AND(L498="PREÇO ESTIMADO",NOT(AND(P500="Orçamento",COUNTA(P498:XX498)=COUNTIF(P500:XX500,"Orçamento")))))),
ROW(),0)</f>
        <v>510</v>
      </c>
      <c r="K510" s="66"/>
      <c r="L510" s="29" t="s">
        <v>41</v>
      </c>
      <c r="M510" s="30">
        <f t="shared" ref="M510" si="1524">IFERROR(_xlfn.QUARTILE.EXC($P504:$XX504,1),"")</f>
        <v>265.33646357947032</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DESCARTADO</v>
      </c>
      <c r="Q510" s="107">
        <f t="shared" si="1526"/>
        <v>288</v>
      </c>
      <c r="R510" s="107" t="str">
        <f t="shared" si="1526"/>
        <v>DESCARTADO</v>
      </c>
      <c r="S510" s="107">
        <f t="shared" si="1526"/>
        <v>285</v>
      </c>
      <c r="T510" s="107">
        <f t="shared" si="1526"/>
        <v>265.33646357947032</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f t="shared" si="1435"/>
        <v>24</v>
      </c>
      <c r="C511" s="128">
        <f t="shared" si="1436"/>
        <v>1</v>
      </c>
      <c r="D511" s="127">
        <f t="shared" si="1436"/>
        <v>24</v>
      </c>
      <c r="E511" s="199"/>
      <c r="F511" s="93"/>
      <c r="G511" s="201"/>
      <c r="H511"/>
      <c r="I511"/>
      <c r="J511"/>
      <c r="K511" s="66"/>
      <c r="L511" s="29" t="s">
        <v>39</v>
      </c>
      <c r="M511" s="30">
        <f t="shared" ref="M511" si="1527">IFERROR(_xlfn.QUARTILE.EXC($P504:$XX504,3),"")</f>
        <v>288</v>
      </c>
      <c r="N511" s="71"/>
      <c r="O511" s="27" t="str">
        <f t="shared" ref="O511" si="1528">"4 POND"</f>
        <v>4 POND</v>
      </c>
      <c r="P511" s="107" t="str">
        <f>IF(IFERROR(VLOOKUP(P500,'Tabela de Apoio'!$D:$E,2,FALSE),1)=1,"",P512)</f>
        <v>DESCARTADO</v>
      </c>
      <c r="Q511" s="107">
        <f>IF(IFERROR(VLOOKUP(Q500,'Tabela de Apoio'!$D:$E,2,FALSE),1)=1,"",Q512)</f>
        <v>288</v>
      </c>
      <c r="R511" s="107" t="str">
        <f>IF(IFERROR(VLOOKUP(R500,'Tabela de Apoio'!$D:$E,2,FALSE),1)=1,"",R512)</f>
        <v>DESCARTADO</v>
      </c>
      <c r="S511" s="107">
        <f>IF(IFERROR(VLOOKUP(S500,'Tabela de Apoio'!$D:$E,2,FALSE),1)=1,"",S512)</f>
        <v>285</v>
      </c>
      <c r="T511" s="107">
        <f>IF(IFERROR(VLOOKUP(T500,'Tabela de Apoio'!$D:$E,2,FALSE),1)=1,"",T512)</f>
        <v>265.33646357947032</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f t="shared" si="1435"/>
        <v>24</v>
      </c>
      <c r="C512" s="128">
        <f t="shared" si="1436"/>
        <v>1</v>
      </c>
      <c r="D512" s="127">
        <f t="shared" si="1436"/>
        <v>24</v>
      </c>
      <c r="E512" s="199"/>
      <c r="F512" s="93"/>
      <c r="G512" s="201"/>
      <c r="H512" s="134">
        <f t="shared" ref="H512" si="1529">COUNT($P512:$XX512)</f>
        <v>3</v>
      </c>
      <c r="I512" s="132">
        <f t="shared" ref="I512" si="1530">_xlfn.STDEV.P($P511:$XX512)/AVERAGE($P511:$XX512)</f>
        <v>3.5969382481822194E-2</v>
      </c>
      <c r="J512" s="7">
        <f t="shared" ref="J512" si="1531">IF(AND(H512&gt;2,
OR(L498="MÉDIA SANEADA",L498="MEDIANA SANEADA",
AND(L498="PREÇO ESTIMADO",NOT(AND(P500="Orçamento",COUNTA(P498:XX498)=COUNTIF(P500:XX500,"Orçamento")))))),
ROW(),0)</f>
        <v>512</v>
      </c>
      <c r="K512" s="66"/>
      <c r="L512" s="29" t="s">
        <v>42</v>
      </c>
      <c r="M512" s="30">
        <f t="shared" ref="M512" si="1532">MIN($P504:$XX504)</f>
        <v>265.33646357947032</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DESCARTADO</v>
      </c>
      <c r="Q512" s="107">
        <f t="shared" si="1534"/>
        <v>288</v>
      </c>
      <c r="R512" s="107" t="str">
        <f t="shared" si="1534"/>
        <v>DESCARTADO</v>
      </c>
      <c r="S512" s="107">
        <f t="shared" si="1534"/>
        <v>285</v>
      </c>
      <c r="T512" s="107">
        <f t="shared" si="1534"/>
        <v>265.33646357947032</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f t="shared" si="1435"/>
        <v>24</v>
      </c>
      <c r="C513" s="128">
        <f t="shared" si="1436"/>
        <v>1</v>
      </c>
      <c r="D513" s="127">
        <f t="shared" si="1436"/>
        <v>24</v>
      </c>
      <c r="E513" s="199"/>
      <c r="F513" s="93"/>
      <c r="G513" s="201"/>
      <c r="H513"/>
      <c r="I513"/>
      <c r="J513"/>
      <c r="K513" s="66"/>
      <c r="L513" s="29" t="s">
        <v>40</v>
      </c>
      <c r="M513" s="30">
        <f t="shared" ref="M513" si="1535">MAX($P504:$XX504)</f>
        <v>288</v>
      </c>
      <c r="N513" s="71"/>
      <c r="O513" s="27" t="str">
        <f t="shared" ref="O513" si="1536">"5 POND"</f>
        <v>5 POND</v>
      </c>
      <c r="P513" s="107" t="str">
        <f>IF(IFERROR(VLOOKUP(P500,'Tabela de Apoio'!$D:$E,2,FALSE),1)=1,"",P514)</f>
        <v>DESCARTADO</v>
      </c>
      <c r="Q513" s="107">
        <f>IF(IFERROR(VLOOKUP(Q500,'Tabela de Apoio'!$D:$E,2,FALSE),1)=1,"",Q514)</f>
        <v>288</v>
      </c>
      <c r="R513" s="107" t="str">
        <f>IF(IFERROR(VLOOKUP(R500,'Tabela de Apoio'!$D:$E,2,FALSE),1)=1,"",R514)</f>
        <v>DESCARTADO</v>
      </c>
      <c r="S513" s="107">
        <f>IF(IFERROR(VLOOKUP(S500,'Tabela de Apoio'!$D:$E,2,FALSE),1)=1,"",S514)</f>
        <v>285</v>
      </c>
      <c r="T513" s="107">
        <f>IF(IFERROR(VLOOKUP(T500,'Tabela de Apoio'!$D:$E,2,FALSE),1)=1,"",T514)</f>
        <v>265.33646357947032</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f t="shared" si="1435"/>
        <v>24</v>
      </c>
      <c r="C514" s="128">
        <f t="shared" si="1436"/>
        <v>1</v>
      </c>
      <c r="D514" s="127">
        <f t="shared" si="1436"/>
        <v>24</v>
      </c>
      <c r="E514" s="199"/>
      <c r="F514" s="93"/>
      <c r="G514" s="201"/>
      <c r="H514" s="134">
        <f t="shared" ref="H514" si="1537">COUNT($P514:$XX514)</f>
        <v>3</v>
      </c>
      <c r="I514" s="132">
        <f t="shared" ref="I514" si="1538">_xlfn.STDEV.P($P513:$XX514)/AVERAGE($P513:$XX514)</f>
        <v>3.5969382481822194E-2</v>
      </c>
      <c r="J514" s="7">
        <f t="shared" ref="J514" si="1539">IF(AND(H514&gt;2,
OR(L498="MÉDIA SANEADA",L498="MEDIANA SANEADA",
AND(L498="PREÇO ESTIMADO",NOT(AND(P500="Orçamento",COUNTA(P498:XX498)=COUNTIF(P500:XX500,"Orçamento")))))),
ROW(),0)</f>
        <v>514</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DESCARTADO</v>
      </c>
      <c r="Q514" s="107">
        <f t="shared" si="1541"/>
        <v>288</v>
      </c>
      <c r="R514" s="107" t="str">
        <f t="shared" si="1541"/>
        <v>DESCARTADO</v>
      </c>
      <c r="S514" s="107">
        <f t="shared" si="1541"/>
        <v>285</v>
      </c>
      <c r="T514" s="107">
        <f t="shared" si="1541"/>
        <v>265.33646357947032</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f t="shared" si="1435"/>
        <v>24</v>
      </c>
      <c r="C515" s="128">
        <f t="shared" si="1436"/>
        <v>1</v>
      </c>
      <c r="D515" s="127">
        <f t="shared" si="1436"/>
        <v>24</v>
      </c>
      <c r="E515" s="199"/>
      <c r="F515" s="93"/>
      <c r="G515" s="201"/>
      <c r="H515"/>
      <c r="I515"/>
      <c r="J515"/>
      <c r="K515" s="66"/>
      <c r="L515" s="22"/>
      <c r="M515" s="22"/>
      <c r="N515" s="71"/>
      <c r="O515" s="27" t="str">
        <f t="shared" ref="O515" si="1542">"6 POND"</f>
        <v>6 POND</v>
      </c>
      <c r="P515" s="107" t="str">
        <f>IF(IFERROR(VLOOKUP(P500,'Tabela de Apoio'!$D:$E,2,FALSE),1)=1,"",P516)</f>
        <v>DESCARTADO</v>
      </c>
      <c r="Q515" s="107">
        <f>IF(IFERROR(VLOOKUP(Q500,'Tabela de Apoio'!$D:$E,2,FALSE),1)=1,"",Q516)</f>
        <v>288</v>
      </c>
      <c r="R515" s="107" t="str">
        <f>IF(IFERROR(VLOOKUP(R500,'Tabela de Apoio'!$D:$E,2,FALSE),1)=1,"",R516)</f>
        <v>DESCARTADO</v>
      </c>
      <c r="S515" s="107">
        <f>IF(IFERROR(VLOOKUP(S500,'Tabela de Apoio'!$D:$E,2,FALSE),1)=1,"",S516)</f>
        <v>285</v>
      </c>
      <c r="T515" s="107">
        <f>IF(IFERROR(VLOOKUP(T500,'Tabela de Apoio'!$D:$E,2,FALSE),1)=1,"",T516)</f>
        <v>265.33646357947032</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f t="shared" si="1435"/>
        <v>24</v>
      </c>
      <c r="C516" s="128">
        <f t="shared" si="1436"/>
        <v>1</v>
      </c>
      <c r="D516" s="127">
        <f t="shared" si="1436"/>
        <v>24</v>
      </c>
      <c r="E516" s="199"/>
      <c r="F516" s="93"/>
      <c r="G516" s="201"/>
      <c r="H516" s="134">
        <f t="shared" ref="H516" si="1543">COUNT($P516:$XX516)</f>
        <v>3</v>
      </c>
      <c r="I516" s="132">
        <f t="shared" ref="I516" si="1544">_xlfn.STDEV.P($P515:$XX516)/AVERAGE($P515:$XX516)</f>
        <v>3.5969382481822194E-2</v>
      </c>
      <c r="J516" s="7">
        <f t="shared" ref="J516" si="1545">IF(AND(H516&gt;2,
OR(L498="MÉDIA SANEADA",L498="MEDIANA SANEADA",
AND(L498="PREÇO ESTIMADO",NOT(AND(P500="Orçamento",COUNTA(P498:XX498)=COUNTIF(P500:XX500,"Orçamento")))))),
ROW(),0)</f>
        <v>516</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DESCARTADO</v>
      </c>
      <c r="Q516" s="107">
        <f t="shared" si="1547"/>
        <v>288</v>
      </c>
      <c r="R516" s="107" t="str">
        <f t="shared" si="1547"/>
        <v>DESCARTADO</v>
      </c>
      <c r="S516" s="107">
        <f t="shared" si="1547"/>
        <v>285</v>
      </c>
      <c r="T516" s="107">
        <f t="shared" si="1547"/>
        <v>265.33646357947032</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f t="shared" si="1435"/>
        <v>24</v>
      </c>
      <c r="C517" s="128">
        <f t="shared" si="1436"/>
        <v>1</v>
      </c>
      <c r="D517" s="127">
        <f t="shared" si="1436"/>
        <v>24</v>
      </c>
      <c r="E517" s="199"/>
      <c r="F517" s="136"/>
      <c r="G517" s="201"/>
      <c r="H517" s="204"/>
      <c r="I517" s="204"/>
      <c r="J517" s="205"/>
      <c r="K517" s="67"/>
      <c r="L517" s="1" t="s">
        <v>43</v>
      </c>
      <c r="M517" s="143">
        <f t="shared" ref="M517" si="1548">IFERROR(ROUND(M498*M500,2),"")</f>
        <v>360211.05</v>
      </c>
      <c r="O517" s="27" t="s">
        <v>363</v>
      </c>
      <c r="P517" s="107" t="str">
        <f t="shared" ref="P517:AI538" si="1549">INDEX(P504:P516,MATCH(MAX($J504:$J516),$J504:$J516,0))</f>
        <v>DESCARTADO</v>
      </c>
      <c r="Q517" s="107">
        <f t="shared" si="1549"/>
        <v>288</v>
      </c>
      <c r="R517" s="107" t="str">
        <f t="shared" si="1549"/>
        <v>DESCARTADO</v>
      </c>
      <c r="S517" s="107">
        <f t="shared" si="1549"/>
        <v>285</v>
      </c>
      <c r="T517" s="107">
        <f t="shared" si="1549"/>
        <v>265.33646357947032</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81" t="s">
        <v>16</v>
      </c>
      <c r="J519" s="6" t="e">
        <f>INDEX('BASE FORMAÇÃO'!K:K,B519+1)</f>
        <v>#VALUE!</v>
      </c>
      <c r="K519" s="65"/>
      <c r="L519" s="183" t="s">
        <v>10</v>
      </c>
      <c r="M519" s="185"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7">
        <f t="shared" ref="E520" si="1554">D519</f>
        <v>1</v>
      </c>
      <c r="F520" s="92"/>
      <c r="G520" s="189" t="s">
        <v>1</v>
      </c>
      <c r="H520" s="192" t="e">
        <f>INDEX('BASE FORMAÇÃO'!C:C,B519+1)</f>
        <v>#VALUE!</v>
      </c>
      <c r="I520" s="192"/>
      <c r="J520" s="193"/>
      <c r="K520" s="66"/>
      <c r="L520" s="184"/>
      <c r="M520" s="186"/>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8"/>
      <c r="F521" s="93"/>
      <c r="G521" s="190"/>
      <c r="H521" s="194"/>
      <c r="I521" s="194"/>
      <c r="J521" s="195"/>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1"/>
      <c r="H522" s="196"/>
      <c r="I522" s="196"/>
      <c r="J522" s="197"/>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8" t="e">
        <f t="shared" ref="E523" si="1558">C519</f>
        <v>#VALUE!</v>
      </c>
      <c r="F523" s="93"/>
      <c r="G523" s="200" t="s">
        <v>304</v>
      </c>
      <c r="H523" s="202"/>
      <c r="I523" s="203"/>
      <c r="J523" s="203"/>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99"/>
      <c r="F524" s="93"/>
      <c r="G524" s="201"/>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99"/>
      <c r="F525" s="93"/>
      <c r="G525" s="201"/>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99"/>
      <c r="F526" s="93"/>
      <c r="G526" s="201"/>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99"/>
      <c r="F527" s="93"/>
      <c r="G527" s="201"/>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99"/>
      <c r="F528" s="93"/>
      <c r="G528" s="201"/>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99"/>
      <c r="F529" s="93"/>
      <c r="G529" s="201"/>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99"/>
      <c r="F530" s="93"/>
      <c r="G530" s="201"/>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99"/>
      <c r="F531" s="93"/>
      <c r="G531" s="201"/>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99"/>
      <c r="F532" s="93"/>
      <c r="G532" s="201"/>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99"/>
      <c r="F533" s="93"/>
      <c r="G533" s="201"/>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99"/>
      <c r="F534" s="93"/>
      <c r="G534" s="201"/>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99"/>
      <c r="F535" s="93"/>
      <c r="G535" s="201"/>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99"/>
      <c r="F536" s="93"/>
      <c r="G536" s="201"/>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99"/>
      <c r="F537" s="93"/>
      <c r="G537" s="201"/>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99"/>
      <c r="F538" s="136"/>
      <c r="G538" s="201"/>
      <c r="H538" s="204"/>
      <c r="I538" s="204"/>
      <c r="J538" s="205"/>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81" t="s">
        <v>16</v>
      </c>
      <c r="J540" s="6" t="e">
        <f>INDEX('BASE FORMAÇÃO'!K:K,B540+1)</f>
        <v>#VALUE!</v>
      </c>
      <c r="K540" s="65"/>
      <c r="L540" s="183" t="s">
        <v>10</v>
      </c>
      <c r="M540" s="185"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7">
        <f t="shared" ref="E541" si="1620">D540</f>
        <v>1</v>
      </c>
      <c r="F541" s="92"/>
      <c r="G541" s="189" t="s">
        <v>1</v>
      </c>
      <c r="H541" s="192" t="e">
        <f>INDEX('BASE FORMAÇÃO'!C:C,B540+1)</f>
        <v>#VALUE!</v>
      </c>
      <c r="I541" s="192"/>
      <c r="J541" s="193"/>
      <c r="K541" s="66"/>
      <c r="L541" s="184"/>
      <c r="M541" s="186"/>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8"/>
      <c r="F542" s="93"/>
      <c r="G542" s="190"/>
      <c r="H542" s="194"/>
      <c r="I542" s="194"/>
      <c r="J542" s="195"/>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1"/>
      <c r="H543" s="196"/>
      <c r="I543" s="196"/>
      <c r="J543" s="197"/>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8" t="e">
        <f t="shared" ref="E544" si="1624">C540</f>
        <v>#VALUE!</v>
      </c>
      <c r="F544" s="93"/>
      <c r="G544" s="200" t="s">
        <v>304</v>
      </c>
      <c r="H544" s="202"/>
      <c r="I544" s="203"/>
      <c r="J544" s="203"/>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99"/>
      <c r="F545" s="93"/>
      <c r="G545" s="201"/>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99"/>
      <c r="F546" s="93"/>
      <c r="G546" s="201"/>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99"/>
      <c r="F547" s="93"/>
      <c r="G547" s="201"/>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99"/>
      <c r="F548" s="93"/>
      <c r="G548" s="201"/>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99"/>
      <c r="F549" s="93"/>
      <c r="G549" s="201"/>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99"/>
      <c r="F550" s="93"/>
      <c r="G550" s="201"/>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99"/>
      <c r="F551" s="93"/>
      <c r="G551" s="201"/>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99"/>
      <c r="F552" s="93"/>
      <c r="G552" s="201"/>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99"/>
      <c r="F553" s="93"/>
      <c r="G553" s="201"/>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99"/>
      <c r="F554" s="93"/>
      <c r="G554" s="201"/>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99"/>
      <c r="F555" s="93"/>
      <c r="G555" s="201"/>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99"/>
      <c r="F556" s="93"/>
      <c r="G556" s="201"/>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99"/>
      <c r="F557" s="93"/>
      <c r="G557" s="201"/>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99"/>
      <c r="F558" s="93"/>
      <c r="G558" s="201"/>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99"/>
      <c r="F559" s="136"/>
      <c r="G559" s="201"/>
      <c r="H559" s="204"/>
      <c r="I559" s="204"/>
      <c r="J559" s="205"/>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81" t="s">
        <v>16</v>
      </c>
      <c r="J561" s="6" t="e">
        <f>INDEX('BASE FORMAÇÃO'!K:K,B561+1)</f>
        <v>#VALUE!</v>
      </c>
      <c r="K561" s="65"/>
      <c r="L561" s="183" t="s">
        <v>10</v>
      </c>
      <c r="M561" s="185"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7">
        <f t="shared" ref="E562" si="1686">D561</f>
        <v>1</v>
      </c>
      <c r="F562" s="92"/>
      <c r="G562" s="189" t="s">
        <v>1</v>
      </c>
      <c r="H562" s="192" t="e">
        <f>INDEX('BASE FORMAÇÃO'!C:C,B561+1)</f>
        <v>#VALUE!</v>
      </c>
      <c r="I562" s="192"/>
      <c r="J562" s="193"/>
      <c r="K562" s="66"/>
      <c r="L562" s="184"/>
      <c r="M562" s="186"/>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8"/>
      <c r="F563" s="93"/>
      <c r="G563" s="190"/>
      <c r="H563" s="194"/>
      <c r="I563" s="194"/>
      <c r="J563" s="195"/>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1"/>
      <c r="H564" s="196"/>
      <c r="I564" s="196"/>
      <c r="J564" s="197"/>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8" t="e">
        <f t="shared" ref="E565" si="1690">C561</f>
        <v>#VALUE!</v>
      </c>
      <c r="F565" s="93"/>
      <c r="G565" s="200" t="s">
        <v>304</v>
      </c>
      <c r="H565" s="202"/>
      <c r="I565" s="203"/>
      <c r="J565" s="203"/>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99"/>
      <c r="F566" s="93"/>
      <c r="G566" s="201"/>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99"/>
      <c r="F567" s="93"/>
      <c r="G567" s="201"/>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99"/>
      <c r="F568" s="93"/>
      <c r="G568" s="201"/>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99"/>
      <c r="F569" s="93"/>
      <c r="G569" s="201"/>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99"/>
      <c r="F570" s="93"/>
      <c r="G570" s="201"/>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99"/>
      <c r="F571" s="93"/>
      <c r="G571" s="201"/>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99"/>
      <c r="F572" s="93"/>
      <c r="G572" s="201"/>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99"/>
      <c r="F573" s="93"/>
      <c r="G573" s="201"/>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99"/>
      <c r="F574" s="93"/>
      <c r="G574" s="201"/>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99"/>
      <c r="F575" s="93"/>
      <c r="G575" s="201"/>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99"/>
      <c r="F576" s="93"/>
      <c r="G576" s="201"/>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99"/>
      <c r="F577" s="93"/>
      <c r="G577" s="201"/>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99"/>
      <c r="F578" s="93"/>
      <c r="G578" s="201"/>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99"/>
      <c r="F579" s="93"/>
      <c r="G579" s="201"/>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99"/>
      <c r="F580" s="136"/>
      <c r="G580" s="201"/>
      <c r="H580" s="204"/>
      <c r="I580" s="204"/>
      <c r="J580" s="205"/>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81" t="s">
        <v>16</v>
      </c>
      <c r="J582" s="6" t="e">
        <f>INDEX('BASE FORMAÇÃO'!K:K,B582+1)</f>
        <v>#VALUE!</v>
      </c>
      <c r="K582" s="65"/>
      <c r="L582" s="183" t="s">
        <v>10</v>
      </c>
      <c r="M582" s="185"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7">
        <f t="shared" ref="E583" si="1752">D582</f>
        <v>1</v>
      </c>
      <c r="F583" s="92"/>
      <c r="G583" s="189" t="s">
        <v>1</v>
      </c>
      <c r="H583" s="192" t="e">
        <f>INDEX('BASE FORMAÇÃO'!C:C,B582+1)</f>
        <v>#VALUE!</v>
      </c>
      <c r="I583" s="192"/>
      <c r="J583" s="193"/>
      <c r="K583" s="66"/>
      <c r="L583" s="184"/>
      <c r="M583" s="186"/>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8"/>
      <c r="F584" s="93"/>
      <c r="G584" s="190"/>
      <c r="H584" s="194"/>
      <c r="I584" s="194"/>
      <c r="J584" s="195"/>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1"/>
      <c r="H585" s="196"/>
      <c r="I585" s="196"/>
      <c r="J585" s="197"/>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8" t="e">
        <f t="shared" ref="E586" si="1756">C582</f>
        <v>#VALUE!</v>
      </c>
      <c r="F586" s="93"/>
      <c r="G586" s="200" t="s">
        <v>304</v>
      </c>
      <c r="H586" s="202"/>
      <c r="I586" s="203"/>
      <c r="J586" s="203"/>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99"/>
      <c r="F587" s="93"/>
      <c r="G587" s="201"/>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99"/>
      <c r="F588" s="93"/>
      <c r="G588" s="201"/>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99"/>
      <c r="F589" s="93"/>
      <c r="G589" s="201"/>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99"/>
      <c r="F590" s="93"/>
      <c r="G590" s="201"/>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99"/>
      <c r="F591" s="93"/>
      <c r="G591" s="201"/>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99"/>
      <c r="F592" s="93"/>
      <c r="G592" s="201"/>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99"/>
      <c r="F593" s="93"/>
      <c r="G593" s="201"/>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99"/>
      <c r="F594" s="93"/>
      <c r="G594" s="201"/>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99"/>
      <c r="F595" s="93"/>
      <c r="G595" s="201"/>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99"/>
      <c r="F596" s="93"/>
      <c r="G596" s="201"/>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99"/>
      <c r="F597" s="93"/>
      <c r="G597" s="201"/>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99"/>
      <c r="F598" s="93"/>
      <c r="G598" s="201"/>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99"/>
      <c r="F599" s="93"/>
      <c r="G599" s="201"/>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99"/>
      <c r="F600" s="93"/>
      <c r="G600" s="201"/>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99"/>
      <c r="F601" s="136"/>
      <c r="G601" s="201"/>
      <c r="H601" s="204"/>
      <c r="I601" s="204"/>
      <c r="J601" s="205"/>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81" t="s">
        <v>16</v>
      </c>
      <c r="J603" s="6" t="e">
        <f>INDEX('BASE FORMAÇÃO'!K:K,B603+1)</f>
        <v>#VALUE!</v>
      </c>
      <c r="K603" s="65"/>
      <c r="L603" s="183" t="s">
        <v>10</v>
      </c>
      <c r="M603" s="185"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7">
        <f t="shared" ref="E604" si="1818">D603</f>
        <v>1</v>
      </c>
      <c r="F604" s="92"/>
      <c r="G604" s="189" t="s">
        <v>1</v>
      </c>
      <c r="H604" s="192" t="e">
        <f>INDEX('BASE FORMAÇÃO'!C:C,B603+1)</f>
        <v>#VALUE!</v>
      </c>
      <c r="I604" s="192"/>
      <c r="J604" s="193"/>
      <c r="K604" s="66"/>
      <c r="L604" s="184"/>
      <c r="M604" s="186"/>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8"/>
      <c r="F605" s="93"/>
      <c r="G605" s="190"/>
      <c r="H605" s="194"/>
      <c r="I605" s="194"/>
      <c r="J605" s="195"/>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1"/>
      <c r="H606" s="196"/>
      <c r="I606" s="196"/>
      <c r="J606" s="197"/>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8" t="e">
        <f t="shared" ref="E607" si="1822">C603</f>
        <v>#VALUE!</v>
      </c>
      <c r="F607" s="93"/>
      <c r="G607" s="200" t="s">
        <v>304</v>
      </c>
      <c r="H607" s="202"/>
      <c r="I607" s="203"/>
      <c r="J607" s="203"/>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99"/>
      <c r="F608" s="93"/>
      <c r="G608" s="201"/>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99"/>
      <c r="F609" s="93"/>
      <c r="G609" s="201"/>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99"/>
      <c r="F610" s="93"/>
      <c r="G610" s="201"/>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99"/>
      <c r="F611" s="93"/>
      <c r="G611" s="201"/>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99"/>
      <c r="F612" s="93"/>
      <c r="G612" s="201"/>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99"/>
      <c r="F613" s="93"/>
      <c r="G613" s="201"/>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99"/>
      <c r="F614" s="93"/>
      <c r="G614" s="201"/>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99"/>
      <c r="F615" s="93"/>
      <c r="G615" s="201"/>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99"/>
      <c r="F616" s="93"/>
      <c r="G616" s="201"/>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99"/>
      <c r="F617" s="93"/>
      <c r="G617" s="201"/>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99"/>
      <c r="F618" s="93"/>
      <c r="G618" s="201"/>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99"/>
      <c r="F619" s="93"/>
      <c r="G619" s="201"/>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99"/>
      <c r="F620" s="93"/>
      <c r="G620" s="201"/>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99"/>
      <c r="F621" s="93"/>
      <c r="G621" s="201"/>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99"/>
      <c r="F622" s="136"/>
      <c r="G622" s="201"/>
      <c r="H622" s="204"/>
      <c r="I622" s="204"/>
      <c r="J622" s="205"/>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81" t="s">
        <v>16</v>
      </c>
      <c r="J624" s="6" t="e">
        <f>INDEX('BASE FORMAÇÃO'!K:K,B624+1)</f>
        <v>#VALUE!</v>
      </c>
      <c r="K624" s="65"/>
      <c r="L624" s="183" t="s">
        <v>10</v>
      </c>
      <c r="M624" s="185"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7">
        <f t="shared" ref="E625" si="1884">D624</f>
        <v>1</v>
      </c>
      <c r="F625" s="92"/>
      <c r="G625" s="189" t="s">
        <v>1</v>
      </c>
      <c r="H625" s="192" t="e">
        <f>INDEX('BASE FORMAÇÃO'!C:C,B624+1)</f>
        <v>#VALUE!</v>
      </c>
      <c r="I625" s="192"/>
      <c r="J625" s="193"/>
      <c r="K625" s="66"/>
      <c r="L625" s="184"/>
      <c r="M625" s="186"/>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8"/>
      <c r="F626" s="93"/>
      <c r="G626" s="190"/>
      <c r="H626" s="194"/>
      <c r="I626" s="194"/>
      <c r="J626" s="195"/>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1"/>
      <c r="H627" s="196"/>
      <c r="I627" s="196"/>
      <c r="J627" s="197"/>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8" t="e">
        <f t="shared" ref="E628" si="1888">C624</f>
        <v>#VALUE!</v>
      </c>
      <c r="F628" s="93"/>
      <c r="G628" s="200" t="s">
        <v>304</v>
      </c>
      <c r="H628" s="202"/>
      <c r="I628" s="203"/>
      <c r="J628" s="203"/>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99"/>
      <c r="F629" s="93"/>
      <c r="G629" s="201"/>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99"/>
      <c r="F630" s="93"/>
      <c r="G630" s="201"/>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99"/>
      <c r="F631" s="93"/>
      <c r="G631" s="201"/>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99"/>
      <c r="F632" s="93"/>
      <c r="G632" s="201"/>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99"/>
      <c r="F633" s="93"/>
      <c r="G633" s="201"/>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99"/>
      <c r="F634" s="93"/>
      <c r="G634" s="201"/>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99"/>
      <c r="F635" s="93"/>
      <c r="G635" s="201"/>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99"/>
      <c r="F636" s="93"/>
      <c r="G636" s="201"/>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99"/>
      <c r="F637" s="93"/>
      <c r="G637" s="201"/>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99"/>
      <c r="F638" s="93"/>
      <c r="G638" s="201"/>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99"/>
      <c r="F639" s="93"/>
      <c r="G639" s="201"/>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99"/>
      <c r="F640" s="93"/>
      <c r="G640" s="201"/>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99"/>
      <c r="F641" s="93"/>
      <c r="G641" s="201"/>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99"/>
      <c r="F642" s="93"/>
      <c r="G642" s="201"/>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99"/>
      <c r="F643" s="136"/>
      <c r="G643" s="201"/>
      <c r="H643" s="204"/>
      <c r="I643" s="204"/>
      <c r="J643" s="205"/>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81" t="s">
        <v>16</v>
      </c>
      <c r="J645" s="6" t="e">
        <f>INDEX('BASE FORMAÇÃO'!K:K,B645+1)</f>
        <v>#VALUE!</v>
      </c>
      <c r="K645" s="65"/>
      <c r="L645" s="183" t="s">
        <v>10</v>
      </c>
      <c r="M645" s="185"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7">
        <f t="shared" ref="E646" si="1950">D645</f>
        <v>1</v>
      </c>
      <c r="F646" s="92"/>
      <c r="G646" s="189" t="s">
        <v>1</v>
      </c>
      <c r="H646" s="192" t="e">
        <f>INDEX('BASE FORMAÇÃO'!C:C,B645+1)</f>
        <v>#VALUE!</v>
      </c>
      <c r="I646" s="192"/>
      <c r="J646" s="193"/>
      <c r="K646" s="66"/>
      <c r="L646" s="184"/>
      <c r="M646" s="186"/>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8"/>
      <c r="F647" s="93"/>
      <c r="G647" s="190"/>
      <c r="H647" s="194"/>
      <c r="I647" s="194"/>
      <c r="J647" s="195"/>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1"/>
      <c r="H648" s="196"/>
      <c r="I648" s="196"/>
      <c r="J648" s="197"/>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8" t="e">
        <f t="shared" ref="E649" si="1954">C645</f>
        <v>#VALUE!</v>
      </c>
      <c r="F649" s="93"/>
      <c r="G649" s="200" t="s">
        <v>304</v>
      </c>
      <c r="H649" s="202"/>
      <c r="I649" s="203"/>
      <c r="J649" s="203"/>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99"/>
      <c r="F650" s="93"/>
      <c r="G650" s="201"/>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99"/>
      <c r="F651" s="93"/>
      <c r="G651" s="201"/>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99"/>
      <c r="F652" s="93"/>
      <c r="G652" s="201"/>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99"/>
      <c r="F653" s="93"/>
      <c r="G653" s="201"/>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99"/>
      <c r="F654" s="93"/>
      <c r="G654" s="201"/>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99"/>
      <c r="F655" s="93"/>
      <c r="G655" s="201"/>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99"/>
      <c r="F656" s="93"/>
      <c r="G656" s="201"/>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99"/>
      <c r="F657" s="93"/>
      <c r="G657" s="201"/>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99"/>
      <c r="F658" s="93"/>
      <c r="G658" s="201"/>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99"/>
      <c r="F659" s="93"/>
      <c r="G659" s="201"/>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99"/>
      <c r="F660" s="93"/>
      <c r="G660" s="201"/>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99"/>
      <c r="F661" s="93"/>
      <c r="G661" s="201"/>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99"/>
      <c r="F662" s="93"/>
      <c r="G662" s="201"/>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99"/>
      <c r="F663" s="93"/>
      <c r="G663" s="201"/>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99"/>
      <c r="F664" s="136"/>
      <c r="G664" s="201"/>
      <c r="H664" s="204"/>
      <c r="I664" s="204"/>
      <c r="J664" s="205"/>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81" t="s">
        <v>16</v>
      </c>
      <c r="J666" s="6" t="e">
        <f>INDEX('BASE FORMAÇÃO'!K:K,B666+1)</f>
        <v>#VALUE!</v>
      </c>
      <c r="K666" s="65"/>
      <c r="L666" s="183" t="s">
        <v>10</v>
      </c>
      <c r="M666" s="185"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7">
        <f t="shared" ref="E667" si="2016">D666</f>
        <v>1</v>
      </c>
      <c r="F667" s="92"/>
      <c r="G667" s="189" t="s">
        <v>1</v>
      </c>
      <c r="H667" s="192" t="e">
        <f>INDEX('BASE FORMAÇÃO'!C:C,B666+1)</f>
        <v>#VALUE!</v>
      </c>
      <c r="I667" s="192"/>
      <c r="J667" s="193"/>
      <c r="K667" s="66"/>
      <c r="L667" s="184"/>
      <c r="M667" s="186"/>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8"/>
      <c r="F668" s="93"/>
      <c r="G668" s="190"/>
      <c r="H668" s="194"/>
      <c r="I668" s="194"/>
      <c r="J668" s="195"/>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1"/>
      <c r="H669" s="196"/>
      <c r="I669" s="196"/>
      <c r="J669" s="197"/>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8" t="e">
        <f t="shared" ref="E670" si="2020">C666</f>
        <v>#VALUE!</v>
      </c>
      <c r="F670" s="93"/>
      <c r="G670" s="200" t="s">
        <v>304</v>
      </c>
      <c r="H670" s="202"/>
      <c r="I670" s="203"/>
      <c r="J670" s="203"/>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99"/>
      <c r="F671" s="93"/>
      <c r="G671" s="201"/>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99"/>
      <c r="F672" s="93"/>
      <c r="G672" s="201"/>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99"/>
      <c r="F673" s="93"/>
      <c r="G673" s="201"/>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99"/>
      <c r="F674" s="93"/>
      <c r="G674" s="201"/>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99"/>
      <c r="F675" s="93"/>
      <c r="G675" s="201"/>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99"/>
      <c r="F676" s="93"/>
      <c r="G676" s="201"/>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99"/>
      <c r="F677" s="93"/>
      <c r="G677" s="201"/>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99"/>
      <c r="F678" s="93"/>
      <c r="G678" s="201"/>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99"/>
      <c r="F679" s="93"/>
      <c r="G679" s="201"/>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99"/>
      <c r="F680" s="93"/>
      <c r="G680" s="201"/>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99"/>
      <c r="F681" s="93"/>
      <c r="G681" s="201"/>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99"/>
      <c r="F682" s="93"/>
      <c r="G682" s="201"/>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99"/>
      <c r="F683" s="93"/>
      <c r="G683" s="201"/>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99"/>
      <c r="F684" s="93"/>
      <c r="G684" s="201"/>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99"/>
      <c r="F685" s="136"/>
      <c r="G685" s="201"/>
      <c r="H685" s="204"/>
      <c r="I685" s="204"/>
      <c r="J685" s="205"/>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81" t="s">
        <v>16</v>
      </c>
      <c r="J687" s="6" t="e">
        <f>INDEX('BASE FORMAÇÃO'!K:K,B687+1)</f>
        <v>#VALUE!</v>
      </c>
      <c r="K687" s="65"/>
      <c r="L687" s="183" t="s">
        <v>10</v>
      </c>
      <c r="M687" s="185"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7">
        <f t="shared" ref="E688" si="2082">D687</f>
        <v>1</v>
      </c>
      <c r="F688" s="92"/>
      <c r="G688" s="189" t="s">
        <v>1</v>
      </c>
      <c r="H688" s="192" t="e">
        <f>INDEX('BASE FORMAÇÃO'!C:C,B687+1)</f>
        <v>#VALUE!</v>
      </c>
      <c r="I688" s="192"/>
      <c r="J688" s="193"/>
      <c r="K688" s="66"/>
      <c r="L688" s="184"/>
      <c r="M688" s="186"/>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8"/>
      <c r="F689" s="93"/>
      <c r="G689" s="190"/>
      <c r="H689" s="194"/>
      <c r="I689" s="194"/>
      <c r="J689" s="195"/>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1"/>
      <c r="H690" s="196"/>
      <c r="I690" s="196"/>
      <c r="J690" s="197"/>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8" t="e">
        <f t="shared" ref="E691" si="2086">C687</f>
        <v>#VALUE!</v>
      </c>
      <c r="F691" s="93"/>
      <c r="G691" s="200" t="s">
        <v>304</v>
      </c>
      <c r="H691" s="202"/>
      <c r="I691" s="203"/>
      <c r="J691" s="203"/>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99"/>
      <c r="F692" s="93"/>
      <c r="G692" s="201"/>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99"/>
      <c r="F693" s="93"/>
      <c r="G693" s="201"/>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99"/>
      <c r="F694" s="93"/>
      <c r="G694" s="201"/>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99"/>
      <c r="F695" s="93"/>
      <c r="G695" s="201"/>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99"/>
      <c r="F696" s="93"/>
      <c r="G696" s="201"/>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99"/>
      <c r="F697" s="93"/>
      <c r="G697" s="201"/>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99"/>
      <c r="F698" s="93"/>
      <c r="G698" s="201"/>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99"/>
      <c r="F699" s="93"/>
      <c r="G699" s="201"/>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99"/>
      <c r="F700" s="93"/>
      <c r="G700" s="201"/>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99"/>
      <c r="F701" s="93"/>
      <c r="G701" s="201"/>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99"/>
      <c r="F702" s="93"/>
      <c r="G702" s="201"/>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99"/>
      <c r="F703" s="93"/>
      <c r="G703" s="201"/>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99"/>
      <c r="F704" s="93"/>
      <c r="G704" s="201"/>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99"/>
      <c r="F705" s="93"/>
      <c r="G705" s="201"/>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99"/>
      <c r="F706" s="136"/>
      <c r="G706" s="201"/>
      <c r="H706" s="204"/>
      <c r="I706" s="204"/>
      <c r="J706" s="205"/>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81" t="s">
        <v>16</v>
      </c>
      <c r="J708" s="6" t="e">
        <f>INDEX('BASE FORMAÇÃO'!K:K,B708+1)</f>
        <v>#VALUE!</v>
      </c>
      <c r="K708" s="65"/>
      <c r="L708" s="183" t="s">
        <v>10</v>
      </c>
      <c r="M708" s="185"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7">
        <f t="shared" ref="E709" si="2148">D708</f>
        <v>1</v>
      </c>
      <c r="F709" s="92"/>
      <c r="G709" s="189" t="s">
        <v>1</v>
      </c>
      <c r="H709" s="192" t="e">
        <f>INDEX('BASE FORMAÇÃO'!C:C,B708+1)</f>
        <v>#VALUE!</v>
      </c>
      <c r="I709" s="192"/>
      <c r="J709" s="193"/>
      <c r="K709" s="66"/>
      <c r="L709" s="184"/>
      <c r="M709" s="186"/>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8"/>
      <c r="F710" s="93"/>
      <c r="G710" s="190"/>
      <c r="H710" s="194"/>
      <c r="I710" s="194"/>
      <c r="J710" s="195"/>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1"/>
      <c r="H711" s="196"/>
      <c r="I711" s="196"/>
      <c r="J711" s="197"/>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8" t="e">
        <f t="shared" ref="E712" si="2152">C708</f>
        <v>#VALUE!</v>
      </c>
      <c r="F712" s="93"/>
      <c r="G712" s="200" t="s">
        <v>304</v>
      </c>
      <c r="H712" s="202"/>
      <c r="I712" s="203"/>
      <c r="J712" s="203"/>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99"/>
      <c r="F713" s="93"/>
      <c r="G713" s="201"/>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99"/>
      <c r="F714" s="93"/>
      <c r="G714" s="201"/>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99"/>
      <c r="F715" s="93"/>
      <c r="G715" s="201"/>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99"/>
      <c r="F716" s="93"/>
      <c r="G716" s="201"/>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99"/>
      <c r="F717" s="93"/>
      <c r="G717" s="201"/>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99"/>
      <c r="F718" s="93"/>
      <c r="G718" s="201"/>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99"/>
      <c r="F719" s="93"/>
      <c r="G719" s="201"/>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99"/>
      <c r="F720" s="93"/>
      <c r="G720" s="201"/>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99"/>
      <c r="F721" s="93"/>
      <c r="G721" s="201"/>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99"/>
      <c r="F722" s="93"/>
      <c r="G722" s="201"/>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99"/>
      <c r="F723" s="93"/>
      <c r="G723" s="201"/>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99"/>
      <c r="F724" s="93"/>
      <c r="G724" s="201"/>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99"/>
      <c r="F725" s="93"/>
      <c r="G725" s="201"/>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99"/>
      <c r="F726" s="93"/>
      <c r="G726" s="201"/>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99"/>
      <c r="F727" s="136"/>
      <c r="G727" s="201"/>
      <c r="H727" s="204"/>
      <c r="I727" s="204"/>
      <c r="J727" s="205"/>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81" t="s">
        <v>16</v>
      </c>
      <c r="J729" s="6" t="e">
        <f>INDEX('BASE FORMAÇÃO'!K:K,B729+1)</f>
        <v>#VALUE!</v>
      </c>
      <c r="K729" s="65"/>
      <c r="L729" s="183" t="s">
        <v>10</v>
      </c>
      <c r="M729" s="185"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7">
        <f t="shared" ref="E730" si="2214">D729</f>
        <v>1</v>
      </c>
      <c r="F730" s="92"/>
      <c r="G730" s="189" t="s">
        <v>1</v>
      </c>
      <c r="H730" s="192" t="e">
        <f>INDEX('BASE FORMAÇÃO'!C:C,B729+1)</f>
        <v>#VALUE!</v>
      </c>
      <c r="I730" s="192"/>
      <c r="J730" s="193"/>
      <c r="K730" s="66"/>
      <c r="L730" s="184"/>
      <c r="M730" s="186"/>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8"/>
      <c r="F731" s="93"/>
      <c r="G731" s="190"/>
      <c r="H731" s="194"/>
      <c r="I731" s="194"/>
      <c r="J731" s="195"/>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1"/>
      <c r="H732" s="196"/>
      <c r="I732" s="196"/>
      <c r="J732" s="197"/>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8" t="e">
        <f t="shared" ref="E733" si="2218">C729</f>
        <v>#VALUE!</v>
      </c>
      <c r="F733" s="93"/>
      <c r="G733" s="200" t="s">
        <v>304</v>
      </c>
      <c r="H733" s="202"/>
      <c r="I733" s="203"/>
      <c r="J733" s="203"/>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99"/>
      <c r="F734" s="93"/>
      <c r="G734" s="201"/>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99"/>
      <c r="F735" s="93"/>
      <c r="G735" s="201"/>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99"/>
      <c r="F736" s="93"/>
      <c r="G736" s="201"/>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99"/>
      <c r="F737" s="93"/>
      <c r="G737" s="201"/>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99"/>
      <c r="F738" s="93"/>
      <c r="G738" s="201"/>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99"/>
      <c r="F739" s="93"/>
      <c r="G739" s="201"/>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99"/>
      <c r="F740" s="93"/>
      <c r="G740" s="201"/>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99"/>
      <c r="F741" s="93"/>
      <c r="G741" s="201"/>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99"/>
      <c r="F742" s="93"/>
      <c r="G742" s="201"/>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99"/>
      <c r="F743" s="93"/>
      <c r="G743" s="201"/>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99"/>
      <c r="F744" s="93"/>
      <c r="G744" s="201"/>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99"/>
      <c r="F745" s="93"/>
      <c r="G745" s="201"/>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99"/>
      <c r="F746" s="93"/>
      <c r="G746" s="201"/>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99"/>
      <c r="F747" s="93"/>
      <c r="G747" s="201"/>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99"/>
      <c r="F748" s="136"/>
      <c r="G748" s="201"/>
      <c r="H748" s="204"/>
      <c r="I748" s="204"/>
      <c r="J748" s="205"/>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81" t="s">
        <v>16</v>
      </c>
      <c r="J750" s="6" t="e">
        <f>INDEX('BASE FORMAÇÃO'!K:K,B750+1)</f>
        <v>#VALUE!</v>
      </c>
      <c r="K750" s="65"/>
      <c r="L750" s="183" t="s">
        <v>10</v>
      </c>
      <c r="M750" s="185"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7">
        <f t="shared" ref="E751" si="2280">D750</f>
        <v>1</v>
      </c>
      <c r="F751" s="92"/>
      <c r="G751" s="189" t="s">
        <v>1</v>
      </c>
      <c r="H751" s="192" t="e">
        <f>INDEX('BASE FORMAÇÃO'!C:C,B750+1)</f>
        <v>#VALUE!</v>
      </c>
      <c r="I751" s="192"/>
      <c r="J751" s="193"/>
      <c r="K751" s="66"/>
      <c r="L751" s="184"/>
      <c r="M751" s="186"/>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8"/>
      <c r="F752" s="93"/>
      <c r="G752" s="190"/>
      <c r="H752" s="194"/>
      <c r="I752" s="194"/>
      <c r="J752" s="195"/>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1"/>
      <c r="H753" s="196"/>
      <c r="I753" s="196"/>
      <c r="J753" s="197"/>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8" t="e">
        <f t="shared" ref="E754" si="2284">C750</f>
        <v>#VALUE!</v>
      </c>
      <c r="F754" s="93"/>
      <c r="G754" s="200" t="s">
        <v>304</v>
      </c>
      <c r="H754" s="202"/>
      <c r="I754" s="203"/>
      <c r="J754" s="203"/>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99"/>
      <c r="F755" s="93"/>
      <c r="G755" s="201"/>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99"/>
      <c r="F756" s="93"/>
      <c r="G756" s="201"/>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99"/>
      <c r="F757" s="93"/>
      <c r="G757" s="201"/>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99"/>
      <c r="F758" s="93"/>
      <c r="G758" s="201"/>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99"/>
      <c r="F759" s="93"/>
      <c r="G759" s="201"/>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99"/>
      <c r="F760" s="93"/>
      <c r="G760" s="201"/>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99"/>
      <c r="F761" s="93"/>
      <c r="G761" s="201"/>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99"/>
      <c r="F762" s="93"/>
      <c r="G762" s="201"/>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99"/>
      <c r="F763" s="93"/>
      <c r="G763" s="201"/>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99"/>
      <c r="F764" s="93"/>
      <c r="G764" s="201"/>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99"/>
      <c r="F765" s="93"/>
      <c r="G765" s="201"/>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99"/>
      <c r="F766" s="93"/>
      <c r="G766" s="201"/>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99"/>
      <c r="F767" s="93"/>
      <c r="G767" s="201"/>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99"/>
      <c r="F768" s="93"/>
      <c r="G768" s="201"/>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99"/>
      <c r="F769" s="136"/>
      <c r="G769" s="201"/>
      <c r="H769" s="204"/>
      <c r="I769" s="204"/>
      <c r="J769" s="205"/>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81" t="s">
        <v>16</v>
      </c>
      <c r="J771" s="6" t="e">
        <f>INDEX('BASE FORMAÇÃO'!K:K,B771+1)</f>
        <v>#VALUE!</v>
      </c>
      <c r="K771" s="65"/>
      <c r="L771" s="183" t="s">
        <v>10</v>
      </c>
      <c r="M771" s="185"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7">
        <f t="shared" ref="E772" si="2346">D771</f>
        <v>1</v>
      </c>
      <c r="F772" s="92"/>
      <c r="G772" s="189" t="s">
        <v>1</v>
      </c>
      <c r="H772" s="192" t="e">
        <f>INDEX('BASE FORMAÇÃO'!C:C,B771+1)</f>
        <v>#VALUE!</v>
      </c>
      <c r="I772" s="192"/>
      <c r="J772" s="193"/>
      <c r="K772" s="66"/>
      <c r="L772" s="184"/>
      <c r="M772" s="186"/>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8"/>
      <c r="F773" s="93"/>
      <c r="G773" s="190"/>
      <c r="H773" s="194"/>
      <c r="I773" s="194"/>
      <c r="J773" s="195"/>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1"/>
      <c r="H774" s="196"/>
      <c r="I774" s="196"/>
      <c r="J774" s="197"/>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8" t="e">
        <f t="shared" ref="E775" si="2350">C771</f>
        <v>#VALUE!</v>
      </c>
      <c r="F775" s="93"/>
      <c r="G775" s="200" t="s">
        <v>304</v>
      </c>
      <c r="H775" s="202"/>
      <c r="I775" s="203"/>
      <c r="J775" s="203"/>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99"/>
      <c r="F776" s="93"/>
      <c r="G776" s="201"/>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99"/>
      <c r="F777" s="93"/>
      <c r="G777" s="201"/>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99"/>
      <c r="F778" s="93"/>
      <c r="G778" s="201"/>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99"/>
      <c r="F779" s="93"/>
      <c r="G779" s="201"/>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99"/>
      <c r="F780" s="93"/>
      <c r="G780" s="201"/>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99"/>
      <c r="F781" s="93"/>
      <c r="G781" s="201"/>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99"/>
      <c r="F782" s="93"/>
      <c r="G782" s="201"/>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99"/>
      <c r="F783" s="93"/>
      <c r="G783" s="201"/>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99"/>
      <c r="F784" s="93"/>
      <c r="G784" s="201"/>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99"/>
      <c r="F785" s="93"/>
      <c r="G785" s="201"/>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99"/>
      <c r="F786" s="93"/>
      <c r="G786" s="201"/>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99"/>
      <c r="F787" s="93"/>
      <c r="G787" s="201"/>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99"/>
      <c r="F788" s="93"/>
      <c r="G788" s="201"/>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99"/>
      <c r="F789" s="93"/>
      <c r="G789" s="201"/>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99"/>
      <c r="F790" s="136"/>
      <c r="G790" s="201"/>
      <c r="H790" s="204"/>
      <c r="I790" s="204"/>
      <c r="J790" s="205"/>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81" t="s">
        <v>16</v>
      </c>
      <c r="J792" s="6" t="e">
        <f>INDEX('BASE FORMAÇÃO'!K:K,B792+1)</f>
        <v>#VALUE!</v>
      </c>
      <c r="K792" s="65"/>
      <c r="L792" s="183" t="s">
        <v>10</v>
      </c>
      <c r="M792" s="185"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7">
        <f t="shared" ref="E793" si="2412">D792</f>
        <v>1</v>
      </c>
      <c r="F793" s="92"/>
      <c r="G793" s="189" t="s">
        <v>1</v>
      </c>
      <c r="H793" s="192" t="e">
        <f>INDEX('BASE FORMAÇÃO'!C:C,B792+1)</f>
        <v>#VALUE!</v>
      </c>
      <c r="I793" s="192"/>
      <c r="J793" s="193"/>
      <c r="K793" s="66"/>
      <c r="L793" s="184"/>
      <c r="M793" s="186"/>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8"/>
      <c r="F794" s="93"/>
      <c r="G794" s="190"/>
      <c r="H794" s="194"/>
      <c r="I794" s="194"/>
      <c r="J794" s="195"/>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1"/>
      <c r="H795" s="196"/>
      <c r="I795" s="196"/>
      <c r="J795" s="197"/>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8" t="e">
        <f t="shared" ref="E796" si="2416">C792</f>
        <v>#VALUE!</v>
      </c>
      <c r="F796" s="93"/>
      <c r="G796" s="200" t="s">
        <v>304</v>
      </c>
      <c r="H796" s="202"/>
      <c r="I796" s="203"/>
      <c r="J796" s="203"/>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99"/>
      <c r="F797" s="93"/>
      <c r="G797" s="201"/>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99"/>
      <c r="F798" s="93"/>
      <c r="G798" s="201"/>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99"/>
      <c r="F799" s="93"/>
      <c r="G799" s="201"/>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99"/>
      <c r="F800" s="93"/>
      <c r="G800" s="201"/>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99"/>
      <c r="F801" s="93"/>
      <c r="G801" s="201"/>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99"/>
      <c r="F802" s="93"/>
      <c r="G802" s="201"/>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99"/>
      <c r="F803" s="93"/>
      <c r="G803" s="201"/>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99"/>
      <c r="F804" s="93"/>
      <c r="G804" s="201"/>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99"/>
      <c r="F805" s="93"/>
      <c r="G805" s="201"/>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99"/>
      <c r="F806" s="93"/>
      <c r="G806" s="201"/>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99"/>
      <c r="F807" s="93"/>
      <c r="G807" s="201"/>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99"/>
      <c r="F808" s="93"/>
      <c r="G808" s="201"/>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99"/>
      <c r="F809" s="93"/>
      <c r="G809" s="201"/>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99"/>
      <c r="F810" s="93"/>
      <c r="G810" s="201"/>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99"/>
      <c r="F811" s="136"/>
      <c r="G811" s="201"/>
      <c r="H811" s="204"/>
      <c r="I811" s="204"/>
      <c r="J811" s="205"/>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81" t="s">
        <v>16</v>
      </c>
      <c r="J813" s="6" t="e">
        <f>INDEX('BASE FORMAÇÃO'!K:K,B813+1)</f>
        <v>#VALUE!</v>
      </c>
      <c r="K813" s="65"/>
      <c r="L813" s="183" t="s">
        <v>10</v>
      </c>
      <c r="M813" s="185"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7">
        <f t="shared" ref="E814" si="2478">D813</f>
        <v>1</v>
      </c>
      <c r="F814" s="92"/>
      <c r="G814" s="189" t="s">
        <v>1</v>
      </c>
      <c r="H814" s="192" t="e">
        <f>INDEX('BASE FORMAÇÃO'!C:C,B813+1)</f>
        <v>#VALUE!</v>
      </c>
      <c r="I814" s="192"/>
      <c r="J814" s="193"/>
      <c r="K814" s="66"/>
      <c r="L814" s="184"/>
      <c r="M814" s="186"/>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8"/>
      <c r="F815" s="93"/>
      <c r="G815" s="190"/>
      <c r="H815" s="194"/>
      <c r="I815" s="194"/>
      <c r="J815" s="195"/>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1"/>
      <c r="H816" s="196"/>
      <c r="I816" s="196"/>
      <c r="J816" s="197"/>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8" t="e">
        <f t="shared" ref="E817" si="2482">C813</f>
        <v>#VALUE!</v>
      </c>
      <c r="F817" s="93"/>
      <c r="G817" s="200" t="s">
        <v>304</v>
      </c>
      <c r="H817" s="202"/>
      <c r="I817" s="203"/>
      <c r="J817" s="203"/>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99"/>
      <c r="F818" s="93"/>
      <c r="G818" s="201"/>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99"/>
      <c r="F819" s="93"/>
      <c r="G819" s="201"/>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99"/>
      <c r="F820" s="93"/>
      <c r="G820" s="201"/>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99"/>
      <c r="F821" s="93"/>
      <c r="G821" s="201"/>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99"/>
      <c r="F822" s="93"/>
      <c r="G822" s="201"/>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99"/>
      <c r="F823" s="93"/>
      <c r="G823" s="201"/>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99"/>
      <c r="F824" s="93"/>
      <c r="G824" s="201"/>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99"/>
      <c r="F825" s="93"/>
      <c r="G825" s="201"/>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99"/>
      <c r="F826" s="93"/>
      <c r="G826" s="201"/>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99"/>
      <c r="F827" s="93"/>
      <c r="G827" s="201"/>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99"/>
      <c r="F828" s="93"/>
      <c r="G828" s="201"/>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99"/>
      <c r="F829" s="93"/>
      <c r="G829" s="201"/>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99"/>
      <c r="F830" s="93"/>
      <c r="G830" s="201"/>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99"/>
      <c r="F831" s="93"/>
      <c r="G831" s="201"/>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99"/>
      <c r="F832" s="136"/>
      <c r="G832" s="201"/>
      <c r="H832" s="204"/>
      <c r="I832" s="204"/>
      <c r="J832" s="205"/>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81" t="s">
        <v>16</v>
      </c>
      <c r="J834" s="6" t="e">
        <f>INDEX('BASE FORMAÇÃO'!K:K,B834+1)</f>
        <v>#VALUE!</v>
      </c>
      <c r="K834" s="65"/>
      <c r="L834" s="183" t="s">
        <v>10</v>
      </c>
      <c r="M834" s="185"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7">
        <f t="shared" ref="E835" si="2544">D834</f>
        <v>1</v>
      </c>
      <c r="F835" s="92"/>
      <c r="G835" s="189" t="s">
        <v>1</v>
      </c>
      <c r="H835" s="192" t="e">
        <f>INDEX('BASE FORMAÇÃO'!C:C,B834+1)</f>
        <v>#VALUE!</v>
      </c>
      <c r="I835" s="192"/>
      <c r="J835" s="193"/>
      <c r="K835" s="66"/>
      <c r="L835" s="184"/>
      <c r="M835" s="186"/>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8"/>
      <c r="F836" s="93"/>
      <c r="G836" s="190"/>
      <c r="H836" s="194"/>
      <c r="I836" s="194"/>
      <c r="J836" s="195"/>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1"/>
      <c r="H837" s="196"/>
      <c r="I837" s="196"/>
      <c r="J837" s="197"/>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8" t="e">
        <f t="shared" ref="E838" si="2548">C834</f>
        <v>#VALUE!</v>
      </c>
      <c r="F838" s="93"/>
      <c r="G838" s="200" t="s">
        <v>304</v>
      </c>
      <c r="H838" s="202"/>
      <c r="I838" s="203"/>
      <c r="J838" s="203"/>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99"/>
      <c r="F839" s="93"/>
      <c r="G839" s="201"/>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99"/>
      <c r="F840" s="93"/>
      <c r="G840" s="201"/>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99"/>
      <c r="F841" s="93"/>
      <c r="G841" s="201"/>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99"/>
      <c r="F842" s="93"/>
      <c r="G842" s="201"/>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99"/>
      <c r="F843" s="93"/>
      <c r="G843" s="201"/>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99"/>
      <c r="F844" s="93"/>
      <c r="G844" s="201"/>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99"/>
      <c r="F845" s="93"/>
      <c r="G845" s="201"/>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99"/>
      <c r="F846" s="93"/>
      <c r="G846" s="201"/>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99"/>
      <c r="F847" s="93"/>
      <c r="G847" s="201"/>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99"/>
      <c r="F848" s="93"/>
      <c r="G848" s="201"/>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99"/>
      <c r="F849" s="93"/>
      <c r="G849" s="201"/>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99"/>
      <c r="F850" s="93"/>
      <c r="G850" s="201"/>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99"/>
      <c r="F851" s="93"/>
      <c r="G851" s="201"/>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99"/>
      <c r="F852" s="93"/>
      <c r="G852" s="201"/>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99"/>
      <c r="F853" s="136"/>
      <c r="G853" s="201"/>
      <c r="H853" s="204"/>
      <c r="I853" s="204"/>
      <c r="J853" s="205"/>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81" t="s">
        <v>16</v>
      </c>
      <c r="J855" s="6" t="e">
        <f>INDEX('BASE FORMAÇÃO'!K:K,B855+1)</f>
        <v>#VALUE!</v>
      </c>
      <c r="K855" s="65"/>
      <c r="L855" s="183" t="s">
        <v>10</v>
      </c>
      <c r="M855" s="185"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7">
        <f t="shared" ref="E856" si="2610">D855</f>
        <v>1</v>
      </c>
      <c r="F856" s="92"/>
      <c r="G856" s="189" t="s">
        <v>1</v>
      </c>
      <c r="H856" s="192" t="e">
        <f>INDEX('BASE FORMAÇÃO'!C:C,B855+1)</f>
        <v>#VALUE!</v>
      </c>
      <c r="I856" s="192"/>
      <c r="J856" s="193"/>
      <c r="K856" s="66"/>
      <c r="L856" s="184"/>
      <c r="M856" s="186"/>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8"/>
      <c r="F857" s="93"/>
      <c r="G857" s="190"/>
      <c r="H857" s="194"/>
      <c r="I857" s="194"/>
      <c r="J857" s="195"/>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1"/>
      <c r="H858" s="196"/>
      <c r="I858" s="196"/>
      <c r="J858" s="197"/>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8" t="e">
        <f t="shared" ref="E859" si="2614">C855</f>
        <v>#VALUE!</v>
      </c>
      <c r="F859" s="93"/>
      <c r="G859" s="200" t="s">
        <v>304</v>
      </c>
      <c r="H859" s="202"/>
      <c r="I859" s="203"/>
      <c r="J859" s="203"/>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99"/>
      <c r="F860" s="93"/>
      <c r="G860" s="201"/>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99"/>
      <c r="F861" s="93"/>
      <c r="G861" s="201"/>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99"/>
      <c r="F862" s="93"/>
      <c r="G862" s="201"/>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99"/>
      <c r="F863" s="93"/>
      <c r="G863" s="201"/>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99"/>
      <c r="F864" s="93"/>
      <c r="G864" s="201"/>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99"/>
      <c r="F865" s="93"/>
      <c r="G865" s="201"/>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99"/>
      <c r="F866" s="93"/>
      <c r="G866" s="201"/>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99"/>
      <c r="F867" s="93"/>
      <c r="G867" s="201"/>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99"/>
      <c r="F868" s="93"/>
      <c r="G868" s="201"/>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99"/>
      <c r="F869" s="93"/>
      <c r="G869" s="201"/>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99"/>
      <c r="F870" s="93"/>
      <c r="G870" s="201"/>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99"/>
      <c r="F871" s="93"/>
      <c r="G871" s="201"/>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99"/>
      <c r="F872" s="93"/>
      <c r="G872" s="201"/>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99"/>
      <c r="F873" s="93"/>
      <c r="G873" s="201"/>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99"/>
      <c r="F874" s="136"/>
      <c r="G874" s="201"/>
      <c r="H874" s="204"/>
      <c r="I874" s="204"/>
      <c r="J874" s="205"/>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81" t="s">
        <v>16</v>
      </c>
      <c r="J876" s="6" t="e">
        <f>INDEX('BASE FORMAÇÃO'!K:K,B876+1)</f>
        <v>#VALUE!</v>
      </c>
      <c r="K876" s="65"/>
      <c r="L876" s="183" t="s">
        <v>10</v>
      </c>
      <c r="M876" s="185"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7">
        <f t="shared" ref="E877" si="2676">D876</f>
        <v>1</v>
      </c>
      <c r="F877" s="92"/>
      <c r="G877" s="189" t="s">
        <v>1</v>
      </c>
      <c r="H877" s="192" t="e">
        <f>INDEX('BASE FORMAÇÃO'!C:C,B876+1)</f>
        <v>#VALUE!</v>
      </c>
      <c r="I877" s="192"/>
      <c r="J877" s="193"/>
      <c r="K877" s="66"/>
      <c r="L877" s="184"/>
      <c r="M877" s="186"/>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8"/>
      <c r="F878" s="93"/>
      <c r="G878" s="190"/>
      <c r="H878" s="194"/>
      <c r="I878" s="194"/>
      <c r="J878" s="195"/>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1"/>
      <c r="H879" s="196"/>
      <c r="I879" s="196"/>
      <c r="J879" s="197"/>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8" t="e">
        <f t="shared" ref="E880" si="2680">C876</f>
        <v>#VALUE!</v>
      </c>
      <c r="F880" s="93"/>
      <c r="G880" s="200" t="s">
        <v>304</v>
      </c>
      <c r="H880" s="202"/>
      <c r="I880" s="203"/>
      <c r="J880" s="203"/>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99"/>
      <c r="F881" s="93"/>
      <c r="G881" s="201"/>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99"/>
      <c r="F882" s="93"/>
      <c r="G882" s="201"/>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99"/>
      <c r="F883" s="93"/>
      <c r="G883" s="201"/>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99"/>
      <c r="F884" s="93"/>
      <c r="G884" s="201"/>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99"/>
      <c r="F885" s="93"/>
      <c r="G885" s="201"/>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99"/>
      <c r="F886" s="93"/>
      <c r="G886" s="201"/>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99"/>
      <c r="F887" s="93"/>
      <c r="G887" s="201"/>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99"/>
      <c r="F888" s="93"/>
      <c r="G888" s="201"/>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99"/>
      <c r="F889" s="93"/>
      <c r="G889" s="201"/>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99"/>
      <c r="F890" s="93"/>
      <c r="G890" s="201"/>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99"/>
      <c r="F891" s="93"/>
      <c r="G891" s="201"/>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99"/>
      <c r="F892" s="93"/>
      <c r="G892" s="201"/>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99"/>
      <c r="F893" s="93"/>
      <c r="G893" s="201"/>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99"/>
      <c r="F894" s="93"/>
      <c r="G894" s="201"/>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99"/>
      <c r="F895" s="136"/>
      <c r="G895" s="201"/>
      <c r="H895" s="204"/>
      <c r="I895" s="204"/>
      <c r="J895" s="205"/>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81" t="s">
        <v>16</v>
      </c>
      <c r="J897" s="6" t="e">
        <f>INDEX('BASE FORMAÇÃO'!K:K,B897+1)</f>
        <v>#VALUE!</v>
      </c>
      <c r="K897" s="65"/>
      <c r="L897" s="183" t="s">
        <v>10</v>
      </c>
      <c r="M897" s="185"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7">
        <f t="shared" ref="E898" si="2742">D897</f>
        <v>1</v>
      </c>
      <c r="F898" s="92"/>
      <c r="G898" s="189" t="s">
        <v>1</v>
      </c>
      <c r="H898" s="192" t="e">
        <f>INDEX('BASE FORMAÇÃO'!C:C,B897+1)</f>
        <v>#VALUE!</v>
      </c>
      <c r="I898" s="192"/>
      <c r="J898" s="193"/>
      <c r="K898" s="66"/>
      <c r="L898" s="184"/>
      <c r="M898" s="186"/>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8"/>
      <c r="F899" s="93"/>
      <c r="G899" s="190"/>
      <c r="H899" s="194"/>
      <c r="I899" s="194"/>
      <c r="J899" s="195"/>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1"/>
      <c r="H900" s="196"/>
      <c r="I900" s="196"/>
      <c r="J900" s="197"/>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8" t="e">
        <f t="shared" ref="E901" si="2746">C897</f>
        <v>#VALUE!</v>
      </c>
      <c r="F901" s="93"/>
      <c r="G901" s="200" t="s">
        <v>304</v>
      </c>
      <c r="H901" s="202"/>
      <c r="I901" s="203"/>
      <c r="J901" s="203"/>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99"/>
      <c r="F902" s="93"/>
      <c r="G902" s="201"/>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99"/>
      <c r="F903" s="93"/>
      <c r="G903" s="201"/>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99"/>
      <c r="F904" s="93"/>
      <c r="G904" s="201"/>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99"/>
      <c r="F905" s="93"/>
      <c r="G905" s="201"/>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99"/>
      <c r="F906" s="93"/>
      <c r="G906" s="201"/>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99"/>
      <c r="F907" s="93"/>
      <c r="G907" s="201"/>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99"/>
      <c r="F908" s="93"/>
      <c r="G908" s="201"/>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99"/>
      <c r="F909" s="93"/>
      <c r="G909" s="201"/>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99"/>
      <c r="F910" s="93"/>
      <c r="G910" s="201"/>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99"/>
      <c r="F911" s="93"/>
      <c r="G911" s="201"/>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99"/>
      <c r="F912" s="93"/>
      <c r="G912" s="201"/>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99"/>
      <c r="F913" s="93"/>
      <c r="G913" s="201"/>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99"/>
      <c r="F914" s="93"/>
      <c r="G914" s="201"/>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99"/>
      <c r="F915" s="93"/>
      <c r="G915" s="201"/>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99"/>
      <c r="F916" s="136"/>
      <c r="G916" s="201"/>
      <c r="H916" s="204"/>
      <c r="I916" s="204"/>
      <c r="J916" s="205"/>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81" t="s">
        <v>16</v>
      </c>
      <c r="J918" s="6" t="e">
        <f>INDEX('BASE FORMAÇÃO'!K:K,B918+1)</f>
        <v>#VALUE!</v>
      </c>
      <c r="K918" s="65"/>
      <c r="L918" s="183" t="s">
        <v>10</v>
      </c>
      <c r="M918" s="185"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7">
        <f t="shared" ref="E919" si="2808">D918</f>
        <v>1</v>
      </c>
      <c r="F919" s="92"/>
      <c r="G919" s="189" t="s">
        <v>1</v>
      </c>
      <c r="H919" s="192" t="e">
        <f>INDEX('BASE FORMAÇÃO'!C:C,B918+1)</f>
        <v>#VALUE!</v>
      </c>
      <c r="I919" s="192"/>
      <c r="J919" s="193"/>
      <c r="K919" s="66"/>
      <c r="L919" s="184"/>
      <c r="M919" s="186"/>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8"/>
      <c r="F920" s="93"/>
      <c r="G920" s="190"/>
      <c r="H920" s="194"/>
      <c r="I920" s="194"/>
      <c r="J920" s="195"/>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1"/>
      <c r="H921" s="196"/>
      <c r="I921" s="196"/>
      <c r="J921" s="197"/>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8" t="e">
        <f t="shared" ref="E922" si="2812">C918</f>
        <v>#VALUE!</v>
      </c>
      <c r="F922" s="93"/>
      <c r="G922" s="200" t="s">
        <v>304</v>
      </c>
      <c r="H922" s="202"/>
      <c r="I922" s="203"/>
      <c r="J922" s="203"/>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99"/>
      <c r="F923" s="93"/>
      <c r="G923" s="201"/>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99"/>
      <c r="F924" s="93"/>
      <c r="G924" s="201"/>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99"/>
      <c r="F925" s="93"/>
      <c r="G925" s="201"/>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99"/>
      <c r="F926" s="93"/>
      <c r="G926" s="201"/>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99"/>
      <c r="F927" s="93"/>
      <c r="G927" s="201"/>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99"/>
      <c r="F928" s="93"/>
      <c r="G928" s="201"/>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99"/>
      <c r="F929" s="93"/>
      <c r="G929" s="201"/>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99"/>
      <c r="F930" s="93"/>
      <c r="G930" s="201"/>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99"/>
      <c r="F931" s="93"/>
      <c r="G931" s="201"/>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99"/>
      <c r="F932" s="93"/>
      <c r="G932" s="201"/>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99"/>
      <c r="F933" s="93"/>
      <c r="G933" s="201"/>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99"/>
      <c r="F934" s="93"/>
      <c r="G934" s="201"/>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99"/>
      <c r="F935" s="93"/>
      <c r="G935" s="201"/>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99"/>
      <c r="F936" s="93"/>
      <c r="G936" s="201"/>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99"/>
      <c r="F937" s="136"/>
      <c r="G937" s="201"/>
      <c r="H937" s="204"/>
      <c r="I937" s="204"/>
      <c r="J937" s="205"/>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81" t="s">
        <v>16</v>
      </c>
      <c r="J939" s="6" t="e">
        <f>INDEX('BASE FORMAÇÃO'!K:K,B939+1)</f>
        <v>#VALUE!</v>
      </c>
      <c r="K939" s="65"/>
      <c r="L939" s="183" t="s">
        <v>10</v>
      </c>
      <c r="M939" s="185"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7">
        <f t="shared" ref="E940" si="2874">D939</f>
        <v>1</v>
      </c>
      <c r="F940" s="92"/>
      <c r="G940" s="189" t="s">
        <v>1</v>
      </c>
      <c r="H940" s="192" t="e">
        <f>INDEX('BASE FORMAÇÃO'!C:C,B939+1)</f>
        <v>#VALUE!</v>
      </c>
      <c r="I940" s="192"/>
      <c r="J940" s="193"/>
      <c r="K940" s="66"/>
      <c r="L940" s="184"/>
      <c r="M940" s="186"/>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8"/>
      <c r="F941" s="93"/>
      <c r="G941" s="190"/>
      <c r="H941" s="194"/>
      <c r="I941" s="194"/>
      <c r="J941" s="195"/>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1"/>
      <c r="H942" s="196"/>
      <c r="I942" s="196"/>
      <c r="J942" s="197"/>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8" t="e">
        <f t="shared" ref="E943" si="2878">C939</f>
        <v>#VALUE!</v>
      </c>
      <c r="F943" s="93"/>
      <c r="G943" s="200" t="s">
        <v>304</v>
      </c>
      <c r="H943" s="202"/>
      <c r="I943" s="203"/>
      <c r="J943" s="203"/>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99"/>
      <c r="F944" s="93"/>
      <c r="G944" s="201"/>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99"/>
      <c r="F945" s="93"/>
      <c r="G945" s="201"/>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99"/>
      <c r="F946" s="93"/>
      <c r="G946" s="201"/>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99"/>
      <c r="F947" s="93"/>
      <c r="G947" s="201"/>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99"/>
      <c r="F948" s="93"/>
      <c r="G948" s="201"/>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99"/>
      <c r="F949" s="93"/>
      <c r="G949" s="201"/>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99"/>
      <c r="F950" s="93"/>
      <c r="G950" s="201"/>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99"/>
      <c r="F951" s="93"/>
      <c r="G951" s="201"/>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99"/>
      <c r="F952" s="93"/>
      <c r="G952" s="201"/>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99"/>
      <c r="F953" s="93"/>
      <c r="G953" s="201"/>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99"/>
      <c r="F954" s="93"/>
      <c r="G954" s="201"/>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99"/>
      <c r="F955" s="93"/>
      <c r="G955" s="201"/>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99"/>
      <c r="F956" s="93"/>
      <c r="G956" s="201"/>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99"/>
      <c r="F957" s="93"/>
      <c r="G957" s="201"/>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99"/>
      <c r="F958" s="136"/>
      <c r="G958" s="201"/>
      <c r="H958" s="204"/>
      <c r="I958" s="204"/>
      <c r="J958" s="205"/>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81" t="s">
        <v>16</v>
      </c>
      <c r="J960" s="6" t="e">
        <f>INDEX('BASE FORMAÇÃO'!K:K,B960+1)</f>
        <v>#VALUE!</v>
      </c>
      <c r="K960" s="65"/>
      <c r="L960" s="183" t="s">
        <v>10</v>
      </c>
      <c r="M960" s="185"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7">
        <f t="shared" ref="E961" si="2940">D960</f>
        <v>1</v>
      </c>
      <c r="F961" s="92"/>
      <c r="G961" s="189" t="s">
        <v>1</v>
      </c>
      <c r="H961" s="192" t="e">
        <f>INDEX('BASE FORMAÇÃO'!C:C,B960+1)</f>
        <v>#VALUE!</v>
      </c>
      <c r="I961" s="192"/>
      <c r="J961" s="193"/>
      <c r="K961" s="66"/>
      <c r="L961" s="184"/>
      <c r="M961" s="186"/>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8"/>
      <c r="F962" s="93"/>
      <c r="G962" s="190"/>
      <c r="H962" s="194"/>
      <c r="I962" s="194"/>
      <c r="J962" s="195"/>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1"/>
      <c r="H963" s="196"/>
      <c r="I963" s="196"/>
      <c r="J963" s="197"/>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8" t="e">
        <f t="shared" ref="E964" si="2944">C960</f>
        <v>#VALUE!</v>
      </c>
      <c r="F964" s="93"/>
      <c r="G964" s="200" t="s">
        <v>304</v>
      </c>
      <c r="H964" s="202"/>
      <c r="I964" s="203"/>
      <c r="J964" s="203"/>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99"/>
      <c r="F965" s="93"/>
      <c r="G965" s="201"/>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99"/>
      <c r="F966" s="93"/>
      <c r="G966" s="201"/>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99"/>
      <c r="F967" s="93"/>
      <c r="G967" s="201"/>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99"/>
      <c r="F968" s="93"/>
      <c r="G968" s="201"/>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99"/>
      <c r="F969" s="93"/>
      <c r="G969" s="201"/>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99"/>
      <c r="F970" s="93"/>
      <c r="G970" s="201"/>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99"/>
      <c r="F971" s="93"/>
      <c r="G971" s="201"/>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99"/>
      <c r="F972" s="93"/>
      <c r="G972" s="201"/>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99"/>
      <c r="F973" s="93"/>
      <c r="G973" s="201"/>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99"/>
      <c r="F974" s="93"/>
      <c r="G974" s="201"/>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99"/>
      <c r="F975" s="93"/>
      <c r="G975" s="201"/>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99"/>
      <c r="F976" s="93"/>
      <c r="G976" s="201"/>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99"/>
      <c r="F977" s="93"/>
      <c r="G977" s="201"/>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99"/>
      <c r="F978" s="93"/>
      <c r="G978" s="201"/>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99"/>
      <c r="F979" s="136"/>
      <c r="G979" s="201"/>
      <c r="H979" s="204"/>
      <c r="I979" s="204"/>
      <c r="J979" s="205"/>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81" t="s">
        <v>16</v>
      </c>
      <c r="J981" s="6" t="e">
        <f>INDEX('BASE FORMAÇÃO'!K:K,B981+1)</f>
        <v>#VALUE!</v>
      </c>
      <c r="K981" s="65"/>
      <c r="L981" s="183" t="s">
        <v>10</v>
      </c>
      <c r="M981" s="185"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7">
        <f t="shared" ref="E982" si="3006">D981</f>
        <v>1</v>
      </c>
      <c r="F982" s="92"/>
      <c r="G982" s="189" t="s">
        <v>1</v>
      </c>
      <c r="H982" s="192" t="e">
        <f>INDEX('BASE FORMAÇÃO'!C:C,B981+1)</f>
        <v>#VALUE!</v>
      </c>
      <c r="I982" s="192"/>
      <c r="J982" s="193"/>
      <c r="K982" s="66"/>
      <c r="L982" s="184"/>
      <c r="M982" s="186"/>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8"/>
      <c r="F983" s="93"/>
      <c r="G983" s="190"/>
      <c r="H983" s="194"/>
      <c r="I983" s="194"/>
      <c r="J983" s="195"/>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1"/>
      <c r="H984" s="196"/>
      <c r="I984" s="196"/>
      <c r="J984" s="197"/>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8" t="e">
        <f t="shared" ref="E985" si="3010">C981</f>
        <v>#VALUE!</v>
      </c>
      <c r="F985" s="93"/>
      <c r="G985" s="200" t="s">
        <v>304</v>
      </c>
      <c r="H985" s="202"/>
      <c r="I985" s="203"/>
      <c r="J985" s="203"/>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99"/>
      <c r="F986" s="93"/>
      <c r="G986" s="201"/>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99"/>
      <c r="F987" s="93"/>
      <c r="G987" s="201"/>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99"/>
      <c r="F988" s="93"/>
      <c r="G988" s="201"/>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99"/>
      <c r="F989" s="93"/>
      <c r="G989" s="201"/>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99"/>
      <c r="F990" s="93"/>
      <c r="G990" s="201"/>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99"/>
      <c r="F991" s="93"/>
      <c r="G991" s="201"/>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99"/>
      <c r="F992" s="93"/>
      <c r="G992" s="201"/>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99"/>
      <c r="F993" s="93"/>
      <c r="G993" s="201"/>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99"/>
      <c r="F994" s="93"/>
      <c r="G994" s="201"/>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99"/>
      <c r="F995" s="93"/>
      <c r="G995" s="201"/>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99"/>
      <c r="F996" s="93"/>
      <c r="G996" s="201"/>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99"/>
      <c r="F997" s="93"/>
      <c r="G997" s="201"/>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99"/>
      <c r="F998" s="93"/>
      <c r="G998" s="201"/>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99"/>
      <c r="F999" s="93"/>
      <c r="G999" s="201"/>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99"/>
      <c r="F1000" s="136"/>
      <c r="G1000" s="201"/>
      <c r="H1000" s="204"/>
      <c r="I1000" s="204"/>
      <c r="J1000" s="205"/>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81" t="s">
        <v>16</v>
      </c>
      <c r="J1002" s="6" t="e">
        <f>INDEX('BASE FORMAÇÃO'!K:K,B1002+1)</f>
        <v>#VALUE!</v>
      </c>
      <c r="K1002" s="65"/>
      <c r="L1002" s="183" t="s">
        <v>10</v>
      </c>
      <c r="M1002" s="185"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7">
        <f t="shared" ref="E1003" si="3072">D1002</f>
        <v>1</v>
      </c>
      <c r="F1003" s="92"/>
      <c r="G1003" s="189" t="s">
        <v>1</v>
      </c>
      <c r="H1003" s="192" t="e">
        <f>INDEX('BASE FORMAÇÃO'!C:C,B1002+1)</f>
        <v>#VALUE!</v>
      </c>
      <c r="I1003" s="192"/>
      <c r="J1003" s="193"/>
      <c r="K1003" s="66"/>
      <c r="L1003" s="184"/>
      <c r="M1003" s="186"/>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8"/>
      <c r="F1004" s="93"/>
      <c r="G1004" s="190"/>
      <c r="H1004" s="194"/>
      <c r="I1004" s="194"/>
      <c r="J1004" s="195"/>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1"/>
      <c r="H1005" s="196"/>
      <c r="I1005" s="196"/>
      <c r="J1005" s="197"/>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8" t="e">
        <f t="shared" ref="E1006" si="3076">C1002</f>
        <v>#VALUE!</v>
      </c>
      <c r="F1006" s="93"/>
      <c r="G1006" s="200" t="s">
        <v>304</v>
      </c>
      <c r="H1006" s="202"/>
      <c r="I1006" s="203"/>
      <c r="J1006" s="203"/>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99"/>
      <c r="F1007" s="93"/>
      <c r="G1007" s="201"/>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99"/>
      <c r="F1008" s="93"/>
      <c r="G1008" s="201"/>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99"/>
      <c r="F1009" s="93"/>
      <c r="G1009" s="201"/>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99"/>
      <c r="F1010" s="93"/>
      <c r="G1010" s="201"/>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99"/>
      <c r="F1011" s="93"/>
      <c r="G1011" s="201"/>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99"/>
      <c r="F1012" s="93"/>
      <c r="G1012" s="201"/>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99"/>
      <c r="F1013" s="93"/>
      <c r="G1013" s="201"/>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99"/>
      <c r="F1014" s="93"/>
      <c r="G1014" s="201"/>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99"/>
      <c r="F1015" s="93"/>
      <c r="G1015" s="201"/>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99"/>
      <c r="F1016" s="93"/>
      <c r="G1016" s="201"/>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99"/>
      <c r="F1017" s="93"/>
      <c r="G1017" s="201"/>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99"/>
      <c r="F1018" s="93"/>
      <c r="G1018" s="201"/>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99"/>
      <c r="F1019" s="93"/>
      <c r="G1019" s="201"/>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99"/>
      <c r="F1020" s="93"/>
      <c r="G1020" s="201"/>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99"/>
      <c r="F1021" s="136"/>
      <c r="G1021" s="201"/>
      <c r="H1021" s="204"/>
      <c r="I1021" s="204"/>
      <c r="J1021" s="205"/>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81" t="s">
        <v>16</v>
      </c>
      <c r="J1023" s="6" t="e">
        <f>INDEX('BASE FORMAÇÃO'!K:K,B1023+1)</f>
        <v>#VALUE!</v>
      </c>
      <c r="K1023" s="65"/>
      <c r="L1023" s="183" t="s">
        <v>10</v>
      </c>
      <c r="M1023" s="185"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7">
        <f t="shared" ref="E1024" si="3138">D1023</f>
        <v>1</v>
      </c>
      <c r="F1024" s="92"/>
      <c r="G1024" s="189" t="s">
        <v>1</v>
      </c>
      <c r="H1024" s="192" t="e">
        <f>INDEX('BASE FORMAÇÃO'!C:C,B1023+1)</f>
        <v>#VALUE!</v>
      </c>
      <c r="I1024" s="192"/>
      <c r="J1024" s="193"/>
      <c r="K1024" s="66"/>
      <c r="L1024" s="184"/>
      <c r="M1024" s="186"/>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8"/>
      <c r="F1025" s="93"/>
      <c r="G1025" s="190"/>
      <c r="H1025" s="194"/>
      <c r="I1025" s="194"/>
      <c r="J1025" s="195"/>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1"/>
      <c r="H1026" s="196"/>
      <c r="I1026" s="196"/>
      <c r="J1026" s="197"/>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8" t="e">
        <f t="shared" ref="E1027" si="3142">C1023</f>
        <v>#VALUE!</v>
      </c>
      <c r="F1027" s="93"/>
      <c r="G1027" s="200" t="s">
        <v>304</v>
      </c>
      <c r="H1027" s="202"/>
      <c r="I1027" s="203"/>
      <c r="J1027" s="203"/>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99"/>
      <c r="F1028" s="93"/>
      <c r="G1028" s="201"/>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99"/>
      <c r="F1029" s="93"/>
      <c r="G1029" s="201"/>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99"/>
      <c r="F1030" s="93"/>
      <c r="G1030" s="201"/>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99"/>
      <c r="F1031" s="93"/>
      <c r="G1031" s="201"/>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99"/>
      <c r="F1032" s="93"/>
      <c r="G1032" s="201"/>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99"/>
      <c r="F1033" s="93"/>
      <c r="G1033" s="201"/>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99"/>
      <c r="F1034" s="93"/>
      <c r="G1034" s="201"/>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99"/>
      <c r="F1035" s="93"/>
      <c r="G1035" s="201"/>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99"/>
      <c r="F1036" s="93"/>
      <c r="G1036" s="201"/>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99"/>
      <c r="F1037" s="93"/>
      <c r="G1037" s="201"/>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99"/>
      <c r="F1038" s="93"/>
      <c r="G1038" s="201"/>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99"/>
      <c r="F1039" s="93"/>
      <c r="G1039" s="201"/>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99"/>
      <c r="F1040" s="93"/>
      <c r="G1040" s="201"/>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99"/>
      <c r="F1041" s="93"/>
      <c r="G1041" s="201"/>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99"/>
      <c r="F1042" s="136"/>
      <c r="G1042" s="201"/>
      <c r="H1042" s="204"/>
      <c r="I1042" s="204"/>
      <c r="J1042" s="205"/>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81" t="s">
        <v>16</v>
      </c>
      <c r="J1044" s="6" t="e">
        <f>INDEX('BASE FORMAÇÃO'!K:K,B1044+1)</f>
        <v>#VALUE!</v>
      </c>
      <c r="K1044" s="65"/>
      <c r="L1044" s="183" t="s">
        <v>10</v>
      </c>
      <c r="M1044" s="185"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7">
        <f t="shared" ref="E1045" si="3204">D1044</f>
        <v>1</v>
      </c>
      <c r="F1045" s="92"/>
      <c r="G1045" s="189" t="s">
        <v>1</v>
      </c>
      <c r="H1045" s="192" t="e">
        <f>INDEX('BASE FORMAÇÃO'!C:C,B1044+1)</f>
        <v>#VALUE!</v>
      </c>
      <c r="I1045" s="192"/>
      <c r="J1045" s="193"/>
      <c r="K1045" s="66"/>
      <c r="L1045" s="184"/>
      <c r="M1045" s="186"/>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8"/>
      <c r="F1046" s="93"/>
      <c r="G1046" s="190"/>
      <c r="H1046" s="194"/>
      <c r="I1046" s="194"/>
      <c r="J1046" s="195"/>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1"/>
      <c r="H1047" s="196"/>
      <c r="I1047" s="196"/>
      <c r="J1047" s="197"/>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8" t="e">
        <f t="shared" ref="E1048" si="3208">C1044</f>
        <v>#VALUE!</v>
      </c>
      <c r="F1048" s="93"/>
      <c r="G1048" s="200" t="s">
        <v>304</v>
      </c>
      <c r="H1048" s="202"/>
      <c r="I1048" s="203"/>
      <c r="J1048" s="203"/>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99"/>
      <c r="F1049" s="93"/>
      <c r="G1049" s="201"/>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99"/>
      <c r="F1050" s="93"/>
      <c r="G1050" s="201"/>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99"/>
      <c r="F1051" s="93"/>
      <c r="G1051" s="201"/>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99"/>
      <c r="F1052" s="93"/>
      <c r="G1052" s="201"/>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99"/>
      <c r="F1053" s="93"/>
      <c r="G1053" s="201"/>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99"/>
      <c r="F1054" s="93"/>
      <c r="G1054" s="201"/>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99"/>
      <c r="F1055" s="93"/>
      <c r="G1055" s="201"/>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99"/>
      <c r="F1056" s="93"/>
      <c r="G1056" s="201"/>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99"/>
      <c r="F1057" s="93"/>
      <c r="G1057" s="201"/>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99"/>
      <c r="F1058" s="93"/>
      <c r="G1058" s="201"/>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99"/>
      <c r="F1059" s="93"/>
      <c r="G1059" s="201"/>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99"/>
      <c r="F1060" s="93"/>
      <c r="G1060" s="201"/>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99"/>
      <c r="F1061" s="93"/>
      <c r="G1061" s="201"/>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99"/>
      <c r="F1062" s="93"/>
      <c r="G1062" s="201"/>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99"/>
      <c r="F1063" s="136"/>
      <c r="G1063" s="201"/>
      <c r="H1063" s="204"/>
      <c r="I1063" s="204"/>
      <c r="J1063" s="205"/>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81" t="s">
        <v>16</v>
      </c>
      <c r="J1065" s="6" t="e">
        <f>INDEX('BASE FORMAÇÃO'!K:K,B1065+1)</f>
        <v>#VALUE!</v>
      </c>
      <c r="K1065" s="65"/>
      <c r="L1065" s="183" t="s">
        <v>10</v>
      </c>
      <c r="M1065" s="185"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7">
        <f t="shared" ref="E1066" si="3270">D1065</f>
        <v>1</v>
      </c>
      <c r="F1066" s="92"/>
      <c r="G1066" s="189" t="s">
        <v>1</v>
      </c>
      <c r="H1066" s="192" t="e">
        <f>INDEX('BASE FORMAÇÃO'!C:C,B1065+1)</f>
        <v>#VALUE!</v>
      </c>
      <c r="I1066" s="192"/>
      <c r="J1066" s="193"/>
      <c r="K1066" s="66"/>
      <c r="L1066" s="184"/>
      <c r="M1066" s="186"/>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8"/>
      <c r="F1067" s="93"/>
      <c r="G1067" s="190"/>
      <c r="H1067" s="194"/>
      <c r="I1067" s="194"/>
      <c r="J1067" s="195"/>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1"/>
      <c r="H1068" s="196"/>
      <c r="I1068" s="196"/>
      <c r="J1068" s="197"/>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8" t="e">
        <f t="shared" ref="E1069" si="3274">C1065</f>
        <v>#VALUE!</v>
      </c>
      <c r="F1069" s="93"/>
      <c r="G1069" s="200" t="s">
        <v>304</v>
      </c>
      <c r="H1069" s="202"/>
      <c r="I1069" s="203"/>
      <c r="J1069" s="203"/>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99"/>
      <c r="F1070" s="93"/>
      <c r="G1070" s="201"/>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99"/>
      <c r="F1071" s="93"/>
      <c r="G1071" s="201"/>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99"/>
      <c r="F1072" s="93"/>
      <c r="G1072" s="201"/>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99"/>
      <c r="F1073" s="93"/>
      <c r="G1073" s="201"/>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99"/>
      <c r="F1074" s="93"/>
      <c r="G1074" s="201"/>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99"/>
      <c r="F1075" s="93"/>
      <c r="G1075" s="201"/>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99"/>
      <c r="F1076" s="93"/>
      <c r="G1076" s="201"/>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99"/>
      <c r="F1077" s="93"/>
      <c r="G1077" s="201"/>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99"/>
      <c r="F1078" s="93"/>
      <c r="G1078" s="201"/>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99"/>
      <c r="F1079" s="93"/>
      <c r="G1079" s="201"/>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99"/>
      <c r="F1080" s="93"/>
      <c r="G1080" s="201"/>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99"/>
      <c r="F1081" s="93"/>
      <c r="G1081" s="201"/>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99"/>
      <c r="F1082" s="93"/>
      <c r="G1082" s="201"/>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99"/>
      <c r="F1083" s="93"/>
      <c r="G1083" s="201"/>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99"/>
      <c r="F1084" s="136"/>
      <c r="G1084" s="201"/>
      <c r="H1084" s="204"/>
      <c r="I1084" s="204"/>
      <c r="J1084" s="205"/>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81" t="s">
        <v>16</v>
      </c>
      <c r="J1086" s="6" t="e">
        <f>INDEX('BASE FORMAÇÃO'!K:K,B1086+1)</f>
        <v>#VALUE!</v>
      </c>
      <c r="K1086" s="65"/>
      <c r="L1086" s="183" t="s">
        <v>10</v>
      </c>
      <c r="M1086" s="185"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7">
        <f t="shared" ref="E1087" si="3336">D1086</f>
        <v>1</v>
      </c>
      <c r="F1087" s="92"/>
      <c r="G1087" s="189" t="s">
        <v>1</v>
      </c>
      <c r="H1087" s="192" t="e">
        <f>INDEX('BASE FORMAÇÃO'!C:C,B1086+1)</f>
        <v>#VALUE!</v>
      </c>
      <c r="I1087" s="192"/>
      <c r="J1087" s="193"/>
      <c r="K1087" s="66"/>
      <c r="L1087" s="184"/>
      <c r="M1087" s="186"/>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8"/>
      <c r="F1088" s="93"/>
      <c r="G1088" s="190"/>
      <c r="H1088" s="194"/>
      <c r="I1088" s="194"/>
      <c r="J1088" s="195"/>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1"/>
      <c r="H1089" s="196"/>
      <c r="I1089" s="196"/>
      <c r="J1089" s="197"/>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8" t="e">
        <f t="shared" ref="E1090" si="3340">C1086</f>
        <v>#VALUE!</v>
      </c>
      <c r="F1090" s="93"/>
      <c r="G1090" s="200" t="s">
        <v>304</v>
      </c>
      <c r="H1090" s="202"/>
      <c r="I1090" s="203"/>
      <c r="J1090" s="203"/>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99"/>
      <c r="F1091" s="93"/>
      <c r="G1091" s="201"/>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99"/>
      <c r="F1092" s="93"/>
      <c r="G1092" s="201"/>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99"/>
      <c r="F1093" s="93"/>
      <c r="G1093" s="201"/>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99"/>
      <c r="F1094" s="93"/>
      <c r="G1094" s="201"/>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99"/>
      <c r="F1095" s="93"/>
      <c r="G1095" s="201"/>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99"/>
      <c r="F1096" s="93"/>
      <c r="G1096" s="201"/>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99"/>
      <c r="F1097" s="93"/>
      <c r="G1097" s="201"/>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99"/>
      <c r="F1098" s="93"/>
      <c r="G1098" s="201"/>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99"/>
      <c r="F1099" s="93"/>
      <c r="G1099" s="201"/>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99"/>
      <c r="F1100" s="93"/>
      <c r="G1100" s="201"/>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99"/>
      <c r="F1101" s="93"/>
      <c r="G1101" s="201"/>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99"/>
      <c r="F1102" s="93"/>
      <c r="G1102" s="201"/>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99"/>
      <c r="F1103" s="93"/>
      <c r="G1103" s="201"/>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99"/>
      <c r="F1104" s="93"/>
      <c r="G1104" s="201"/>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99"/>
      <c r="F1105" s="136"/>
      <c r="G1105" s="201"/>
      <c r="H1105" s="204"/>
      <c r="I1105" s="204"/>
      <c r="J1105" s="205"/>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81" t="s">
        <v>16</v>
      </c>
      <c r="J1107" s="6" t="e">
        <f>INDEX('BASE FORMAÇÃO'!K:K,B1107+1)</f>
        <v>#VALUE!</v>
      </c>
      <c r="K1107" s="65"/>
      <c r="L1107" s="183" t="s">
        <v>10</v>
      </c>
      <c r="M1107" s="185"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7">
        <f t="shared" ref="E1108" si="3402">D1107</f>
        <v>1</v>
      </c>
      <c r="F1108" s="92"/>
      <c r="G1108" s="189" t="s">
        <v>1</v>
      </c>
      <c r="H1108" s="192" t="e">
        <f>INDEX('BASE FORMAÇÃO'!C:C,B1107+1)</f>
        <v>#VALUE!</v>
      </c>
      <c r="I1108" s="192"/>
      <c r="J1108" s="193"/>
      <c r="K1108" s="66"/>
      <c r="L1108" s="184"/>
      <c r="M1108" s="186"/>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8"/>
      <c r="F1109" s="93"/>
      <c r="G1109" s="190"/>
      <c r="H1109" s="194"/>
      <c r="I1109" s="194"/>
      <c r="J1109" s="195"/>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1"/>
      <c r="H1110" s="196"/>
      <c r="I1110" s="196"/>
      <c r="J1110" s="197"/>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8" t="e">
        <f t="shared" ref="E1111" si="3406">C1107</f>
        <v>#VALUE!</v>
      </c>
      <c r="F1111" s="93"/>
      <c r="G1111" s="200" t="s">
        <v>304</v>
      </c>
      <c r="H1111" s="202"/>
      <c r="I1111" s="203"/>
      <c r="J1111" s="203"/>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99"/>
      <c r="F1112" s="93"/>
      <c r="G1112" s="201"/>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99"/>
      <c r="F1113" s="93"/>
      <c r="G1113" s="201"/>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99"/>
      <c r="F1114" s="93"/>
      <c r="G1114" s="201"/>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99"/>
      <c r="F1115" s="93"/>
      <c r="G1115" s="201"/>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99"/>
      <c r="F1116" s="93"/>
      <c r="G1116" s="201"/>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99"/>
      <c r="F1117" s="93"/>
      <c r="G1117" s="201"/>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99"/>
      <c r="F1118" s="93"/>
      <c r="G1118" s="201"/>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99"/>
      <c r="F1119" s="93"/>
      <c r="G1119" s="201"/>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99"/>
      <c r="F1120" s="93"/>
      <c r="G1120" s="201"/>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99"/>
      <c r="F1121" s="93"/>
      <c r="G1121" s="201"/>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99"/>
      <c r="F1122" s="93"/>
      <c r="G1122" s="201"/>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99"/>
      <c r="F1123" s="93"/>
      <c r="G1123" s="201"/>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99"/>
      <c r="F1124" s="93"/>
      <c r="G1124" s="201"/>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99"/>
      <c r="F1125" s="93"/>
      <c r="G1125" s="201"/>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99"/>
      <c r="F1126" s="136"/>
      <c r="G1126" s="201"/>
      <c r="H1126" s="204"/>
      <c r="I1126" s="204"/>
      <c r="J1126" s="205"/>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81" t="s">
        <v>16</v>
      </c>
      <c r="J1128" s="6" t="e">
        <f>INDEX('BASE FORMAÇÃO'!K:K,B1128+1)</f>
        <v>#VALUE!</v>
      </c>
      <c r="K1128" s="65"/>
      <c r="L1128" s="183" t="s">
        <v>10</v>
      </c>
      <c r="M1128" s="185"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7">
        <f t="shared" ref="E1129" si="3468">D1128</f>
        <v>1</v>
      </c>
      <c r="F1129" s="92"/>
      <c r="G1129" s="189" t="s">
        <v>1</v>
      </c>
      <c r="H1129" s="192" t="e">
        <f>INDEX('BASE FORMAÇÃO'!C:C,B1128+1)</f>
        <v>#VALUE!</v>
      </c>
      <c r="I1129" s="192"/>
      <c r="J1129" s="193"/>
      <c r="K1129" s="66"/>
      <c r="L1129" s="184"/>
      <c r="M1129" s="186"/>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8"/>
      <c r="F1130" s="93"/>
      <c r="G1130" s="190"/>
      <c r="H1130" s="194"/>
      <c r="I1130" s="194"/>
      <c r="J1130" s="195"/>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1"/>
      <c r="H1131" s="196"/>
      <c r="I1131" s="196"/>
      <c r="J1131" s="197"/>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8" t="e">
        <f t="shared" ref="E1132" si="3472">C1128</f>
        <v>#VALUE!</v>
      </c>
      <c r="F1132" s="93"/>
      <c r="G1132" s="200" t="s">
        <v>304</v>
      </c>
      <c r="H1132" s="202"/>
      <c r="I1132" s="203"/>
      <c r="J1132" s="203"/>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99"/>
      <c r="F1133" s="93"/>
      <c r="G1133" s="201"/>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99"/>
      <c r="F1134" s="93"/>
      <c r="G1134" s="201"/>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99"/>
      <c r="F1135" s="93"/>
      <c r="G1135" s="201"/>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99"/>
      <c r="F1136" s="93"/>
      <c r="G1136" s="201"/>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99"/>
      <c r="F1137" s="93"/>
      <c r="G1137" s="201"/>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99"/>
      <c r="F1138" s="93"/>
      <c r="G1138" s="201"/>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99"/>
      <c r="F1139" s="93"/>
      <c r="G1139" s="201"/>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99"/>
      <c r="F1140" s="93"/>
      <c r="G1140" s="201"/>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99"/>
      <c r="F1141" s="93"/>
      <c r="G1141" s="201"/>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99"/>
      <c r="F1142" s="93"/>
      <c r="G1142" s="201"/>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99"/>
      <c r="F1143" s="93"/>
      <c r="G1143" s="201"/>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99"/>
      <c r="F1144" s="93"/>
      <c r="G1144" s="201"/>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99"/>
      <c r="F1145" s="93"/>
      <c r="G1145" s="201"/>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99"/>
      <c r="F1146" s="93"/>
      <c r="G1146" s="201"/>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99"/>
      <c r="F1147" s="136"/>
      <c r="G1147" s="201"/>
      <c r="H1147" s="204"/>
      <c r="I1147" s="204"/>
      <c r="J1147" s="205"/>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81" t="s">
        <v>16</v>
      </c>
      <c r="J1149" s="6" t="e">
        <f>INDEX('BASE FORMAÇÃO'!K:K,B1149+1)</f>
        <v>#VALUE!</v>
      </c>
      <c r="K1149" s="65"/>
      <c r="L1149" s="183" t="s">
        <v>10</v>
      </c>
      <c r="M1149" s="185"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7">
        <f t="shared" ref="E1150" si="3534">D1149</f>
        <v>1</v>
      </c>
      <c r="F1150" s="92"/>
      <c r="G1150" s="189" t="s">
        <v>1</v>
      </c>
      <c r="H1150" s="192" t="e">
        <f>INDEX('BASE FORMAÇÃO'!C:C,B1149+1)</f>
        <v>#VALUE!</v>
      </c>
      <c r="I1150" s="192"/>
      <c r="J1150" s="193"/>
      <c r="K1150" s="66"/>
      <c r="L1150" s="184"/>
      <c r="M1150" s="186"/>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8"/>
      <c r="F1151" s="93"/>
      <c r="G1151" s="190"/>
      <c r="H1151" s="194"/>
      <c r="I1151" s="194"/>
      <c r="J1151" s="195"/>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1"/>
      <c r="H1152" s="196"/>
      <c r="I1152" s="196"/>
      <c r="J1152" s="197"/>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8" t="e">
        <f t="shared" ref="E1153" si="3538">C1149</f>
        <v>#VALUE!</v>
      </c>
      <c r="F1153" s="93"/>
      <c r="G1153" s="200" t="s">
        <v>304</v>
      </c>
      <c r="H1153" s="202"/>
      <c r="I1153" s="203"/>
      <c r="J1153" s="203"/>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99"/>
      <c r="F1154" s="93"/>
      <c r="G1154" s="201"/>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99"/>
      <c r="F1155" s="93"/>
      <c r="G1155" s="201"/>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99"/>
      <c r="F1156" s="93"/>
      <c r="G1156" s="201"/>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99"/>
      <c r="F1157" s="93"/>
      <c r="G1157" s="201"/>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99"/>
      <c r="F1158" s="93"/>
      <c r="G1158" s="201"/>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99"/>
      <c r="F1159" s="93"/>
      <c r="G1159" s="201"/>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99"/>
      <c r="F1160" s="93"/>
      <c r="G1160" s="201"/>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99"/>
      <c r="F1161" s="93"/>
      <c r="G1161" s="201"/>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99"/>
      <c r="F1162" s="93"/>
      <c r="G1162" s="201"/>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99"/>
      <c r="F1163" s="93"/>
      <c r="G1163" s="201"/>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99"/>
      <c r="F1164" s="93"/>
      <c r="G1164" s="201"/>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99"/>
      <c r="F1165" s="93"/>
      <c r="G1165" s="201"/>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99"/>
      <c r="F1166" s="93"/>
      <c r="G1166" s="201"/>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99"/>
      <c r="F1167" s="93"/>
      <c r="G1167" s="201"/>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99"/>
      <c r="F1168" s="136"/>
      <c r="G1168" s="201"/>
      <c r="H1168" s="204"/>
      <c r="I1168" s="204"/>
      <c r="J1168" s="205"/>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81" t="s">
        <v>16</v>
      </c>
      <c r="J1170" s="6" t="e">
        <f>INDEX('BASE FORMAÇÃO'!K:K,B1170+1)</f>
        <v>#VALUE!</v>
      </c>
      <c r="K1170" s="65"/>
      <c r="L1170" s="183" t="s">
        <v>10</v>
      </c>
      <c r="M1170" s="185"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7">
        <f t="shared" ref="E1171" si="3600">D1170</f>
        <v>1</v>
      </c>
      <c r="F1171" s="92"/>
      <c r="G1171" s="189" t="s">
        <v>1</v>
      </c>
      <c r="H1171" s="192" t="e">
        <f>INDEX('BASE FORMAÇÃO'!C:C,B1170+1)</f>
        <v>#VALUE!</v>
      </c>
      <c r="I1171" s="192"/>
      <c r="J1171" s="193"/>
      <c r="K1171" s="66"/>
      <c r="L1171" s="184"/>
      <c r="M1171" s="186"/>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8"/>
      <c r="F1172" s="93"/>
      <c r="G1172" s="190"/>
      <c r="H1172" s="194"/>
      <c r="I1172" s="194"/>
      <c r="J1172" s="195"/>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1"/>
      <c r="H1173" s="196"/>
      <c r="I1173" s="196"/>
      <c r="J1173" s="197"/>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8" t="e">
        <f t="shared" ref="E1174" si="3604">C1170</f>
        <v>#VALUE!</v>
      </c>
      <c r="F1174" s="93"/>
      <c r="G1174" s="200" t="s">
        <v>304</v>
      </c>
      <c r="H1174" s="202"/>
      <c r="I1174" s="203"/>
      <c r="J1174" s="203"/>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99"/>
      <c r="F1175" s="93"/>
      <c r="G1175" s="201"/>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99"/>
      <c r="F1176" s="93"/>
      <c r="G1176" s="201"/>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99"/>
      <c r="F1177" s="93"/>
      <c r="G1177" s="201"/>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99"/>
      <c r="F1178" s="93"/>
      <c r="G1178" s="201"/>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99"/>
      <c r="F1179" s="93"/>
      <c r="G1179" s="201"/>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99"/>
      <c r="F1180" s="93"/>
      <c r="G1180" s="201"/>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99"/>
      <c r="F1181" s="93"/>
      <c r="G1181" s="201"/>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99"/>
      <c r="F1182" s="93"/>
      <c r="G1182" s="201"/>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99"/>
      <c r="F1183" s="93"/>
      <c r="G1183" s="201"/>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99"/>
      <c r="F1184" s="93"/>
      <c r="G1184" s="201"/>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99"/>
      <c r="F1185" s="93"/>
      <c r="G1185" s="201"/>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99"/>
      <c r="F1186" s="93"/>
      <c r="G1186" s="201"/>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99"/>
      <c r="F1187" s="93"/>
      <c r="G1187" s="201"/>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99"/>
      <c r="F1188" s="93"/>
      <c r="G1188" s="201"/>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99"/>
      <c r="F1189" s="136"/>
      <c r="G1189" s="201"/>
      <c r="H1189" s="204"/>
      <c r="I1189" s="204"/>
      <c r="J1189" s="205"/>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81" t="s">
        <v>16</v>
      </c>
      <c r="J1191" s="6" t="e">
        <f>INDEX('BASE FORMAÇÃO'!K:K,B1191+1)</f>
        <v>#VALUE!</v>
      </c>
      <c r="K1191" s="65"/>
      <c r="L1191" s="183" t="s">
        <v>10</v>
      </c>
      <c r="M1191" s="185"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7">
        <f t="shared" ref="E1192" si="3666">D1191</f>
        <v>1</v>
      </c>
      <c r="F1192" s="92"/>
      <c r="G1192" s="189" t="s">
        <v>1</v>
      </c>
      <c r="H1192" s="192" t="e">
        <f>INDEX('BASE FORMAÇÃO'!C:C,B1191+1)</f>
        <v>#VALUE!</v>
      </c>
      <c r="I1192" s="192"/>
      <c r="J1192" s="193"/>
      <c r="K1192" s="66"/>
      <c r="L1192" s="184"/>
      <c r="M1192" s="186"/>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8"/>
      <c r="F1193" s="93"/>
      <c r="G1193" s="190"/>
      <c r="H1193" s="194"/>
      <c r="I1193" s="194"/>
      <c r="J1193" s="195"/>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1"/>
      <c r="H1194" s="196"/>
      <c r="I1194" s="196"/>
      <c r="J1194" s="197"/>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8" t="e">
        <f t="shared" ref="E1195" si="3670">C1191</f>
        <v>#VALUE!</v>
      </c>
      <c r="F1195" s="93"/>
      <c r="G1195" s="200" t="s">
        <v>304</v>
      </c>
      <c r="H1195" s="202"/>
      <c r="I1195" s="203"/>
      <c r="J1195" s="203"/>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99"/>
      <c r="F1196" s="93"/>
      <c r="G1196" s="201"/>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99"/>
      <c r="F1197" s="93"/>
      <c r="G1197" s="201"/>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99"/>
      <c r="F1198" s="93"/>
      <c r="G1198" s="201"/>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99"/>
      <c r="F1199" s="93"/>
      <c r="G1199" s="201"/>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99"/>
      <c r="F1200" s="93"/>
      <c r="G1200" s="201"/>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99"/>
      <c r="F1201" s="93"/>
      <c r="G1201" s="201"/>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99"/>
      <c r="F1202" s="93"/>
      <c r="G1202" s="201"/>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99"/>
      <c r="F1203" s="93"/>
      <c r="G1203" s="201"/>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99"/>
      <c r="F1204" s="93"/>
      <c r="G1204" s="201"/>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99"/>
      <c r="F1205" s="93"/>
      <c r="G1205" s="201"/>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99"/>
      <c r="F1206" s="93"/>
      <c r="G1206" s="201"/>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99"/>
      <c r="F1207" s="93"/>
      <c r="G1207" s="201"/>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99"/>
      <c r="F1208" s="93"/>
      <c r="G1208" s="201"/>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99"/>
      <c r="F1209" s="93"/>
      <c r="G1209" s="201"/>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99"/>
      <c r="F1210" s="136"/>
      <c r="G1210" s="201"/>
      <c r="H1210" s="204"/>
      <c r="I1210" s="204"/>
      <c r="J1210" s="205"/>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81" t="s">
        <v>16</v>
      </c>
      <c r="J1212" s="6" t="e">
        <f>INDEX('BASE FORMAÇÃO'!K:K,B1212+1)</f>
        <v>#VALUE!</v>
      </c>
      <c r="K1212" s="65"/>
      <c r="L1212" s="183" t="s">
        <v>10</v>
      </c>
      <c r="M1212" s="185"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7">
        <f t="shared" ref="E1213" si="3732">D1212</f>
        <v>1</v>
      </c>
      <c r="F1213" s="92"/>
      <c r="G1213" s="189" t="s">
        <v>1</v>
      </c>
      <c r="H1213" s="192" t="e">
        <f>INDEX('BASE FORMAÇÃO'!C:C,B1212+1)</f>
        <v>#VALUE!</v>
      </c>
      <c r="I1213" s="192"/>
      <c r="J1213" s="193"/>
      <c r="K1213" s="66"/>
      <c r="L1213" s="184"/>
      <c r="M1213" s="186"/>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8"/>
      <c r="F1214" s="93"/>
      <c r="G1214" s="190"/>
      <c r="H1214" s="194"/>
      <c r="I1214" s="194"/>
      <c r="J1214" s="195"/>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1"/>
      <c r="H1215" s="196"/>
      <c r="I1215" s="196"/>
      <c r="J1215" s="197"/>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8" t="e">
        <f t="shared" ref="E1216" si="3736">C1212</f>
        <v>#VALUE!</v>
      </c>
      <c r="F1216" s="93"/>
      <c r="G1216" s="200" t="s">
        <v>304</v>
      </c>
      <c r="H1216" s="202"/>
      <c r="I1216" s="203"/>
      <c r="J1216" s="203"/>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99"/>
      <c r="F1217" s="93"/>
      <c r="G1217" s="201"/>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99"/>
      <c r="F1218" s="93"/>
      <c r="G1218" s="201"/>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99"/>
      <c r="F1219" s="93"/>
      <c r="G1219" s="201"/>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99"/>
      <c r="F1220" s="93"/>
      <c r="G1220" s="201"/>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99"/>
      <c r="F1221" s="93"/>
      <c r="G1221" s="201"/>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99"/>
      <c r="F1222" s="93"/>
      <c r="G1222" s="201"/>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99"/>
      <c r="F1223" s="93"/>
      <c r="G1223" s="201"/>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99"/>
      <c r="F1224" s="93"/>
      <c r="G1224" s="201"/>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99"/>
      <c r="F1225" s="93"/>
      <c r="G1225" s="201"/>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99"/>
      <c r="F1226" s="93"/>
      <c r="G1226" s="201"/>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99"/>
      <c r="F1227" s="93"/>
      <c r="G1227" s="201"/>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99"/>
      <c r="F1228" s="93"/>
      <c r="G1228" s="201"/>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99"/>
      <c r="F1229" s="93"/>
      <c r="G1229" s="201"/>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99"/>
      <c r="F1230" s="93"/>
      <c r="G1230" s="201"/>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99"/>
      <c r="F1231" s="136"/>
      <c r="G1231" s="201"/>
      <c r="H1231" s="204"/>
      <c r="I1231" s="204"/>
      <c r="J1231" s="205"/>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81" t="s">
        <v>16</v>
      </c>
      <c r="J1233" s="6" t="e">
        <f>INDEX('BASE FORMAÇÃO'!K:K,B1233+1)</f>
        <v>#VALUE!</v>
      </c>
      <c r="K1233" s="65"/>
      <c r="L1233" s="183" t="s">
        <v>10</v>
      </c>
      <c r="M1233" s="185"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7">
        <f t="shared" ref="E1234" si="3798">D1233</f>
        <v>1</v>
      </c>
      <c r="F1234" s="92"/>
      <c r="G1234" s="189" t="s">
        <v>1</v>
      </c>
      <c r="H1234" s="192" t="e">
        <f>INDEX('BASE FORMAÇÃO'!C:C,B1233+1)</f>
        <v>#VALUE!</v>
      </c>
      <c r="I1234" s="192"/>
      <c r="J1234" s="193"/>
      <c r="K1234" s="66"/>
      <c r="L1234" s="184"/>
      <c r="M1234" s="186"/>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8"/>
      <c r="F1235" s="93"/>
      <c r="G1235" s="190"/>
      <c r="H1235" s="194"/>
      <c r="I1235" s="194"/>
      <c r="J1235" s="195"/>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1"/>
      <c r="H1236" s="196"/>
      <c r="I1236" s="196"/>
      <c r="J1236" s="197"/>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8" t="e">
        <f t="shared" ref="E1237" si="3802">C1233</f>
        <v>#VALUE!</v>
      </c>
      <c r="F1237" s="93"/>
      <c r="G1237" s="200" t="s">
        <v>304</v>
      </c>
      <c r="H1237" s="202"/>
      <c r="I1237" s="203"/>
      <c r="J1237" s="203"/>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99"/>
      <c r="F1238" s="93"/>
      <c r="G1238" s="201"/>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99"/>
      <c r="F1239" s="93"/>
      <c r="G1239" s="201"/>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99"/>
      <c r="F1240" s="93"/>
      <c r="G1240" s="201"/>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99"/>
      <c r="F1241" s="93"/>
      <c r="G1241" s="201"/>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99"/>
      <c r="F1242" s="93"/>
      <c r="G1242" s="201"/>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99"/>
      <c r="F1243" s="93"/>
      <c r="G1243" s="201"/>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99"/>
      <c r="F1244" s="93"/>
      <c r="G1244" s="201"/>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99"/>
      <c r="F1245" s="93"/>
      <c r="G1245" s="201"/>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99"/>
      <c r="F1246" s="93"/>
      <c r="G1246" s="201"/>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99"/>
      <c r="F1247" s="93"/>
      <c r="G1247" s="201"/>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99"/>
      <c r="F1248" s="93"/>
      <c r="G1248" s="201"/>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99"/>
      <c r="F1249" s="93"/>
      <c r="G1249" s="201"/>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99"/>
      <c r="F1250" s="93"/>
      <c r="G1250" s="201"/>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99"/>
      <c r="F1251" s="93"/>
      <c r="G1251" s="201"/>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99"/>
      <c r="F1252" s="136"/>
      <c r="G1252" s="201"/>
      <c r="H1252" s="204"/>
      <c r="I1252" s="204"/>
      <c r="J1252" s="205"/>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81" t="s">
        <v>16</v>
      </c>
      <c r="J1254" s="6" t="e">
        <f>INDEX('BASE FORMAÇÃO'!K:K,B1254+1)</f>
        <v>#VALUE!</v>
      </c>
      <c r="K1254" s="65"/>
      <c r="L1254" s="183" t="s">
        <v>10</v>
      </c>
      <c r="M1254" s="185"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7">
        <f t="shared" ref="E1255" si="3864">D1254</f>
        <v>1</v>
      </c>
      <c r="F1255" s="92"/>
      <c r="G1255" s="189" t="s">
        <v>1</v>
      </c>
      <c r="H1255" s="192" t="e">
        <f>INDEX('BASE FORMAÇÃO'!C:C,B1254+1)</f>
        <v>#VALUE!</v>
      </c>
      <c r="I1255" s="192"/>
      <c r="J1255" s="193"/>
      <c r="K1255" s="66"/>
      <c r="L1255" s="184"/>
      <c r="M1255" s="186"/>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8"/>
      <c r="F1256" s="93"/>
      <c r="G1256" s="190"/>
      <c r="H1256" s="194"/>
      <c r="I1256" s="194"/>
      <c r="J1256" s="195"/>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1"/>
      <c r="H1257" s="196"/>
      <c r="I1257" s="196"/>
      <c r="J1257" s="197"/>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8" t="e">
        <f t="shared" ref="E1258" si="3868">C1254</f>
        <v>#VALUE!</v>
      </c>
      <c r="F1258" s="93"/>
      <c r="G1258" s="200" t="s">
        <v>304</v>
      </c>
      <c r="H1258" s="202"/>
      <c r="I1258" s="203"/>
      <c r="J1258" s="203"/>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99"/>
      <c r="F1259" s="93"/>
      <c r="G1259" s="201"/>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99"/>
      <c r="F1260" s="93"/>
      <c r="G1260" s="201"/>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99"/>
      <c r="F1261" s="93"/>
      <c r="G1261" s="201"/>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99"/>
      <c r="F1262" s="93"/>
      <c r="G1262" s="201"/>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99"/>
      <c r="F1263" s="93"/>
      <c r="G1263" s="201"/>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99"/>
      <c r="F1264" s="93"/>
      <c r="G1264" s="201"/>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99"/>
      <c r="F1265" s="93"/>
      <c r="G1265" s="201"/>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99"/>
      <c r="F1266" s="93"/>
      <c r="G1266" s="201"/>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99"/>
      <c r="F1267" s="93"/>
      <c r="G1267" s="201"/>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99"/>
      <c r="F1268" s="93"/>
      <c r="G1268" s="201"/>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99"/>
      <c r="F1269" s="93"/>
      <c r="G1269" s="201"/>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99"/>
      <c r="F1270" s="93"/>
      <c r="G1270" s="201"/>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99"/>
      <c r="F1271" s="93"/>
      <c r="G1271" s="201"/>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99"/>
      <c r="F1272" s="93"/>
      <c r="G1272" s="201"/>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99"/>
      <c r="F1273" s="136"/>
      <c r="G1273" s="201"/>
      <c r="H1273" s="204"/>
      <c r="I1273" s="204"/>
      <c r="J1273" s="205"/>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81" t="s">
        <v>16</v>
      </c>
      <c r="J1275" s="6" t="e">
        <f>INDEX('BASE FORMAÇÃO'!K:K,B1275+1)</f>
        <v>#VALUE!</v>
      </c>
      <c r="K1275" s="65"/>
      <c r="L1275" s="183" t="s">
        <v>10</v>
      </c>
      <c r="M1275" s="185"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7">
        <f t="shared" ref="E1276" si="3930">D1275</f>
        <v>1</v>
      </c>
      <c r="F1276" s="92"/>
      <c r="G1276" s="189" t="s">
        <v>1</v>
      </c>
      <c r="H1276" s="192" t="e">
        <f>INDEX('BASE FORMAÇÃO'!C:C,B1275+1)</f>
        <v>#VALUE!</v>
      </c>
      <c r="I1276" s="192"/>
      <c r="J1276" s="193"/>
      <c r="K1276" s="66"/>
      <c r="L1276" s="184"/>
      <c r="M1276" s="186"/>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8"/>
      <c r="F1277" s="93"/>
      <c r="G1277" s="190"/>
      <c r="H1277" s="194"/>
      <c r="I1277" s="194"/>
      <c r="J1277" s="195"/>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1"/>
      <c r="H1278" s="196"/>
      <c r="I1278" s="196"/>
      <c r="J1278" s="197"/>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8" t="e">
        <f t="shared" ref="E1279" si="3934">C1275</f>
        <v>#VALUE!</v>
      </c>
      <c r="F1279" s="93"/>
      <c r="G1279" s="200" t="s">
        <v>304</v>
      </c>
      <c r="H1279" s="202"/>
      <c r="I1279" s="203"/>
      <c r="J1279" s="203"/>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99"/>
      <c r="F1280" s="93"/>
      <c r="G1280" s="201"/>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99"/>
      <c r="F1281" s="93"/>
      <c r="G1281" s="201"/>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99"/>
      <c r="F1282" s="93"/>
      <c r="G1282" s="201"/>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99"/>
      <c r="F1283" s="93"/>
      <c r="G1283" s="201"/>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99"/>
      <c r="F1284" s="93"/>
      <c r="G1284" s="201"/>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99"/>
      <c r="F1285" s="93"/>
      <c r="G1285" s="201"/>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99"/>
      <c r="F1286" s="93"/>
      <c r="G1286" s="201"/>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99"/>
      <c r="F1287" s="93"/>
      <c r="G1287" s="201"/>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99"/>
      <c r="F1288" s="93"/>
      <c r="G1288" s="201"/>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99"/>
      <c r="F1289" s="93"/>
      <c r="G1289" s="201"/>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99"/>
      <c r="F1290" s="93"/>
      <c r="G1290" s="201"/>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99"/>
      <c r="F1291" s="93"/>
      <c r="G1291" s="201"/>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99"/>
      <c r="F1292" s="93"/>
      <c r="G1292" s="201"/>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99"/>
      <c r="F1293" s="93"/>
      <c r="G1293" s="201"/>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99"/>
      <c r="F1294" s="136"/>
      <c r="G1294" s="201"/>
      <c r="H1294" s="204"/>
      <c r="I1294" s="204"/>
      <c r="J1294" s="205"/>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81" t="s">
        <v>16</v>
      </c>
      <c r="J1296" s="6" t="e">
        <f>INDEX('BASE FORMAÇÃO'!K:K,B1296+1)</f>
        <v>#VALUE!</v>
      </c>
      <c r="K1296" s="65"/>
      <c r="L1296" s="183" t="s">
        <v>10</v>
      </c>
      <c r="M1296" s="185"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7">
        <f t="shared" ref="E1297" si="3996">D1296</f>
        <v>1</v>
      </c>
      <c r="F1297" s="92"/>
      <c r="G1297" s="189" t="s">
        <v>1</v>
      </c>
      <c r="H1297" s="192" t="e">
        <f>INDEX('BASE FORMAÇÃO'!C:C,B1296+1)</f>
        <v>#VALUE!</v>
      </c>
      <c r="I1297" s="192"/>
      <c r="J1297" s="193"/>
      <c r="K1297" s="66"/>
      <c r="L1297" s="184"/>
      <c r="M1297" s="186"/>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8"/>
      <c r="F1298" s="93"/>
      <c r="G1298" s="190"/>
      <c r="H1298" s="194"/>
      <c r="I1298" s="194"/>
      <c r="J1298" s="195"/>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1"/>
      <c r="H1299" s="196"/>
      <c r="I1299" s="196"/>
      <c r="J1299" s="197"/>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8" t="e">
        <f t="shared" ref="E1300" si="4000">C1296</f>
        <v>#VALUE!</v>
      </c>
      <c r="F1300" s="93"/>
      <c r="G1300" s="200" t="s">
        <v>304</v>
      </c>
      <c r="H1300" s="202"/>
      <c r="I1300" s="203"/>
      <c r="J1300" s="203"/>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99"/>
      <c r="F1301" s="93"/>
      <c r="G1301" s="201"/>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99"/>
      <c r="F1302" s="93"/>
      <c r="G1302" s="201"/>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99"/>
      <c r="F1303" s="93"/>
      <c r="G1303" s="201"/>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99"/>
      <c r="F1304" s="93"/>
      <c r="G1304" s="201"/>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99"/>
      <c r="F1305" s="93"/>
      <c r="G1305" s="201"/>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99"/>
      <c r="F1306" s="93"/>
      <c r="G1306" s="201"/>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99"/>
      <c r="F1307" s="93"/>
      <c r="G1307" s="201"/>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99"/>
      <c r="F1308" s="93"/>
      <c r="G1308" s="201"/>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99"/>
      <c r="F1309" s="93"/>
      <c r="G1309" s="201"/>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99"/>
      <c r="F1310" s="93"/>
      <c r="G1310" s="201"/>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99"/>
      <c r="F1311" s="93"/>
      <c r="G1311" s="201"/>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99"/>
      <c r="F1312" s="93"/>
      <c r="G1312" s="201"/>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99"/>
      <c r="F1313" s="93"/>
      <c r="G1313" s="201"/>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99"/>
      <c r="F1314" s="93"/>
      <c r="G1314" s="201"/>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99"/>
      <c r="F1315" s="136"/>
      <c r="G1315" s="201"/>
      <c r="H1315" s="204"/>
      <c r="I1315" s="204"/>
      <c r="J1315" s="205"/>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81" t="s">
        <v>16</v>
      </c>
      <c r="J1317" s="6" t="e">
        <f>INDEX('BASE FORMAÇÃO'!K:K,B1317+1)</f>
        <v>#VALUE!</v>
      </c>
      <c r="K1317" s="65"/>
      <c r="L1317" s="183" t="s">
        <v>10</v>
      </c>
      <c r="M1317" s="185"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7">
        <f t="shared" ref="E1318" si="4062">D1317</f>
        <v>1</v>
      </c>
      <c r="F1318" s="92"/>
      <c r="G1318" s="189" t="s">
        <v>1</v>
      </c>
      <c r="H1318" s="192" t="e">
        <f>INDEX('BASE FORMAÇÃO'!C:C,B1317+1)</f>
        <v>#VALUE!</v>
      </c>
      <c r="I1318" s="192"/>
      <c r="J1318" s="193"/>
      <c r="K1318" s="66"/>
      <c r="L1318" s="184"/>
      <c r="M1318" s="186"/>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8"/>
      <c r="F1319" s="93"/>
      <c r="G1319" s="190"/>
      <c r="H1319" s="194"/>
      <c r="I1319" s="194"/>
      <c r="J1319" s="195"/>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1"/>
      <c r="H1320" s="196"/>
      <c r="I1320" s="196"/>
      <c r="J1320" s="197"/>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8" t="e">
        <f t="shared" ref="E1321" si="4066">C1317</f>
        <v>#VALUE!</v>
      </c>
      <c r="F1321" s="93"/>
      <c r="G1321" s="200" t="s">
        <v>304</v>
      </c>
      <c r="H1321" s="202"/>
      <c r="I1321" s="203"/>
      <c r="J1321" s="203"/>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99"/>
      <c r="F1322" s="93"/>
      <c r="G1322" s="201"/>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99"/>
      <c r="F1323" s="93"/>
      <c r="G1323" s="201"/>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99"/>
      <c r="F1324" s="93"/>
      <c r="G1324" s="201"/>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99"/>
      <c r="F1325" s="93"/>
      <c r="G1325" s="201"/>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99"/>
      <c r="F1326" s="93"/>
      <c r="G1326" s="201"/>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99"/>
      <c r="F1327" s="93"/>
      <c r="G1327" s="201"/>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99"/>
      <c r="F1328" s="93"/>
      <c r="G1328" s="201"/>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99"/>
      <c r="F1329" s="93"/>
      <c r="G1329" s="201"/>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99"/>
      <c r="F1330" s="93"/>
      <c r="G1330" s="201"/>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99"/>
      <c r="F1331" s="93"/>
      <c r="G1331" s="201"/>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99"/>
      <c r="F1332" s="93"/>
      <c r="G1332" s="201"/>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99"/>
      <c r="F1333" s="93"/>
      <c r="G1333" s="201"/>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99"/>
      <c r="F1334" s="93"/>
      <c r="G1334" s="201"/>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99"/>
      <c r="F1335" s="93"/>
      <c r="G1335" s="201"/>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99"/>
      <c r="F1336" s="136"/>
      <c r="G1336" s="201"/>
      <c r="H1336" s="204"/>
      <c r="I1336" s="204"/>
      <c r="J1336" s="205"/>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81" t="s">
        <v>16</v>
      </c>
      <c r="J1338" s="6" t="e">
        <f>INDEX('BASE FORMAÇÃO'!K:K,B1338+1)</f>
        <v>#VALUE!</v>
      </c>
      <c r="K1338" s="65"/>
      <c r="L1338" s="183" t="s">
        <v>10</v>
      </c>
      <c r="M1338" s="185"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7">
        <f t="shared" ref="E1339" si="4128">D1338</f>
        <v>1</v>
      </c>
      <c r="F1339" s="92"/>
      <c r="G1339" s="189" t="s">
        <v>1</v>
      </c>
      <c r="H1339" s="192" t="e">
        <f>INDEX('BASE FORMAÇÃO'!C:C,B1338+1)</f>
        <v>#VALUE!</v>
      </c>
      <c r="I1339" s="192"/>
      <c r="J1339" s="193"/>
      <c r="K1339" s="66"/>
      <c r="L1339" s="184"/>
      <c r="M1339" s="186"/>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8"/>
      <c r="F1340" s="93"/>
      <c r="G1340" s="190"/>
      <c r="H1340" s="194"/>
      <c r="I1340" s="194"/>
      <c r="J1340" s="195"/>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1"/>
      <c r="H1341" s="196"/>
      <c r="I1341" s="196"/>
      <c r="J1341" s="197"/>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8" t="e">
        <f t="shared" ref="E1342" si="4132">C1338</f>
        <v>#VALUE!</v>
      </c>
      <c r="F1342" s="93"/>
      <c r="G1342" s="200" t="s">
        <v>304</v>
      </c>
      <c r="H1342" s="202"/>
      <c r="I1342" s="203"/>
      <c r="J1342" s="203"/>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99"/>
      <c r="F1343" s="93"/>
      <c r="G1343" s="201"/>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99"/>
      <c r="F1344" s="93"/>
      <c r="G1344" s="201"/>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99"/>
      <c r="F1345" s="93"/>
      <c r="G1345" s="201"/>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99"/>
      <c r="F1346" s="93"/>
      <c r="G1346" s="201"/>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99"/>
      <c r="F1347" s="93"/>
      <c r="G1347" s="201"/>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99"/>
      <c r="F1348" s="93"/>
      <c r="G1348" s="201"/>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99"/>
      <c r="F1349" s="93"/>
      <c r="G1349" s="201"/>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99"/>
      <c r="F1350" s="93"/>
      <c r="G1350" s="201"/>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99"/>
      <c r="F1351" s="93"/>
      <c r="G1351" s="201"/>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99"/>
      <c r="F1352" s="93"/>
      <c r="G1352" s="201"/>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99"/>
      <c r="F1353" s="93"/>
      <c r="G1353" s="201"/>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99"/>
      <c r="F1354" s="93"/>
      <c r="G1354" s="201"/>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99"/>
      <c r="F1355" s="93"/>
      <c r="G1355" s="201"/>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99"/>
      <c r="F1356" s="93"/>
      <c r="G1356" s="201"/>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99"/>
      <c r="F1357" s="136"/>
      <c r="G1357" s="201"/>
      <c r="H1357" s="204"/>
      <c r="I1357" s="204"/>
      <c r="J1357" s="205"/>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81" t="s">
        <v>16</v>
      </c>
      <c r="J1359" s="6" t="e">
        <f>INDEX('BASE FORMAÇÃO'!K:K,B1359+1)</f>
        <v>#VALUE!</v>
      </c>
      <c r="K1359" s="65"/>
      <c r="L1359" s="183" t="s">
        <v>10</v>
      </c>
      <c r="M1359" s="185"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7">
        <f t="shared" ref="E1360" si="4194">D1359</f>
        <v>1</v>
      </c>
      <c r="F1360" s="92"/>
      <c r="G1360" s="189" t="s">
        <v>1</v>
      </c>
      <c r="H1360" s="192" t="e">
        <f>INDEX('BASE FORMAÇÃO'!C:C,B1359+1)</f>
        <v>#VALUE!</v>
      </c>
      <c r="I1360" s="192"/>
      <c r="J1360" s="193"/>
      <c r="K1360" s="66"/>
      <c r="L1360" s="184"/>
      <c r="M1360" s="186"/>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8"/>
      <c r="F1361" s="93"/>
      <c r="G1361" s="190"/>
      <c r="H1361" s="194"/>
      <c r="I1361" s="194"/>
      <c r="J1361" s="195"/>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1"/>
      <c r="H1362" s="196"/>
      <c r="I1362" s="196"/>
      <c r="J1362" s="197"/>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8" t="e">
        <f t="shared" ref="E1363" si="4198">C1359</f>
        <v>#VALUE!</v>
      </c>
      <c r="F1363" s="93"/>
      <c r="G1363" s="200" t="s">
        <v>304</v>
      </c>
      <c r="H1363" s="202"/>
      <c r="I1363" s="203"/>
      <c r="J1363" s="203"/>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99"/>
      <c r="F1364" s="93"/>
      <c r="G1364" s="201"/>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99"/>
      <c r="F1365" s="93"/>
      <c r="G1365" s="201"/>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99"/>
      <c r="F1366" s="93"/>
      <c r="G1366" s="201"/>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99"/>
      <c r="F1367" s="93"/>
      <c r="G1367" s="201"/>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99"/>
      <c r="F1368" s="93"/>
      <c r="G1368" s="201"/>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99"/>
      <c r="F1369" s="93"/>
      <c r="G1369" s="201"/>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99"/>
      <c r="F1370" s="93"/>
      <c r="G1370" s="201"/>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99"/>
      <c r="F1371" s="93"/>
      <c r="G1371" s="201"/>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99"/>
      <c r="F1372" s="93"/>
      <c r="G1372" s="201"/>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99"/>
      <c r="F1373" s="93"/>
      <c r="G1373" s="201"/>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99"/>
      <c r="F1374" s="93"/>
      <c r="G1374" s="201"/>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99"/>
      <c r="F1375" s="93"/>
      <c r="G1375" s="201"/>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99"/>
      <c r="F1376" s="93"/>
      <c r="G1376" s="201"/>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99"/>
      <c r="F1377" s="93"/>
      <c r="G1377" s="201"/>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99"/>
      <c r="F1378" s="136"/>
      <c r="G1378" s="201"/>
      <c r="H1378" s="204"/>
      <c r="I1378" s="204"/>
      <c r="J1378" s="205"/>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81" t="s">
        <v>16</v>
      </c>
      <c r="J1380" s="6" t="e">
        <f>INDEX('BASE FORMAÇÃO'!K:K,B1380+1)</f>
        <v>#VALUE!</v>
      </c>
      <c r="K1380" s="65"/>
      <c r="L1380" s="183" t="s">
        <v>10</v>
      </c>
      <c r="M1380" s="185"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7">
        <f t="shared" ref="E1381" si="4260">D1380</f>
        <v>1</v>
      </c>
      <c r="F1381" s="92"/>
      <c r="G1381" s="189" t="s">
        <v>1</v>
      </c>
      <c r="H1381" s="192" t="e">
        <f>INDEX('BASE FORMAÇÃO'!C:C,B1380+1)</f>
        <v>#VALUE!</v>
      </c>
      <c r="I1381" s="192"/>
      <c r="J1381" s="193"/>
      <c r="K1381" s="66"/>
      <c r="L1381" s="184"/>
      <c r="M1381" s="186"/>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8"/>
      <c r="F1382" s="93"/>
      <c r="G1382" s="190"/>
      <c r="H1382" s="194"/>
      <c r="I1382" s="194"/>
      <c r="J1382" s="195"/>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1"/>
      <c r="H1383" s="196"/>
      <c r="I1383" s="196"/>
      <c r="J1383" s="197"/>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8" t="e">
        <f t="shared" ref="E1384" si="4264">C1380</f>
        <v>#VALUE!</v>
      </c>
      <c r="F1384" s="93"/>
      <c r="G1384" s="200" t="s">
        <v>304</v>
      </c>
      <c r="H1384" s="202"/>
      <c r="I1384" s="203"/>
      <c r="J1384" s="203"/>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99"/>
      <c r="F1385" s="93"/>
      <c r="G1385" s="201"/>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99"/>
      <c r="F1386" s="93"/>
      <c r="G1386" s="201"/>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99"/>
      <c r="F1387" s="93"/>
      <c r="G1387" s="201"/>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99"/>
      <c r="F1388" s="93"/>
      <c r="G1388" s="201"/>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99"/>
      <c r="F1389" s="93"/>
      <c r="G1389" s="201"/>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99"/>
      <c r="F1390" s="93"/>
      <c r="G1390" s="201"/>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99"/>
      <c r="F1391" s="93"/>
      <c r="G1391" s="201"/>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99"/>
      <c r="F1392" s="93"/>
      <c r="G1392" s="201"/>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99"/>
      <c r="F1393" s="93"/>
      <c r="G1393" s="201"/>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99"/>
      <c r="F1394" s="93"/>
      <c r="G1394" s="201"/>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99"/>
      <c r="F1395" s="93"/>
      <c r="G1395" s="201"/>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99"/>
      <c r="F1396" s="93"/>
      <c r="G1396" s="201"/>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99"/>
      <c r="F1397" s="93"/>
      <c r="G1397" s="201"/>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99"/>
      <c r="F1398" s="93"/>
      <c r="G1398" s="201"/>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99"/>
      <c r="F1399" s="136"/>
      <c r="G1399" s="201"/>
      <c r="H1399" s="204"/>
      <c r="I1399" s="204"/>
      <c r="J1399" s="205"/>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81" t="s">
        <v>16</v>
      </c>
      <c r="J1401" s="6" t="e">
        <f>INDEX('BASE FORMAÇÃO'!K:K,B1401+1)</f>
        <v>#VALUE!</v>
      </c>
      <c r="K1401" s="65"/>
      <c r="L1401" s="183" t="s">
        <v>10</v>
      </c>
      <c r="M1401" s="185"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7">
        <f t="shared" ref="E1402" si="4326">D1401</f>
        <v>1</v>
      </c>
      <c r="F1402" s="92"/>
      <c r="G1402" s="189" t="s">
        <v>1</v>
      </c>
      <c r="H1402" s="192" t="e">
        <f>INDEX('BASE FORMAÇÃO'!C:C,B1401+1)</f>
        <v>#VALUE!</v>
      </c>
      <c r="I1402" s="192"/>
      <c r="J1402" s="193"/>
      <c r="K1402" s="66"/>
      <c r="L1402" s="184"/>
      <c r="M1402" s="186"/>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8"/>
      <c r="F1403" s="93"/>
      <c r="G1403" s="190"/>
      <c r="H1403" s="194"/>
      <c r="I1403" s="194"/>
      <c r="J1403" s="195"/>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1"/>
      <c r="H1404" s="196"/>
      <c r="I1404" s="196"/>
      <c r="J1404" s="197"/>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8" t="e">
        <f t="shared" ref="E1405" si="4330">C1401</f>
        <v>#VALUE!</v>
      </c>
      <c r="F1405" s="93"/>
      <c r="G1405" s="200" t="s">
        <v>304</v>
      </c>
      <c r="H1405" s="202"/>
      <c r="I1405" s="203"/>
      <c r="J1405" s="203"/>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99"/>
      <c r="F1406" s="93"/>
      <c r="G1406" s="201"/>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99"/>
      <c r="F1407" s="93"/>
      <c r="G1407" s="201"/>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99"/>
      <c r="F1408" s="93"/>
      <c r="G1408" s="201"/>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99"/>
      <c r="F1409" s="93"/>
      <c r="G1409" s="201"/>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99"/>
      <c r="F1410" s="93"/>
      <c r="G1410" s="201"/>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99"/>
      <c r="F1411" s="93"/>
      <c r="G1411" s="201"/>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99"/>
      <c r="F1412" s="93"/>
      <c r="G1412" s="201"/>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99"/>
      <c r="F1413" s="93"/>
      <c r="G1413" s="201"/>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99"/>
      <c r="F1414" s="93"/>
      <c r="G1414" s="201"/>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99"/>
      <c r="F1415" s="93"/>
      <c r="G1415" s="201"/>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99"/>
      <c r="F1416" s="93"/>
      <c r="G1416" s="201"/>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99"/>
      <c r="F1417" s="93"/>
      <c r="G1417" s="201"/>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99"/>
      <c r="F1418" s="93"/>
      <c r="G1418" s="201"/>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99"/>
      <c r="F1419" s="93"/>
      <c r="G1419" s="201"/>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99"/>
      <c r="F1420" s="136"/>
      <c r="G1420" s="201"/>
      <c r="H1420" s="204"/>
      <c r="I1420" s="204"/>
      <c r="J1420" s="205"/>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81" t="s">
        <v>16</v>
      </c>
      <c r="J1422" s="6" t="e">
        <f>INDEX('BASE FORMAÇÃO'!K:K,B1422+1)</f>
        <v>#VALUE!</v>
      </c>
      <c r="K1422" s="65"/>
      <c r="L1422" s="183" t="s">
        <v>10</v>
      </c>
      <c r="M1422" s="185"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7">
        <f t="shared" ref="E1423" si="4392">D1422</f>
        <v>1</v>
      </c>
      <c r="F1423" s="92"/>
      <c r="G1423" s="189" t="s">
        <v>1</v>
      </c>
      <c r="H1423" s="192" t="e">
        <f>INDEX('BASE FORMAÇÃO'!C:C,B1422+1)</f>
        <v>#VALUE!</v>
      </c>
      <c r="I1423" s="192"/>
      <c r="J1423" s="193"/>
      <c r="K1423" s="66"/>
      <c r="L1423" s="184"/>
      <c r="M1423" s="186"/>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8"/>
      <c r="F1424" s="93"/>
      <c r="G1424" s="190"/>
      <c r="H1424" s="194"/>
      <c r="I1424" s="194"/>
      <c r="J1424" s="195"/>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1"/>
      <c r="H1425" s="196"/>
      <c r="I1425" s="196"/>
      <c r="J1425" s="197"/>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8" t="e">
        <f t="shared" ref="E1426" si="4396">C1422</f>
        <v>#VALUE!</v>
      </c>
      <c r="F1426" s="93"/>
      <c r="G1426" s="200" t="s">
        <v>304</v>
      </c>
      <c r="H1426" s="202"/>
      <c r="I1426" s="203"/>
      <c r="J1426" s="203"/>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99"/>
      <c r="F1427" s="93"/>
      <c r="G1427" s="201"/>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99"/>
      <c r="F1428" s="93"/>
      <c r="G1428" s="201"/>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99"/>
      <c r="F1429" s="93"/>
      <c r="G1429" s="201"/>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99"/>
      <c r="F1430" s="93"/>
      <c r="G1430" s="201"/>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99"/>
      <c r="F1431" s="93"/>
      <c r="G1431" s="201"/>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99"/>
      <c r="F1432" s="93"/>
      <c r="G1432" s="201"/>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99"/>
      <c r="F1433" s="93"/>
      <c r="G1433" s="201"/>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99"/>
      <c r="F1434" s="93"/>
      <c r="G1434" s="201"/>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99"/>
      <c r="F1435" s="93"/>
      <c r="G1435" s="201"/>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99"/>
      <c r="F1436" s="93"/>
      <c r="G1436" s="201"/>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99"/>
      <c r="F1437" s="93"/>
      <c r="G1437" s="201"/>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99"/>
      <c r="F1438" s="93"/>
      <c r="G1438" s="201"/>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99"/>
      <c r="F1439" s="93"/>
      <c r="G1439" s="201"/>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99"/>
      <c r="F1440" s="93"/>
      <c r="G1440" s="201"/>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99"/>
      <c r="F1441" s="136"/>
      <c r="G1441" s="201"/>
      <c r="H1441" s="204"/>
      <c r="I1441" s="204"/>
      <c r="J1441" s="205"/>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81" t="s">
        <v>16</v>
      </c>
      <c r="J1443" s="6" t="e">
        <f>INDEX('BASE FORMAÇÃO'!K:K,B1443+1)</f>
        <v>#VALUE!</v>
      </c>
      <c r="K1443" s="65"/>
      <c r="L1443" s="183" t="s">
        <v>10</v>
      </c>
      <c r="M1443" s="185"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7">
        <f t="shared" ref="E1444" si="4458">D1443</f>
        <v>1</v>
      </c>
      <c r="F1444" s="92"/>
      <c r="G1444" s="189" t="s">
        <v>1</v>
      </c>
      <c r="H1444" s="192" t="e">
        <f>INDEX('BASE FORMAÇÃO'!C:C,B1443+1)</f>
        <v>#VALUE!</v>
      </c>
      <c r="I1444" s="192"/>
      <c r="J1444" s="193"/>
      <c r="K1444" s="66"/>
      <c r="L1444" s="184"/>
      <c r="M1444" s="186"/>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8"/>
      <c r="F1445" s="93"/>
      <c r="G1445" s="190"/>
      <c r="H1445" s="194"/>
      <c r="I1445" s="194"/>
      <c r="J1445" s="195"/>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1"/>
      <c r="H1446" s="196"/>
      <c r="I1446" s="196"/>
      <c r="J1446" s="197"/>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8" t="e">
        <f t="shared" ref="E1447" si="4462">C1443</f>
        <v>#VALUE!</v>
      </c>
      <c r="F1447" s="93"/>
      <c r="G1447" s="200" t="s">
        <v>304</v>
      </c>
      <c r="H1447" s="202"/>
      <c r="I1447" s="203"/>
      <c r="J1447" s="203"/>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99"/>
      <c r="F1448" s="93"/>
      <c r="G1448" s="201"/>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99"/>
      <c r="F1449" s="93"/>
      <c r="G1449" s="201"/>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99"/>
      <c r="F1450" s="93"/>
      <c r="G1450" s="201"/>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99"/>
      <c r="F1451" s="93"/>
      <c r="G1451" s="201"/>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99"/>
      <c r="F1452" s="93"/>
      <c r="G1452" s="201"/>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99"/>
      <c r="F1453" s="93"/>
      <c r="G1453" s="201"/>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99"/>
      <c r="F1454" s="93"/>
      <c r="G1454" s="201"/>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99"/>
      <c r="F1455" s="93"/>
      <c r="G1455" s="201"/>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99"/>
      <c r="F1456" s="93"/>
      <c r="G1456" s="201"/>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99"/>
      <c r="F1457" s="93"/>
      <c r="G1457" s="201"/>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99"/>
      <c r="F1458" s="93"/>
      <c r="G1458" s="201"/>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99"/>
      <c r="F1459" s="93"/>
      <c r="G1459" s="201"/>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99"/>
      <c r="F1460" s="93"/>
      <c r="G1460" s="201"/>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99"/>
      <c r="F1461" s="93"/>
      <c r="G1461" s="201"/>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99"/>
      <c r="F1462" s="136"/>
      <c r="G1462" s="201"/>
      <c r="H1462" s="204"/>
      <c r="I1462" s="204"/>
      <c r="J1462" s="205"/>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81" t="s">
        <v>16</v>
      </c>
      <c r="J1464" s="6" t="e">
        <f>INDEX('BASE FORMAÇÃO'!K:K,B1464+1)</f>
        <v>#VALUE!</v>
      </c>
      <c r="K1464" s="65"/>
      <c r="L1464" s="183" t="s">
        <v>10</v>
      </c>
      <c r="M1464" s="185"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7">
        <f t="shared" ref="E1465" si="4524">D1464</f>
        <v>1</v>
      </c>
      <c r="F1465" s="92"/>
      <c r="G1465" s="189" t="s">
        <v>1</v>
      </c>
      <c r="H1465" s="192" t="e">
        <f>INDEX('BASE FORMAÇÃO'!C:C,B1464+1)</f>
        <v>#VALUE!</v>
      </c>
      <c r="I1465" s="192"/>
      <c r="J1465" s="193"/>
      <c r="K1465" s="66"/>
      <c r="L1465" s="184"/>
      <c r="M1465" s="186"/>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8"/>
      <c r="F1466" s="93"/>
      <c r="G1466" s="190"/>
      <c r="H1466" s="194"/>
      <c r="I1466" s="194"/>
      <c r="J1466" s="195"/>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1"/>
      <c r="H1467" s="196"/>
      <c r="I1467" s="196"/>
      <c r="J1467" s="197"/>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8" t="e">
        <f t="shared" ref="E1468" si="4528">C1464</f>
        <v>#VALUE!</v>
      </c>
      <c r="F1468" s="93"/>
      <c r="G1468" s="200" t="s">
        <v>304</v>
      </c>
      <c r="H1468" s="202"/>
      <c r="I1468" s="203"/>
      <c r="J1468" s="203"/>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99"/>
      <c r="F1469" s="93"/>
      <c r="G1469" s="201"/>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99"/>
      <c r="F1470" s="93"/>
      <c r="G1470" s="201"/>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99"/>
      <c r="F1471" s="93"/>
      <c r="G1471" s="201"/>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99"/>
      <c r="F1472" s="93"/>
      <c r="G1472" s="201"/>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99"/>
      <c r="F1473" s="93"/>
      <c r="G1473" s="201"/>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99"/>
      <c r="F1474" s="93"/>
      <c r="G1474" s="201"/>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99"/>
      <c r="F1475" s="93"/>
      <c r="G1475" s="201"/>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99"/>
      <c r="F1476" s="93"/>
      <c r="G1476" s="201"/>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99"/>
      <c r="F1477" s="93"/>
      <c r="G1477" s="201"/>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99"/>
      <c r="F1478" s="93"/>
      <c r="G1478" s="201"/>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99"/>
      <c r="F1479" s="93"/>
      <c r="G1479" s="201"/>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99"/>
      <c r="F1480" s="93"/>
      <c r="G1480" s="201"/>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99"/>
      <c r="F1481" s="93"/>
      <c r="G1481" s="201"/>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99"/>
      <c r="F1482" s="93"/>
      <c r="G1482" s="201"/>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99"/>
      <c r="F1483" s="136"/>
      <c r="G1483" s="201"/>
      <c r="H1483" s="204"/>
      <c r="I1483" s="204"/>
      <c r="J1483" s="205"/>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3" t="s">
        <v>10</v>
      </c>
      <c r="M1485" s="185"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7">
        <f t="shared" ref="E1486" si="4590">D1485</f>
        <v>1</v>
      </c>
      <c r="F1486" s="92"/>
      <c r="G1486" s="189" t="s">
        <v>1</v>
      </c>
      <c r="H1486" s="192" t="e">
        <f>INDEX('BASE FORMAÇÃO'!C:C,B1485+1)</f>
        <v>#VALUE!</v>
      </c>
      <c r="I1486" s="192"/>
      <c r="J1486" s="193"/>
      <c r="K1486" s="66"/>
      <c r="L1486" s="184"/>
      <c r="M1486" s="186"/>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8"/>
      <c r="F1487" s="93"/>
      <c r="G1487" s="190"/>
      <c r="H1487" s="194"/>
      <c r="I1487" s="194"/>
      <c r="J1487" s="195"/>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1"/>
      <c r="H1488" s="196"/>
      <c r="I1488" s="196"/>
      <c r="J1488" s="197"/>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8" t="e">
        <f t="shared" ref="E1489" si="4594">C1485</f>
        <v>#VALUE!</v>
      </c>
      <c r="F1489" s="93"/>
      <c r="G1489" s="200" t="s">
        <v>304</v>
      </c>
      <c r="H1489" s="202"/>
      <c r="I1489" s="203"/>
      <c r="J1489" s="203"/>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99"/>
      <c r="F1490" s="93"/>
      <c r="G1490" s="201"/>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99"/>
      <c r="F1491" s="93"/>
      <c r="G1491" s="201"/>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99"/>
      <c r="F1492" s="93"/>
      <c r="G1492" s="201"/>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99"/>
      <c r="F1493" s="93"/>
      <c r="G1493" s="201"/>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99"/>
      <c r="F1494" s="93"/>
      <c r="G1494" s="201"/>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99"/>
      <c r="F1495" s="93"/>
      <c r="G1495" s="201"/>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99"/>
      <c r="F1496" s="93"/>
      <c r="G1496" s="201"/>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99"/>
      <c r="F1497" s="93"/>
      <c r="G1497" s="201"/>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99"/>
      <c r="F1498" s="93"/>
      <c r="G1498" s="201"/>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99"/>
      <c r="F1499" s="93"/>
      <c r="G1499" s="201"/>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99"/>
      <c r="F1500" s="93"/>
      <c r="G1500" s="201"/>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99"/>
      <c r="F1501" s="93"/>
      <c r="G1501" s="201"/>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99"/>
      <c r="F1502" s="93"/>
      <c r="G1502" s="201"/>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99"/>
      <c r="F1503" s="93"/>
      <c r="G1503" s="201"/>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99"/>
      <c r="F1504" s="136"/>
      <c r="G1504" s="201"/>
      <c r="H1504" s="204"/>
      <c r="I1504" s="204"/>
      <c r="J1504" s="205"/>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3" t="s">
        <v>10</v>
      </c>
      <c r="M1506" s="185"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7">
        <f t="shared" ref="E1507" si="4656">D1506</f>
        <v>1</v>
      </c>
      <c r="F1507" s="92"/>
      <c r="G1507" s="189" t="s">
        <v>1</v>
      </c>
      <c r="H1507" s="192" t="e">
        <f>INDEX('BASE FORMAÇÃO'!C:C,B1506+1)</f>
        <v>#VALUE!</v>
      </c>
      <c r="I1507" s="192"/>
      <c r="J1507" s="193"/>
      <c r="K1507" s="66"/>
      <c r="L1507" s="184"/>
      <c r="M1507" s="186"/>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8"/>
      <c r="F1508" s="93"/>
      <c r="G1508" s="190"/>
      <c r="H1508" s="194"/>
      <c r="I1508" s="194"/>
      <c r="J1508" s="195"/>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1"/>
      <c r="H1509" s="196"/>
      <c r="I1509" s="196"/>
      <c r="J1509" s="197"/>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8" t="e">
        <f t="shared" ref="E1510" si="4660">C1506</f>
        <v>#VALUE!</v>
      </c>
      <c r="F1510" s="93"/>
      <c r="G1510" s="200" t="s">
        <v>304</v>
      </c>
      <c r="H1510" s="202"/>
      <c r="I1510" s="203"/>
      <c r="J1510" s="203"/>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99"/>
      <c r="F1511" s="93"/>
      <c r="G1511" s="201"/>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99"/>
      <c r="F1512" s="93"/>
      <c r="G1512" s="201"/>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99"/>
      <c r="F1513" s="93"/>
      <c r="G1513" s="201"/>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99"/>
      <c r="F1514" s="93"/>
      <c r="G1514" s="201"/>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99"/>
      <c r="F1515" s="93"/>
      <c r="G1515" s="201"/>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99"/>
      <c r="F1516" s="93"/>
      <c r="G1516" s="201"/>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99"/>
      <c r="F1517" s="93"/>
      <c r="G1517" s="201"/>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99"/>
      <c r="F1518" s="93"/>
      <c r="G1518" s="201"/>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99"/>
      <c r="F1519" s="93"/>
      <c r="G1519" s="201"/>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99"/>
      <c r="F1520" s="93"/>
      <c r="G1520" s="201"/>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99"/>
      <c r="F1521" s="93"/>
      <c r="G1521" s="201"/>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99"/>
      <c r="F1522" s="93"/>
      <c r="G1522" s="201"/>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99"/>
      <c r="F1523" s="93"/>
      <c r="G1523" s="201"/>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99"/>
      <c r="F1524" s="93"/>
      <c r="G1524" s="201"/>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99"/>
      <c r="F1525" s="136"/>
      <c r="G1525" s="201"/>
      <c r="H1525" s="204"/>
      <c r="I1525" s="204"/>
      <c r="J1525" s="205"/>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3" t="s">
        <v>10</v>
      </c>
      <c r="M1527" s="185"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7">
        <f t="shared" ref="E1528" si="4722">D1527</f>
        <v>1</v>
      </c>
      <c r="F1528" s="92"/>
      <c r="G1528" s="189" t="s">
        <v>1</v>
      </c>
      <c r="H1528" s="192" t="e">
        <f>INDEX('BASE FORMAÇÃO'!C:C,B1527+1)</f>
        <v>#VALUE!</v>
      </c>
      <c r="I1528" s="192"/>
      <c r="J1528" s="193"/>
      <c r="K1528" s="66"/>
      <c r="L1528" s="184"/>
      <c r="M1528" s="186"/>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8"/>
      <c r="F1529" s="93"/>
      <c r="G1529" s="190"/>
      <c r="H1529" s="194"/>
      <c r="I1529" s="194"/>
      <c r="J1529" s="195"/>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1"/>
      <c r="H1530" s="196"/>
      <c r="I1530" s="196"/>
      <c r="J1530" s="197"/>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8" t="e">
        <f t="shared" ref="E1531" si="4726">C1527</f>
        <v>#VALUE!</v>
      </c>
      <c r="F1531" s="93"/>
      <c r="G1531" s="200" t="s">
        <v>304</v>
      </c>
      <c r="H1531" s="202"/>
      <c r="I1531" s="203"/>
      <c r="J1531" s="203"/>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99"/>
      <c r="F1532" s="93"/>
      <c r="G1532" s="201"/>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99"/>
      <c r="F1533" s="93"/>
      <c r="G1533" s="201"/>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99"/>
      <c r="F1534" s="93"/>
      <c r="G1534" s="201"/>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99"/>
      <c r="F1535" s="93"/>
      <c r="G1535" s="201"/>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99"/>
      <c r="F1536" s="93"/>
      <c r="G1536" s="201"/>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99"/>
      <c r="F1537" s="93"/>
      <c r="G1537" s="201"/>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99"/>
      <c r="F1538" s="93"/>
      <c r="G1538" s="201"/>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99"/>
      <c r="F1539" s="93"/>
      <c r="G1539" s="201"/>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99"/>
      <c r="F1540" s="93"/>
      <c r="G1540" s="201"/>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99"/>
      <c r="F1541" s="93"/>
      <c r="G1541" s="201"/>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99"/>
      <c r="F1542" s="93"/>
      <c r="G1542" s="201"/>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99"/>
      <c r="F1543" s="93"/>
      <c r="G1543" s="201"/>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99"/>
      <c r="F1544" s="93"/>
      <c r="G1544" s="201"/>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99"/>
      <c r="F1545" s="93"/>
      <c r="G1545" s="201"/>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99"/>
      <c r="F1546" s="136"/>
      <c r="G1546" s="201"/>
      <c r="H1546" s="204"/>
      <c r="I1546" s="204"/>
      <c r="J1546" s="205"/>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3" t="s">
        <v>10</v>
      </c>
      <c r="M1548" s="185"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7">
        <f t="shared" ref="E1549" si="4788">D1548</f>
        <v>1</v>
      </c>
      <c r="F1549" s="92"/>
      <c r="G1549" s="189" t="s">
        <v>1</v>
      </c>
      <c r="H1549" s="192" t="e">
        <f>INDEX('BASE FORMAÇÃO'!C:C,B1548+1)</f>
        <v>#VALUE!</v>
      </c>
      <c r="I1549" s="192"/>
      <c r="J1549" s="193"/>
      <c r="K1549" s="66"/>
      <c r="L1549" s="184"/>
      <c r="M1549" s="186"/>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8"/>
      <c r="F1550" s="93"/>
      <c r="G1550" s="190"/>
      <c r="H1550" s="194"/>
      <c r="I1550" s="194"/>
      <c r="J1550" s="195"/>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1"/>
      <c r="H1551" s="196"/>
      <c r="I1551" s="196"/>
      <c r="J1551" s="197"/>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8" t="e">
        <f t="shared" ref="E1552" si="4792">C1548</f>
        <v>#VALUE!</v>
      </c>
      <c r="F1552" s="93"/>
      <c r="G1552" s="200" t="s">
        <v>304</v>
      </c>
      <c r="H1552" s="202"/>
      <c r="I1552" s="203"/>
      <c r="J1552" s="203"/>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99"/>
      <c r="F1553" s="93"/>
      <c r="G1553" s="201"/>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99"/>
      <c r="F1554" s="93"/>
      <c r="G1554" s="201"/>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99"/>
      <c r="F1555" s="93"/>
      <c r="G1555" s="201"/>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99"/>
      <c r="F1556" s="93"/>
      <c r="G1556" s="201"/>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99"/>
      <c r="F1557" s="93"/>
      <c r="G1557" s="201"/>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99"/>
      <c r="F1558" s="93"/>
      <c r="G1558" s="201"/>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99"/>
      <c r="F1559" s="93"/>
      <c r="G1559" s="201"/>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99"/>
      <c r="F1560" s="93"/>
      <c r="G1560" s="201"/>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99"/>
      <c r="F1561" s="93"/>
      <c r="G1561" s="201"/>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99"/>
      <c r="F1562" s="93"/>
      <c r="G1562" s="201"/>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99"/>
      <c r="F1563" s="93"/>
      <c r="G1563" s="201"/>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99"/>
      <c r="F1564" s="93"/>
      <c r="G1564" s="201"/>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99"/>
      <c r="F1565" s="93"/>
      <c r="G1565" s="201"/>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99"/>
      <c r="F1566" s="93"/>
      <c r="G1566" s="201"/>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99"/>
      <c r="F1567" s="136"/>
      <c r="G1567" s="201"/>
      <c r="H1567" s="204"/>
      <c r="I1567" s="204"/>
      <c r="J1567" s="205"/>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3" t="s">
        <v>10</v>
      </c>
      <c r="M1569" s="185"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7">
        <f t="shared" ref="E1570" si="4854">D1569</f>
        <v>1</v>
      </c>
      <c r="F1570" s="92"/>
      <c r="G1570" s="189" t="s">
        <v>1</v>
      </c>
      <c r="H1570" s="192" t="e">
        <f>INDEX('BASE FORMAÇÃO'!C:C,B1569+1)</f>
        <v>#VALUE!</v>
      </c>
      <c r="I1570" s="192"/>
      <c r="J1570" s="193"/>
      <c r="K1570" s="66"/>
      <c r="L1570" s="184"/>
      <c r="M1570" s="186"/>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8"/>
      <c r="F1571" s="93"/>
      <c r="G1571" s="190"/>
      <c r="H1571" s="194"/>
      <c r="I1571" s="194"/>
      <c r="J1571" s="195"/>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1"/>
      <c r="H1572" s="196"/>
      <c r="I1572" s="196"/>
      <c r="J1572" s="197"/>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8" t="e">
        <f t="shared" ref="E1573" si="4858">C1569</f>
        <v>#VALUE!</v>
      </c>
      <c r="F1573" s="93"/>
      <c r="G1573" s="200" t="s">
        <v>304</v>
      </c>
      <c r="H1573" s="202"/>
      <c r="I1573" s="203"/>
      <c r="J1573" s="203"/>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99"/>
      <c r="F1574" s="93"/>
      <c r="G1574" s="201"/>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99"/>
      <c r="F1575" s="93"/>
      <c r="G1575" s="201"/>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99"/>
      <c r="F1576" s="93"/>
      <c r="G1576" s="201"/>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99"/>
      <c r="F1577" s="93"/>
      <c r="G1577" s="201"/>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99"/>
      <c r="F1578" s="93"/>
      <c r="G1578" s="201"/>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99"/>
      <c r="F1579" s="93"/>
      <c r="G1579" s="201"/>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99"/>
      <c r="F1580" s="93"/>
      <c r="G1580" s="201"/>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99"/>
      <c r="F1581" s="93"/>
      <c r="G1581" s="201"/>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99"/>
      <c r="F1582" s="93"/>
      <c r="G1582" s="201"/>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99"/>
      <c r="F1583" s="93"/>
      <c r="G1583" s="201"/>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99"/>
      <c r="F1584" s="93"/>
      <c r="G1584" s="201"/>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99"/>
      <c r="F1585" s="93"/>
      <c r="G1585" s="201"/>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99"/>
      <c r="F1586" s="93"/>
      <c r="G1586" s="201"/>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99"/>
      <c r="F1587" s="93"/>
      <c r="G1587" s="201"/>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99"/>
      <c r="F1588" s="136"/>
      <c r="G1588" s="201"/>
      <c r="H1588" s="204"/>
      <c r="I1588" s="204"/>
      <c r="J1588" s="205"/>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3" t="s">
        <v>10</v>
      </c>
      <c r="M1590" s="185"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7">
        <f t="shared" ref="E1591" si="4920">D1590</f>
        <v>1</v>
      </c>
      <c r="F1591" s="92"/>
      <c r="G1591" s="189" t="s">
        <v>1</v>
      </c>
      <c r="H1591" s="192" t="e">
        <f>INDEX('BASE FORMAÇÃO'!C:C,B1590+1)</f>
        <v>#VALUE!</v>
      </c>
      <c r="I1591" s="192"/>
      <c r="J1591" s="193"/>
      <c r="K1591" s="66"/>
      <c r="L1591" s="184"/>
      <c r="M1591" s="186"/>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8"/>
      <c r="F1592" s="93"/>
      <c r="G1592" s="190"/>
      <c r="H1592" s="194"/>
      <c r="I1592" s="194"/>
      <c r="J1592" s="195"/>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1"/>
      <c r="H1593" s="196"/>
      <c r="I1593" s="196"/>
      <c r="J1593" s="197"/>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8" t="e">
        <f t="shared" ref="E1594" si="4924">C1590</f>
        <v>#VALUE!</v>
      </c>
      <c r="F1594" s="93"/>
      <c r="G1594" s="200" t="s">
        <v>304</v>
      </c>
      <c r="H1594" s="202"/>
      <c r="I1594" s="203"/>
      <c r="J1594" s="203"/>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99"/>
      <c r="F1595" s="93"/>
      <c r="G1595" s="201"/>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99"/>
      <c r="F1596" s="93"/>
      <c r="G1596" s="201"/>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99"/>
      <c r="F1597" s="93"/>
      <c r="G1597" s="201"/>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99"/>
      <c r="F1598" s="93"/>
      <c r="G1598" s="201"/>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99"/>
      <c r="F1599" s="93"/>
      <c r="G1599" s="201"/>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99"/>
      <c r="F1600" s="93"/>
      <c r="G1600" s="201"/>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99"/>
      <c r="F1601" s="93"/>
      <c r="G1601" s="201"/>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99"/>
      <c r="F1602" s="93"/>
      <c r="G1602" s="201"/>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99"/>
      <c r="F1603" s="93"/>
      <c r="G1603" s="201"/>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99"/>
      <c r="F1604" s="93"/>
      <c r="G1604" s="201"/>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99"/>
      <c r="F1605" s="93"/>
      <c r="G1605" s="201"/>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99"/>
      <c r="F1606" s="93"/>
      <c r="G1606" s="201"/>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99"/>
      <c r="F1607" s="93"/>
      <c r="G1607" s="201"/>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99"/>
      <c r="F1608" s="93"/>
      <c r="G1608" s="201"/>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99"/>
      <c r="F1609" s="136"/>
      <c r="G1609" s="201"/>
      <c r="H1609" s="204"/>
      <c r="I1609" s="204"/>
      <c r="J1609" s="205"/>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3" t="s">
        <v>10</v>
      </c>
      <c r="M1611" s="185"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7">
        <f t="shared" ref="E1612" si="4986">D1611</f>
        <v>1</v>
      </c>
      <c r="F1612" s="92"/>
      <c r="G1612" s="189" t="s">
        <v>1</v>
      </c>
      <c r="H1612" s="192" t="e">
        <f>INDEX('BASE FORMAÇÃO'!C:C,B1611+1)</f>
        <v>#VALUE!</v>
      </c>
      <c r="I1612" s="192"/>
      <c r="J1612" s="193"/>
      <c r="K1612" s="66"/>
      <c r="L1612" s="184"/>
      <c r="M1612" s="186"/>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8"/>
      <c r="F1613" s="93"/>
      <c r="G1613" s="190"/>
      <c r="H1613" s="194"/>
      <c r="I1613" s="194"/>
      <c r="J1613" s="195"/>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1"/>
      <c r="H1614" s="196"/>
      <c r="I1614" s="196"/>
      <c r="J1614" s="197"/>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8" t="e">
        <f t="shared" ref="E1615" si="4990">C1611</f>
        <v>#VALUE!</v>
      </c>
      <c r="F1615" s="93"/>
      <c r="G1615" s="200" t="s">
        <v>304</v>
      </c>
      <c r="H1615" s="202"/>
      <c r="I1615" s="203"/>
      <c r="J1615" s="203"/>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99"/>
      <c r="F1616" s="93"/>
      <c r="G1616" s="201"/>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99"/>
      <c r="F1617" s="93"/>
      <c r="G1617" s="201"/>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99"/>
      <c r="F1618" s="93"/>
      <c r="G1618" s="201"/>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99"/>
      <c r="F1619" s="93"/>
      <c r="G1619" s="201"/>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99"/>
      <c r="F1620" s="93"/>
      <c r="G1620" s="201"/>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99"/>
      <c r="F1621" s="93"/>
      <c r="G1621" s="201"/>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99"/>
      <c r="F1622" s="93"/>
      <c r="G1622" s="201"/>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99"/>
      <c r="F1623" s="93"/>
      <c r="G1623" s="201"/>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99"/>
      <c r="F1624" s="93"/>
      <c r="G1624" s="201"/>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99"/>
      <c r="F1625" s="93"/>
      <c r="G1625" s="201"/>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99"/>
      <c r="F1626" s="93"/>
      <c r="G1626" s="201"/>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99"/>
      <c r="F1627" s="93"/>
      <c r="G1627" s="201"/>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99"/>
      <c r="F1628" s="93"/>
      <c r="G1628" s="201"/>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99"/>
      <c r="F1629" s="93"/>
      <c r="G1629" s="201"/>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99"/>
      <c r="F1630" s="136"/>
      <c r="G1630" s="201"/>
      <c r="H1630" s="204"/>
      <c r="I1630" s="204"/>
      <c r="J1630" s="205"/>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3" t="s">
        <v>10</v>
      </c>
      <c r="M1632" s="185"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7">
        <f t="shared" ref="E1633" si="5052">D1632</f>
        <v>1</v>
      </c>
      <c r="F1633" s="92"/>
      <c r="G1633" s="189" t="s">
        <v>1</v>
      </c>
      <c r="H1633" s="192" t="e">
        <f>INDEX('BASE FORMAÇÃO'!C:C,B1632+1)</f>
        <v>#VALUE!</v>
      </c>
      <c r="I1633" s="192"/>
      <c r="J1633" s="193"/>
      <c r="K1633" s="66"/>
      <c r="L1633" s="184"/>
      <c r="M1633" s="186"/>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8"/>
      <c r="F1634" s="93"/>
      <c r="G1634" s="190"/>
      <c r="H1634" s="194"/>
      <c r="I1634" s="194"/>
      <c r="J1634" s="195"/>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1"/>
      <c r="H1635" s="196"/>
      <c r="I1635" s="196"/>
      <c r="J1635" s="197"/>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8" t="e">
        <f t="shared" ref="E1636" si="5056">C1632</f>
        <v>#VALUE!</v>
      </c>
      <c r="F1636" s="93"/>
      <c r="G1636" s="200" t="s">
        <v>304</v>
      </c>
      <c r="H1636" s="202"/>
      <c r="I1636" s="203"/>
      <c r="J1636" s="203"/>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99"/>
      <c r="F1637" s="93"/>
      <c r="G1637" s="201"/>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99"/>
      <c r="F1638" s="93"/>
      <c r="G1638" s="201"/>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99"/>
      <c r="F1639" s="93"/>
      <c r="G1639" s="201"/>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99"/>
      <c r="F1640" s="93"/>
      <c r="G1640" s="201"/>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99"/>
      <c r="F1641" s="93"/>
      <c r="G1641" s="201"/>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99"/>
      <c r="F1642" s="93"/>
      <c r="G1642" s="201"/>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99"/>
      <c r="F1643" s="93"/>
      <c r="G1643" s="201"/>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99"/>
      <c r="F1644" s="93"/>
      <c r="G1644" s="201"/>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99"/>
      <c r="F1645" s="93"/>
      <c r="G1645" s="201"/>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99"/>
      <c r="F1646" s="93"/>
      <c r="G1646" s="201"/>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99"/>
      <c r="F1647" s="93"/>
      <c r="G1647" s="201"/>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99"/>
      <c r="F1648" s="93"/>
      <c r="G1648" s="201"/>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99"/>
      <c r="F1649" s="93"/>
      <c r="G1649" s="201"/>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99"/>
      <c r="F1650" s="93"/>
      <c r="G1650" s="201"/>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99"/>
      <c r="F1651" s="136"/>
      <c r="G1651" s="201"/>
      <c r="H1651" s="204"/>
      <c r="I1651" s="204"/>
      <c r="J1651" s="205"/>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3" t="s">
        <v>10</v>
      </c>
      <c r="M1653" s="185"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7">
        <f t="shared" ref="E1654" si="5118">D1653</f>
        <v>1</v>
      </c>
      <c r="F1654" s="92"/>
      <c r="G1654" s="189" t="s">
        <v>1</v>
      </c>
      <c r="H1654" s="192" t="e">
        <f>INDEX('BASE FORMAÇÃO'!C:C,B1653+1)</f>
        <v>#VALUE!</v>
      </c>
      <c r="I1654" s="192"/>
      <c r="J1654" s="193"/>
      <c r="K1654" s="66"/>
      <c r="L1654" s="184"/>
      <c r="M1654" s="186"/>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8"/>
      <c r="F1655" s="93"/>
      <c r="G1655" s="190"/>
      <c r="H1655" s="194"/>
      <c r="I1655" s="194"/>
      <c r="J1655" s="195"/>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1"/>
      <c r="H1656" s="196"/>
      <c r="I1656" s="196"/>
      <c r="J1656" s="197"/>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8" t="e">
        <f t="shared" ref="E1657" si="5122">C1653</f>
        <v>#VALUE!</v>
      </c>
      <c r="F1657" s="93"/>
      <c r="G1657" s="200" t="s">
        <v>304</v>
      </c>
      <c r="H1657" s="202"/>
      <c r="I1657" s="203"/>
      <c r="J1657" s="203"/>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99"/>
      <c r="F1658" s="93"/>
      <c r="G1658" s="201"/>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99"/>
      <c r="F1659" s="93"/>
      <c r="G1659" s="201"/>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99"/>
      <c r="F1660" s="93"/>
      <c r="G1660" s="201"/>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99"/>
      <c r="F1661" s="93"/>
      <c r="G1661" s="201"/>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99"/>
      <c r="F1662" s="93"/>
      <c r="G1662" s="201"/>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99"/>
      <c r="F1663" s="93"/>
      <c r="G1663" s="201"/>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99"/>
      <c r="F1664" s="93"/>
      <c r="G1664" s="201"/>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99"/>
      <c r="F1665" s="93"/>
      <c r="G1665" s="201"/>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99"/>
      <c r="F1666" s="93"/>
      <c r="G1666" s="201"/>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99"/>
      <c r="F1667" s="93"/>
      <c r="G1667" s="201"/>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99"/>
      <c r="F1668" s="93"/>
      <c r="G1668" s="201"/>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99"/>
      <c r="F1669" s="93"/>
      <c r="G1669" s="201"/>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99"/>
      <c r="F1670" s="93"/>
      <c r="G1670" s="201"/>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99"/>
      <c r="F1671" s="93"/>
      <c r="G1671" s="201"/>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99"/>
      <c r="F1672" s="136"/>
      <c r="G1672" s="201"/>
      <c r="H1672" s="204"/>
      <c r="I1672" s="204"/>
      <c r="J1672" s="205"/>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3" t="s">
        <v>10</v>
      </c>
      <c r="M1674" s="185"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7">
        <f t="shared" ref="E1675" si="5184">D1674</f>
        <v>1</v>
      </c>
      <c r="F1675" s="92"/>
      <c r="G1675" s="189" t="s">
        <v>1</v>
      </c>
      <c r="H1675" s="192" t="e">
        <f>INDEX('BASE FORMAÇÃO'!C:C,B1674+1)</f>
        <v>#VALUE!</v>
      </c>
      <c r="I1675" s="192"/>
      <c r="J1675" s="193"/>
      <c r="K1675" s="66"/>
      <c r="L1675" s="184"/>
      <c r="M1675" s="186"/>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8"/>
      <c r="F1676" s="93"/>
      <c r="G1676" s="190"/>
      <c r="H1676" s="194"/>
      <c r="I1676" s="194"/>
      <c r="J1676" s="195"/>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1"/>
      <c r="H1677" s="196"/>
      <c r="I1677" s="196"/>
      <c r="J1677" s="197"/>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8" t="e">
        <f t="shared" ref="E1678" si="5188">C1674</f>
        <v>#VALUE!</v>
      </c>
      <c r="F1678" s="93"/>
      <c r="G1678" s="200" t="s">
        <v>304</v>
      </c>
      <c r="H1678" s="202"/>
      <c r="I1678" s="203"/>
      <c r="J1678" s="203"/>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99"/>
      <c r="F1679" s="93"/>
      <c r="G1679" s="201"/>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99"/>
      <c r="F1680" s="93"/>
      <c r="G1680" s="201"/>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99"/>
      <c r="F1681" s="93"/>
      <c r="G1681" s="201"/>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99"/>
      <c r="F1682" s="93"/>
      <c r="G1682" s="201"/>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99"/>
      <c r="F1683" s="93"/>
      <c r="G1683" s="201"/>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99"/>
      <c r="F1684" s="93"/>
      <c r="G1684" s="201"/>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99"/>
      <c r="F1685" s="93"/>
      <c r="G1685" s="201"/>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99"/>
      <c r="F1686" s="93"/>
      <c r="G1686" s="201"/>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99"/>
      <c r="F1687" s="93"/>
      <c r="G1687" s="201"/>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99"/>
      <c r="F1688" s="93"/>
      <c r="G1688" s="201"/>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99"/>
      <c r="F1689" s="93"/>
      <c r="G1689" s="201"/>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99"/>
      <c r="F1690" s="93"/>
      <c r="G1690" s="201"/>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99"/>
      <c r="F1691" s="93"/>
      <c r="G1691" s="201"/>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99"/>
      <c r="F1692" s="93"/>
      <c r="G1692" s="201"/>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99"/>
      <c r="F1693" s="136"/>
      <c r="G1693" s="201"/>
      <c r="H1693" s="204"/>
      <c r="I1693" s="204"/>
      <c r="J1693" s="205"/>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3" t="s">
        <v>10</v>
      </c>
      <c r="M1695" s="185"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7">
        <f t="shared" ref="E1696" si="5250">D1695</f>
        <v>1</v>
      </c>
      <c r="F1696" s="92"/>
      <c r="G1696" s="189" t="s">
        <v>1</v>
      </c>
      <c r="H1696" s="192" t="e">
        <f>INDEX('BASE FORMAÇÃO'!C:C,B1695+1)</f>
        <v>#VALUE!</v>
      </c>
      <c r="I1696" s="192"/>
      <c r="J1696" s="193"/>
      <c r="K1696" s="66"/>
      <c r="L1696" s="184"/>
      <c r="M1696" s="186"/>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8"/>
      <c r="F1697" s="93"/>
      <c r="G1697" s="190"/>
      <c r="H1697" s="194"/>
      <c r="I1697" s="194"/>
      <c r="J1697" s="195"/>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1"/>
      <c r="H1698" s="196"/>
      <c r="I1698" s="196"/>
      <c r="J1698" s="197"/>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8" t="e">
        <f t="shared" ref="E1699" si="5254">C1695</f>
        <v>#VALUE!</v>
      </c>
      <c r="F1699" s="93"/>
      <c r="G1699" s="200" t="s">
        <v>304</v>
      </c>
      <c r="H1699" s="202"/>
      <c r="I1699" s="203"/>
      <c r="J1699" s="203"/>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99"/>
      <c r="F1700" s="93"/>
      <c r="G1700" s="201"/>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99"/>
      <c r="F1701" s="93"/>
      <c r="G1701" s="201"/>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99"/>
      <c r="F1702" s="93"/>
      <c r="G1702" s="201"/>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99"/>
      <c r="F1703" s="93"/>
      <c r="G1703" s="201"/>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99"/>
      <c r="F1704" s="93"/>
      <c r="G1704" s="201"/>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99"/>
      <c r="F1705" s="93"/>
      <c r="G1705" s="201"/>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99"/>
      <c r="F1706" s="93"/>
      <c r="G1706" s="201"/>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99"/>
      <c r="F1707" s="93"/>
      <c r="G1707" s="201"/>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99"/>
      <c r="F1708" s="93"/>
      <c r="G1708" s="201"/>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99"/>
      <c r="F1709" s="93"/>
      <c r="G1709" s="201"/>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99"/>
      <c r="F1710" s="93"/>
      <c r="G1710" s="201"/>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99"/>
      <c r="F1711" s="93"/>
      <c r="G1711" s="201"/>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99"/>
      <c r="F1712" s="93"/>
      <c r="G1712" s="201"/>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99"/>
      <c r="F1713" s="93"/>
      <c r="G1713" s="201"/>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99"/>
      <c r="F1714" s="136"/>
      <c r="G1714" s="201"/>
      <c r="H1714" s="204"/>
      <c r="I1714" s="204"/>
      <c r="J1714" s="205"/>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3" t="s">
        <v>10</v>
      </c>
      <c r="M1716" s="185"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7">
        <f t="shared" ref="E1717" si="5316">D1716</f>
        <v>1</v>
      </c>
      <c r="F1717" s="92"/>
      <c r="G1717" s="189" t="s">
        <v>1</v>
      </c>
      <c r="H1717" s="192" t="e">
        <f>INDEX('BASE FORMAÇÃO'!C:C,B1716+1)</f>
        <v>#VALUE!</v>
      </c>
      <c r="I1717" s="192"/>
      <c r="J1717" s="193"/>
      <c r="K1717" s="66"/>
      <c r="L1717" s="184"/>
      <c r="M1717" s="186"/>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8"/>
      <c r="F1718" s="93"/>
      <c r="G1718" s="190"/>
      <c r="H1718" s="194"/>
      <c r="I1718" s="194"/>
      <c r="J1718" s="195"/>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1"/>
      <c r="H1719" s="196"/>
      <c r="I1719" s="196"/>
      <c r="J1719" s="197"/>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8" t="e">
        <f t="shared" ref="E1720" si="5320">C1716</f>
        <v>#VALUE!</v>
      </c>
      <c r="F1720" s="93"/>
      <c r="G1720" s="200" t="s">
        <v>304</v>
      </c>
      <c r="H1720" s="202"/>
      <c r="I1720" s="203"/>
      <c r="J1720" s="203"/>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99"/>
      <c r="F1721" s="93"/>
      <c r="G1721" s="201"/>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99"/>
      <c r="F1722" s="93"/>
      <c r="G1722" s="201"/>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99"/>
      <c r="F1723" s="93"/>
      <c r="G1723" s="201"/>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99"/>
      <c r="F1724" s="93"/>
      <c r="G1724" s="201"/>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99"/>
      <c r="F1725" s="93"/>
      <c r="G1725" s="201"/>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99"/>
      <c r="F1726" s="93"/>
      <c r="G1726" s="201"/>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99"/>
      <c r="F1727" s="93"/>
      <c r="G1727" s="201"/>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99"/>
      <c r="F1728" s="93"/>
      <c r="G1728" s="201"/>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99"/>
      <c r="F1729" s="93"/>
      <c r="G1729" s="201"/>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99"/>
      <c r="F1730" s="93"/>
      <c r="G1730" s="201"/>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99"/>
      <c r="F1731" s="93"/>
      <c r="G1731" s="201"/>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99"/>
      <c r="F1732" s="93"/>
      <c r="G1732" s="201"/>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99"/>
      <c r="F1733" s="93"/>
      <c r="G1733" s="201"/>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99"/>
      <c r="F1734" s="93"/>
      <c r="G1734" s="201"/>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99"/>
      <c r="F1735" s="136"/>
      <c r="G1735" s="201"/>
      <c r="H1735" s="204"/>
      <c r="I1735" s="204"/>
      <c r="J1735" s="205"/>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3" t="s">
        <v>10</v>
      </c>
      <c r="M1737" s="185"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7">
        <f t="shared" ref="E1738" si="5382">D1737</f>
        <v>1</v>
      </c>
      <c r="F1738" s="92"/>
      <c r="G1738" s="189" t="s">
        <v>1</v>
      </c>
      <c r="H1738" s="192" t="e">
        <f>INDEX('BASE FORMAÇÃO'!C:C,B1737+1)</f>
        <v>#VALUE!</v>
      </c>
      <c r="I1738" s="192"/>
      <c r="J1738" s="193"/>
      <c r="K1738" s="66"/>
      <c r="L1738" s="184"/>
      <c r="M1738" s="186"/>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8"/>
      <c r="F1739" s="93"/>
      <c r="G1739" s="190"/>
      <c r="H1739" s="194"/>
      <c r="I1739" s="194"/>
      <c r="J1739" s="195"/>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1"/>
      <c r="H1740" s="196"/>
      <c r="I1740" s="196"/>
      <c r="J1740" s="197"/>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8" t="e">
        <f t="shared" ref="E1741" si="5386">C1737</f>
        <v>#VALUE!</v>
      </c>
      <c r="F1741" s="93"/>
      <c r="G1741" s="200" t="s">
        <v>304</v>
      </c>
      <c r="H1741" s="202"/>
      <c r="I1741" s="203"/>
      <c r="J1741" s="203"/>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99"/>
      <c r="F1742" s="93"/>
      <c r="G1742" s="201"/>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99"/>
      <c r="F1743" s="93"/>
      <c r="G1743" s="201"/>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99"/>
      <c r="F1744" s="93"/>
      <c r="G1744" s="201"/>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99"/>
      <c r="F1745" s="93"/>
      <c r="G1745" s="201"/>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99"/>
      <c r="F1746" s="93"/>
      <c r="G1746" s="201"/>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99"/>
      <c r="F1747" s="93"/>
      <c r="G1747" s="201"/>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99"/>
      <c r="F1748" s="93"/>
      <c r="G1748" s="201"/>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99"/>
      <c r="F1749" s="93"/>
      <c r="G1749" s="201"/>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99"/>
      <c r="F1750" s="93"/>
      <c r="G1750" s="201"/>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99"/>
      <c r="F1751" s="93"/>
      <c r="G1751" s="201"/>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99"/>
      <c r="F1752" s="93"/>
      <c r="G1752" s="201"/>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99"/>
      <c r="F1753" s="93"/>
      <c r="G1753" s="201"/>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99"/>
      <c r="F1754" s="93"/>
      <c r="G1754" s="201"/>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99"/>
      <c r="F1755" s="93"/>
      <c r="G1755" s="201"/>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99"/>
      <c r="F1756" s="136"/>
      <c r="G1756" s="201"/>
      <c r="H1756" s="204"/>
      <c r="I1756" s="204"/>
      <c r="J1756" s="205"/>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3" t="s">
        <v>10</v>
      </c>
      <c r="M1758" s="185"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7">
        <f t="shared" ref="E1759" si="5448">D1758</f>
        <v>1</v>
      </c>
      <c r="F1759" s="92"/>
      <c r="G1759" s="189" t="s">
        <v>1</v>
      </c>
      <c r="H1759" s="192" t="e">
        <f>INDEX('BASE FORMAÇÃO'!C:C,B1758+1)</f>
        <v>#VALUE!</v>
      </c>
      <c r="I1759" s="192"/>
      <c r="J1759" s="193"/>
      <c r="K1759" s="66"/>
      <c r="L1759" s="184"/>
      <c r="M1759" s="186"/>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8"/>
      <c r="F1760" s="93"/>
      <c r="G1760" s="190"/>
      <c r="H1760" s="194"/>
      <c r="I1760" s="194"/>
      <c r="J1760" s="195"/>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1"/>
      <c r="H1761" s="196"/>
      <c r="I1761" s="196"/>
      <c r="J1761" s="197"/>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8" t="e">
        <f t="shared" ref="E1762" si="5452">C1758</f>
        <v>#VALUE!</v>
      </c>
      <c r="F1762" s="93"/>
      <c r="G1762" s="200" t="s">
        <v>304</v>
      </c>
      <c r="H1762" s="202"/>
      <c r="I1762" s="203"/>
      <c r="J1762" s="203"/>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99"/>
      <c r="F1763" s="93"/>
      <c r="G1763" s="201"/>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99"/>
      <c r="F1764" s="93"/>
      <c r="G1764" s="201"/>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99"/>
      <c r="F1765" s="93"/>
      <c r="G1765" s="201"/>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99"/>
      <c r="F1766" s="93"/>
      <c r="G1766" s="201"/>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99"/>
      <c r="F1767" s="93"/>
      <c r="G1767" s="201"/>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99"/>
      <c r="F1768" s="93"/>
      <c r="G1768" s="201"/>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99"/>
      <c r="F1769" s="93"/>
      <c r="G1769" s="201"/>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99"/>
      <c r="F1770" s="93"/>
      <c r="G1770" s="201"/>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99"/>
      <c r="F1771" s="93"/>
      <c r="G1771" s="201"/>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99"/>
      <c r="F1772" s="93"/>
      <c r="G1772" s="201"/>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99"/>
      <c r="F1773" s="93"/>
      <c r="G1773" s="201"/>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99"/>
      <c r="F1774" s="93"/>
      <c r="G1774" s="201"/>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99"/>
      <c r="F1775" s="93"/>
      <c r="G1775" s="201"/>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99"/>
      <c r="F1776" s="93"/>
      <c r="G1776" s="201"/>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99"/>
      <c r="F1777" s="136"/>
      <c r="G1777" s="201"/>
      <c r="H1777" s="204"/>
      <c r="I1777" s="204"/>
      <c r="J1777" s="205"/>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3" t="s">
        <v>10</v>
      </c>
      <c r="M1779" s="185"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7">
        <f t="shared" ref="E1780" si="5514">D1779</f>
        <v>1</v>
      </c>
      <c r="F1780" s="92"/>
      <c r="G1780" s="189" t="s">
        <v>1</v>
      </c>
      <c r="H1780" s="192" t="e">
        <f>INDEX('BASE FORMAÇÃO'!C:C,B1779+1)</f>
        <v>#VALUE!</v>
      </c>
      <c r="I1780" s="192"/>
      <c r="J1780" s="193"/>
      <c r="K1780" s="66"/>
      <c r="L1780" s="184"/>
      <c r="M1780" s="186"/>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8"/>
      <c r="F1781" s="93"/>
      <c r="G1781" s="190"/>
      <c r="H1781" s="194"/>
      <c r="I1781" s="194"/>
      <c r="J1781" s="195"/>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1"/>
      <c r="H1782" s="196"/>
      <c r="I1782" s="196"/>
      <c r="J1782" s="197"/>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8" t="e">
        <f t="shared" ref="E1783" si="5518">C1779</f>
        <v>#VALUE!</v>
      </c>
      <c r="F1783" s="93"/>
      <c r="G1783" s="200" t="s">
        <v>304</v>
      </c>
      <c r="H1783" s="202"/>
      <c r="I1783" s="203"/>
      <c r="J1783" s="203"/>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99"/>
      <c r="F1784" s="93"/>
      <c r="G1784" s="201"/>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99"/>
      <c r="F1785" s="93"/>
      <c r="G1785" s="201"/>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99"/>
      <c r="F1786" s="93"/>
      <c r="G1786" s="201"/>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99"/>
      <c r="F1787" s="93"/>
      <c r="G1787" s="201"/>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99"/>
      <c r="F1788" s="93"/>
      <c r="G1788" s="201"/>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99"/>
      <c r="F1789" s="93"/>
      <c r="G1789" s="201"/>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99"/>
      <c r="F1790" s="93"/>
      <c r="G1790" s="201"/>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99"/>
      <c r="F1791" s="93"/>
      <c r="G1791" s="201"/>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99"/>
      <c r="F1792" s="93"/>
      <c r="G1792" s="201"/>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99"/>
      <c r="F1793" s="93"/>
      <c r="G1793" s="201"/>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99"/>
      <c r="F1794" s="93"/>
      <c r="G1794" s="201"/>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99"/>
      <c r="F1795" s="93"/>
      <c r="G1795" s="201"/>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99"/>
      <c r="F1796" s="93"/>
      <c r="G1796" s="201"/>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99"/>
      <c r="F1797" s="93"/>
      <c r="G1797" s="201"/>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99"/>
      <c r="F1798" s="136"/>
      <c r="G1798" s="201"/>
      <c r="H1798" s="204"/>
      <c r="I1798" s="204"/>
      <c r="J1798" s="205"/>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3" t="s">
        <v>10</v>
      </c>
      <c r="M1800" s="185"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7">
        <f t="shared" ref="E1801" si="5580">D1800</f>
        <v>1</v>
      </c>
      <c r="F1801" s="92"/>
      <c r="G1801" s="189" t="s">
        <v>1</v>
      </c>
      <c r="H1801" s="192" t="e">
        <f>INDEX('BASE FORMAÇÃO'!C:C,B1800+1)</f>
        <v>#VALUE!</v>
      </c>
      <c r="I1801" s="192"/>
      <c r="J1801" s="193"/>
      <c r="K1801" s="66"/>
      <c r="L1801" s="184"/>
      <c r="M1801" s="186"/>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8"/>
      <c r="F1802" s="93"/>
      <c r="G1802" s="190"/>
      <c r="H1802" s="194"/>
      <c r="I1802" s="194"/>
      <c r="J1802" s="195"/>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1"/>
      <c r="H1803" s="196"/>
      <c r="I1803" s="196"/>
      <c r="J1803" s="197"/>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8" t="e">
        <f t="shared" ref="E1804" si="5584">C1800</f>
        <v>#VALUE!</v>
      </c>
      <c r="F1804" s="93"/>
      <c r="G1804" s="200" t="s">
        <v>304</v>
      </c>
      <c r="H1804" s="202"/>
      <c r="I1804" s="203"/>
      <c r="J1804" s="203"/>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99"/>
      <c r="F1805" s="93"/>
      <c r="G1805" s="201"/>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99"/>
      <c r="F1806" s="93"/>
      <c r="G1806" s="201"/>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99"/>
      <c r="F1807" s="93"/>
      <c r="G1807" s="201"/>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99"/>
      <c r="F1808" s="93"/>
      <c r="G1808" s="201"/>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99"/>
      <c r="F1809" s="93"/>
      <c r="G1809" s="201"/>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99"/>
      <c r="F1810" s="93"/>
      <c r="G1810" s="201"/>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99"/>
      <c r="F1811" s="93"/>
      <c r="G1811" s="201"/>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99"/>
      <c r="F1812" s="93"/>
      <c r="G1812" s="201"/>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99"/>
      <c r="F1813" s="93"/>
      <c r="G1813" s="201"/>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99"/>
      <c r="F1814" s="93"/>
      <c r="G1814" s="201"/>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99"/>
      <c r="F1815" s="93"/>
      <c r="G1815" s="201"/>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99"/>
      <c r="F1816" s="93"/>
      <c r="G1816" s="201"/>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99"/>
      <c r="F1817" s="93"/>
      <c r="G1817" s="201"/>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99"/>
      <c r="F1818" s="93"/>
      <c r="G1818" s="201"/>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99"/>
      <c r="F1819" s="136"/>
      <c r="G1819" s="201"/>
      <c r="H1819" s="204"/>
      <c r="I1819" s="204"/>
      <c r="J1819" s="205"/>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3" t="s">
        <v>10</v>
      </c>
      <c r="M1821" s="185"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7">
        <f t="shared" ref="E1822" si="5646">D1821</f>
        <v>1</v>
      </c>
      <c r="F1822" s="92"/>
      <c r="G1822" s="189" t="s">
        <v>1</v>
      </c>
      <c r="H1822" s="192" t="e">
        <f>INDEX('BASE FORMAÇÃO'!C:C,B1821+1)</f>
        <v>#VALUE!</v>
      </c>
      <c r="I1822" s="192"/>
      <c r="J1822" s="193"/>
      <c r="K1822" s="66"/>
      <c r="L1822" s="184"/>
      <c r="M1822" s="186"/>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8"/>
      <c r="F1823" s="93"/>
      <c r="G1823" s="190"/>
      <c r="H1823" s="194"/>
      <c r="I1823" s="194"/>
      <c r="J1823" s="195"/>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1"/>
      <c r="H1824" s="196"/>
      <c r="I1824" s="196"/>
      <c r="J1824" s="197"/>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8" t="e">
        <f t="shared" ref="E1825" si="5650">C1821</f>
        <v>#VALUE!</v>
      </c>
      <c r="F1825" s="93"/>
      <c r="G1825" s="200" t="s">
        <v>304</v>
      </c>
      <c r="H1825" s="202"/>
      <c r="I1825" s="203"/>
      <c r="J1825" s="203"/>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99"/>
      <c r="F1826" s="93"/>
      <c r="G1826" s="201"/>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99"/>
      <c r="F1827" s="93"/>
      <c r="G1827" s="201"/>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99"/>
      <c r="F1828" s="93"/>
      <c r="G1828" s="201"/>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99"/>
      <c r="F1829" s="93"/>
      <c r="G1829" s="201"/>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99"/>
      <c r="F1830" s="93"/>
      <c r="G1830" s="201"/>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99"/>
      <c r="F1831" s="93"/>
      <c r="G1831" s="201"/>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99"/>
      <c r="F1832" s="93"/>
      <c r="G1832" s="201"/>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99"/>
      <c r="F1833" s="93"/>
      <c r="G1833" s="201"/>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99"/>
      <c r="F1834" s="93"/>
      <c r="G1834" s="201"/>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99"/>
      <c r="F1835" s="93"/>
      <c r="G1835" s="201"/>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99"/>
      <c r="F1836" s="93"/>
      <c r="G1836" s="201"/>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99"/>
      <c r="F1837" s="93"/>
      <c r="G1837" s="201"/>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99"/>
      <c r="F1838" s="93"/>
      <c r="G1838" s="201"/>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99"/>
      <c r="F1839" s="93"/>
      <c r="G1839" s="201"/>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99"/>
      <c r="F1840" s="136"/>
      <c r="G1840" s="201"/>
      <c r="H1840" s="204"/>
      <c r="I1840" s="204"/>
      <c r="J1840" s="205"/>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3" t="s">
        <v>10</v>
      </c>
      <c r="M1842" s="185"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7">
        <f t="shared" ref="E1843" si="5712">D1842</f>
        <v>1</v>
      </c>
      <c r="F1843" s="92"/>
      <c r="G1843" s="189" t="s">
        <v>1</v>
      </c>
      <c r="H1843" s="192" t="e">
        <f>INDEX('BASE FORMAÇÃO'!C:C,B1842+1)</f>
        <v>#VALUE!</v>
      </c>
      <c r="I1843" s="192"/>
      <c r="J1843" s="193"/>
      <c r="K1843" s="66"/>
      <c r="L1843" s="184"/>
      <c r="M1843" s="186"/>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8"/>
      <c r="F1844" s="93"/>
      <c r="G1844" s="190"/>
      <c r="H1844" s="194"/>
      <c r="I1844" s="194"/>
      <c r="J1844" s="195"/>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1"/>
      <c r="H1845" s="196"/>
      <c r="I1845" s="196"/>
      <c r="J1845" s="197"/>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8" t="e">
        <f t="shared" ref="E1846" si="5716">C1842</f>
        <v>#VALUE!</v>
      </c>
      <c r="F1846" s="93"/>
      <c r="G1846" s="200" t="s">
        <v>304</v>
      </c>
      <c r="H1846" s="202"/>
      <c r="I1846" s="203"/>
      <c r="J1846" s="203"/>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99"/>
      <c r="F1847" s="93"/>
      <c r="G1847" s="201"/>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99"/>
      <c r="F1848" s="93"/>
      <c r="G1848" s="201"/>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99"/>
      <c r="F1849" s="93"/>
      <c r="G1849" s="201"/>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99"/>
      <c r="F1850" s="93"/>
      <c r="G1850" s="201"/>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99"/>
      <c r="F1851" s="93"/>
      <c r="G1851" s="201"/>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99"/>
      <c r="F1852" s="93"/>
      <c r="G1852" s="201"/>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99"/>
      <c r="F1853" s="93"/>
      <c r="G1853" s="201"/>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99"/>
      <c r="F1854" s="93"/>
      <c r="G1854" s="201"/>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99"/>
      <c r="F1855" s="93"/>
      <c r="G1855" s="201"/>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99"/>
      <c r="F1856" s="93"/>
      <c r="G1856" s="201"/>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99"/>
      <c r="F1857" s="93"/>
      <c r="G1857" s="201"/>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99"/>
      <c r="F1858" s="93"/>
      <c r="G1858" s="201"/>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99"/>
      <c r="F1859" s="93"/>
      <c r="G1859" s="201"/>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99"/>
      <c r="F1860" s="93"/>
      <c r="G1860" s="201"/>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99"/>
      <c r="F1861" s="136"/>
      <c r="G1861" s="201"/>
      <c r="H1861" s="204"/>
      <c r="I1861" s="204"/>
      <c r="J1861" s="205"/>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3" t="s">
        <v>10</v>
      </c>
      <c r="M1863" s="185"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7">
        <f t="shared" ref="E1864" si="5778">D1863</f>
        <v>1</v>
      </c>
      <c r="F1864" s="92"/>
      <c r="G1864" s="189" t="s">
        <v>1</v>
      </c>
      <c r="H1864" s="192" t="e">
        <f>INDEX('BASE FORMAÇÃO'!C:C,B1863+1)</f>
        <v>#VALUE!</v>
      </c>
      <c r="I1864" s="192"/>
      <c r="J1864" s="193"/>
      <c r="K1864" s="66"/>
      <c r="L1864" s="184"/>
      <c r="M1864" s="186"/>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8"/>
      <c r="F1865" s="93"/>
      <c r="G1865" s="190"/>
      <c r="H1865" s="194"/>
      <c r="I1865" s="194"/>
      <c r="J1865" s="195"/>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1"/>
      <c r="H1866" s="196"/>
      <c r="I1866" s="196"/>
      <c r="J1866" s="197"/>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8" t="e">
        <f t="shared" ref="E1867" si="5782">C1863</f>
        <v>#VALUE!</v>
      </c>
      <c r="F1867" s="93"/>
      <c r="G1867" s="200" t="s">
        <v>304</v>
      </c>
      <c r="H1867" s="202"/>
      <c r="I1867" s="203"/>
      <c r="J1867" s="203"/>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99"/>
      <c r="F1868" s="93"/>
      <c r="G1868" s="201"/>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99"/>
      <c r="F1869" s="93"/>
      <c r="G1869" s="201"/>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99"/>
      <c r="F1870" s="93"/>
      <c r="G1870" s="201"/>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99"/>
      <c r="F1871" s="93"/>
      <c r="G1871" s="201"/>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99"/>
      <c r="F1872" s="93"/>
      <c r="G1872" s="201"/>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99"/>
      <c r="F1873" s="93"/>
      <c r="G1873" s="201"/>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99"/>
      <c r="F1874" s="93"/>
      <c r="G1874" s="201"/>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99"/>
      <c r="F1875" s="93"/>
      <c r="G1875" s="201"/>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99"/>
      <c r="F1876" s="93"/>
      <c r="G1876" s="201"/>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99"/>
      <c r="F1877" s="93"/>
      <c r="G1877" s="201"/>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99"/>
      <c r="F1878" s="93"/>
      <c r="G1878" s="201"/>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99"/>
      <c r="F1879" s="93"/>
      <c r="G1879" s="201"/>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99"/>
      <c r="F1880" s="93"/>
      <c r="G1880" s="201"/>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99"/>
      <c r="F1881" s="93"/>
      <c r="G1881" s="201"/>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99"/>
      <c r="F1882" s="136"/>
      <c r="G1882" s="201"/>
      <c r="H1882" s="204"/>
      <c r="I1882" s="204"/>
      <c r="J1882" s="205"/>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3" t="s">
        <v>10</v>
      </c>
      <c r="M1884" s="185"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7">
        <f t="shared" ref="E1885" si="5844">D1884</f>
        <v>1</v>
      </c>
      <c r="F1885" s="92"/>
      <c r="G1885" s="189" t="s">
        <v>1</v>
      </c>
      <c r="H1885" s="192" t="e">
        <f>INDEX('BASE FORMAÇÃO'!C:C,B1884+1)</f>
        <v>#VALUE!</v>
      </c>
      <c r="I1885" s="192"/>
      <c r="J1885" s="193"/>
      <c r="K1885" s="66"/>
      <c r="L1885" s="184"/>
      <c r="M1885" s="186"/>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8"/>
      <c r="F1886" s="93"/>
      <c r="G1886" s="190"/>
      <c r="H1886" s="194"/>
      <c r="I1886" s="194"/>
      <c r="J1886" s="195"/>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1"/>
      <c r="H1887" s="196"/>
      <c r="I1887" s="196"/>
      <c r="J1887" s="197"/>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8" t="e">
        <f t="shared" ref="E1888" si="5848">C1884</f>
        <v>#VALUE!</v>
      </c>
      <c r="F1888" s="93"/>
      <c r="G1888" s="200" t="s">
        <v>304</v>
      </c>
      <c r="H1888" s="202"/>
      <c r="I1888" s="203"/>
      <c r="J1888" s="203"/>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99"/>
      <c r="F1889" s="93"/>
      <c r="G1889" s="201"/>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99"/>
      <c r="F1890" s="93"/>
      <c r="G1890" s="201"/>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99"/>
      <c r="F1891" s="93"/>
      <c r="G1891" s="201"/>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99"/>
      <c r="F1892" s="93"/>
      <c r="G1892" s="201"/>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99"/>
      <c r="F1893" s="93"/>
      <c r="G1893" s="201"/>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99"/>
      <c r="F1894" s="93"/>
      <c r="G1894" s="201"/>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99"/>
      <c r="F1895" s="93"/>
      <c r="G1895" s="201"/>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99"/>
      <c r="F1896" s="93"/>
      <c r="G1896" s="201"/>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99"/>
      <c r="F1897" s="93"/>
      <c r="G1897" s="201"/>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99"/>
      <c r="F1898" s="93"/>
      <c r="G1898" s="201"/>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99"/>
      <c r="F1899" s="93"/>
      <c r="G1899" s="201"/>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99"/>
      <c r="F1900" s="93"/>
      <c r="G1900" s="201"/>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99"/>
      <c r="F1901" s="93"/>
      <c r="G1901" s="201"/>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99"/>
      <c r="F1902" s="93"/>
      <c r="G1902" s="201"/>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99"/>
      <c r="F1903" s="136"/>
      <c r="G1903" s="201"/>
      <c r="H1903" s="204"/>
      <c r="I1903" s="204"/>
      <c r="J1903" s="205"/>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3" t="s">
        <v>10</v>
      </c>
      <c r="M1905" s="185"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7">
        <f t="shared" ref="E1906" si="5910">D1905</f>
        <v>1</v>
      </c>
      <c r="F1906" s="92"/>
      <c r="G1906" s="189" t="s">
        <v>1</v>
      </c>
      <c r="H1906" s="192" t="e">
        <f>INDEX('BASE FORMAÇÃO'!C:C,B1905+1)</f>
        <v>#VALUE!</v>
      </c>
      <c r="I1906" s="192"/>
      <c r="J1906" s="193"/>
      <c r="K1906" s="66"/>
      <c r="L1906" s="184"/>
      <c r="M1906" s="186"/>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8"/>
      <c r="F1907" s="93"/>
      <c r="G1907" s="190"/>
      <c r="H1907" s="194"/>
      <c r="I1907" s="194"/>
      <c r="J1907" s="195"/>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1"/>
      <c r="H1908" s="196"/>
      <c r="I1908" s="196"/>
      <c r="J1908" s="197"/>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8" t="e">
        <f t="shared" ref="E1909" si="5914">C1905</f>
        <v>#VALUE!</v>
      </c>
      <c r="F1909" s="93"/>
      <c r="G1909" s="200" t="s">
        <v>304</v>
      </c>
      <c r="H1909" s="202"/>
      <c r="I1909" s="203"/>
      <c r="J1909" s="203"/>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99"/>
      <c r="F1910" s="93"/>
      <c r="G1910" s="201"/>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99"/>
      <c r="F1911" s="93"/>
      <c r="G1911" s="201"/>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99"/>
      <c r="F1912" s="93"/>
      <c r="G1912" s="201"/>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99"/>
      <c r="F1913" s="93"/>
      <c r="G1913" s="201"/>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99"/>
      <c r="F1914" s="93"/>
      <c r="G1914" s="201"/>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99"/>
      <c r="F1915" s="93"/>
      <c r="G1915" s="201"/>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99"/>
      <c r="F1916" s="93"/>
      <c r="G1916" s="201"/>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99"/>
      <c r="F1917" s="93"/>
      <c r="G1917" s="201"/>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99"/>
      <c r="F1918" s="93"/>
      <c r="G1918" s="201"/>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99"/>
      <c r="F1919" s="93"/>
      <c r="G1919" s="201"/>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99"/>
      <c r="F1920" s="93"/>
      <c r="G1920" s="201"/>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99"/>
      <c r="F1921" s="93"/>
      <c r="G1921" s="201"/>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99"/>
      <c r="F1922" s="93"/>
      <c r="G1922" s="201"/>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99"/>
      <c r="F1923" s="93"/>
      <c r="G1923" s="201"/>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99"/>
      <c r="F1924" s="136"/>
      <c r="G1924" s="201"/>
      <c r="H1924" s="204"/>
      <c r="I1924" s="204"/>
      <c r="J1924" s="205"/>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3" t="s">
        <v>10</v>
      </c>
      <c r="M1926" s="185"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7">
        <f t="shared" ref="E1927" si="5976">D1926</f>
        <v>1</v>
      </c>
      <c r="F1927" s="92"/>
      <c r="G1927" s="189" t="s">
        <v>1</v>
      </c>
      <c r="H1927" s="192" t="e">
        <f>INDEX('BASE FORMAÇÃO'!C:C,B1926+1)</f>
        <v>#VALUE!</v>
      </c>
      <c r="I1927" s="192"/>
      <c r="J1927" s="193"/>
      <c r="K1927" s="66"/>
      <c r="L1927" s="184"/>
      <c r="M1927" s="186"/>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8"/>
      <c r="F1928" s="93"/>
      <c r="G1928" s="190"/>
      <c r="H1928" s="194"/>
      <c r="I1928" s="194"/>
      <c r="J1928" s="195"/>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1"/>
      <c r="H1929" s="196"/>
      <c r="I1929" s="196"/>
      <c r="J1929" s="197"/>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8" t="e">
        <f t="shared" ref="E1930" si="5980">C1926</f>
        <v>#VALUE!</v>
      </c>
      <c r="F1930" s="93"/>
      <c r="G1930" s="200" t="s">
        <v>304</v>
      </c>
      <c r="H1930" s="202"/>
      <c r="I1930" s="203"/>
      <c r="J1930" s="203"/>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99"/>
      <c r="F1931" s="93"/>
      <c r="G1931" s="201"/>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99"/>
      <c r="F1932" s="93"/>
      <c r="G1932" s="201"/>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199"/>
      <c r="F1933" s="93"/>
      <c r="G1933" s="201"/>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99"/>
      <c r="F1934" s="93"/>
      <c r="G1934" s="201"/>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99"/>
      <c r="F1935" s="93"/>
      <c r="G1935" s="201"/>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99"/>
      <c r="F1936" s="93"/>
      <c r="G1936" s="201"/>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99"/>
      <c r="F1937" s="93"/>
      <c r="G1937" s="201"/>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99"/>
      <c r="F1938" s="93"/>
      <c r="G1938" s="201"/>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99"/>
      <c r="F1939" s="93"/>
      <c r="G1939" s="201"/>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99"/>
      <c r="F1940" s="93"/>
      <c r="G1940" s="201"/>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99"/>
      <c r="F1941" s="93"/>
      <c r="G1941" s="201"/>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99"/>
      <c r="F1942" s="93"/>
      <c r="G1942" s="201"/>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99"/>
      <c r="F1943" s="93"/>
      <c r="G1943" s="201"/>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99"/>
      <c r="F1944" s="93"/>
      <c r="G1944" s="201"/>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99"/>
      <c r="F1945" s="136"/>
      <c r="G1945" s="201"/>
      <c r="H1945" s="204"/>
      <c r="I1945" s="204"/>
      <c r="J1945" s="205"/>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3" t="s">
        <v>10</v>
      </c>
      <c r="M1947" s="185"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7">
        <f t="shared" ref="E1948" si="6042">D1947</f>
        <v>1</v>
      </c>
      <c r="F1948" s="92"/>
      <c r="G1948" s="189" t="s">
        <v>1</v>
      </c>
      <c r="H1948" s="192" t="e">
        <f>INDEX('BASE FORMAÇÃO'!C:C,B1947+1)</f>
        <v>#VALUE!</v>
      </c>
      <c r="I1948" s="192"/>
      <c r="J1948" s="193"/>
      <c r="K1948" s="66"/>
      <c r="L1948" s="184"/>
      <c r="M1948" s="186"/>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8"/>
      <c r="F1949" s="93"/>
      <c r="G1949" s="190"/>
      <c r="H1949" s="194"/>
      <c r="I1949" s="194"/>
      <c r="J1949" s="195"/>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1"/>
      <c r="H1950" s="196"/>
      <c r="I1950" s="196"/>
      <c r="J1950" s="197"/>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8" t="e">
        <f t="shared" ref="E1951" si="6046">C1947</f>
        <v>#VALUE!</v>
      </c>
      <c r="F1951" s="93"/>
      <c r="G1951" s="200" t="s">
        <v>304</v>
      </c>
      <c r="H1951" s="202"/>
      <c r="I1951" s="203"/>
      <c r="J1951" s="203"/>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99"/>
      <c r="F1952" s="93"/>
      <c r="G1952" s="201"/>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99"/>
      <c r="F1953" s="93"/>
      <c r="G1953" s="201"/>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99"/>
      <c r="F1954" s="93"/>
      <c r="G1954" s="201"/>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99"/>
      <c r="F1955" s="93"/>
      <c r="G1955" s="201"/>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99"/>
      <c r="F1956" s="93"/>
      <c r="G1956" s="201"/>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99"/>
      <c r="F1957" s="93"/>
      <c r="G1957" s="201"/>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99"/>
      <c r="F1958" s="93"/>
      <c r="G1958" s="201"/>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99"/>
      <c r="F1959" s="93"/>
      <c r="G1959" s="201"/>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99"/>
      <c r="F1960" s="93"/>
      <c r="G1960" s="201"/>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99"/>
      <c r="F1961" s="93"/>
      <c r="G1961" s="201"/>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99"/>
      <c r="F1962" s="93"/>
      <c r="G1962" s="201"/>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99"/>
      <c r="F1963" s="93"/>
      <c r="G1963" s="201"/>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99"/>
      <c r="F1964" s="93"/>
      <c r="G1964" s="201"/>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199"/>
      <c r="F1965" s="93"/>
      <c r="G1965" s="201"/>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199"/>
      <c r="F1966" s="136"/>
      <c r="G1966" s="201"/>
      <c r="H1966" s="204"/>
      <c r="I1966" s="204"/>
      <c r="J1966" s="205"/>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3" t="s">
        <v>10</v>
      </c>
      <c r="M1968" s="185"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87">
        <f t="shared" ref="E1969" si="6108">D1968</f>
        <v>1</v>
      </c>
      <c r="F1969" s="92"/>
      <c r="G1969" s="189" t="s">
        <v>1</v>
      </c>
      <c r="H1969" s="192" t="e">
        <f>INDEX('BASE FORMAÇÃO'!C:C,B1968+1)</f>
        <v>#VALUE!</v>
      </c>
      <c r="I1969" s="192"/>
      <c r="J1969" s="193"/>
      <c r="K1969" s="66"/>
      <c r="L1969" s="184"/>
      <c r="M1969" s="186"/>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88"/>
      <c r="F1970" s="93"/>
      <c r="G1970" s="190"/>
      <c r="H1970" s="194"/>
      <c r="I1970" s="194"/>
      <c r="J1970" s="195"/>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1"/>
      <c r="H1971" s="196"/>
      <c r="I1971" s="196"/>
      <c r="J1971" s="197"/>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198" t="e">
        <f t="shared" ref="E1972" si="6112">C1968</f>
        <v>#VALUE!</v>
      </c>
      <c r="F1972" s="93"/>
      <c r="G1972" s="200" t="s">
        <v>304</v>
      </c>
      <c r="H1972" s="202"/>
      <c r="I1972" s="203"/>
      <c r="J1972" s="203"/>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199"/>
      <c r="F1973" s="93"/>
      <c r="G1973" s="201"/>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199"/>
      <c r="F1974" s="93"/>
      <c r="G1974" s="201"/>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199"/>
      <c r="F1975" s="93"/>
      <c r="G1975" s="201"/>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199"/>
      <c r="F1976" s="93"/>
      <c r="G1976" s="201"/>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199"/>
      <c r="F1977" s="93"/>
      <c r="G1977" s="201"/>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199"/>
      <c r="F1978" s="93"/>
      <c r="G1978" s="201"/>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199"/>
      <c r="F1979" s="93"/>
      <c r="G1979" s="201"/>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199"/>
      <c r="F1980" s="93"/>
      <c r="G1980" s="201"/>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199"/>
      <c r="F1981" s="93"/>
      <c r="G1981" s="201"/>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199"/>
      <c r="F1982" s="93"/>
      <c r="G1982" s="201"/>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199"/>
      <c r="F1983" s="93"/>
      <c r="G1983" s="201"/>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199"/>
      <c r="F1984" s="93"/>
      <c r="G1984" s="201"/>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199"/>
      <c r="F1985" s="93"/>
      <c r="G1985" s="201"/>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199"/>
      <c r="F1986" s="93"/>
      <c r="G1986" s="201"/>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199"/>
      <c r="F1987" s="136"/>
      <c r="G1987" s="201"/>
      <c r="H1987" s="204"/>
      <c r="I1987" s="204"/>
      <c r="J1987" s="205"/>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3" t="s">
        <v>10</v>
      </c>
      <c r="M1989" s="185"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87">
        <f t="shared" ref="E1990" si="6174">D1989</f>
        <v>1</v>
      </c>
      <c r="F1990" s="92"/>
      <c r="G1990" s="189" t="s">
        <v>1</v>
      </c>
      <c r="H1990" s="192" t="e">
        <f>INDEX('BASE FORMAÇÃO'!C:C,B1989+1)</f>
        <v>#VALUE!</v>
      </c>
      <c r="I1990" s="192"/>
      <c r="J1990" s="193"/>
      <c r="K1990" s="66"/>
      <c r="L1990" s="184"/>
      <c r="M1990" s="186"/>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88"/>
      <c r="F1991" s="93"/>
      <c r="G1991" s="190"/>
      <c r="H1991" s="194"/>
      <c r="I1991" s="194"/>
      <c r="J1991" s="195"/>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1"/>
      <c r="H1992" s="196"/>
      <c r="I1992" s="196"/>
      <c r="J1992" s="197"/>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198" t="e">
        <f t="shared" ref="E1993" si="6178">C1989</f>
        <v>#VALUE!</v>
      </c>
      <c r="F1993" s="93"/>
      <c r="G1993" s="200" t="s">
        <v>304</v>
      </c>
      <c r="H1993" s="202"/>
      <c r="I1993" s="203"/>
      <c r="J1993" s="203"/>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199"/>
      <c r="F1994" s="93"/>
      <c r="G1994" s="201"/>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199"/>
      <c r="F1995" s="93"/>
      <c r="G1995" s="201"/>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199"/>
      <c r="F1996" s="93"/>
      <c r="G1996" s="201"/>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199"/>
      <c r="F1997" s="93"/>
      <c r="G1997" s="201"/>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199"/>
      <c r="F1998" s="93"/>
      <c r="G1998" s="201"/>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199"/>
      <c r="F1999" s="93"/>
      <c r="G1999" s="201"/>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199"/>
      <c r="F2000" s="93"/>
      <c r="G2000" s="201"/>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199"/>
      <c r="F2001" s="93"/>
      <c r="G2001" s="201"/>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199"/>
      <c r="F2002" s="93"/>
      <c r="G2002" s="201"/>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199"/>
      <c r="F2003" s="93"/>
      <c r="G2003" s="201"/>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199"/>
      <c r="F2004" s="93"/>
      <c r="G2004" s="201"/>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199"/>
      <c r="F2005" s="93"/>
      <c r="G2005" s="201"/>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199"/>
      <c r="F2006" s="93"/>
      <c r="G2006" s="201"/>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199"/>
      <c r="F2007" s="93"/>
      <c r="G2007" s="201"/>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199"/>
      <c r="F2008" s="136"/>
      <c r="G2008" s="201"/>
      <c r="H2008" s="204"/>
      <c r="I2008" s="204"/>
      <c r="J2008" s="205"/>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3" t="s">
        <v>10</v>
      </c>
      <c r="M2010" s="185"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87">
        <f t="shared" ref="E2011" si="6240">D2010</f>
        <v>1</v>
      </c>
      <c r="F2011" s="92"/>
      <c r="G2011" s="189" t="s">
        <v>1</v>
      </c>
      <c r="H2011" s="192" t="e">
        <f>INDEX('BASE FORMAÇÃO'!C:C,B2010+1)</f>
        <v>#VALUE!</v>
      </c>
      <c r="I2011" s="192"/>
      <c r="J2011" s="193"/>
      <c r="K2011" s="66"/>
      <c r="L2011" s="184"/>
      <c r="M2011" s="186"/>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88"/>
      <c r="F2012" s="93"/>
      <c r="G2012" s="190"/>
      <c r="H2012" s="194"/>
      <c r="I2012" s="194"/>
      <c r="J2012" s="195"/>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1"/>
      <c r="H2013" s="196"/>
      <c r="I2013" s="196"/>
      <c r="J2013" s="197"/>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198" t="e">
        <f t="shared" ref="E2014" si="6244">C2010</f>
        <v>#VALUE!</v>
      </c>
      <c r="F2014" s="93"/>
      <c r="G2014" s="200" t="s">
        <v>304</v>
      </c>
      <c r="H2014" s="202"/>
      <c r="I2014" s="203"/>
      <c r="J2014" s="203"/>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199"/>
      <c r="F2015" s="93"/>
      <c r="G2015" s="201"/>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199"/>
      <c r="F2016" s="93"/>
      <c r="G2016" s="201"/>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199"/>
      <c r="F2017" s="93"/>
      <c r="G2017" s="201"/>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199"/>
      <c r="F2018" s="93"/>
      <c r="G2018" s="201"/>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199"/>
      <c r="F2019" s="93"/>
      <c r="G2019" s="201"/>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199"/>
      <c r="F2020" s="93"/>
      <c r="G2020" s="201"/>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199"/>
      <c r="F2021" s="93"/>
      <c r="G2021" s="201"/>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199"/>
      <c r="F2022" s="93"/>
      <c r="G2022" s="201"/>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199"/>
      <c r="F2023" s="93"/>
      <c r="G2023" s="201"/>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199"/>
      <c r="F2024" s="93"/>
      <c r="G2024" s="201"/>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199"/>
      <c r="F2025" s="93"/>
      <c r="G2025" s="201"/>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199"/>
      <c r="F2026" s="93"/>
      <c r="G2026" s="201"/>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199"/>
      <c r="F2027" s="93"/>
      <c r="G2027" s="201"/>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199"/>
      <c r="F2028" s="93"/>
      <c r="G2028" s="201"/>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199"/>
      <c r="F2029" s="136"/>
      <c r="G2029" s="201"/>
      <c r="H2029" s="204"/>
      <c r="I2029" s="204"/>
      <c r="J2029" s="205"/>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3" t="s">
        <v>10</v>
      </c>
      <c r="M2031" s="185"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87">
        <f t="shared" ref="E2032" si="6307">D2031</f>
        <v>1</v>
      </c>
      <c r="F2032" s="92"/>
      <c r="G2032" s="189" t="s">
        <v>1</v>
      </c>
      <c r="H2032" s="192" t="e">
        <f>INDEX('BASE FORMAÇÃO'!C:C,B2031+1)</f>
        <v>#VALUE!</v>
      </c>
      <c r="I2032" s="192"/>
      <c r="J2032" s="193"/>
      <c r="K2032" s="66"/>
      <c r="L2032" s="184"/>
      <c r="M2032" s="186"/>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88"/>
      <c r="F2033" s="93"/>
      <c r="G2033" s="190"/>
      <c r="H2033" s="194"/>
      <c r="I2033" s="194"/>
      <c r="J2033" s="195"/>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1"/>
      <c r="H2034" s="196"/>
      <c r="I2034" s="196"/>
      <c r="J2034" s="197"/>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198" t="e">
        <f t="shared" ref="E2035" si="6311">C2031</f>
        <v>#VALUE!</v>
      </c>
      <c r="F2035" s="93"/>
      <c r="G2035" s="200" t="s">
        <v>304</v>
      </c>
      <c r="H2035" s="202"/>
      <c r="I2035" s="203"/>
      <c r="J2035" s="203"/>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199"/>
      <c r="F2036" s="93"/>
      <c r="G2036" s="201"/>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199"/>
      <c r="F2037" s="93"/>
      <c r="G2037" s="201"/>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199"/>
      <c r="F2038" s="93"/>
      <c r="G2038" s="201"/>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199"/>
      <c r="F2039" s="93"/>
      <c r="G2039" s="201"/>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199"/>
      <c r="F2040" s="93"/>
      <c r="G2040" s="201"/>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199"/>
      <c r="F2041" s="93"/>
      <c r="G2041" s="201"/>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199"/>
      <c r="F2042" s="93"/>
      <c r="G2042" s="201"/>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199"/>
      <c r="F2043" s="93"/>
      <c r="G2043" s="201"/>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199"/>
      <c r="F2044" s="93"/>
      <c r="G2044" s="201"/>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199"/>
      <c r="F2045" s="93"/>
      <c r="G2045" s="201"/>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199"/>
      <c r="F2046" s="93"/>
      <c r="G2046" s="201"/>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199"/>
      <c r="F2047" s="93"/>
      <c r="G2047" s="201"/>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199"/>
      <c r="F2048" s="93"/>
      <c r="G2048" s="201"/>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199"/>
      <c r="F2049" s="93"/>
      <c r="G2049" s="201"/>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199"/>
      <c r="F2050" s="136"/>
      <c r="G2050" s="201"/>
      <c r="H2050" s="204"/>
      <c r="I2050" s="204"/>
      <c r="J2050" s="205"/>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3" t="s">
        <v>10</v>
      </c>
      <c r="M2052" s="185"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87">
        <f t="shared" ref="E2053" si="6376">D2052</f>
        <v>1</v>
      </c>
      <c r="F2053" s="92"/>
      <c r="G2053" s="189" t="s">
        <v>1</v>
      </c>
      <c r="H2053" s="192" t="e">
        <f>INDEX('BASE FORMAÇÃO'!C:C,B2052+1)</f>
        <v>#VALUE!</v>
      </c>
      <c r="I2053" s="192"/>
      <c r="J2053" s="193"/>
      <c r="K2053" s="66"/>
      <c r="L2053" s="184"/>
      <c r="M2053" s="186"/>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88"/>
      <c r="F2054" s="93"/>
      <c r="G2054" s="190"/>
      <c r="H2054" s="194"/>
      <c r="I2054" s="194"/>
      <c r="J2054" s="195"/>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1"/>
      <c r="H2055" s="196"/>
      <c r="I2055" s="196"/>
      <c r="J2055" s="197"/>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198" t="e">
        <f t="shared" ref="E2056" si="6380">C2052</f>
        <v>#VALUE!</v>
      </c>
      <c r="F2056" s="93"/>
      <c r="G2056" s="200" t="s">
        <v>304</v>
      </c>
      <c r="H2056" s="202"/>
      <c r="I2056" s="203"/>
      <c r="J2056" s="203"/>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199"/>
      <c r="F2057" s="93"/>
      <c r="G2057" s="201"/>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199"/>
      <c r="F2058" s="93"/>
      <c r="G2058" s="201"/>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199"/>
      <c r="F2059" s="93"/>
      <c r="G2059" s="201"/>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199"/>
      <c r="F2060" s="93"/>
      <c r="G2060" s="201"/>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199"/>
      <c r="F2061" s="93"/>
      <c r="G2061" s="201"/>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199"/>
      <c r="F2062" s="93"/>
      <c r="G2062" s="201"/>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199"/>
      <c r="F2063" s="93"/>
      <c r="G2063" s="201"/>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199"/>
      <c r="F2064" s="93"/>
      <c r="G2064" s="201"/>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199"/>
      <c r="F2065" s="93"/>
      <c r="G2065" s="201"/>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199"/>
      <c r="F2066" s="93"/>
      <c r="G2066" s="201"/>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199"/>
      <c r="F2067" s="93"/>
      <c r="G2067" s="201"/>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199"/>
      <c r="F2068" s="93"/>
      <c r="G2068" s="201"/>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199"/>
      <c r="F2069" s="93"/>
      <c r="G2069" s="201"/>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199"/>
      <c r="F2070" s="93"/>
      <c r="G2070" s="201"/>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199"/>
      <c r="F2071" s="136"/>
      <c r="G2071" s="201"/>
      <c r="H2071" s="204"/>
      <c r="I2071" s="204"/>
      <c r="J2071" s="205"/>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3" t="s">
        <v>10</v>
      </c>
      <c r="M2073" s="185"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87">
        <f t="shared" ref="E2074" si="6445">D2073</f>
        <v>1</v>
      </c>
      <c r="F2074" s="92"/>
      <c r="G2074" s="189" t="s">
        <v>1</v>
      </c>
      <c r="H2074" s="192" t="e">
        <f>INDEX('BASE FORMAÇÃO'!C:C,B2073+1)</f>
        <v>#VALUE!</v>
      </c>
      <c r="I2074" s="192"/>
      <c r="J2074" s="193"/>
      <c r="K2074" s="66"/>
      <c r="L2074" s="184"/>
      <c r="M2074" s="186"/>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88"/>
      <c r="F2075" s="93"/>
      <c r="G2075" s="190"/>
      <c r="H2075" s="194"/>
      <c r="I2075" s="194"/>
      <c r="J2075" s="195"/>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1"/>
      <c r="H2076" s="196"/>
      <c r="I2076" s="196"/>
      <c r="J2076" s="197"/>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198" t="e">
        <f t="shared" ref="E2077" si="6450">C2073</f>
        <v>#VALUE!</v>
      </c>
      <c r="F2077" s="93"/>
      <c r="G2077" s="200" t="s">
        <v>304</v>
      </c>
      <c r="H2077" s="202"/>
      <c r="I2077" s="203"/>
      <c r="J2077" s="203"/>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199"/>
      <c r="F2078" s="93"/>
      <c r="G2078" s="201"/>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199"/>
      <c r="F2079" s="93"/>
      <c r="G2079" s="201"/>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199"/>
      <c r="F2080" s="93"/>
      <c r="G2080" s="201"/>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199"/>
      <c r="F2081" s="93"/>
      <c r="G2081" s="201"/>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199"/>
      <c r="F2082" s="93"/>
      <c r="G2082" s="201"/>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199"/>
      <c r="F2083" s="93"/>
      <c r="G2083" s="201"/>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199"/>
      <c r="F2084" s="93"/>
      <c r="G2084" s="201"/>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199"/>
      <c r="F2085" s="93"/>
      <c r="G2085" s="201"/>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199"/>
      <c r="F2086" s="93"/>
      <c r="G2086" s="201"/>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199"/>
      <c r="F2087" s="93"/>
      <c r="G2087" s="201"/>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199"/>
      <c r="F2088" s="93"/>
      <c r="G2088" s="201"/>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199"/>
      <c r="F2089" s="93"/>
      <c r="G2089" s="201"/>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199"/>
      <c r="F2090" s="93"/>
      <c r="G2090" s="201"/>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199"/>
      <c r="F2091" s="93"/>
      <c r="G2091" s="201"/>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199"/>
      <c r="F2092" s="136"/>
      <c r="G2092" s="201"/>
      <c r="H2092" s="204"/>
      <c r="I2092" s="204"/>
      <c r="J2092" s="205"/>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3" t="s">
        <v>10</v>
      </c>
      <c r="M2094" s="185"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87">
        <f t="shared" ref="E2095" si="6512">D2094</f>
        <v>1</v>
      </c>
      <c r="F2095" s="92"/>
      <c r="G2095" s="189" t="s">
        <v>1</v>
      </c>
      <c r="H2095" s="192" t="e">
        <f>INDEX('BASE FORMAÇÃO'!C:C,B2094+1)</f>
        <v>#VALUE!</v>
      </c>
      <c r="I2095" s="192"/>
      <c r="J2095" s="193"/>
      <c r="K2095" s="66"/>
      <c r="L2095" s="184"/>
      <c r="M2095" s="186"/>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88"/>
      <c r="F2096" s="93"/>
      <c r="G2096" s="190"/>
      <c r="H2096" s="194"/>
      <c r="I2096" s="194"/>
      <c r="J2096" s="195"/>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1"/>
      <c r="H2097" s="196"/>
      <c r="I2097" s="196"/>
      <c r="J2097" s="197"/>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198" t="e">
        <f t="shared" ref="E2098" si="6516">C2094</f>
        <v>#VALUE!</v>
      </c>
      <c r="F2098" s="93"/>
      <c r="G2098" s="200" t="s">
        <v>304</v>
      </c>
      <c r="H2098" s="202"/>
      <c r="I2098" s="203"/>
      <c r="J2098" s="203"/>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199"/>
      <c r="F2099" s="93"/>
      <c r="G2099" s="201"/>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199"/>
      <c r="F2100" s="93"/>
      <c r="G2100" s="201"/>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199"/>
      <c r="F2101" s="93"/>
      <c r="G2101" s="201"/>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199"/>
      <c r="F2102" s="93"/>
      <c r="G2102" s="201"/>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199"/>
      <c r="F2103" s="93"/>
      <c r="G2103" s="201"/>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199"/>
      <c r="F2104" s="93"/>
      <c r="G2104" s="201"/>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199"/>
      <c r="F2105" s="93"/>
      <c r="G2105" s="201"/>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199"/>
      <c r="F2106" s="93"/>
      <c r="G2106" s="201"/>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199"/>
      <c r="F2107" s="93"/>
      <c r="G2107" s="201"/>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199"/>
      <c r="F2108" s="93"/>
      <c r="G2108" s="201"/>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199"/>
      <c r="F2109" s="93"/>
      <c r="G2109" s="201"/>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199"/>
      <c r="F2110" s="93"/>
      <c r="G2110" s="201"/>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199"/>
      <c r="F2111" s="93"/>
      <c r="G2111" s="201"/>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199"/>
      <c r="F2112" s="93"/>
      <c r="G2112" s="201"/>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199"/>
      <c r="F2113" s="136"/>
      <c r="G2113" s="201"/>
      <c r="H2113" s="204"/>
      <c r="I2113" s="204"/>
      <c r="J2113" s="205"/>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3" t="s">
        <v>10</v>
      </c>
      <c r="M2115" s="185"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87">
        <f t="shared" ref="E2116" si="6578">D2115</f>
        <v>1</v>
      </c>
      <c r="F2116" s="92"/>
      <c r="G2116" s="189" t="s">
        <v>1</v>
      </c>
      <c r="H2116" s="192" t="e">
        <f>INDEX('BASE FORMAÇÃO'!C:C,B2115+1)</f>
        <v>#VALUE!</v>
      </c>
      <c r="I2116" s="192"/>
      <c r="J2116" s="193"/>
      <c r="K2116" s="66"/>
      <c r="L2116" s="184"/>
      <c r="M2116" s="186"/>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88"/>
      <c r="F2117" s="93"/>
      <c r="G2117" s="190"/>
      <c r="H2117" s="194"/>
      <c r="I2117" s="194"/>
      <c r="J2117" s="195"/>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1"/>
      <c r="H2118" s="196"/>
      <c r="I2118" s="196"/>
      <c r="J2118" s="197"/>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198" t="e">
        <f t="shared" ref="E2119" si="6582">C2115</f>
        <v>#VALUE!</v>
      </c>
      <c r="F2119" s="93"/>
      <c r="G2119" s="200" t="s">
        <v>304</v>
      </c>
      <c r="H2119" s="202"/>
      <c r="I2119" s="203"/>
      <c r="J2119" s="203"/>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199"/>
      <c r="F2120" s="93"/>
      <c r="G2120" s="201"/>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199"/>
      <c r="F2121" s="93"/>
      <c r="G2121" s="201"/>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199"/>
      <c r="F2122" s="93"/>
      <c r="G2122" s="201"/>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199"/>
      <c r="F2123" s="93"/>
      <c r="G2123" s="201"/>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199"/>
      <c r="F2124" s="93"/>
      <c r="G2124" s="201"/>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199"/>
      <c r="F2125" s="93"/>
      <c r="G2125" s="201"/>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199"/>
      <c r="F2126" s="93"/>
      <c r="G2126" s="201"/>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199"/>
      <c r="F2127" s="93"/>
      <c r="G2127" s="201"/>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199"/>
      <c r="F2128" s="93"/>
      <c r="G2128" s="201"/>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199"/>
      <c r="F2129" s="93"/>
      <c r="G2129" s="201"/>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199"/>
      <c r="F2130" s="93"/>
      <c r="G2130" s="201"/>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199"/>
      <c r="F2131" s="93"/>
      <c r="G2131" s="201"/>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199"/>
      <c r="F2132" s="93"/>
      <c r="G2132" s="201"/>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199"/>
      <c r="F2133" s="93"/>
      <c r="G2133" s="201"/>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199"/>
      <c r="F2134" s="136"/>
      <c r="G2134" s="201"/>
      <c r="H2134" s="204"/>
      <c r="I2134" s="204"/>
      <c r="J2134" s="205"/>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3" t="s">
        <v>10</v>
      </c>
      <c r="M2136" s="185"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87">
        <f t="shared" ref="E2137" si="6644">D2136</f>
        <v>1</v>
      </c>
      <c r="F2137" s="92"/>
      <c r="G2137" s="189" t="s">
        <v>1</v>
      </c>
      <c r="H2137" s="192" t="e">
        <f>INDEX('BASE FORMAÇÃO'!C:C,B2136+1)</f>
        <v>#VALUE!</v>
      </c>
      <c r="I2137" s="192"/>
      <c r="J2137" s="193"/>
      <c r="K2137" s="66"/>
      <c r="L2137" s="184"/>
      <c r="M2137" s="186"/>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88"/>
      <c r="F2138" s="93"/>
      <c r="G2138" s="190"/>
      <c r="H2138" s="194"/>
      <c r="I2138" s="194"/>
      <c r="J2138" s="195"/>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1"/>
      <c r="H2139" s="196"/>
      <c r="I2139" s="196"/>
      <c r="J2139" s="197"/>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198" t="e">
        <f t="shared" ref="E2140" si="6648">C2136</f>
        <v>#VALUE!</v>
      </c>
      <c r="F2140" s="93"/>
      <c r="G2140" s="200" t="s">
        <v>304</v>
      </c>
      <c r="H2140" s="202"/>
      <c r="I2140" s="203"/>
      <c r="J2140" s="203"/>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199"/>
      <c r="F2141" s="93"/>
      <c r="G2141" s="201"/>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199"/>
      <c r="F2142" s="93"/>
      <c r="G2142" s="201"/>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199"/>
      <c r="F2143" s="93"/>
      <c r="G2143" s="201"/>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199"/>
      <c r="F2144" s="93"/>
      <c r="G2144" s="201"/>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199"/>
      <c r="F2145" s="93"/>
      <c r="G2145" s="201"/>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199"/>
      <c r="F2146" s="93"/>
      <c r="G2146" s="201"/>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199"/>
      <c r="F2147" s="93"/>
      <c r="G2147" s="201"/>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199"/>
      <c r="F2148" s="93"/>
      <c r="G2148" s="201"/>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199"/>
      <c r="F2149" s="93"/>
      <c r="G2149" s="201"/>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199"/>
      <c r="F2150" s="93"/>
      <c r="G2150" s="201"/>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199"/>
      <c r="F2151" s="93"/>
      <c r="G2151" s="201"/>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199"/>
      <c r="F2152" s="93"/>
      <c r="G2152" s="201"/>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199"/>
      <c r="F2153" s="93"/>
      <c r="G2153" s="201"/>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199"/>
      <c r="F2154" s="93"/>
      <c r="G2154" s="201"/>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199"/>
      <c r="F2155" s="136"/>
      <c r="G2155" s="201"/>
      <c r="H2155" s="204"/>
      <c r="I2155" s="204"/>
      <c r="J2155" s="205"/>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3" t="s">
        <v>10</v>
      </c>
      <c r="M2157" s="185"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87">
        <f t="shared" ref="E2158" si="6711">D2157</f>
        <v>1</v>
      </c>
      <c r="F2158" s="92"/>
      <c r="G2158" s="189" t="s">
        <v>1</v>
      </c>
      <c r="H2158" s="192" t="e">
        <f>INDEX('BASE FORMAÇÃO'!C:C,B2157+1)</f>
        <v>#VALUE!</v>
      </c>
      <c r="I2158" s="192"/>
      <c r="J2158" s="193"/>
      <c r="K2158" s="66"/>
      <c r="L2158" s="184"/>
      <c r="M2158" s="186"/>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88"/>
      <c r="F2159" s="93"/>
      <c r="G2159" s="190"/>
      <c r="H2159" s="194"/>
      <c r="I2159" s="194"/>
      <c r="J2159" s="195"/>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1"/>
      <c r="H2160" s="196"/>
      <c r="I2160" s="196"/>
      <c r="J2160" s="197"/>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198" t="e">
        <f t="shared" ref="E2161" si="6715">C2157</f>
        <v>#VALUE!</v>
      </c>
      <c r="F2161" s="93"/>
      <c r="G2161" s="200" t="s">
        <v>304</v>
      </c>
      <c r="H2161" s="202"/>
      <c r="I2161" s="203"/>
      <c r="J2161" s="203"/>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199"/>
      <c r="F2162" s="93"/>
      <c r="G2162" s="201"/>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199"/>
      <c r="F2163" s="93"/>
      <c r="G2163" s="201"/>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199"/>
      <c r="F2164" s="93"/>
      <c r="G2164" s="201"/>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199"/>
      <c r="F2165" s="93"/>
      <c r="G2165" s="201"/>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199"/>
      <c r="F2166" s="93"/>
      <c r="G2166" s="201"/>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199"/>
      <c r="F2167" s="93"/>
      <c r="G2167" s="201"/>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199"/>
      <c r="F2168" s="93"/>
      <c r="G2168" s="201"/>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199"/>
      <c r="F2169" s="93"/>
      <c r="G2169" s="201"/>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199"/>
      <c r="F2170" s="93"/>
      <c r="G2170" s="201"/>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199"/>
      <c r="F2171" s="93"/>
      <c r="G2171" s="201"/>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199"/>
      <c r="F2172" s="93"/>
      <c r="G2172" s="201"/>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199"/>
      <c r="F2173" s="93"/>
      <c r="G2173" s="201"/>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199"/>
      <c r="F2174" s="93"/>
      <c r="G2174" s="201"/>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199"/>
      <c r="F2175" s="93"/>
      <c r="G2175" s="201"/>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199"/>
      <c r="F2176" s="136"/>
      <c r="G2176" s="201"/>
      <c r="H2176" s="204"/>
      <c r="I2176" s="204"/>
      <c r="J2176" s="205"/>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L2115:L2116"/>
    <mergeCell ref="M2115:M2116"/>
    <mergeCell ref="E2116:E2117"/>
    <mergeCell ref="G2116:G2118"/>
    <mergeCell ref="H2116:J2118"/>
    <mergeCell ref="E2119:E2134"/>
    <mergeCell ref="G2119:G2134"/>
    <mergeCell ref="H2119:J2119"/>
    <mergeCell ref="H2134:J2134"/>
    <mergeCell ref="L2136:L2137"/>
    <mergeCell ref="M2136:M2137"/>
    <mergeCell ref="E2137:E2138"/>
    <mergeCell ref="G2137:G2139"/>
    <mergeCell ref="H2137:J2139"/>
    <mergeCell ref="E2140:E2155"/>
    <mergeCell ref="G2140:G2155"/>
    <mergeCell ref="H2140:J2140"/>
    <mergeCell ref="H2155:J2155"/>
    <mergeCell ref="L2157:L2158"/>
    <mergeCell ref="M2157:M2158"/>
    <mergeCell ref="E2158:E2159"/>
    <mergeCell ref="G2158:G2160"/>
    <mergeCell ref="H2158:J2160"/>
    <mergeCell ref="E2161:E2176"/>
    <mergeCell ref="G2161:G2176"/>
    <mergeCell ref="H2161:J2161"/>
    <mergeCell ref="H2176:J2176"/>
  </mergeCells>
  <phoneticPr fontId="43" type="noConversion"/>
  <conditionalFormatting sqref="A1:XFD3 A4:R5 Y4:XFD9 A6:Q7 A8:L8 O8 Q8:R8 A9:K9 Q9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xr:uid="{00000000-0002-0000-0200-000001000000}">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xr:uid="{00000000-0002-0000-0200-000003000000}">
      <formula1>$L$21:$L$30</formula1>
    </dataValidation>
  </dataValidations>
  <hyperlinks>
    <hyperlink ref="Q459" r:id="rId1" xr:uid="{7DCC1D0D-A482-463B-85F0-F791CF70C5FA}"/>
    <hyperlink ref="Q438" r:id="rId2" xr:uid="{99034015-C1FF-480A-B0D9-6E4513D9DA79}"/>
  </hyperlink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3"/>
  <headerFooter alignWithMargins="0"/>
  <drawing r:id="rId4"/>
  <legacyDrawing r:id="rId5"/>
  <mc:AlternateContent xmlns:mc="http://schemas.openxmlformats.org/markup-compatibility/2006">
    <mc:Choice Requires="x14">
      <controls>
        <mc:AlternateContent xmlns:mc="http://schemas.openxmlformats.org/markup-compatibility/2006">
          <mc:Choice Requires="x14">
            <control shapeId="3074" r:id="rId6"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workbookViewId="0">
      <selection activeCell="L15" sqref="L15"/>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6"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1" t="s">
        <v>305</v>
      </c>
      <c r="F2" s="232"/>
      <c r="G2" s="232"/>
      <c r="H2" s="232"/>
      <c r="I2" s="232"/>
      <c r="J2" s="232"/>
      <c r="K2" s="232"/>
      <c r="L2" s="233"/>
    </row>
    <row r="3" spans="2:14" ht="21" x14ac:dyDescent="0.35">
      <c r="E3" s="234" t="str">
        <f>'MAPA DE PREÇOS'!H5</f>
        <v>SECRETARIA MUNICIPAL DE PLANEJAMENTO E GESTÃO (SMPG)</v>
      </c>
      <c r="F3" s="235"/>
      <c r="G3" s="235"/>
      <c r="H3" s="235"/>
      <c r="I3" s="235"/>
      <c r="J3" s="235"/>
      <c r="K3" s="235"/>
      <c r="L3" s="236"/>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37" t="str">
        <f t="shared" ref="E5:E36" si="0">IF($B4="","",IF($C5=$C2,D5,IF($C5=$C3,"Item",IF(AND(MAX(C:C)&gt;1,$C5=$C4),CONCATENATE("LOTE ",C5),""))))</f>
        <v/>
      </c>
      <c r="F5" s="238"/>
      <c r="G5" s="238"/>
      <c r="H5" s="238"/>
      <c r="I5" s="238"/>
      <c r="J5" s="238"/>
      <c r="K5" s="238"/>
      <c r="L5" s="239"/>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5" t="str">
        <f>IF($B7="","",IF($C8=$C5,IF('BASE EDITAL'!$C$2="",INDEX('MAPA DE PREÇOS'!H:H,MATCH(EDITAL!B8,'MAPA DE PREÇOS'!B:B,0)+1),UPPER(INDEX('BASE EDITAL'!$C:$C,EDITAL!B8+1))),IF($C8=$C6,"Especificação do Objeto","")))</f>
        <v>Busdoors modelo 1</v>
      </c>
      <c r="H8" s="84" t="str">
        <f>IF($B7="","",IF($C8=$C5,INDEX('MAPA DE PREÇOS'!$M:$M,MATCH($B8,'MAPA DE PREÇOS'!$B:$B)-16),IF($C8=$C6,"Unidade","")))</f>
        <v>UND</v>
      </c>
      <c r="I8" s="84">
        <f>IF($B7="","",IF($C8=$C5,INDEX('MAPA DE PREÇOS'!$M:$M,MATCH($B8,'MAPA DE PREÇOS'!$B:$B)-17),IF($C8=$C6,"Quant.","")))</f>
        <v>381</v>
      </c>
      <c r="J8" s="60">
        <f>IF(AND(COUNTBLANK($B5:$B7)=2,$B7="",$B6="",MAX(C:C)&gt;1),"Total Estimado",IF($B7="","",IF($C8=$C5,INDEX('MAPA DE PREÇOS'!$M:$M,MATCH($B8,'MAPA DE PREÇOS'!$B:$B)-19),IF($C8=$C6,"Valor Unit. (R$)",IF(AND($C8&lt;&gt;$C7,$J7&lt;&gt;""),IF(MAX(C:C)=1,"Total Estimado","Subtotal"),"")))))</f>
        <v>38.380000000000003</v>
      </c>
      <c r="K8" s="75">
        <f>IFERROR(IF(AND(COUNTBLANK($B5:$B7)=2,$B7="",$B6="",MAX($C:$C)&gt;1),SUM($K$3:K7)/2,IF($B7="","",IF($C8=$C5,ROUND(J8*I8,2),IF($C8=$C6,"Total Item (R$)",IF(AND($C8&lt;&gt;$C7,$J7&lt;&gt;""),SUMIFS(K:K,$C:$C,C7,J:J,"&lt;&gt;Subtotal"),""))))),"")</f>
        <v>14622.78</v>
      </c>
      <c r="L8" s="75" t="s">
        <v>470</v>
      </c>
      <c r="N8" s="137"/>
    </row>
    <row r="9" spans="2:14"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145" t="str">
        <f>IF($B8="","",IF($C9=$C6,IF('BASE EDITAL'!$C$2="",INDEX('MAPA DE PREÇOS'!H:H,MATCH(EDITAL!B9,'MAPA DE PREÇOS'!B:B,0)+1),UPPER(INDEX('BASE EDITAL'!$C:$C,EDITAL!B9+1))),IF($C9=$C7,"Especificação do Objeto","")))</f>
        <v>Busdoors modelo 2</v>
      </c>
      <c r="H9" s="84" t="str">
        <f>IF($B8="","",IF($C9=$C6,INDEX('MAPA DE PREÇOS'!$M:$M,MATCH($B9,'MAPA DE PREÇOS'!$B:$B)-16),IF($C9=$C7,"Unidade","")))</f>
        <v>UND</v>
      </c>
      <c r="I9" s="84">
        <f>IF($B8="","",IF($C9=$C6,INDEX('MAPA DE PREÇOS'!$M:$M,MATCH($B9,'MAPA DE PREÇOS'!$B:$B)-17),IF($C9=$C7,"Quant.","")))</f>
        <v>404</v>
      </c>
      <c r="J9" s="60">
        <f>IF(AND(COUNTBLANK($B6:$B8)=2,$B8="",$B7="",MAX(C:C)&gt;1),"Total Estimado",IF($B8="","",IF($C9=$C6,INDEX('MAPA DE PREÇOS'!$M:$M,MATCH($B9,'MAPA DE PREÇOS'!$B:$B)-19),IF($C9=$C7,"Valor Unit. (R$)",IF(AND($C9&lt;&gt;$C8,$J8&lt;&gt;""),IF(MAX(C:C)=1,"Total Estimado","Subtotal"),"")))))</f>
        <v>59.61</v>
      </c>
      <c r="K9" s="75">
        <f>IFERROR(IF(AND(COUNTBLANK($B6:$B8)=2,$B8="",$B7="",MAX(C:C)&gt;1),SUM($K$3:K8)/2,IF($B8="","",IF($C9=$C6,ROUND(J9*I9,2),IF($C9=$C7,"Total Item (R$)",IF(AND($C9&lt;&gt;$C8,$J8&lt;&gt;""),SUMIFS(K:K,C:C,C8,J:J,"&lt;&gt;Subtotal"),""))))),"")</f>
        <v>24082.44</v>
      </c>
      <c r="L9" s="75" t="s">
        <v>470</v>
      </c>
    </row>
    <row r="10" spans="2:14"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145" t="str">
        <f>IF($B9="","",IF($C10=$C7,IF('BASE EDITAL'!$C$2="",INDEX('MAPA DE PREÇOS'!H:H,MATCH(EDITAL!B10,'MAPA DE PREÇOS'!B:B,0)+1),UPPER(INDEX('BASE EDITAL'!$C:$C,EDITAL!B10+1))),IF($C10=$C8,"Especificação do Objeto","")))</f>
        <v>Banners modelo 1</v>
      </c>
      <c r="H10" s="84" t="str">
        <f>IF($B9="","",IF($C10=$C7,INDEX('MAPA DE PREÇOS'!$M:$M,MATCH($B10,'MAPA DE PREÇOS'!$B:$B)-16),IF($C10=$C8,"Unidade","")))</f>
        <v>M2</v>
      </c>
      <c r="I10" s="84">
        <f>IF($B9="","",IF($C10=$C7,INDEX('MAPA DE PREÇOS'!$M:$M,MATCH($B10,'MAPA DE PREÇOS'!$B:$B)-17),IF($C10=$C8,"Quant.","")))</f>
        <v>2864</v>
      </c>
      <c r="J10" s="60">
        <f>IF(AND(COUNTBLANK($B7:$B9)=2,$B9="",$B8="",MAX(C:C)&gt;1),"Total Estimado",IF($B9="","",IF($C10=$C7,INDEX('MAPA DE PREÇOS'!$M:$M,MATCH($B10,'MAPA DE PREÇOS'!$B:$B)-19),IF($C10=$C8,"Valor Unit. (R$)",IF(AND($C10&lt;&gt;$C9,$J9&lt;&gt;""),IF(MAX(C:C)=1,"Total Estimado","Subtotal"),"")))))</f>
        <v>20.260000000000002</v>
      </c>
      <c r="K10" s="75">
        <f>IFERROR(IF(AND(COUNTBLANK($B7:$B9)=2,$B9="",$B8="",MAX(C:C)&gt;1),SUM($K$3:K9)/2,IF($B9="","",IF($C10=$C7,ROUND(J10*I10,2),IF($C10=$C8,"Total Item (R$)",IF(AND($C10&lt;&gt;$C9,$J9&lt;&gt;""),SUMIFS(K:K,C:C,C9,J:J,"&lt;&gt;Subtotal"),""))))),"")</f>
        <v>58024.639999999999</v>
      </c>
      <c r="L10" s="75" t="s">
        <v>470</v>
      </c>
    </row>
    <row r="11" spans="2:14"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145" t="str">
        <f>IF($B10="","",IF($C11=$C8,IF('BASE EDITAL'!$C$2="",INDEX('MAPA DE PREÇOS'!H:H,MATCH(EDITAL!B11,'MAPA DE PREÇOS'!B:B,0)+1),UPPER(INDEX('BASE EDITAL'!$C:$C,EDITAL!B11+1))),IF($C11=$C9,"Especificação do Objeto","")))</f>
        <v>Banners modelo 2</v>
      </c>
      <c r="H11" s="84" t="str">
        <f>IF($B10="","",IF($C11=$C8,INDEX('MAPA DE PREÇOS'!$M:$M,MATCH($B11,'MAPA DE PREÇOS'!$B:$B)-16),IF($C11=$C9,"Unidade","")))</f>
        <v>M2</v>
      </c>
      <c r="I11" s="84">
        <f>IF($B10="","",IF($C11=$C8,INDEX('MAPA DE PREÇOS'!$M:$M,MATCH($B11,'MAPA DE PREÇOS'!$B:$B)-17),IF($C11=$C9,"Quant.","")))</f>
        <v>1995</v>
      </c>
      <c r="J11" s="60">
        <f>IF(AND(COUNTBLANK($B8:$B10)=2,$B10="",$B9="",MAX(C:C)&gt;1),"Total Estimado",IF($B10="","",IF($C11=$C8,INDEX('MAPA DE PREÇOS'!$M:$M,MATCH($B11,'MAPA DE PREÇOS'!$B:$B)-19),IF($C11=$C9,"Valor Unit. (R$)",IF(AND($C11&lt;&gt;$C10,$J10&lt;&gt;""),IF(MAX(C:C)=1,"Total Estimado","Subtotal"),"")))))</f>
        <v>50.81</v>
      </c>
      <c r="K11" s="75">
        <f>IFERROR(IF(AND(COUNTBLANK($B8:$B10)=2,$B10="",$B9="",MAX(C:C)&gt;1),SUM($K$3:K10)/2,IF($B10="","",IF($C11=$C8,ROUND(J11*I11,2),IF($C11=$C9,"Total Item (R$)",IF(AND($C11&lt;&gt;$C10,$J10&lt;&gt;""),SUMIFS(K:K,C:C,C10,J:J,"&lt;&gt;Subtotal"),""))))),"")</f>
        <v>101365.95</v>
      </c>
      <c r="L11" s="75" t="s">
        <v>471</v>
      </c>
    </row>
    <row r="12" spans="2:14"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0</v>
      </c>
      <c r="G12" s="145" t="str">
        <f>IF($B11="","",IF($C12=$C9,IF('BASE EDITAL'!$C$2="",INDEX('MAPA DE PREÇOS'!H:H,MATCH(EDITAL!B12,'MAPA DE PREÇOS'!B:B,0)+1),UPPER(INDEX('BASE EDITAL'!$C:$C,EDITAL!B12+1))),IF($C12=$C10,"Especificação do Objeto","")))</f>
        <v>Banners modelo 3</v>
      </c>
      <c r="H12" s="84" t="str">
        <f>IF($B11="","",IF($C12=$C9,INDEX('MAPA DE PREÇOS'!$M:$M,MATCH($B12,'MAPA DE PREÇOS'!$B:$B)-16),IF($C12=$C10,"Unidade","")))</f>
        <v>M2</v>
      </c>
      <c r="I12" s="84">
        <f>IF($B11="","",IF($C12=$C9,INDEX('MAPA DE PREÇOS'!$M:$M,MATCH($B12,'MAPA DE PREÇOS'!$B:$B)-17),IF($C12=$C10,"Quant.","")))</f>
        <v>1443</v>
      </c>
      <c r="J12" s="60">
        <f>IF(AND(COUNTBLANK($B9:$B11)=2,$B11="",$B10="",MAX(C:C)&gt;1),"Total Estimado",IF($B11="","",IF($C12=$C9,INDEX('MAPA DE PREÇOS'!$M:$M,MATCH($B12,'MAPA DE PREÇOS'!$B:$B)-19),IF($C12=$C10,"Valor Unit. (R$)",IF(AND($C12&lt;&gt;$C11,$J11&lt;&gt;""),IF(MAX(C:C)=1,"Total Estimado","Subtotal"),"")))))</f>
        <v>111.44</v>
      </c>
      <c r="K12" s="75">
        <f>IFERROR(IF(AND(COUNTBLANK($B9:$B11)=2,$B11="",$B10="",MAX(C:C)&gt;1),SUM($K$3:K11)/2,IF($B11="","",IF($C12=$C9,ROUND(J12*I12,2),IF($C12=$C10,"Total Item (R$)",IF(AND($C12&lt;&gt;$C11,$J11&lt;&gt;""),SUMIFS(K:K,C:C,C11,J:J,"&lt;&gt;Subtotal"),""))))),"")</f>
        <v>160807.92000000001</v>
      </c>
      <c r="L12" s="75" t="s">
        <v>471</v>
      </c>
    </row>
    <row r="13" spans="2:14"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0</v>
      </c>
      <c r="G13" s="145" t="str">
        <f>IF($B12="","",IF($C13=$C10,IF('BASE EDITAL'!$C$2="",INDEX('MAPA DE PREÇOS'!H:H,MATCH(EDITAL!B13,'MAPA DE PREÇOS'!B:B,0)+1),UPPER(INDEX('BASE EDITAL'!$C:$C,EDITAL!B13+1))),IF($C13=$C11,"Especificação do Objeto","")))</f>
        <v>Suporte móvel banner convencional</v>
      </c>
      <c r="H13" s="84" t="str">
        <f>IF($B12="","",IF($C13=$C10,INDEX('MAPA DE PREÇOS'!$M:$M,MATCH($B13,'MAPA DE PREÇOS'!$B:$B)-16),IF($C13=$C11,"Unidade","")))</f>
        <v>UND</v>
      </c>
      <c r="I13" s="84">
        <f>IF($B12="","",IF($C13=$C10,INDEX('MAPA DE PREÇOS'!$M:$M,MATCH($B13,'MAPA DE PREÇOS'!$B:$B)-17),IF($C13=$C11,"Quant.","")))</f>
        <v>818</v>
      </c>
      <c r="J13" s="60">
        <f>IF(AND(COUNTBLANK($B10:$B12)=2,$B12="",$B11="",MAX(C:C)&gt;1),"Total Estimado",IF($B12="","",IF($C13=$C10,INDEX('MAPA DE PREÇOS'!$M:$M,MATCH($B13,'MAPA DE PREÇOS'!$B:$B)-19),IF($C13=$C11,"Valor Unit. (R$)",IF(AND($C13&lt;&gt;$C12,$J12&lt;&gt;""),IF(MAX(C:C)=1,"Total Estimado","Subtotal"),"")))))</f>
        <v>106.12</v>
      </c>
      <c r="K13" s="75">
        <f>IFERROR(IF(AND(COUNTBLANK($B10:$B12)=2,$B12="",$B11="",MAX(C:C)&gt;1),SUM($K$3:K12)/2,IF($B12="","",IF($C13=$C10,ROUND(J13*I13,2),IF($C13=$C11,"Total Item (R$)",IF(AND($C13&lt;&gt;$C12,$J12&lt;&gt;""),SUMIFS(K:K,C:C,C12,J:J,"&lt;&gt;Subtotal"),""))))),"")</f>
        <v>86806.16</v>
      </c>
      <c r="L13" s="75" t="s">
        <v>471</v>
      </c>
    </row>
    <row r="14" spans="2:14" x14ac:dyDescent="0.25">
      <c r="B14" s="41">
        <f>IFERROR(IF(C13=C10,IF(B13+1&lt;='MAPA DE PREÇOS'!$H$8,B13+1,""),B13),"")</f>
        <v>7</v>
      </c>
      <c r="C14" s="41">
        <f>IFERROR(VLOOKUP(B14,'MAPA DE PREÇOS'!B:D,2,FALSE),"")</f>
        <v>1</v>
      </c>
      <c r="D14" s="41">
        <f>IFERROR(VLOOKUP(B14,'MAPA DE PREÇOS'!B:D,3,FALSE),"")</f>
        <v>7</v>
      </c>
      <c r="E14" s="82">
        <f t="shared" si="0"/>
        <v>7</v>
      </c>
      <c r="F14" s="82">
        <f>IF($B13="","",IF($C14=$C11,INDEX('MAPA DE PREÇOS'!$H:$H,MATCH($B14,'MAPA DE PREÇOS'!$B:$B)-19),IF($C14=$C12,"Código","")))</f>
        <v>0</v>
      </c>
      <c r="G14" s="145" t="str">
        <f>IF($B13="","",IF($C14=$C11,IF('BASE EDITAL'!$C$2="",INDEX('MAPA DE PREÇOS'!H:H,MATCH(EDITAL!B14,'MAPA DE PREÇOS'!B:B,0)+1),UPPER(INDEX('BASE EDITAL'!$C:$C,EDITAL!B14+1))),IF($C14=$C12,"Especificação do Objeto","")))</f>
        <v>Faixas de rua</v>
      </c>
      <c r="H14" s="84" t="str">
        <f>IF($B13="","",IF($C14=$C11,INDEX('MAPA DE PREÇOS'!$M:$M,MATCH($B14,'MAPA DE PREÇOS'!$B:$B)-16),IF($C14=$C12,"Unidade","")))</f>
        <v>UND</v>
      </c>
      <c r="I14" s="84">
        <f>IF($B13="","",IF($C14=$C11,INDEX('MAPA DE PREÇOS'!$M:$M,MATCH($B14,'MAPA DE PREÇOS'!$B:$B)-17),IF($C14=$C12,"Quant.","")))</f>
        <v>1139</v>
      </c>
      <c r="J14" s="60">
        <f>IF(AND(COUNTBLANK($B11:$B13)=2,$B13="",$B12="",MAX(C:C)&gt;1),"Total Estimado",IF($B13="","",IF($C14=$C11,INDEX('MAPA DE PREÇOS'!$M:$M,MATCH($B14,'MAPA DE PREÇOS'!$B:$B)-19),IF($C14=$C12,"Valor Unit. (R$)",IF(AND($C14&lt;&gt;$C13,$J13&lt;&gt;""),IF(MAX(C:C)=1,"Total Estimado","Subtotal"),"")))))</f>
        <v>72.27</v>
      </c>
      <c r="K14" s="75">
        <f>IFERROR(IF(AND(COUNTBLANK($B11:$B13)=2,$B13="",$B12="",MAX(C:C)&gt;1),SUM($K$3:K13)/2,IF($B13="","",IF($C14=$C11,ROUND(J14*I14,2),IF($C14=$C12,"Total Item (R$)",IF(AND($C14&lt;&gt;$C13,$J13&lt;&gt;""),SUMIFS(K:K,C:C,C13,J:J,"&lt;&gt;Subtotal"),""))))),"")</f>
        <v>82315.53</v>
      </c>
      <c r="L14" s="75" t="s">
        <v>471</v>
      </c>
    </row>
    <row r="15" spans="2:14" x14ac:dyDescent="0.25">
      <c r="B15" s="41">
        <f>IFERROR(IF(C14=C11,IF(B14+1&lt;='MAPA DE PREÇOS'!$H$8,B14+1,""),B14),"")</f>
        <v>8</v>
      </c>
      <c r="C15" s="41">
        <f>IFERROR(VLOOKUP(B15,'MAPA DE PREÇOS'!B:D,2,FALSE),"")</f>
        <v>1</v>
      </c>
      <c r="D15" s="41">
        <f>IFERROR(VLOOKUP(B15,'MAPA DE PREÇOS'!B:D,3,FALSE),"")</f>
        <v>8</v>
      </c>
      <c r="E15" s="82">
        <f t="shared" si="0"/>
        <v>8</v>
      </c>
      <c r="F15" s="82">
        <f>IF($B14="","",IF($C15=$C12,INDEX('MAPA DE PREÇOS'!$H:$H,MATCH($B15,'MAPA DE PREÇOS'!$B:$B)-19),IF($C15=$C13,"Código","")))</f>
        <v>0</v>
      </c>
      <c r="G15" s="145" t="str">
        <f>IF($B14="","",IF($C15=$C12,IF('BASE EDITAL'!$C$2="",INDEX('MAPA DE PREÇOS'!H:H,MATCH(EDITAL!B15,'MAPA DE PREÇOS'!B:B,0)+1),UPPER(INDEX('BASE EDITAL'!$C:$C,EDITAL!B15+1))),IF($C15=$C13,"Especificação do Objeto","")))</f>
        <v>Faixas de mesa</v>
      </c>
      <c r="H15" s="84" t="str">
        <f>IF($B14="","",IF($C15=$C12,INDEX('MAPA DE PREÇOS'!$M:$M,MATCH($B15,'MAPA DE PREÇOS'!$B:$B)-16),IF($C15=$C13,"Unidade","")))</f>
        <v>UND</v>
      </c>
      <c r="I15" s="84">
        <f>IF($B14="","",IF($C15=$C12,INDEX('MAPA DE PREÇOS'!$M:$M,MATCH($B15,'MAPA DE PREÇOS'!$B:$B)-17),IF($C15=$C13,"Quant.","")))</f>
        <v>383</v>
      </c>
      <c r="J15" s="60">
        <f>IF(AND(COUNTBLANK($B12:$B14)=2,$B14="",$B13="",MAX(C:C)&gt;1),"Total Estimado",IF($B14="","",IF($C15=$C12,INDEX('MAPA DE PREÇOS'!$M:$M,MATCH($B15,'MAPA DE PREÇOS'!$B:$B)-19),IF($C15=$C13,"Valor Unit. (R$)",IF(AND($C15&lt;&gt;$C14,$J14&lt;&gt;""),IF(MAX(C:C)=1,"Total Estimado","Subtotal"),"")))))</f>
        <v>72.27</v>
      </c>
      <c r="K15" s="75">
        <f>IFERROR(IF(AND(COUNTBLANK($B12:$B14)=2,$B14="",$B13="",MAX(C:C)&gt;1),SUM($K$3:K14)/2,IF($B14="","",IF($C15=$C12,ROUND(J15*I15,2),IF($C15=$C13,"Total Item (R$)",IF(AND($C15&lt;&gt;$C14,$J14&lt;&gt;""),SUMIFS(K:K,C:C,C14,J:J,"&lt;&gt;Subtotal"),""))))),"")</f>
        <v>27679.41</v>
      </c>
      <c r="L15" s="75" t="s">
        <v>470</v>
      </c>
    </row>
    <row r="16" spans="2:14" x14ac:dyDescent="0.25">
      <c r="B16" s="41">
        <f>IFERROR(IF(C15=C12,IF(B15+1&lt;='MAPA DE PREÇOS'!$H$8,B15+1,""),B15),"")</f>
        <v>9</v>
      </c>
      <c r="C16" s="41">
        <f>IFERROR(VLOOKUP(B16,'MAPA DE PREÇOS'!B:D,2,FALSE),"")</f>
        <v>1</v>
      </c>
      <c r="D16" s="41">
        <f>IFERROR(VLOOKUP(B16,'MAPA DE PREÇOS'!B:D,3,FALSE),"")</f>
        <v>9</v>
      </c>
      <c r="E16" s="82">
        <f t="shared" si="0"/>
        <v>9</v>
      </c>
      <c r="F16" s="82">
        <f>IF($B15="","",IF($C16=$C13,INDEX('MAPA DE PREÇOS'!$H:$H,MATCH($B16,'MAPA DE PREÇOS'!$B:$B)-19),IF($C16=$C14,"Código","")))</f>
        <v>0</v>
      </c>
      <c r="G16" s="145" t="str">
        <f>IF($B15="","",IF($C16=$C13,IF('BASE EDITAL'!$C$2="",INDEX('MAPA DE PREÇOS'!H:H,MATCH(EDITAL!B16,'MAPA DE PREÇOS'!B:B,0)+1),UPPER(INDEX('BASE EDITAL'!$C:$C,EDITAL!B16+1))),IF($C16=$C14,"Especificação do Objeto","")))</f>
        <v>Outdoors</v>
      </c>
      <c r="H16" s="84" t="str">
        <f>IF($B15="","",IF($C16=$C13,INDEX('MAPA DE PREÇOS'!$M:$M,MATCH($B16,'MAPA DE PREÇOS'!$B:$B)-16),IF($C16=$C14,"Unidade","")))</f>
        <v>M2</v>
      </c>
      <c r="I16" s="84">
        <f>IF($B15="","",IF($C16=$C13,INDEX('MAPA DE PREÇOS'!$M:$M,MATCH($B16,'MAPA DE PREÇOS'!$B:$B)-17),IF($C16=$C14,"Quant.","")))</f>
        <v>791</v>
      </c>
      <c r="J16" s="60">
        <f>IF(AND(COUNTBLANK($B13:$B15)=2,$B15="",$B14="",MAX(C:C)&gt;1),"Total Estimado",IF($B15="","",IF($C16=$C13,INDEX('MAPA DE PREÇOS'!$M:$M,MATCH($B16,'MAPA DE PREÇOS'!$B:$B)-19),IF($C16=$C14,"Valor Unit. (R$)",IF(AND($C16&lt;&gt;$C15,$J15&lt;&gt;""),IF(MAX(C:C)=1,"Total Estimado","Subtotal"),"")))))</f>
        <v>55.98</v>
      </c>
      <c r="K16" s="75">
        <f>IFERROR(IF(AND(COUNTBLANK($B13:$B15)=2,$B15="",$B14="",MAX(C:C)&gt;1),SUM($K$3:K15)/2,IF($B15="","",IF($C16=$C13,ROUND(J16*I16,2),IF($C16=$C14,"Total Item (R$)",IF(AND($C16&lt;&gt;$C15,$J15&lt;&gt;""),SUMIFS(K:K,C:C,C15,J:J,"&lt;&gt;Subtotal"),""))))),"")</f>
        <v>44280.18</v>
      </c>
      <c r="L16" s="75" t="s">
        <v>470</v>
      </c>
    </row>
    <row r="17" spans="2:12" x14ac:dyDescent="0.25">
      <c r="B17" s="41">
        <f>IFERROR(IF(C16=C13,IF(B16+1&lt;='MAPA DE PREÇOS'!$H$8,B16+1,""),B16),"")</f>
        <v>10</v>
      </c>
      <c r="C17" s="41">
        <f>IFERROR(VLOOKUP(B17,'MAPA DE PREÇOS'!B:D,2,FALSE),"")</f>
        <v>1</v>
      </c>
      <c r="D17" s="41">
        <f>IFERROR(VLOOKUP(B17,'MAPA DE PREÇOS'!B:D,3,FALSE),"")</f>
        <v>10</v>
      </c>
      <c r="E17" s="82">
        <f t="shared" si="0"/>
        <v>10</v>
      </c>
      <c r="F17" s="82">
        <f>IF($B16="","",IF($C17=$C14,INDEX('MAPA DE PREÇOS'!$H:$H,MATCH($B17,'MAPA DE PREÇOS'!$B:$B)-19),IF($C17=$C15,"Código","")))</f>
        <v>0</v>
      </c>
      <c r="G17" s="145" t="str">
        <f>IF($B16="","",IF($C17=$C14,IF('BASE EDITAL'!$C$2="",INDEX('MAPA DE PREÇOS'!H:H,MATCH(EDITAL!B17,'MAPA DE PREÇOS'!B:B,0)+1),UPPER(INDEX('BASE EDITAL'!$C:$C,EDITAL!B17+1))),IF($C17=$C15,"Especificação do Objeto","")))</f>
        <v>Cartazes</v>
      </c>
      <c r="H17" s="84" t="str">
        <f>IF($B16="","",IF($C17=$C14,INDEX('MAPA DE PREÇOS'!$M:$M,MATCH($B17,'MAPA DE PREÇOS'!$B:$B)-16),IF($C17=$C15,"Unidade","")))</f>
        <v>M2</v>
      </c>
      <c r="I17" s="84">
        <f>IF($B16="","",IF($C17=$C14,INDEX('MAPA DE PREÇOS'!$M:$M,MATCH($B17,'MAPA DE PREÇOS'!$B:$B)-17),IF($C17=$C15,"Quant.","")))</f>
        <v>13166</v>
      </c>
      <c r="J17" s="60">
        <f>IF(AND(COUNTBLANK($B14:$B16)=2,$B16="",$B15="",MAX(C:C)&gt;1),"Total Estimado",IF($B16="","",IF($C17=$C14,INDEX('MAPA DE PREÇOS'!$M:$M,MATCH($B17,'MAPA DE PREÇOS'!$B:$B)-19),IF($C17=$C15,"Valor Unit. (R$)",IF(AND($C17&lt;&gt;$C16,$J16&lt;&gt;""),IF(MAX(C:C)=1,"Total Estimado","Subtotal"),"")))))</f>
        <v>62.42</v>
      </c>
      <c r="K17" s="75">
        <f>IFERROR(IF(AND(COUNTBLANK($B14:$B16)=2,$B16="",$B15="",MAX(C:C)&gt;1),SUM($K$3:K16)/2,IF($B16="","",IF($C17=$C14,ROUND(J17*I17,2),IF($C17=$C15,"Total Item (R$)",IF(AND($C17&lt;&gt;$C16,$J16&lt;&gt;""),SUMIFS(K:K,C:C,C16,J:J,"&lt;&gt;Subtotal"),""))))),"")</f>
        <v>821821.72</v>
      </c>
      <c r="L17" s="75" t="s">
        <v>471</v>
      </c>
    </row>
    <row r="18" spans="2:12" x14ac:dyDescent="0.25">
      <c r="B18" s="41">
        <f>IFERROR(IF(C17=C14,IF(B17+1&lt;='MAPA DE PREÇOS'!$H$8,B17+1,""),B17),"")</f>
        <v>11</v>
      </c>
      <c r="C18" s="41">
        <f>IFERROR(VLOOKUP(B18,'MAPA DE PREÇOS'!B:D,2,FALSE),"")</f>
        <v>1</v>
      </c>
      <c r="D18" s="41">
        <f>IFERROR(VLOOKUP(B18,'MAPA DE PREÇOS'!B:D,3,FALSE),"")</f>
        <v>11</v>
      </c>
      <c r="E18" s="82">
        <f t="shared" si="0"/>
        <v>11</v>
      </c>
      <c r="F18" s="82">
        <f>IF($B17="","",IF($C18=$C15,INDEX('MAPA DE PREÇOS'!$H:$H,MATCH($B18,'MAPA DE PREÇOS'!$B:$B)-19),IF($C18=$C16,"Código","")))</f>
        <v>0</v>
      </c>
      <c r="G18" s="145" t="str">
        <f>IF($B17="","",IF($C18=$C15,IF('BASE EDITAL'!$C$2="",INDEX('MAPA DE PREÇOS'!H:H,MATCH(EDITAL!B18,'MAPA DE PREÇOS'!B:B,0)+1),UPPER(INDEX('BASE EDITAL'!$C:$C,EDITAL!B18+1))),IF($C18=$C16,"Especificação do Objeto","")))</f>
        <v>Adesivos lixeiras</v>
      </c>
      <c r="H18" s="84" t="str">
        <f>IF($B17="","",IF($C18=$C15,INDEX('MAPA DE PREÇOS'!$M:$M,MATCH($B18,'MAPA DE PREÇOS'!$B:$B)-16),IF($C18=$C16,"Unidade","")))</f>
        <v>M2</v>
      </c>
      <c r="I18" s="84">
        <f>IF($B17="","",IF($C18=$C15,INDEX('MAPA DE PREÇOS'!$M:$M,MATCH($B18,'MAPA DE PREÇOS'!$B:$B)-17),IF($C18=$C16,"Quant.","")))</f>
        <v>5181</v>
      </c>
      <c r="J18" s="60">
        <f>IF(AND(COUNTBLANK($B15:$B17)=2,$B17="",$B16="",MAX(C:C)&gt;1),"Total Estimado",IF($B17="","",IF($C18=$C15,INDEX('MAPA DE PREÇOS'!$M:$M,MATCH($B18,'MAPA DE PREÇOS'!$B:$B)-19),IF($C18=$C16,"Valor Unit. (R$)",IF(AND($C18&lt;&gt;$C17,$J17&lt;&gt;""),IF(MAX(C:C)=1,"Total Estimado","Subtotal"),"")))))</f>
        <v>34.5</v>
      </c>
      <c r="K18" s="75">
        <f>IFERROR(IF(AND(COUNTBLANK($B15:$B17)=2,$B17="",$B16="",MAX(C:C)&gt;1),SUM($K$3:K17)/2,IF($B17="","",IF($C18=$C15,ROUND(J18*I18,2),IF($C18=$C16,"Total Item (R$)",IF(AND($C18&lt;&gt;$C17,$J17&lt;&gt;""),SUMIFS(K:K,C:C,C17,J:J,"&lt;&gt;Subtotal"),""))))),"")</f>
        <v>178744.5</v>
      </c>
      <c r="L18" s="75" t="s">
        <v>471</v>
      </c>
    </row>
    <row r="19" spans="2:12" x14ac:dyDescent="0.25">
      <c r="B19" s="41">
        <f>IFERROR(IF(C18=C15,IF(B18+1&lt;='MAPA DE PREÇOS'!$H$8,B18+1,""),B18),"")</f>
        <v>12</v>
      </c>
      <c r="C19" s="41">
        <f>IFERROR(VLOOKUP(B19,'MAPA DE PREÇOS'!B:D,2,FALSE),"")</f>
        <v>1</v>
      </c>
      <c r="D19" s="41">
        <f>IFERROR(VLOOKUP(B19,'MAPA DE PREÇOS'!B:D,3,FALSE),"")</f>
        <v>12</v>
      </c>
      <c r="E19" s="82">
        <f t="shared" si="0"/>
        <v>12</v>
      </c>
      <c r="F19" s="82">
        <f>IF($B18="","",IF($C19=$C16,INDEX('MAPA DE PREÇOS'!$H:$H,MATCH($B19,'MAPA DE PREÇOS'!$B:$B)-19),IF($C19=$C17,"Código","")))</f>
        <v>0</v>
      </c>
      <c r="G19" s="145" t="str">
        <f>IF($B18="","",IF($C19=$C16,IF('BASE EDITAL'!$C$2="",INDEX('MAPA DE PREÇOS'!H:H,MATCH(EDITAL!B19,'MAPA DE PREÇOS'!B:B,0)+1),UPPER(INDEX('BASE EDITAL'!$C:$C,EDITAL!B19+1))),IF($C19=$C17,"Especificação do Objeto","")))</f>
        <v>Adesivos refletivos para carro</v>
      </c>
      <c r="H19" s="84" t="str">
        <f>IF($B18="","",IF($C19=$C16,INDEX('MAPA DE PREÇOS'!$M:$M,MATCH($B19,'MAPA DE PREÇOS'!$B:$B)-16),IF($C19=$C17,"Unidade","")))</f>
        <v>M2</v>
      </c>
      <c r="I19" s="84">
        <f>IF($B18="","",IF($C19=$C16,INDEX('MAPA DE PREÇOS'!$M:$M,MATCH($B19,'MAPA DE PREÇOS'!$B:$B)-17),IF($C19=$C17,"Quant.","")))</f>
        <v>1979</v>
      </c>
      <c r="J19" s="60">
        <f>IF(AND(COUNTBLANK($B16:$B18)=2,$B18="",$B17="",MAX(C:C)&gt;1),"Total Estimado",IF($B18="","",IF($C19=$C16,INDEX('MAPA DE PREÇOS'!$M:$M,MATCH($B19,'MAPA DE PREÇOS'!$B:$B)-19),IF($C19=$C17,"Valor Unit. (R$)",IF(AND($C19&lt;&gt;$C18,$J18&lt;&gt;""),IF(MAX(C:C)=1,"Total Estimado","Subtotal"),"")))))</f>
        <v>76.34</v>
      </c>
      <c r="K19" s="75">
        <f>IFERROR(IF(AND(COUNTBLANK($B16:$B18)=2,$B18="",$B17="",MAX(C:C)&gt;1),SUM($K$3:K18)/2,IF($B18="","",IF($C19=$C16,ROUND(J19*I19,2),IF($C19=$C17,"Total Item (R$)",IF(AND($C19&lt;&gt;$C18,$J18&lt;&gt;""),SUMIFS(K:K,C:C,C18,J:J,"&lt;&gt;Subtotal"),""))))),"")</f>
        <v>151076.85999999999</v>
      </c>
      <c r="L19" s="75" t="s">
        <v>471</v>
      </c>
    </row>
    <row r="20" spans="2:12" x14ac:dyDescent="0.25">
      <c r="B20" s="41">
        <f>IFERROR(IF(C19=C16,IF(B19+1&lt;='MAPA DE PREÇOS'!$H$8,B19+1,""),B19),"")</f>
        <v>13</v>
      </c>
      <c r="C20" s="41">
        <f>IFERROR(VLOOKUP(B20,'MAPA DE PREÇOS'!B:D,2,FALSE),"")</f>
        <v>1</v>
      </c>
      <c r="D20" s="41">
        <f>IFERROR(VLOOKUP(B20,'MAPA DE PREÇOS'!B:D,3,FALSE),"")</f>
        <v>13</v>
      </c>
      <c r="E20" s="82">
        <f t="shared" si="0"/>
        <v>13</v>
      </c>
      <c r="F20" s="82">
        <f>IF($B19="","",IF($C20=$C17,INDEX('MAPA DE PREÇOS'!$H:$H,MATCH($B20,'MAPA DE PREÇOS'!$B:$B)-19),IF($C20=$C18,"Código","")))</f>
        <v>0</v>
      </c>
      <c r="G20" s="145" t="str">
        <f>IF($B19="","",IF($C20=$C17,IF('BASE EDITAL'!$C$2="",INDEX('MAPA DE PREÇOS'!H:H,MATCH(EDITAL!B20,'MAPA DE PREÇOS'!B:B,0)+1),UPPER(INDEX('BASE EDITAL'!$C:$C,EDITAL!B20+1))),IF($C20=$C18,"Especificação do Objeto","")))</f>
        <v>Totens</v>
      </c>
      <c r="H20" s="84" t="str">
        <f>IF($B19="","",IF($C20=$C17,INDEX('MAPA DE PREÇOS'!$M:$M,MATCH($B20,'MAPA DE PREÇOS'!$B:$B)-16),IF($C20=$C18,"Unidade","")))</f>
        <v>UND</v>
      </c>
      <c r="I20" s="84">
        <f>IF($B19="","",IF($C20=$C17,INDEX('MAPA DE PREÇOS'!$M:$M,MATCH($B20,'MAPA DE PREÇOS'!$B:$B)-17),IF($C20=$C18,"Quant.","")))</f>
        <v>399</v>
      </c>
      <c r="J20" s="60">
        <f>IF(AND(COUNTBLANK($B17:$B19)=2,$B19="",$B18="",MAX(C:C)&gt;1),"Total Estimado",IF($B19="","",IF($C20=$C17,INDEX('MAPA DE PREÇOS'!$M:$M,MATCH($B20,'MAPA DE PREÇOS'!$B:$B)-19),IF($C20=$C18,"Valor Unit. (R$)",IF(AND($C20&lt;&gt;$C19,$J19&lt;&gt;""),IF(MAX(C:C)=1,"Total Estimado","Subtotal"),"")))))</f>
        <v>3651.14</v>
      </c>
      <c r="K20" s="75">
        <f>IFERROR(IF(AND(COUNTBLANK($B17:$B19)=2,$B19="",$B18="",MAX(C:C)&gt;1),SUM($K$3:K19)/2,IF($B19="","",IF($C20=$C17,ROUND(J20*I20,2),IF($C20=$C18,"Total Item (R$)",IF(AND($C20&lt;&gt;$C19,$J19&lt;&gt;""),SUMIFS(K:K,C:C,C19,J:J,"&lt;&gt;Subtotal"),""))))),"")</f>
        <v>1456804.86</v>
      </c>
      <c r="L20" s="75" t="s">
        <v>471</v>
      </c>
    </row>
    <row r="21" spans="2:12" x14ac:dyDescent="0.25">
      <c r="B21" s="41">
        <f>IFERROR(IF(C20=C17,IF(B20+1&lt;='MAPA DE PREÇOS'!$H$8,B20+1,""),B20),"")</f>
        <v>14</v>
      </c>
      <c r="C21" s="41">
        <f>IFERROR(VLOOKUP(B21,'MAPA DE PREÇOS'!B:D,2,FALSE),"")</f>
        <v>1</v>
      </c>
      <c r="D21" s="41">
        <f>IFERROR(VLOOKUP(B21,'MAPA DE PREÇOS'!B:D,3,FALSE),"")</f>
        <v>14</v>
      </c>
      <c r="E21" s="82">
        <f t="shared" si="0"/>
        <v>14</v>
      </c>
      <c r="F21" s="82">
        <f>IF($B20="","",IF($C21=$C18,INDEX('MAPA DE PREÇOS'!$H:$H,MATCH($B21,'MAPA DE PREÇOS'!$B:$B)-19),IF($C21=$C19,"Código","")))</f>
        <v>0</v>
      </c>
      <c r="G21" s="145" t="str">
        <f>IF($B20="","",IF($C21=$C18,IF('BASE EDITAL'!$C$2="",INDEX('MAPA DE PREÇOS'!H:H,MATCH(EDITAL!B21,'MAPA DE PREÇOS'!B:B,0)+1),UPPER(INDEX('BASE EDITAL'!$C:$C,EDITAL!B21+1))),IF($C21=$C19,"Especificação do Objeto","")))</f>
        <v>Placas de Fachada modelo 1</v>
      </c>
      <c r="H21" s="84" t="str">
        <f>IF($B20="","",IF($C21=$C18,INDEX('MAPA DE PREÇOS'!$M:$M,MATCH($B21,'MAPA DE PREÇOS'!$B:$B)-16),IF($C21=$C19,"Unidade","")))</f>
        <v>M2</v>
      </c>
      <c r="I21" s="84">
        <f>IF($B20="","",IF($C21=$C18,INDEX('MAPA DE PREÇOS'!$M:$M,MATCH($B21,'MAPA DE PREÇOS'!$B:$B)-17),IF($C21=$C19,"Quant.","")))</f>
        <v>743</v>
      </c>
      <c r="J21" s="60">
        <f>IF(AND(COUNTBLANK($B18:$B20)=2,$B20="",$B19="",MAX(C:C)&gt;1),"Total Estimado",IF($B20="","",IF($C21=$C18,INDEX('MAPA DE PREÇOS'!$M:$M,MATCH($B21,'MAPA DE PREÇOS'!$B:$B)-19),IF($C21=$C19,"Valor Unit. (R$)",IF(AND($C21&lt;&gt;$C20,$J20&lt;&gt;""),IF(MAX(C:C)=1,"Total Estimado","Subtotal"),"")))))</f>
        <v>251.43</v>
      </c>
      <c r="K21" s="75">
        <f>IFERROR(IF(AND(COUNTBLANK($B18:$B20)=2,$B20="",$B19="",MAX(C:C)&gt;1),SUM($K$3:K20)/2,IF($B20="","",IF($C21=$C18,ROUND(J21*I21,2),IF($C21=$C19,"Total Item (R$)",IF(AND($C21&lt;&gt;$C20,$J20&lt;&gt;""),SUMIFS(K:K,C:C,C20,J:J,"&lt;&gt;Subtotal"),""))))),"")</f>
        <v>186812.49</v>
      </c>
      <c r="L21" s="75" t="s">
        <v>471</v>
      </c>
    </row>
    <row r="22" spans="2:12" x14ac:dyDescent="0.25">
      <c r="B22" s="41">
        <f>IFERROR(IF(C21=C18,IF(B21+1&lt;='MAPA DE PREÇOS'!$H$8,B21+1,""),B21),"")</f>
        <v>15</v>
      </c>
      <c r="C22" s="41">
        <f>IFERROR(VLOOKUP(B22,'MAPA DE PREÇOS'!B:D,2,FALSE),"")</f>
        <v>1</v>
      </c>
      <c r="D22" s="41">
        <f>IFERROR(VLOOKUP(B22,'MAPA DE PREÇOS'!B:D,3,FALSE),"")</f>
        <v>15</v>
      </c>
      <c r="E22" s="82">
        <f t="shared" si="0"/>
        <v>15</v>
      </c>
      <c r="F22" s="82">
        <f>IF($B21="","",IF($C22=$C19,INDEX('MAPA DE PREÇOS'!$H:$H,MATCH($B22,'MAPA DE PREÇOS'!$B:$B)-19),IF($C22=$C20,"Código","")))</f>
        <v>0</v>
      </c>
      <c r="G22" s="145" t="str">
        <f>IF($B21="","",IF($C22=$C19,IF('BASE EDITAL'!$C$2="",INDEX('MAPA DE PREÇOS'!H:H,MATCH(EDITAL!B22,'MAPA DE PREÇOS'!B:B,0)+1),UPPER(INDEX('BASE EDITAL'!$C:$C,EDITAL!B22+1))),IF($C22=$C20,"Especificação do Objeto","")))</f>
        <v>Placas de Fachada modelo 2</v>
      </c>
      <c r="H22" s="84" t="str">
        <f>IF($B21="","",IF($C22=$C19,INDEX('MAPA DE PREÇOS'!$M:$M,MATCH($B22,'MAPA DE PREÇOS'!$B:$B)-16),IF($C22=$C20,"Unidade","")))</f>
        <v>M2</v>
      </c>
      <c r="I22" s="84">
        <f>IF($B21="","",IF($C22=$C19,INDEX('MAPA DE PREÇOS'!$M:$M,MATCH($B22,'MAPA DE PREÇOS'!$B:$B)-17),IF($C22=$C20,"Quant.","")))</f>
        <v>582</v>
      </c>
      <c r="J22" s="60">
        <f>IF(AND(COUNTBLANK($B19:$B21)=2,$B21="",$B20="",MAX(C:C)&gt;1),"Total Estimado",IF($B21="","",IF($C22=$C19,INDEX('MAPA DE PREÇOS'!$M:$M,MATCH($B22,'MAPA DE PREÇOS'!$B:$B)-19),IF($C22=$C20,"Valor Unit. (R$)",IF(AND($C22&lt;&gt;$C21,$J21&lt;&gt;""),IF(MAX(C:C)=1,"Total Estimado","Subtotal"),"")))))</f>
        <v>175.5</v>
      </c>
      <c r="K22" s="75">
        <f>IFERROR(IF(AND(COUNTBLANK($B19:$B21)=2,$B21="",$B20="",MAX(C:C)&gt;1),SUM($K$3:K21)/2,IF($B21="","",IF($C22=$C19,ROUND(J22*I22,2),IF($C22=$C20,"Total Item (R$)",IF(AND($C22&lt;&gt;$C21,$J21&lt;&gt;""),SUMIFS(K:K,C:C,C21,J:J,"&lt;&gt;Subtotal"),""))))),"")</f>
        <v>102141</v>
      </c>
      <c r="L22" s="75" t="s">
        <v>471</v>
      </c>
    </row>
    <row r="23" spans="2:12" x14ac:dyDescent="0.25">
      <c r="B23" s="41">
        <f>IFERROR(IF(C22=C19,IF(B22+1&lt;='MAPA DE PREÇOS'!$H$8,B22+1,""),B22),"")</f>
        <v>16</v>
      </c>
      <c r="C23" s="41">
        <f>IFERROR(VLOOKUP(B23,'MAPA DE PREÇOS'!B:D,2,FALSE),"")</f>
        <v>1</v>
      </c>
      <c r="D23" s="41">
        <f>IFERROR(VLOOKUP(B23,'MAPA DE PREÇOS'!B:D,3,FALSE),"")</f>
        <v>16</v>
      </c>
      <c r="E23" s="82">
        <f t="shared" si="0"/>
        <v>16</v>
      </c>
      <c r="F23" s="82">
        <f>IF($B22="","",IF($C23=$C20,INDEX('MAPA DE PREÇOS'!$H:$H,MATCH($B23,'MAPA DE PREÇOS'!$B:$B)-19),IF($C23=$C21,"Código","")))</f>
        <v>0</v>
      </c>
      <c r="G23" s="145" t="str">
        <f>IF($B22="","",IF($C23=$C20,IF('BASE EDITAL'!$C$2="",INDEX('MAPA DE PREÇOS'!H:H,MATCH(EDITAL!B23,'MAPA DE PREÇOS'!B:B,0)+1),UPPER(INDEX('BASE EDITAL'!$C:$C,EDITAL!B23+1))),IF($C23=$C21,"Especificação do Objeto","")))</f>
        <v>Placas de Inauguração</v>
      </c>
      <c r="H23" s="84" t="str">
        <f>IF($B22="","",IF($C23=$C20,INDEX('MAPA DE PREÇOS'!$M:$M,MATCH($B23,'MAPA DE PREÇOS'!$B:$B)-16),IF($C23=$C21,"Unidade","")))</f>
        <v>M2</v>
      </c>
      <c r="I23" s="84">
        <f>IF($B22="","",IF($C23=$C20,INDEX('MAPA DE PREÇOS'!$M:$M,MATCH($B23,'MAPA DE PREÇOS'!$B:$B)-17),IF($C23=$C21,"Quant.","")))</f>
        <v>1100</v>
      </c>
      <c r="J23" s="60">
        <f>IF(AND(COUNTBLANK($B20:$B22)=2,$B22="",$B21="",MAX(C:C)&gt;1),"Total Estimado",IF($B22="","",IF($C23=$C20,INDEX('MAPA DE PREÇOS'!$M:$M,MATCH($B23,'MAPA DE PREÇOS'!$B:$B)-19),IF($C23=$C21,"Valor Unit. (R$)",IF(AND($C23&lt;&gt;$C22,$J22&lt;&gt;""),IF(MAX(C:C)=1,"Total Estimado","Subtotal"),"")))))</f>
        <v>110.58</v>
      </c>
      <c r="K23" s="75">
        <f>IFERROR(IF(AND(COUNTBLANK($B20:$B22)=2,$B22="",$B21="",MAX(C:C)&gt;1),SUM($K$3:K22)/2,IF($B22="","",IF($C23=$C20,ROUND(J23*I23,2),IF($C23=$C21,"Total Item (R$)",IF(AND($C23&lt;&gt;$C22,$J22&lt;&gt;""),SUMIFS(K:K,C:C,C22,J:J,"&lt;&gt;Subtotal"),""))))),"")</f>
        <v>121638</v>
      </c>
      <c r="L23" s="75" t="s">
        <v>471</v>
      </c>
    </row>
    <row r="24" spans="2:12" x14ac:dyDescent="0.25">
      <c r="B24" s="41">
        <f>IFERROR(IF(C23=C20,IF(B23+1&lt;='MAPA DE PREÇOS'!$H$8,B23+1,""),B23),"")</f>
        <v>17</v>
      </c>
      <c r="C24" s="41">
        <f>IFERROR(VLOOKUP(B24,'MAPA DE PREÇOS'!B:D,2,FALSE),"")</f>
        <v>1</v>
      </c>
      <c r="D24" s="41">
        <f>IFERROR(VLOOKUP(B24,'MAPA DE PREÇOS'!B:D,3,FALSE),"")</f>
        <v>17</v>
      </c>
      <c r="E24" s="82">
        <f t="shared" si="0"/>
        <v>17</v>
      </c>
      <c r="F24" s="82">
        <f>IF($B23="","",IF($C24=$C21,INDEX('MAPA DE PREÇOS'!$H:$H,MATCH($B24,'MAPA DE PREÇOS'!$B:$B)-19),IF($C24=$C22,"Código","")))</f>
        <v>0</v>
      </c>
      <c r="G24" s="145" t="str">
        <f>IF($B23="","",IF($C24=$C21,IF('BASE EDITAL'!$C$2="",INDEX('MAPA DE PREÇOS'!H:H,MATCH(EDITAL!B24,'MAPA DE PREÇOS'!B:B,0)+1),UPPER(INDEX('BASE EDITAL'!$C:$C,EDITAL!B24+1))),IF($C24=$C22,"Especificação do Objeto","")))</f>
        <v>Placa de Porta</v>
      </c>
      <c r="H24" s="84" t="str">
        <f>IF($B23="","",IF($C24=$C21,INDEX('MAPA DE PREÇOS'!$M:$M,MATCH($B24,'MAPA DE PREÇOS'!$B:$B)-16),IF($C24=$C22,"Unidade","")))</f>
        <v>M2</v>
      </c>
      <c r="I24" s="84">
        <f>IF($B23="","",IF($C24=$C21,INDEX('MAPA DE PREÇOS'!$M:$M,MATCH($B24,'MAPA DE PREÇOS'!$B:$B)-17),IF($C24=$C22,"Quant.","")))</f>
        <v>2117</v>
      </c>
      <c r="J24" s="60">
        <f>IF(AND(COUNTBLANK($B21:$B23)=2,$B23="",$B22="",MAX(C:C)&gt;1),"Total Estimado",IF($B23="","",IF($C24=$C21,INDEX('MAPA DE PREÇOS'!$M:$M,MATCH($B24,'MAPA DE PREÇOS'!$B:$B)-19),IF($C24=$C22,"Valor Unit. (R$)",IF(AND($C24&lt;&gt;$C23,$J23&lt;&gt;""),IF(MAX(C:C)=1,"Total Estimado","Subtotal"),"")))))</f>
        <v>64.5</v>
      </c>
      <c r="K24" s="75">
        <f>IFERROR(IF(AND(COUNTBLANK($B21:$B23)=2,$B23="",$B22="",MAX(C:C)&gt;1),SUM($K$3:K23)/2,IF($B23="","",IF($C24=$C21,ROUND(J24*I24,2),IF($C24=$C22,"Total Item (R$)",IF(AND($C24&lt;&gt;$C23,$J23&lt;&gt;""),SUMIFS(K:K,C:C,C23,J:J,"&lt;&gt;Subtotal"),""))))),"")</f>
        <v>136546.5</v>
      </c>
      <c r="L24" s="75" t="s">
        <v>471</v>
      </c>
    </row>
    <row r="25" spans="2:12" x14ac:dyDescent="0.25">
      <c r="B25" s="41">
        <f>IFERROR(IF(C24=C21,IF(B24+1&lt;='MAPA DE PREÇOS'!$H$8,B24+1,""),B24),"")</f>
        <v>18</v>
      </c>
      <c r="C25" s="41">
        <f>IFERROR(VLOOKUP(B25,'MAPA DE PREÇOS'!B:D,2,FALSE),"")</f>
        <v>1</v>
      </c>
      <c r="D25" s="41">
        <f>IFERROR(VLOOKUP(B25,'MAPA DE PREÇOS'!B:D,3,FALSE),"")</f>
        <v>18</v>
      </c>
      <c r="E25" s="82">
        <f t="shared" si="0"/>
        <v>18</v>
      </c>
      <c r="F25" s="82">
        <f>IF($B24="","",IF($C25=$C22,INDEX('MAPA DE PREÇOS'!$H:$H,MATCH($B25,'MAPA DE PREÇOS'!$B:$B)-19),IF($C25=$C23,"Código","")))</f>
        <v>0</v>
      </c>
      <c r="G25" s="145" t="str">
        <f>IF($B24="","",IF($C25=$C22,IF('BASE EDITAL'!$C$2="",INDEX('MAPA DE PREÇOS'!H:H,MATCH(EDITAL!B25,'MAPA DE PREÇOS'!B:B,0)+1),UPPER(INDEX('BASE EDITAL'!$C:$C,EDITAL!B25+1))),IF($C25=$C23,"Especificação do Objeto","")))</f>
        <v>Placas modelo 1</v>
      </c>
      <c r="H25" s="84" t="str">
        <f>IF($B24="","",IF($C25=$C22,INDEX('MAPA DE PREÇOS'!$M:$M,MATCH($B25,'MAPA DE PREÇOS'!$B:$B)-16),IF($C25=$C23,"Unidade","")))</f>
        <v>M2</v>
      </c>
      <c r="I25" s="84">
        <f>IF($B24="","",IF($C25=$C22,INDEX('MAPA DE PREÇOS'!$M:$M,MATCH($B25,'MAPA DE PREÇOS'!$B:$B)-17),IF($C25=$C23,"Quant.","")))</f>
        <v>1055</v>
      </c>
      <c r="J25" s="60">
        <f>IF(AND(COUNTBLANK($B22:$B24)=2,$B24="",$B23="",MAX(C:C)&gt;1),"Total Estimado",IF($B24="","",IF($C25=$C22,INDEX('MAPA DE PREÇOS'!$M:$M,MATCH($B25,'MAPA DE PREÇOS'!$B:$B)-19),IF($C25=$C23,"Valor Unit. (R$)",IF(AND($C25&lt;&gt;$C24,$J24&lt;&gt;""),IF(MAX(C:C)=1,"Total Estimado","Subtotal"),"")))))</f>
        <v>64.5</v>
      </c>
      <c r="K25" s="75">
        <f>IFERROR(IF(AND(COUNTBLANK($B22:$B24)=2,$B24="",$B23="",MAX(C:C)&gt;1),SUM($K$3:K24)/2,IF($B24="","",IF($C25=$C22,ROUND(J25*I25,2),IF($C25=$C23,"Total Item (R$)",IF(AND($C25&lt;&gt;$C24,$J24&lt;&gt;""),SUMIFS(K:K,C:C,C24,J:J,"&lt;&gt;Subtotal"),""))))),"")</f>
        <v>68047.5</v>
      </c>
      <c r="L25" s="75" t="s">
        <v>470</v>
      </c>
    </row>
    <row r="26" spans="2:12" x14ac:dyDescent="0.25">
      <c r="B26" s="41">
        <f>IFERROR(IF(C25=C22,IF(B25+1&lt;='MAPA DE PREÇOS'!$H$8,B25+1,""),B25),"")</f>
        <v>19</v>
      </c>
      <c r="C26" s="41">
        <f>IFERROR(VLOOKUP(B26,'MAPA DE PREÇOS'!B:D,2,FALSE),"")</f>
        <v>1</v>
      </c>
      <c r="D26" s="41">
        <f>IFERROR(VLOOKUP(B26,'MAPA DE PREÇOS'!B:D,3,FALSE),"")</f>
        <v>19</v>
      </c>
      <c r="E26" s="82">
        <f t="shared" si="0"/>
        <v>19</v>
      </c>
      <c r="F26" s="82">
        <f>IF($B25="","",IF($C26=$C23,INDEX('MAPA DE PREÇOS'!$H:$H,MATCH($B26,'MAPA DE PREÇOS'!$B:$B)-19),IF($C26=$C24,"Código","")))</f>
        <v>0</v>
      </c>
      <c r="G26" s="145" t="str">
        <f>IF($B25="","",IF($C26=$C23,IF('BASE EDITAL'!$C$2="",INDEX('MAPA DE PREÇOS'!H:H,MATCH(EDITAL!B26,'MAPA DE PREÇOS'!B:B,0)+1),UPPER(INDEX('BASE EDITAL'!$C:$C,EDITAL!B26+1))),IF($C26=$C24,"Especificação do Objeto","")))</f>
        <v>Placas modelo 2</v>
      </c>
      <c r="H26" s="84" t="str">
        <f>IF($B25="","",IF($C26=$C23,INDEX('MAPA DE PREÇOS'!$M:$M,MATCH($B26,'MAPA DE PREÇOS'!$B:$B)-16),IF($C26=$C24,"Unidade","")))</f>
        <v>M2</v>
      </c>
      <c r="I26" s="84">
        <f>IF($B25="","",IF($C26=$C23,INDEX('MAPA DE PREÇOS'!$M:$M,MATCH($B26,'MAPA DE PREÇOS'!$B:$B)-17),IF($C26=$C24,"Quant.","")))</f>
        <v>975</v>
      </c>
      <c r="J26" s="60">
        <f>IF(AND(COUNTBLANK($B23:$B25)=2,$B25="",$B24="",MAX(C:C)&gt;1),"Total Estimado",IF($B25="","",IF($C26=$C23,INDEX('MAPA DE PREÇOS'!$M:$M,MATCH($B26,'MAPA DE PREÇOS'!$B:$B)-19),IF($C26=$C24,"Valor Unit. (R$)",IF(AND($C26&lt;&gt;$C25,$J25&lt;&gt;""),IF(MAX(C:C)=1,"Total Estimado","Subtotal"),"")))))</f>
        <v>62.33</v>
      </c>
      <c r="K26" s="75">
        <f>IFERROR(IF(AND(COUNTBLANK($B23:$B25)=2,$B25="",$B24="",MAX(C:C)&gt;1),SUM($K$3:K25)/2,IF($B25="","",IF($C26=$C23,ROUND(J26*I26,2),IF($C26=$C24,"Total Item (R$)",IF(AND($C26&lt;&gt;$C25,$J25&lt;&gt;""),SUMIFS(K:K,C:C,C25,J:J,"&lt;&gt;Subtotal"),""))))),"")</f>
        <v>60771.75</v>
      </c>
      <c r="L26" s="75" t="s">
        <v>470</v>
      </c>
    </row>
    <row r="27" spans="2:12" x14ac:dyDescent="0.25">
      <c r="B27" s="41">
        <f>IFERROR(IF(C26=C23,IF(B26+1&lt;='MAPA DE PREÇOS'!$H$8,B26+1,""),B26),"")</f>
        <v>20</v>
      </c>
      <c r="C27" s="41">
        <f>IFERROR(VLOOKUP(B27,'MAPA DE PREÇOS'!B:D,2,FALSE),"")</f>
        <v>1</v>
      </c>
      <c r="D27" s="41">
        <f>IFERROR(VLOOKUP(B27,'MAPA DE PREÇOS'!B:D,3,FALSE),"")</f>
        <v>20</v>
      </c>
      <c r="E27" s="82">
        <f t="shared" si="0"/>
        <v>20</v>
      </c>
      <c r="F27" s="82">
        <f>IF($B26="","",IF($C27=$C24,INDEX('MAPA DE PREÇOS'!$H:$H,MATCH($B27,'MAPA DE PREÇOS'!$B:$B)-19),IF($C27=$C25,"Código","")))</f>
        <v>0</v>
      </c>
      <c r="G27" s="145" t="str">
        <f>IF($B26="","",IF($C27=$C24,IF('BASE EDITAL'!$C$2="",INDEX('MAPA DE PREÇOS'!H:H,MATCH(EDITAL!B27,'MAPA DE PREÇOS'!B:B,0)+1),UPPER(INDEX('BASE EDITAL'!$C:$C,EDITAL!B27+1))),IF($C27=$C25,"Especificação do Objeto","")))</f>
        <v>Placas de Obra</v>
      </c>
      <c r="H27" s="84" t="str">
        <f>IF($B26="","",IF($C27=$C24,INDEX('MAPA DE PREÇOS'!$M:$M,MATCH($B27,'MAPA DE PREÇOS'!$B:$B)-16),IF($C27=$C25,"Unidade","")))</f>
        <v>M2</v>
      </c>
      <c r="I27" s="84">
        <f>IF($B26="","",IF($C27=$C24,INDEX('MAPA DE PREÇOS'!$M:$M,MATCH($B27,'MAPA DE PREÇOS'!$B:$B)-17),IF($C27=$C25,"Quant.","")))</f>
        <v>1649</v>
      </c>
      <c r="J27" s="60">
        <f>IF(AND(COUNTBLANK($B24:$B26)=2,$B26="",$B25="",MAX(C:C)&gt;1),"Total Estimado",IF($B26="","",IF($C27=$C24,INDEX('MAPA DE PREÇOS'!$M:$M,MATCH($B27,'MAPA DE PREÇOS'!$B:$B)-19),IF($C27=$C25,"Valor Unit. (R$)",IF(AND($C27&lt;&gt;$C26,$J26&lt;&gt;""),IF(MAX(C:C)=1,"Total Estimado","Subtotal"),"")))))</f>
        <v>106.93</v>
      </c>
      <c r="K27" s="75">
        <f>IFERROR(IF(AND(COUNTBLANK($B24:$B26)=2,$B26="",$B25="",MAX(C:C)&gt;1),SUM($K$3:K26)/2,IF($B26="","",IF($C27=$C24,ROUND(J27*I27,2),IF($C27=$C25,"Total Item (R$)",IF(AND($C27&lt;&gt;$C26,$J26&lt;&gt;""),SUMIFS(K:K,C:C,C26,J:J,"&lt;&gt;Subtotal"),""))))),"")</f>
        <v>176327.57</v>
      </c>
      <c r="L27" s="75" t="s">
        <v>471</v>
      </c>
    </row>
    <row r="28" spans="2:12" x14ac:dyDescent="0.25">
      <c r="B28" s="41">
        <f>IFERROR(IF(C27=C24,IF(B27+1&lt;='MAPA DE PREÇOS'!$H$8,B27+1,""),B27),"")</f>
        <v>21</v>
      </c>
      <c r="C28" s="41">
        <f>IFERROR(VLOOKUP(B28,'MAPA DE PREÇOS'!B:D,2,FALSE),"")</f>
        <v>1</v>
      </c>
      <c r="D28" s="41">
        <f>IFERROR(VLOOKUP(B28,'MAPA DE PREÇOS'!B:D,3,FALSE),"")</f>
        <v>21</v>
      </c>
      <c r="E28" s="82">
        <f t="shared" si="0"/>
        <v>21</v>
      </c>
      <c r="F28" s="82">
        <f>IF($B27="","",IF($C28=$C25,INDEX('MAPA DE PREÇOS'!$H:$H,MATCH($B28,'MAPA DE PREÇOS'!$B:$B)-19),IF($C28=$C26,"Código","")))</f>
        <v>0</v>
      </c>
      <c r="G28" s="145" t="str">
        <f>IF($B27="","",IF($C28=$C25,IF('BASE EDITAL'!$C$2="",INDEX('MAPA DE PREÇOS'!H:H,MATCH(EDITAL!B28,'MAPA DE PREÇOS'!B:B,0)+1),UPPER(INDEX('BASE EDITAL'!$C:$C,EDITAL!B28+1))),IF($C28=$C26,"Especificação do Objeto","")))</f>
        <v>Inserção de Mural Modelo 1</v>
      </c>
      <c r="H28" s="84" t="str">
        <f>IF($B27="","",IF($C28=$C25,INDEX('MAPA DE PREÇOS'!$M:$M,MATCH($B28,'MAPA DE PREÇOS'!$B:$B)-16),IF($C28=$C26,"Unidade","")))</f>
        <v>UND</v>
      </c>
      <c r="I28" s="84">
        <f>IF($B27="","",IF($C28=$C25,INDEX('MAPA DE PREÇOS'!$M:$M,MATCH($B28,'MAPA DE PREÇOS'!$B:$B)-17),IF($C28=$C26,"Quant.","")))</f>
        <v>395</v>
      </c>
      <c r="J28" s="60">
        <f>IF(AND(COUNTBLANK($B25:$B27)=2,$B27="",$B26="",MAX(C:C)&gt;1),"Total Estimado",IF($B27="","",IF($C28=$C25,INDEX('MAPA DE PREÇOS'!$M:$M,MATCH($B28,'MAPA DE PREÇOS'!$B:$B)-19),IF($C28=$C26,"Valor Unit. (R$)",IF(AND($C28&lt;&gt;$C27,$J27&lt;&gt;""),IF(MAX(C:C)=1,"Total Estimado","Subtotal"),"")))))</f>
        <v>789.96</v>
      </c>
      <c r="K28" s="75">
        <f>IFERROR(IF(AND(COUNTBLANK($B25:$B27)=2,$B27="",$B26="",MAX(C:C)&gt;1),SUM($K$3:K27)/2,IF($B27="","",IF($C28=$C25,ROUND(J28*I28,2),IF($C28=$C26,"Total Item (R$)",IF(AND($C28&lt;&gt;$C27,$J27&lt;&gt;""),SUMIFS(K:K,C:C,C27,J:J,"&lt;&gt;Subtotal"),""))))),"")</f>
        <v>312034.2</v>
      </c>
      <c r="L28" s="75" t="s">
        <v>471</v>
      </c>
    </row>
    <row r="29" spans="2:12" x14ac:dyDescent="0.25">
      <c r="B29" s="41">
        <f>IFERROR(IF(C28=C25,IF(B28+1&lt;='MAPA DE PREÇOS'!$H$8,B28+1,""),B28),"")</f>
        <v>22</v>
      </c>
      <c r="C29" s="41">
        <f>IFERROR(VLOOKUP(B29,'MAPA DE PREÇOS'!B:D,2,FALSE),"")</f>
        <v>1</v>
      </c>
      <c r="D29" s="41">
        <f>IFERROR(VLOOKUP(B29,'MAPA DE PREÇOS'!B:D,3,FALSE),"")</f>
        <v>22</v>
      </c>
      <c r="E29" s="82">
        <f t="shared" si="0"/>
        <v>22</v>
      </c>
      <c r="F29" s="82">
        <f>IF($B28="","",IF($C29=$C26,INDEX('MAPA DE PREÇOS'!$H:$H,MATCH($B29,'MAPA DE PREÇOS'!$B:$B)-19),IF($C29=$C27,"Código","")))</f>
        <v>0</v>
      </c>
      <c r="G29" s="145" t="str">
        <f>IF($B28="","",IF($C29=$C26,IF('BASE EDITAL'!$C$2="",INDEX('MAPA DE PREÇOS'!H:H,MATCH(EDITAL!B29,'MAPA DE PREÇOS'!B:B,0)+1),UPPER(INDEX('BASE EDITAL'!$C:$C,EDITAL!B29+1))),IF($C29=$C27,"Especificação do Objeto","")))</f>
        <v>Inserção de Mural Modelo 2</v>
      </c>
      <c r="H29" s="84" t="str">
        <f>IF($B28="","",IF($C29=$C26,INDEX('MAPA DE PREÇOS'!$M:$M,MATCH($B29,'MAPA DE PREÇOS'!$B:$B)-16),IF($C29=$C27,"Unidade","")))</f>
        <v>UND</v>
      </c>
      <c r="I29" s="84">
        <f>IF($B28="","",IF($C29=$C26,INDEX('MAPA DE PREÇOS'!$M:$M,MATCH($B29,'MAPA DE PREÇOS'!$B:$B)-17),IF($C29=$C27,"Quant.","")))</f>
        <v>578</v>
      </c>
      <c r="J29" s="60">
        <f>IF(AND(COUNTBLANK($B26:$B28)=2,$B28="",$B27="",MAX(C:C)&gt;1),"Total Estimado",IF($B28="","",IF($C29=$C26,INDEX('MAPA DE PREÇOS'!$M:$M,MATCH($B29,'MAPA DE PREÇOS'!$B:$B)-19),IF($C29=$C27,"Valor Unit. (R$)",IF(AND($C29&lt;&gt;$C28,$J28&lt;&gt;""),IF(MAX(C:C)=1,"Total Estimado","Subtotal"),"")))))</f>
        <v>256.73</v>
      </c>
      <c r="K29" s="75">
        <f>IFERROR(IF(AND(COUNTBLANK($B26:$B28)=2,$B28="",$B27="",MAX(C:C)&gt;1),SUM($K$3:K28)/2,IF($B28="","",IF($C29=$C26,ROUND(J29*I29,2),IF($C29=$C27,"Total Item (R$)",IF(AND($C29&lt;&gt;$C28,$J28&lt;&gt;""),SUMIFS(K:K,C:C,C28,J:J,"&lt;&gt;Subtotal"),""))))),"")</f>
        <v>148389.94</v>
      </c>
      <c r="L29" s="75" t="s">
        <v>471</v>
      </c>
    </row>
    <row r="30" spans="2:12" x14ac:dyDescent="0.25">
      <c r="B30" s="41">
        <f>IFERROR(IF(C29=C26,IF(B29+1&lt;='MAPA DE PREÇOS'!$H$8,B29+1,""),B29),"")</f>
        <v>23</v>
      </c>
      <c r="C30" s="41">
        <f>IFERROR(VLOOKUP(B30,'MAPA DE PREÇOS'!B:D,2,FALSE),"")</f>
        <v>1</v>
      </c>
      <c r="D30" s="41">
        <f>IFERROR(VLOOKUP(B30,'MAPA DE PREÇOS'!B:D,3,FALSE),"")</f>
        <v>23</v>
      </c>
      <c r="E30" s="82">
        <f t="shared" si="0"/>
        <v>23</v>
      </c>
      <c r="F30" s="82">
        <f>IF($B29="","",IF($C30=$C27,INDEX('MAPA DE PREÇOS'!$H:$H,MATCH($B30,'MAPA DE PREÇOS'!$B:$B)-19),IF($C30=$C28,"Código","")))</f>
        <v>0</v>
      </c>
      <c r="G30" s="145" t="str">
        <f>IF($B29="","",IF($C30=$C27,IF('BASE EDITAL'!$C$2="",INDEX('MAPA DE PREÇOS'!H:H,MATCH(EDITAL!B30,'MAPA DE PREÇOS'!B:B,0)+1),UPPER(INDEX('BASE EDITAL'!$C:$C,EDITAL!B30+1))),IF($C30=$C28,"Especificação do Objeto","")))</f>
        <v>Lona de chão</v>
      </c>
      <c r="H30" s="84" t="str">
        <f>IF($B29="","",IF($C30=$C27,INDEX('MAPA DE PREÇOS'!$M:$M,MATCH($B30,'MAPA DE PREÇOS'!$B:$B)-16),IF($C30=$C28,"Unidade","")))</f>
        <v>M2</v>
      </c>
      <c r="I30" s="84">
        <f>IF($B29="","",IF($C30=$C27,INDEX('MAPA DE PREÇOS'!$M:$M,MATCH($B30,'MAPA DE PREÇOS'!$B:$B)-17),IF($C30=$C28,"Quant.","")))</f>
        <v>621</v>
      </c>
      <c r="J30" s="60">
        <f>IF(AND(COUNTBLANK($B27:$B29)=2,$B29="",$B28="",MAX(C:C)&gt;1),"Total Estimado",IF($B29="","",IF($C30=$C27,INDEX('MAPA DE PREÇOS'!$M:$M,MATCH($B30,'MAPA DE PREÇOS'!$B:$B)-19),IF($C30=$C28,"Valor Unit. (R$)",IF(AND($C30&lt;&gt;$C29,$J29&lt;&gt;""),IF(MAX(C:C)=1,"Total Estimado","Subtotal"),"")))))</f>
        <v>28.47</v>
      </c>
      <c r="K30" s="75">
        <f>IFERROR(IF(AND(COUNTBLANK($B27:$B29)=2,$B29="",$B28="",MAX(C:C)&gt;1),SUM($K$3:K29)/2,IF($B29="","",IF($C30=$C27,ROUND(J30*I30,2),IF($C30=$C28,"Total Item (R$)",IF(AND($C30&lt;&gt;$C29,$J29&lt;&gt;""),SUMIFS(K:K,C:C,C29,J:J,"&lt;&gt;Subtotal"),""))))),"")</f>
        <v>17679.87</v>
      </c>
      <c r="L30" s="75" t="s">
        <v>470</v>
      </c>
    </row>
    <row r="31" spans="2:12" x14ac:dyDescent="0.25">
      <c r="B31" s="41">
        <f>IFERROR(IF(C30=C27,IF(B30+1&lt;='MAPA DE PREÇOS'!$H$8,B30+1,""),B30),"")</f>
        <v>24</v>
      </c>
      <c r="C31" s="41">
        <f>IFERROR(VLOOKUP(B31,'MAPA DE PREÇOS'!B:D,2,FALSE),"")</f>
        <v>1</v>
      </c>
      <c r="D31" s="41">
        <f>IFERROR(VLOOKUP(B31,'MAPA DE PREÇOS'!B:D,3,FALSE),"")</f>
        <v>24</v>
      </c>
      <c r="E31" s="82">
        <f t="shared" si="0"/>
        <v>24</v>
      </c>
      <c r="F31" s="82">
        <f>IF($B30="","",IF($C31=$C28,INDEX('MAPA DE PREÇOS'!$H:$H,MATCH($B31,'MAPA DE PREÇOS'!$B:$B)-19),IF($C31=$C29,"Código","")))</f>
        <v>0</v>
      </c>
      <c r="G31" s="145" t="str">
        <f>IF($B30="","",IF($C31=$C28,IF('BASE EDITAL'!$C$2="",INDEX('MAPA DE PREÇOS'!H:H,MATCH(EDITAL!B31,'MAPA DE PREÇOS'!B:B,0)+1),UPPER(INDEX('BASE EDITAL'!$C:$C,EDITAL!B31+1))),IF($C31=$C29,"Especificação do Objeto","")))</f>
        <v>Placa de Comunicação Visual em painel de ACM</v>
      </c>
      <c r="H31" s="84" t="str">
        <f>IF($B30="","",IF($C31=$C28,INDEX('MAPA DE PREÇOS'!$M:$M,MATCH($B31,'MAPA DE PREÇOS'!$B:$B)-16),IF($C31=$C29,"Unidade","")))</f>
        <v>M2</v>
      </c>
      <c r="I31" s="84">
        <f>IF($B30="","",IF($C31=$C28,INDEX('MAPA DE PREÇOS'!$M:$M,MATCH($B31,'MAPA DE PREÇOS'!$B:$B)-17),IF($C31=$C29,"Quant.","")))</f>
        <v>1289</v>
      </c>
      <c r="J31" s="60">
        <f>IF(AND(COUNTBLANK($B28:$B30)=2,$B30="",$B29="",MAX(C:C)&gt;1),"Total Estimado",IF($B30="","",IF($C31=$C28,INDEX('MAPA DE PREÇOS'!$M:$M,MATCH($B31,'MAPA DE PREÇOS'!$B:$B)-19),IF($C31=$C29,"Valor Unit. (R$)",IF(AND($C31&lt;&gt;$C30,$J30&lt;&gt;""),IF(MAX(C:C)=1,"Total Estimado","Subtotal"),"")))))</f>
        <v>279.45</v>
      </c>
      <c r="K31" s="75">
        <f>IFERROR(IF(AND(COUNTBLANK($B28:$B30)=2,$B30="",$B29="",MAX(C:C)&gt;1),SUM($K$3:K30)/2,IF($B30="","",IF($C31=$C28,ROUND(J31*I31,2),IF($C31=$C29,"Total Item (R$)",IF(AND($C31&lt;&gt;$C30,$J30&lt;&gt;""),SUMIFS(K:K,C:C,C30,J:J,"&lt;&gt;Subtotal"),""))))),"")</f>
        <v>360211.05</v>
      </c>
      <c r="L31" s="75" t="s">
        <v>471</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Total Estimado</v>
      </c>
      <c r="K32" s="75">
        <f>IFERROR(IF(AND(COUNTBLANK($B29:$B31)=2,$B31="",$B30="",MAX(C:C)&gt;1),SUM($K$3:K31)/2,IF($B31="","",IF($C32=$C29,ROUND(J32*I32,2),IF($C32=$C30,"Total Item (R$)",IF(AND($C32&lt;&gt;$C31,$J31&lt;&gt;""),SUMIFS(K:K,C:C,C31,J:J,"&lt;&gt;Subtotal"),""))))),"")</f>
        <v>4899032.82</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2" t="s">
        <v>305</v>
      </c>
      <c r="F2" s="243"/>
      <c r="G2" s="243"/>
      <c r="H2" s="243"/>
      <c r="I2" s="243"/>
      <c r="J2" s="243"/>
      <c r="K2" s="243"/>
      <c r="L2" s="244"/>
      <c r="M2" s="110"/>
    </row>
    <row r="3" spans="2:37" ht="21" x14ac:dyDescent="0.35">
      <c r="E3" s="234" t="str">
        <f>'MAPA DE PREÇOS'!H5</f>
        <v>SECRETARIA MUNICIPAL DE PLANEJAMENTO E GESTÃO (SMPG)</v>
      </c>
      <c r="F3" s="235"/>
      <c r="G3" s="235"/>
      <c r="H3" s="235"/>
      <c r="I3" s="235"/>
      <c r="J3" s="235"/>
      <c r="K3" s="235"/>
      <c r="L3" s="236"/>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5" t="s">
        <v>358</v>
      </c>
      <c r="F5" s="246"/>
      <c r="G5" s="246"/>
      <c r="H5" s="246"/>
      <c r="I5" s="246"/>
      <c r="J5" s="246"/>
      <c r="K5" s="246"/>
      <c r="L5" s="247"/>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0" t="s">
        <v>354</v>
      </c>
      <c r="O7" s="241"/>
      <c r="P7" s="240" t="s">
        <v>364</v>
      </c>
      <c r="Q7" s="241"/>
      <c r="R7" s="240" t="s">
        <v>365</v>
      </c>
      <c r="S7" s="241"/>
      <c r="T7" s="240" t="s">
        <v>366</v>
      </c>
      <c r="U7" s="241"/>
      <c r="V7" s="240" t="s">
        <v>367</v>
      </c>
      <c r="W7" s="241"/>
      <c r="X7" s="240" t="s">
        <v>368</v>
      </c>
      <c r="Y7" s="241"/>
      <c r="Z7" s="240" t="s">
        <v>369</v>
      </c>
      <c r="AA7" s="241"/>
      <c r="AB7" s="240" t="s">
        <v>370</v>
      </c>
      <c r="AC7" s="241"/>
      <c r="AD7" s="240" t="s">
        <v>371</v>
      </c>
      <c r="AE7" s="241"/>
      <c r="AF7" s="240" t="s">
        <v>372</v>
      </c>
      <c r="AG7" s="241"/>
      <c r="AH7" s="240" t="s">
        <v>373</v>
      </c>
      <c r="AI7" s="241"/>
      <c r="AJ7" s="240" t="s">
        <v>374</v>
      </c>
      <c r="AK7" s="241"/>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Busdoors modelo 1</v>
      </c>
      <c r="H8" s="84" t="str">
        <f>IF($B7="","",IF($C8=$C5,INDEX('MAPA DE PREÇOS'!$M:$M,MATCH($B8,'MAPA DE PREÇOS'!$B:$B)-16),IF($C8=$C6,"Unidade","")))</f>
        <v>UND</v>
      </c>
      <c r="I8" s="84">
        <f>IF($B7="","",IF($C8=$C5,INDEX('MAPA DE PREÇOS'!$M:$M,MATCH($B8,'MAPA DE PREÇOS'!$B:$B)-17),IF($C8=$C6,"Quant.","")))</f>
        <v>381</v>
      </c>
      <c r="J8" s="60">
        <f>IF(J7="Total Mensal","Total Acumulado",IF($B7="","",IF($C8=$C5,INDEX('MAPA DE PREÇOS'!$M:$M,MATCH($B8,'MAPA DE PREÇOS'!$B:$B)-19),IF($C8=$C6,"Valor Unit. (R$)",IF(AND($C8&lt;&gt;$C7,$J7&lt;&gt;""),"Total Mensal","")))))</f>
        <v>38.380000000000003</v>
      </c>
      <c r="K8" s="75">
        <f>IF(J8="","",IF(J8="Total Mensal","-",IF(J8="Total Acumulado",SUM(K$7:K7),I8*J8)))</f>
        <v>14622.78</v>
      </c>
      <c r="L8" s="112">
        <f>IF(J8="","",IF(J8="Total Mensal","-",IF(J8="Total Acumulado",SUM(L$7:L7),K8/SUMIF(J:J,"Total Acumulado",K:K))))</f>
        <v>2.9848299730312888E-3</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83" t="str">
        <f>IF($B8="","",IF($C9=$C6,IF('BASE EDITAL'!$C$2="",INDEX('MAPA DE PREÇOS'!H:H,MATCH(EDITAL!B9,'MAPA DE PREÇOS'!B:B,0)+1),UPPER(INDEX('BASE EDITAL'!$C:$C,EDITAL!B9+1))),IF($C9=$C7,"Especificação do Objeto","")))</f>
        <v>Busdoors modelo 2</v>
      </c>
      <c r="H9" s="84" t="str">
        <f>IF($B8="","",IF($C9=$C6,INDEX('MAPA DE PREÇOS'!$M:$M,MATCH($B9,'MAPA DE PREÇOS'!$B:$B)-16),IF($C9=$C7,"Unidade","")))</f>
        <v>UND</v>
      </c>
      <c r="I9" s="84">
        <f>IF($B8="","",IF($C9=$C6,INDEX('MAPA DE PREÇOS'!$M:$M,MATCH($B9,'MAPA DE PREÇOS'!$B:$B)-17),IF($C9=$C7,"Quant.","")))</f>
        <v>404</v>
      </c>
      <c r="J9" s="60">
        <f>IF(J8="Total Mensal","Total Acumulado",IF($B8="","",IF($C9=$C6,INDEX('MAPA DE PREÇOS'!$M:$M,MATCH($B9,'MAPA DE PREÇOS'!$B:$B)-19),IF($C9=$C7,"Valor Unit. (R$)",IF(AND($C9&lt;&gt;$C8,$J8&lt;&gt;""),"Total Mensal","")))))</f>
        <v>59.61</v>
      </c>
      <c r="K9" s="75">
        <f>IF(J9="","",IF(J9="Total Mensal","-",IF(J9="Total Acumulado",SUM(K$7:K8),I9*J9)))</f>
        <v>24082.44</v>
      </c>
      <c r="L9" s="112">
        <f>IF(J9="","",IF(J9="Total Mensal","-",IF(J9="Total Acumulado",SUM(L$7:L8),K9/SUMIF(J:J,"Total Acumulado",K:K))))</f>
        <v>4.9157539630444846E-3</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83" t="str">
        <f>IF($B9="","",IF($C10=$C7,IF('BASE EDITAL'!$C$2="",INDEX('MAPA DE PREÇOS'!H:H,MATCH(EDITAL!B10,'MAPA DE PREÇOS'!B:B,0)+1),UPPER(INDEX('BASE EDITAL'!$C:$C,EDITAL!B10+1))),IF($C10=$C8,"Especificação do Objeto","")))</f>
        <v>Banners modelo 1</v>
      </c>
      <c r="H10" s="84" t="str">
        <f>IF($B9="","",IF($C10=$C7,INDEX('MAPA DE PREÇOS'!$M:$M,MATCH($B10,'MAPA DE PREÇOS'!$B:$B)-16),IF($C10=$C8,"Unidade","")))</f>
        <v>M2</v>
      </c>
      <c r="I10" s="84">
        <f>IF($B9="","",IF($C10=$C7,INDEX('MAPA DE PREÇOS'!$M:$M,MATCH($B10,'MAPA DE PREÇOS'!$B:$B)-17),IF($C10=$C8,"Quant.","")))</f>
        <v>2864</v>
      </c>
      <c r="J10" s="60">
        <f>IF(J9="Total Mensal","Total Acumulado",IF($B9="","",IF($C10=$C7,INDEX('MAPA DE PREÇOS'!$M:$M,MATCH($B10,'MAPA DE PREÇOS'!$B:$B)-19),IF($C10=$C8,"Valor Unit. (R$)",IF(AND($C10&lt;&gt;$C9,$J9&lt;&gt;""),"Total Mensal","")))))</f>
        <v>20.260000000000002</v>
      </c>
      <c r="K10" s="75">
        <f>IF(J10="","",IF(J10="Total Mensal","-",IF(J10="Total Acumulado",SUM(K$7:K9),I10*J10)))</f>
        <v>58024.640000000007</v>
      </c>
      <c r="L10" s="112">
        <f>IF(J10="","",IF(J10="Total Mensal","-",IF(J10="Total Acumulado",SUM(L$7:L9),K10/SUMIF(J:J,"Total Acumulado",K:K))))</f>
        <v>1.1844101097489689E-2</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83" t="str">
        <f>IF($B10="","",IF($C11=$C8,IF('BASE EDITAL'!$C$2="",INDEX('MAPA DE PREÇOS'!H:H,MATCH(EDITAL!B11,'MAPA DE PREÇOS'!B:B,0)+1),UPPER(INDEX('BASE EDITAL'!$C:$C,EDITAL!B11+1))),IF($C11=$C9,"Especificação do Objeto","")))</f>
        <v>Banners modelo 2</v>
      </c>
      <c r="H11" s="84" t="str">
        <f>IF($B10="","",IF($C11=$C8,INDEX('MAPA DE PREÇOS'!$M:$M,MATCH($B11,'MAPA DE PREÇOS'!$B:$B)-16),IF($C11=$C9,"Unidade","")))</f>
        <v>M2</v>
      </c>
      <c r="I11" s="84">
        <f>IF($B10="","",IF($C11=$C8,INDEX('MAPA DE PREÇOS'!$M:$M,MATCH($B11,'MAPA DE PREÇOS'!$B:$B)-17),IF($C11=$C9,"Quant.","")))</f>
        <v>1995</v>
      </c>
      <c r="J11" s="60">
        <f>IF(J10="Total Mensal","Total Acumulado",IF($B10="","",IF($C11=$C8,INDEX('MAPA DE PREÇOS'!$M:$M,MATCH($B11,'MAPA DE PREÇOS'!$B:$B)-19),IF($C11=$C9,"Valor Unit. (R$)",IF(AND($C11&lt;&gt;$C10,$J10&lt;&gt;""),"Total Mensal","")))))</f>
        <v>50.81</v>
      </c>
      <c r="K11" s="75">
        <f>IF(J11="","",IF(J11="Total Mensal","-",IF(J11="Total Acumulado",SUM(K$7:K10),I11*J11)))</f>
        <v>101365.95000000001</v>
      </c>
      <c r="L11" s="112">
        <f>IF(J11="","",IF(J11="Total Mensal","-",IF(J11="Total Acumulado",SUM(L$7:L10),K11/SUMIF(J:J,"Total Acumulado",K:K))))</f>
        <v>2.0691012639511161E-2</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0</v>
      </c>
      <c r="G12" s="83" t="str">
        <f>IF($B11="","",IF($C12=$C9,IF('BASE EDITAL'!$C$2="",INDEX('MAPA DE PREÇOS'!H:H,MATCH(EDITAL!B12,'MAPA DE PREÇOS'!B:B,0)+1),UPPER(INDEX('BASE EDITAL'!$C:$C,EDITAL!B12+1))),IF($C12=$C10,"Especificação do Objeto","")))</f>
        <v>Banners modelo 3</v>
      </c>
      <c r="H12" s="84" t="str">
        <f>IF($B11="","",IF($C12=$C9,INDEX('MAPA DE PREÇOS'!$M:$M,MATCH($B12,'MAPA DE PREÇOS'!$B:$B)-16),IF($C12=$C10,"Unidade","")))</f>
        <v>M2</v>
      </c>
      <c r="I12" s="84">
        <f>IF($B11="","",IF($C12=$C9,INDEX('MAPA DE PREÇOS'!$M:$M,MATCH($B12,'MAPA DE PREÇOS'!$B:$B)-17),IF($C12=$C10,"Quant.","")))</f>
        <v>1443</v>
      </c>
      <c r="J12" s="60">
        <f>IF(J11="Total Mensal","Total Acumulado",IF($B11="","",IF($C12=$C9,INDEX('MAPA DE PREÇOS'!$M:$M,MATCH($B12,'MAPA DE PREÇOS'!$B:$B)-19),IF($C12=$C10,"Valor Unit. (R$)",IF(AND($C12&lt;&gt;$C11,$J11&lt;&gt;""),"Total Mensal","")))))</f>
        <v>111.44</v>
      </c>
      <c r="K12" s="75">
        <f>IF(J12="","",IF(J12="Total Mensal","-",IF(J12="Total Acumulado",SUM(K$7:K11),I12*J12)))</f>
        <v>160807.91999999998</v>
      </c>
      <c r="L12" s="112">
        <f>IF(J12="","",IF(J12="Total Mensal","-",IF(J12="Total Acumulado",SUM(L$7:L11),K12/SUMIF(J:J,"Total Acumulado",K:K))))</f>
        <v>3.2824421862109501E-2</v>
      </c>
      <c r="M12" s="108"/>
      <c r="N12" s="112">
        <f>IF($J12="","",IF($J12="Total Mensal",SUM(O$7:O11)/VLOOKUP("Total Acumulado",$J:$K,2,FALSE),IF($J12="Total Acumulado",N11+L12+IF(L$7="% Item",-1,0),0%)))</f>
        <v>0</v>
      </c>
      <c r="O12" s="109">
        <f>IF($J12="","",IF($J12="Total Mensal",SUM(O$7:O11),IF($J12="Total Acumulado",SUM(O$7:O10)+M12,IFERROR(N12*$K12,0))))</f>
        <v>0</v>
      </c>
      <c r="P12" s="112">
        <f>IF($J12="","",IF($J12="Total Mensal",SUM(Q$7:Q11)/VLOOKUP("Total Acumulado",$J:$K,2,FALSE),IF($J12="Total Acumulado",P11+N12+IF(N$7="% Item",-1,0),0%)))</f>
        <v>0</v>
      </c>
      <c r="Q12" s="109">
        <f>IF($J12="","",IF($J12="Total Mensal",SUM(Q$7:Q11),IF($J12="Total Acumulado",SUM(Q$7:Q10)+O12,IFERROR(P12*$K12,0))))</f>
        <v>0</v>
      </c>
      <c r="R12" s="112">
        <f>IF($J12="","",IF($J12="Total Mensal",SUM(S$7:S11)/VLOOKUP("Total Acumulado",$J:$K,2,FALSE),IF($J12="Total Acumulado",R11+P12+IF(P$7="% Item",-1,0),0%)))</f>
        <v>0</v>
      </c>
      <c r="S12" s="109">
        <f>IF($J12="","",IF($J12="Total Mensal",SUM(S$7:S11),IF($J12="Total Acumulado",SUM(S$7:S10)+Q12,IFERROR(R12*$K12,0))))</f>
        <v>0</v>
      </c>
      <c r="T12" s="112">
        <f>IF($J12="","",IF($J12="Total Mensal",SUM(U$7:U11)/VLOOKUP("Total Acumulado",$J:$K,2,FALSE),IF($J12="Total Acumulado",T11+R12+IF(R$7="% Item",-1,0),0%)))</f>
        <v>0</v>
      </c>
      <c r="U12" s="109">
        <f>IF($J12="","",IF($J12="Total Mensal",SUM(U$7:U11),IF($J12="Total Acumulado",SUM(U$7:U10)+S12,IFERROR(T12*$K12,0))))</f>
        <v>0</v>
      </c>
      <c r="V12" s="112">
        <f>IF($J12="","",IF($J12="Total Mensal",SUM(W$7:W11)/VLOOKUP("Total Acumulado",$J:$K,2,FALSE),IF($J12="Total Acumulado",V11+T12+IF(T$7="% Item",-1,0),0%)))</f>
        <v>0</v>
      </c>
      <c r="W12" s="109">
        <f>IF($J12="","",IF($J12="Total Mensal",SUM(W$7:W11),IF($J12="Total Acumulado",SUM(W$7:W10)+U12,IFERROR(V12*$K12,0))))</f>
        <v>0</v>
      </c>
      <c r="X12" s="112">
        <f>IF($J12="","",IF($J12="Total Mensal",SUM(Y$7:Y11)/VLOOKUP("Total Acumulado",$J:$K,2,FALSE),IF($J12="Total Acumulado",X11+V12+IF(V$7="% Item",-1,0),0%)))</f>
        <v>0</v>
      </c>
      <c r="Y12" s="109">
        <f>IF($J12="","",IF($J12="Total Mensal",SUM(Y$7:Y11),IF($J12="Total Acumulado",SUM(Y$7:Y10)+W12,IFERROR(X12*$K12,0))))</f>
        <v>0</v>
      </c>
      <c r="Z12" s="112">
        <f>IF($J12="","",IF($J12="Total Mensal",SUM(AA$7:AA11)/VLOOKUP("Total Acumulado",$J:$K,2,FALSE),IF($J12="Total Acumulado",Z11+X12+IF(X$7="% Item",-1,0),0%)))</f>
        <v>0</v>
      </c>
      <c r="AA12" s="109">
        <f>IF($J12="","",IF($J12="Total Mensal",SUM(AA$7:AA11),IF($J12="Total Acumulado",SUM(AA$7:AA10)+Y12,IFERROR(Z12*$K12,0))))</f>
        <v>0</v>
      </c>
      <c r="AB12" s="112">
        <f>IF($J12="","",IF($J12="Total Mensal",SUM(AC$7:AC11)/VLOOKUP("Total Acumulado",$J:$K,2,FALSE),IF($J12="Total Acumulado",AB11+Z12+IF(Z$7="% Item",-1,0),0%)))</f>
        <v>0</v>
      </c>
      <c r="AC12" s="109">
        <f>IF($J12="","",IF($J12="Total Mensal",SUM(AC$7:AC11),IF($J12="Total Acumulado",SUM(AC$7:AC10)+AA12,IFERROR(AB12*$K12,0))))</f>
        <v>0</v>
      </c>
      <c r="AD12" s="112">
        <f>IF($J12="","",IF($J12="Total Mensal",SUM(AE$7:AE11)/VLOOKUP("Total Acumulado",$J:$K,2,FALSE),IF($J12="Total Acumulado",AD11+AB12+IF(AB$7="% Item",-1,0),0%)))</f>
        <v>0</v>
      </c>
      <c r="AE12" s="109">
        <f>IF($J12="","",IF($J12="Total Mensal",SUM(AE$7:AE11),IF($J12="Total Acumulado",SUM(AE$7:AE10)+AC12,IFERROR(AD12*$K12,0))))</f>
        <v>0</v>
      </c>
      <c r="AF12" s="112">
        <f>IF($J12="","",IF($J12="Total Mensal",SUM(AG$7:AG11)/VLOOKUP("Total Acumulado",$J:$K,2,FALSE),IF($J12="Total Acumulado",AF11+AD12+IF(AD$7="% Item",-1,0),0%)))</f>
        <v>0</v>
      </c>
      <c r="AG12" s="109">
        <f>IF($J12="","",IF($J12="Total Mensal",SUM(AG$7:AG11),IF($J12="Total Acumulado",SUM(AG$7:AG10)+AE12,IFERROR(AF12*$K12,0))))</f>
        <v>0</v>
      </c>
      <c r="AH12" s="112">
        <f>IF($J12="","",IF($J12="Total Mensal",SUM(AI$7:AI11)/VLOOKUP("Total Acumulado",$J:$K,2,FALSE),IF($J12="Total Acumulado",AH11+AF12+IF(AF$7="% Item",-1,0),0%)))</f>
        <v>0</v>
      </c>
      <c r="AI12" s="109">
        <f>IF($J12="","",IF($J12="Total Mensal",SUM(AI$7:AI11),IF($J12="Total Acumulado",SUM(AI$7:AI10)+AG12,IFERROR(AH12*$K12,0))))</f>
        <v>0</v>
      </c>
      <c r="AJ12" s="112">
        <f>IF($J12="","",IF($J12="Total Mensal",SUM(AK$7:AK11)/VLOOKUP("Total Acumulado",$J:$K,2,FALSE),IF($J12="Total Acumulado",AJ11+AH12+IF(AH$7="% Item",-1,0),0%)))</f>
        <v>0</v>
      </c>
      <c r="AK12" s="109">
        <f>IF($J12="","",IF($J12="Total Mensal",SUM(AK$7:AK11),IF($J12="Total Acumulado",SUM(AK$7:AK10)+AI12,IFERROR(AJ12*$K12,0))))</f>
        <v>0</v>
      </c>
    </row>
    <row r="13" spans="2:37"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0</v>
      </c>
      <c r="G13" s="83" t="str">
        <f>IF($B12="","",IF($C13=$C10,IF('BASE EDITAL'!$C$2="",INDEX('MAPA DE PREÇOS'!H:H,MATCH(EDITAL!B13,'MAPA DE PREÇOS'!B:B,0)+1),UPPER(INDEX('BASE EDITAL'!$C:$C,EDITAL!B13+1))),IF($C13=$C11,"Especificação do Objeto","")))</f>
        <v>Suporte móvel banner convencional</v>
      </c>
      <c r="H13" s="84" t="str">
        <f>IF($B12="","",IF($C13=$C10,INDEX('MAPA DE PREÇOS'!$M:$M,MATCH($B13,'MAPA DE PREÇOS'!$B:$B)-16),IF($C13=$C11,"Unidade","")))</f>
        <v>UND</v>
      </c>
      <c r="I13" s="84">
        <f>IF($B12="","",IF($C13=$C10,INDEX('MAPA DE PREÇOS'!$M:$M,MATCH($B13,'MAPA DE PREÇOS'!$B:$B)-17),IF($C13=$C11,"Quant.","")))</f>
        <v>818</v>
      </c>
      <c r="J13" s="60">
        <f>IF(J12="Total Mensal","Total Acumulado",IF($B12="","",IF($C13=$C10,INDEX('MAPA DE PREÇOS'!$M:$M,MATCH($B13,'MAPA DE PREÇOS'!$B:$B)-19),IF($C13=$C11,"Valor Unit. (R$)",IF(AND($C13&lt;&gt;$C12,$J12&lt;&gt;""),"Total Mensal","")))))</f>
        <v>106.12</v>
      </c>
      <c r="K13" s="75">
        <f>IF(J13="","",IF(J13="Total Mensal","-",IF(J13="Total Acumulado",SUM(K$7:K12),I13*J13)))</f>
        <v>86806.16</v>
      </c>
      <c r="L13" s="112">
        <f>IF(J13="","",IF(J13="Total Mensal","-",IF(J13="Total Acumulado",SUM(L$7:L12),K13/SUMIF(J:J,"Total Acumulado",K:K))))</f>
        <v>1.7719040306408886E-2</v>
      </c>
      <c r="M13" s="108"/>
      <c r="N13" s="112">
        <f>IF($J13="","",IF($J13="Total Mensal",SUM(O$7:O12)/VLOOKUP("Total Acumulado",$J:$K,2,FALSE),IF($J13="Total Acumulado",N12+L13+IF(L$7="% Item",-1,0),0%)))</f>
        <v>0</v>
      </c>
      <c r="O13" s="109">
        <f>IF($J13="","",IF($J13="Total Mensal",SUM(O$7:O12),IF($J13="Total Acumulado",SUM(O$7:O11)+M13,IFERROR(N13*$K13,0))))</f>
        <v>0</v>
      </c>
      <c r="P13" s="112">
        <f>IF($J13="","",IF($J13="Total Mensal",SUM(Q$7:Q12)/VLOOKUP("Total Acumulado",$J:$K,2,FALSE),IF($J13="Total Acumulado",P12+N13+IF(N$7="% Item",-1,0),0%)))</f>
        <v>0</v>
      </c>
      <c r="Q13" s="109">
        <f>IF($J13="","",IF($J13="Total Mensal",SUM(Q$7:Q12),IF($J13="Total Acumulado",SUM(Q$7:Q11)+O13,IFERROR(P13*$K13,0))))</f>
        <v>0</v>
      </c>
      <c r="R13" s="112">
        <f>IF($J13="","",IF($J13="Total Mensal",SUM(S$7:S12)/VLOOKUP("Total Acumulado",$J:$K,2,FALSE),IF($J13="Total Acumulado",R12+P13+IF(P$7="% Item",-1,0),0%)))</f>
        <v>0</v>
      </c>
      <c r="S13" s="109">
        <f>IF($J13="","",IF($J13="Total Mensal",SUM(S$7:S12),IF($J13="Total Acumulado",SUM(S$7:S11)+Q13,IFERROR(R13*$K13,0))))</f>
        <v>0</v>
      </c>
      <c r="T13" s="112">
        <f>IF($J13="","",IF($J13="Total Mensal",SUM(U$7:U12)/VLOOKUP("Total Acumulado",$J:$K,2,FALSE),IF($J13="Total Acumulado",T12+R13+IF(R$7="% Item",-1,0),0%)))</f>
        <v>0</v>
      </c>
      <c r="U13" s="109">
        <f>IF($J13="","",IF($J13="Total Mensal",SUM(U$7:U12),IF($J13="Total Acumulado",SUM(U$7:U11)+S13,IFERROR(T13*$K13,0))))</f>
        <v>0</v>
      </c>
      <c r="V13" s="112">
        <f>IF($J13="","",IF($J13="Total Mensal",SUM(W$7:W12)/VLOOKUP("Total Acumulado",$J:$K,2,FALSE),IF($J13="Total Acumulado",V12+T13+IF(T$7="% Item",-1,0),0%)))</f>
        <v>0</v>
      </c>
      <c r="W13" s="109">
        <f>IF($J13="","",IF($J13="Total Mensal",SUM(W$7:W12),IF($J13="Total Acumulado",SUM(W$7:W11)+U13,IFERROR(V13*$K13,0))))</f>
        <v>0</v>
      </c>
      <c r="X13" s="112">
        <f>IF($J13="","",IF($J13="Total Mensal",SUM(Y$7:Y12)/VLOOKUP("Total Acumulado",$J:$K,2,FALSE),IF($J13="Total Acumulado",X12+V13+IF(V$7="% Item",-1,0),0%)))</f>
        <v>0</v>
      </c>
      <c r="Y13" s="109">
        <f>IF($J13="","",IF($J13="Total Mensal",SUM(Y$7:Y12),IF($J13="Total Acumulado",SUM(Y$7:Y11)+W13,IFERROR(X13*$K13,0))))</f>
        <v>0</v>
      </c>
      <c r="Z13" s="112">
        <f>IF($J13="","",IF($J13="Total Mensal",SUM(AA$7:AA12)/VLOOKUP("Total Acumulado",$J:$K,2,FALSE),IF($J13="Total Acumulado",Z12+X13+IF(X$7="% Item",-1,0),0%)))</f>
        <v>0</v>
      </c>
      <c r="AA13" s="109">
        <f>IF($J13="","",IF($J13="Total Mensal",SUM(AA$7:AA12),IF($J13="Total Acumulado",SUM(AA$7:AA11)+Y13,IFERROR(Z13*$K13,0))))</f>
        <v>0</v>
      </c>
      <c r="AB13" s="112">
        <f>IF($J13="","",IF($J13="Total Mensal",SUM(AC$7:AC12)/VLOOKUP("Total Acumulado",$J:$K,2,FALSE),IF($J13="Total Acumulado",AB12+Z13+IF(Z$7="% Item",-1,0),0%)))</f>
        <v>0</v>
      </c>
      <c r="AC13" s="109">
        <f>IF($J13="","",IF($J13="Total Mensal",SUM(AC$7:AC12),IF($J13="Total Acumulado",SUM(AC$7:AC11)+AA13,IFERROR(AB13*$K13,0))))</f>
        <v>0</v>
      </c>
      <c r="AD13" s="112">
        <f>IF($J13="","",IF($J13="Total Mensal",SUM(AE$7:AE12)/VLOOKUP("Total Acumulado",$J:$K,2,FALSE),IF($J13="Total Acumulado",AD12+AB13+IF(AB$7="% Item",-1,0),0%)))</f>
        <v>0</v>
      </c>
      <c r="AE13" s="109">
        <f>IF($J13="","",IF($J13="Total Mensal",SUM(AE$7:AE12),IF($J13="Total Acumulado",SUM(AE$7:AE11)+AC13,IFERROR(AD13*$K13,0))))</f>
        <v>0</v>
      </c>
      <c r="AF13" s="112">
        <f>IF($J13="","",IF($J13="Total Mensal",SUM(AG$7:AG12)/VLOOKUP("Total Acumulado",$J:$K,2,FALSE),IF($J13="Total Acumulado",AF12+AD13+IF(AD$7="% Item",-1,0),0%)))</f>
        <v>0</v>
      </c>
      <c r="AG13" s="109">
        <f>IF($J13="","",IF($J13="Total Mensal",SUM(AG$7:AG12),IF($J13="Total Acumulado",SUM(AG$7:AG11)+AE13,IFERROR(AF13*$K13,0))))</f>
        <v>0</v>
      </c>
      <c r="AH13" s="112">
        <f>IF($J13="","",IF($J13="Total Mensal",SUM(AI$7:AI12)/VLOOKUP("Total Acumulado",$J:$K,2,FALSE),IF($J13="Total Acumulado",AH12+AF13+IF(AF$7="% Item",-1,0),0%)))</f>
        <v>0</v>
      </c>
      <c r="AI13" s="109">
        <f>IF($J13="","",IF($J13="Total Mensal",SUM(AI$7:AI12),IF($J13="Total Acumulado",SUM(AI$7:AI11)+AG13,IFERROR(AH13*$K13,0))))</f>
        <v>0</v>
      </c>
      <c r="AJ13" s="112">
        <f>IF($J13="","",IF($J13="Total Mensal",SUM(AK$7:AK12)/VLOOKUP("Total Acumulado",$J:$K,2,FALSE),IF($J13="Total Acumulado",AJ12+AH13+IF(AH$7="% Item",-1,0),0%)))</f>
        <v>0</v>
      </c>
      <c r="AK13" s="109">
        <f>IF($J13="","",IF($J13="Total Mensal",SUM(AK$7:AK12),IF($J13="Total Acumulado",SUM(AK$7:AK11)+AI13,IFERROR(AJ13*$K13,0))))</f>
        <v>0</v>
      </c>
    </row>
    <row r="14" spans="2:37" x14ac:dyDescent="0.25">
      <c r="B14" s="41">
        <f>IFERROR(IF(C13=C10,IF(B13+1&lt;='MAPA DE PREÇOS'!$H$8,B13+1,""),B13),"")</f>
        <v>7</v>
      </c>
      <c r="C14" s="41">
        <f>IFERROR(VLOOKUP(B14,'MAPA DE PREÇOS'!B:D,2,FALSE),"")</f>
        <v>1</v>
      </c>
      <c r="D14" s="41">
        <f>IFERROR(VLOOKUP(B14,'MAPA DE PREÇOS'!B:D,3,FALSE),"")</f>
        <v>7</v>
      </c>
      <c r="E14" s="82">
        <f t="shared" si="0"/>
        <v>7</v>
      </c>
      <c r="F14" s="82">
        <f>IF($B13="","",IF($C14=$C11,INDEX('MAPA DE PREÇOS'!$H:$H,MATCH($B14,'MAPA DE PREÇOS'!$B:$B)-19),IF($C14=$C12,"Código","")))</f>
        <v>0</v>
      </c>
      <c r="G14" s="83" t="str">
        <f>IF($B13="","",IF($C14=$C11,IF('BASE EDITAL'!$C$2="",INDEX('MAPA DE PREÇOS'!H:H,MATCH(EDITAL!B14,'MAPA DE PREÇOS'!B:B,0)+1),UPPER(INDEX('BASE EDITAL'!$C:$C,EDITAL!B14+1))),IF($C14=$C12,"Especificação do Objeto","")))</f>
        <v>Faixas de rua</v>
      </c>
      <c r="H14" s="84" t="str">
        <f>IF($B13="","",IF($C14=$C11,INDEX('MAPA DE PREÇOS'!$M:$M,MATCH($B14,'MAPA DE PREÇOS'!$B:$B)-16),IF($C14=$C12,"Unidade","")))</f>
        <v>UND</v>
      </c>
      <c r="I14" s="84">
        <f>IF($B13="","",IF($C14=$C11,INDEX('MAPA DE PREÇOS'!$M:$M,MATCH($B14,'MAPA DE PREÇOS'!$B:$B)-17),IF($C14=$C12,"Quant.","")))</f>
        <v>1139</v>
      </c>
      <c r="J14" s="60">
        <f>IF(J13="Total Mensal","Total Acumulado",IF($B13="","",IF($C14=$C11,INDEX('MAPA DE PREÇOS'!$M:$M,MATCH($B14,'MAPA DE PREÇOS'!$B:$B)-19),IF($C14=$C12,"Valor Unit. (R$)",IF(AND($C14&lt;&gt;$C13,$J13&lt;&gt;""),"Total Mensal","")))))</f>
        <v>72.27</v>
      </c>
      <c r="K14" s="75">
        <f>IF(J14="","",IF(J14="Total Mensal","-",IF(J14="Total Acumulado",SUM(K$7:K13),I14*J14)))</f>
        <v>82315.53</v>
      </c>
      <c r="L14" s="112">
        <f>IF(J14="","",IF(J14="Total Mensal","-",IF(J14="Total Acumulado",SUM(L$7:L13),K14/SUMIF(J:J,"Total Acumulado",K:K))))</f>
        <v>1.680240427538103E-2</v>
      </c>
      <c r="M14" s="108"/>
      <c r="N14" s="112">
        <f>IF($J14="","",IF($J14="Total Mensal",SUM(O$7:O13)/VLOOKUP("Total Acumulado",$J:$K,2,FALSE),IF($J14="Total Acumulado",N13+L14+IF(L$7="% Item",-1,0),0%)))</f>
        <v>0</v>
      </c>
      <c r="O14" s="109">
        <f>IF($J14="","",IF($J14="Total Mensal",SUM(O$7:O13),IF($J14="Total Acumulado",SUM(O$7:O12)+M14,IFERROR(N14*$K14,0))))</f>
        <v>0</v>
      </c>
      <c r="P14" s="112">
        <f>IF($J14="","",IF($J14="Total Mensal",SUM(Q$7:Q13)/VLOOKUP("Total Acumulado",$J:$K,2,FALSE),IF($J14="Total Acumulado",P13+N14+IF(N$7="% Item",-1,0),0%)))</f>
        <v>0</v>
      </c>
      <c r="Q14" s="109">
        <f>IF($J14="","",IF($J14="Total Mensal",SUM(Q$7:Q13),IF($J14="Total Acumulado",SUM(Q$7:Q12)+O14,IFERROR(P14*$K14,0))))</f>
        <v>0</v>
      </c>
      <c r="R14" s="112">
        <f>IF($J14="","",IF($J14="Total Mensal",SUM(S$7:S13)/VLOOKUP("Total Acumulado",$J:$K,2,FALSE),IF($J14="Total Acumulado",R13+P14+IF(P$7="% Item",-1,0),0%)))</f>
        <v>0</v>
      </c>
      <c r="S14" s="109">
        <f>IF($J14="","",IF($J14="Total Mensal",SUM(S$7:S13),IF($J14="Total Acumulado",SUM(S$7:S12)+Q14,IFERROR(R14*$K14,0))))</f>
        <v>0</v>
      </c>
      <c r="T14" s="112">
        <f>IF($J14="","",IF($J14="Total Mensal",SUM(U$7:U13)/VLOOKUP("Total Acumulado",$J:$K,2,FALSE),IF($J14="Total Acumulado",T13+R14+IF(R$7="% Item",-1,0),0%)))</f>
        <v>0</v>
      </c>
      <c r="U14" s="109">
        <f>IF($J14="","",IF($J14="Total Mensal",SUM(U$7:U13),IF($J14="Total Acumulado",SUM(U$7:U12)+S14,IFERROR(T14*$K14,0))))</f>
        <v>0</v>
      </c>
      <c r="V14" s="112">
        <f>IF($J14="","",IF($J14="Total Mensal",SUM(W$7:W13)/VLOOKUP("Total Acumulado",$J:$K,2,FALSE),IF($J14="Total Acumulado",V13+T14+IF(T$7="% Item",-1,0),0%)))</f>
        <v>0</v>
      </c>
      <c r="W14" s="109">
        <f>IF($J14="","",IF($J14="Total Mensal",SUM(W$7:W13),IF($J14="Total Acumulado",SUM(W$7:W12)+U14,IFERROR(V14*$K14,0))))</f>
        <v>0</v>
      </c>
      <c r="X14" s="112">
        <f>IF($J14="","",IF($J14="Total Mensal",SUM(Y$7:Y13)/VLOOKUP("Total Acumulado",$J:$K,2,FALSE),IF($J14="Total Acumulado",X13+V14+IF(V$7="% Item",-1,0),0%)))</f>
        <v>0</v>
      </c>
      <c r="Y14" s="109">
        <f>IF($J14="","",IF($J14="Total Mensal",SUM(Y$7:Y13),IF($J14="Total Acumulado",SUM(Y$7:Y12)+W14,IFERROR(X14*$K14,0))))</f>
        <v>0</v>
      </c>
      <c r="Z14" s="112">
        <f>IF($J14="","",IF($J14="Total Mensal",SUM(AA$7:AA13)/VLOOKUP("Total Acumulado",$J:$K,2,FALSE),IF($J14="Total Acumulado",Z13+X14+IF(X$7="% Item",-1,0),0%)))</f>
        <v>0</v>
      </c>
      <c r="AA14" s="109">
        <f>IF($J14="","",IF($J14="Total Mensal",SUM(AA$7:AA13),IF($J14="Total Acumulado",SUM(AA$7:AA12)+Y14,IFERROR(Z14*$K14,0))))</f>
        <v>0</v>
      </c>
      <c r="AB14" s="112">
        <f>IF($J14="","",IF($J14="Total Mensal",SUM(AC$7:AC13)/VLOOKUP("Total Acumulado",$J:$K,2,FALSE),IF($J14="Total Acumulado",AB13+Z14+IF(Z$7="% Item",-1,0),0%)))</f>
        <v>0</v>
      </c>
      <c r="AC14" s="109">
        <f>IF($J14="","",IF($J14="Total Mensal",SUM(AC$7:AC13),IF($J14="Total Acumulado",SUM(AC$7:AC12)+AA14,IFERROR(AB14*$K14,0))))</f>
        <v>0</v>
      </c>
      <c r="AD14" s="112">
        <f>IF($J14="","",IF($J14="Total Mensal",SUM(AE$7:AE13)/VLOOKUP("Total Acumulado",$J:$K,2,FALSE),IF($J14="Total Acumulado",AD13+AB14+IF(AB$7="% Item",-1,0),0%)))</f>
        <v>0</v>
      </c>
      <c r="AE14" s="109">
        <f>IF($J14="","",IF($J14="Total Mensal",SUM(AE$7:AE13),IF($J14="Total Acumulado",SUM(AE$7:AE12)+AC14,IFERROR(AD14*$K14,0))))</f>
        <v>0</v>
      </c>
      <c r="AF14" s="112">
        <f>IF($J14="","",IF($J14="Total Mensal",SUM(AG$7:AG13)/VLOOKUP("Total Acumulado",$J:$K,2,FALSE),IF($J14="Total Acumulado",AF13+AD14+IF(AD$7="% Item",-1,0),0%)))</f>
        <v>0</v>
      </c>
      <c r="AG14" s="109">
        <f>IF($J14="","",IF($J14="Total Mensal",SUM(AG$7:AG13),IF($J14="Total Acumulado",SUM(AG$7:AG12)+AE14,IFERROR(AF14*$K14,0))))</f>
        <v>0</v>
      </c>
      <c r="AH14" s="112">
        <f>IF($J14="","",IF($J14="Total Mensal",SUM(AI$7:AI13)/VLOOKUP("Total Acumulado",$J:$K,2,FALSE),IF($J14="Total Acumulado",AH13+AF14+IF(AF$7="% Item",-1,0),0%)))</f>
        <v>0</v>
      </c>
      <c r="AI14" s="109">
        <f>IF($J14="","",IF($J14="Total Mensal",SUM(AI$7:AI13),IF($J14="Total Acumulado",SUM(AI$7:AI12)+AG14,IFERROR(AH14*$K14,0))))</f>
        <v>0</v>
      </c>
      <c r="AJ14" s="112">
        <f>IF($J14="","",IF($J14="Total Mensal",SUM(AK$7:AK13)/VLOOKUP("Total Acumulado",$J:$K,2,FALSE),IF($J14="Total Acumulado",AJ13+AH14+IF(AH$7="% Item",-1,0),0%)))</f>
        <v>0</v>
      </c>
      <c r="AK14" s="109">
        <f>IF($J14="","",IF($J14="Total Mensal",SUM(AK$7:AK13),IF($J14="Total Acumulado",SUM(AK$7:AK12)+AI14,IFERROR(AJ14*$K14,0))))</f>
        <v>0</v>
      </c>
    </row>
    <row r="15" spans="2:37" x14ac:dyDescent="0.25">
      <c r="B15" s="41">
        <f>IFERROR(IF(C14=C11,IF(B14+1&lt;='MAPA DE PREÇOS'!$H$8,B14+1,""),B14),"")</f>
        <v>8</v>
      </c>
      <c r="C15" s="41">
        <f>IFERROR(VLOOKUP(B15,'MAPA DE PREÇOS'!B:D,2,FALSE),"")</f>
        <v>1</v>
      </c>
      <c r="D15" s="41">
        <f>IFERROR(VLOOKUP(B15,'MAPA DE PREÇOS'!B:D,3,FALSE),"")</f>
        <v>8</v>
      </c>
      <c r="E15" s="82">
        <f t="shared" si="0"/>
        <v>8</v>
      </c>
      <c r="F15" s="82">
        <f>IF($B14="","",IF($C15=$C12,INDEX('MAPA DE PREÇOS'!$H:$H,MATCH($B15,'MAPA DE PREÇOS'!$B:$B)-19),IF($C15=$C13,"Código","")))</f>
        <v>0</v>
      </c>
      <c r="G15" s="83" t="str">
        <f>IF($B14="","",IF($C15=$C12,IF('BASE EDITAL'!$C$2="",INDEX('MAPA DE PREÇOS'!H:H,MATCH(EDITAL!B15,'MAPA DE PREÇOS'!B:B,0)+1),UPPER(INDEX('BASE EDITAL'!$C:$C,EDITAL!B15+1))),IF($C15=$C13,"Especificação do Objeto","")))</f>
        <v>Faixas de mesa</v>
      </c>
      <c r="H15" s="84" t="str">
        <f>IF($B14="","",IF($C15=$C12,INDEX('MAPA DE PREÇOS'!$M:$M,MATCH($B15,'MAPA DE PREÇOS'!$B:$B)-16),IF($C15=$C13,"Unidade","")))</f>
        <v>UND</v>
      </c>
      <c r="I15" s="84">
        <f>IF($B14="","",IF($C15=$C12,INDEX('MAPA DE PREÇOS'!$M:$M,MATCH($B15,'MAPA DE PREÇOS'!$B:$B)-17),IF($C15=$C13,"Quant.","")))</f>
        <v>383</v>
      </c>
      <c r="J15" s="60">
        <f>IF(J14="Total Mensal","Total Acumulado",IF($B14="","",IF($C15=$C12,INDEX('MAPA DE PREÇOS'!$M:$M,MATCH($B15,'MAPA DE PREÇOS'!$B:$B)-19),IF($C15=$C13,"Valor Unit. (R$)",IF(AND($C15&lt;&gt;$C14,$J14&lt;&gt;""),"Total Mensal","")))))</f>
        <v>72.27</v>
      </c>
      <c r="K15" s="75">
        <f>IF(J15="","",IF(J15="Total Mensal","-",IF(J15="Total Acumulado",SUM(K$7:K14),I15*J15)))</f>
        <v>27679.41</v>
      </c>
      <c r="L15" s="112">
        <f>IF(J15="","",IF(J15="Total Mensal","-",IF(J15="Total Acumulado",SUM(L$7:L14),K15/SUMIF(J:J,"Total Acumulado",K:K))))</f>
        <v>5.6499743963748334E-3</v>
      </c>
      <c r="M15" s="108"/>
      <c r="N15" s="112">
        <f>IF($J15="","",IF($J15="Total Mensal",SUM(O$7:O14)/VLOOKUP("Total Acumulado",$J:$K,2,FALSE),IF($J15="Total Acumulado",N14+L15+IF(L$7="% Item",-1,0),0%)))</f>
        <v>0</v>
      </c>
      <c r="O15" s="109">
        <f>IF($J15="","",IF($J15="Total Mensal",SUM(O$7:O14),IF($J15="Total Acumulado",SUM(O$7:O13)+M15,IFERROR(N15*$K15,0))))</f>
        <v>0</v>
      </c>
      <c r="P15" s="112">
        <f>IF($J15="","",IF($J15="Total Mensal",SUM(Q$7:Q14)/VLOOKUP("Total Acumulado",$J:$K,2,FALSE),IF($J15="Total Acumulado",P14+N15+IF(N$7="% Item",-1,0),0%)))</f>
        <v>0</v>
      </c>
      <c r="Q15" s="109">
        <f>IF($J15="","",IF($J15="Total Mensal",SUM(Q$7:Q14),IF($J15="Total Acumulado",SUM(Q$7:Q13)+O15,IFERROR(P15*$K15,0))))</f>
        <v>0</v>
      </c>
      <c r="R15" s="112">
        <f>IF($J15="","",IF($J15="Total Mensal",SUM(S$7:S14)/VLOOKUP("Total Acumulado",$J:$K,2,FALSE),IF($J15="Total Acumulado",R14+P15+IF(P$7="% Item",-1,0),0%)))</f>
        <v>0</v>
      </c>
      <c r="S15" s="109">
        <f>IF($J15="","",IF($J15="Total Mensal",SUM(S$7:S14),IF($J15="Total Acumulado",SUM(S$7:S13)+Q15,IFERROR(R15*$K15,0))))</f>
        <v>0</v>
      </c>
      <c r="T15" s="112">
        <f>IF($J15="","",IF($J15="Total Mensal",SUM(U$7:U14)/VLOOKUP("Total Acumulado",$J:$K,2,FALSE),IF($J15="Total Acumulado",T14+R15+IF(R$7="% Item",-1,0),0%)))</f>
        <v>0</v>
      </c>
      <c r="U15" s="109">
        <f>IF($J15="","",IF($J15="Total Mensal",SUM(U$7:U14),IF($J15="Total Acumulado",SUM(U$7:U13)+S15,IFERROR(T15*$K15,0))))</f>
        <v>0</v>
      </c>
      <c r="V15" s="112">
        <f>IF($J15="","",IF($J15="Total Mensal",SUM(W$7:W14)/VLOOKUP("Total Acumulado",$J:$K,2,FALSE),IF($J15="Total Acumulado",V14+T15+IF(T$7="% Item",-1,0),0%)))</f>
        <v>0</v>
      </c>
      <c r="W15" s="109">
        <f>IF($J15="","",IF($J15="Total Mensal",SUM(W$7:W14),IF($J15="Total Acumulado",SUM(W$7:W13)+U15,IFERROR(V15*$K15,0))))</f>
        <v>0</v>
      </c>
      <c r="X15" s="112">
        <f>IF($J15="","",IF($J15="Total Mensal",SUM(Y$7:Y14)/VLOOKUP("Total Acumulado",$J:$K,2,FALSE),IF($J15="Total Acumulado",X14+V15+IF(V$7="% Item",-1,0),0%)))</f>
        <v>0</v>
      </c>
      <c r="Y15" s="109">
        <f>IF($J15="","",IF($J15="Total Mensal",SUM(Y$7:Y14),IF($J15="Total Acumulado",SUM(Y$7:Y13)+W15,IFERROR(X15*$K15,0))))</f>
        <v>0</v>
      </c>
      <c r="Z15" s="112">
        <f>IF($J15="","",IF($J15="Total Mensal",SUM(AA$7:AA14)/VLOOKUP("Total Acumulado",$J:$K,2,FALSE),IF($J15="Total Acumulado",Z14+X15+IF(X$7="% Item",-1,0),0%)))</f>
        <v>0</v>
      </c>
      <c r="AA15" s="109">
        <f>IF($J15="","",IF($J15="Total Mensal",SUM(AA$7:AA14),IF($J15="Total Acumulado",SUM(AA$7:AA13)+Y15,IFERROR(Z15*$K15,0))))</f>
        <v>0</v>
      </c>
      <c r="AB15" s="112">
        <f>IF($J15="","",IF($J15="Total Mensal",SUM(AC$7:AC14)/VLOOKUP("Total Acumulado",$J:$K,2,FALSE),IF($J15="Total Acumulado",AB14+Z15+IF(Z$7="% Item",-1,0),0%)))</f>
        <v>0</v>
      </c>
      <c r="AC15" s="109">
        <f>IF($J15="","",IF($J15="Total Mensal",SUM(AC$7:AC14),IF($J15="Total Acumulado",SUM(AC$7:AC13)+AA15,IFERROR(AB15*$K15,0))))</f>
        <v>0</v>
      </c>
      <c r="AD15" s="112">
        <f>IF($J15="","",IF($J15="Total Mensal",SUM(AE$7:AE14)/VLOOKUP("Total Acumulado",$J:$K,2,FALSE),IF($J15="Total Acumulado",AD14+AB15+IF(AB$7="% Item",-1,0),0%)))</f>
        <v>0</v>
      </c>
      <c r="AE15" s="109">
        <f>IF($J15="","",IF($J15="Total Mensal",SUM(AE$7:AE14),IF($J15="Total Acumulado",SUM(AE$7:AE13)+AC15,IFERROR(AD15*$K15,0))))</f>
        <v>0</v>
      </c>
      <c r="AF15" s="112">
        <f>IF($J15="","",IF($J15="Total Mensal",SUM(AG$7:AG14)/VLOOKUP("Total Acumulado",$J:$K,2,FALSE),IF($J15="Total Acumulado",AF14+AD15+IF(AD$7="% Item",-1,0),0%)))</f>
        <v>0</v>
      </c>
      <c r="AG15" s="109">
        <f>IF($J15="","",IF($J15="Total Mensal",SUM(AG$7:AG14),IF($J15="Total Acumulado",SUM(AG$7:AG13)+AE15,IFERROR(AF15*$K15,0))))</f>
        <v>0</v>
      </c>
      <c r="AH15" s="112">
        <f>IF($J15="","",IF($J15="Total Mensal",SUM(AI$7:AI14)/VLOOKUP("Total Acumulado",$J:$K,2,FALSE),IF($J15="Total Acumulado",AH14+AF15+IF(AF$7="% Item",-1,0),0%)))</f>
        <v>0</v>
      </c>
      <c r="AI15" s="109">
        <f>IF($J15="","",IF($J15="Total Mensal",SUM(AI$7:AI14),IF($J15="Total Acumulado",SUM(AI$7:AI13)+AG15,IFERROR(AH15*$K15,0))))</f>
        <v>0</v>
      </c>
      <c r="AJ15" s="112">
        <f>IF($J15="","",IF($J15="Total Mensal",SUM(AK$7:AK14)/VLOOKUP("Total Acumulado",$J:$K,2,FALSE),IF($J15="Total Acumulado",AJ14+AH15+IF(AH$7="% Item",-1,0),0%)))</f>
        <v>0</v>
      </c>
      <c r="AK15" s="109">
        <f>IF($J15="","",IF($J15="Total Mensal",SUM(AK$7:AK14),IF($J15="Total Acumulado",SUM(AK$7:AK13)+AI15,IFERROR(AJ15*$K15,0))))</f>
        <v>0</v>
      </c>
    </row>
    <row r="16" spans="2:37" x14ac:dyDescent="0.25">
      <c r="B16" s="41">
        <f>IFERROR(IF(C15=C12,IF(B15+1&lt;='MAPA DE PREÇOS'!$H$8,B15+1,""),B15),"")</f>
        <v>9</v>
      </c>
      <c r="C16" s="41">
        <f>IFERROR(VLOOKUP(B16,'MAPA DE PREÇOS'!B:D,2,FALSE),"")</f>
        <v>1</v>
      </c>
      <c r="D16" s="41">
        <f>IFERROR(VLOOKUP(B16,'MAPA DE PREÇOS'!B:D,3,FALSE),"")</f>
        <v>9</v>
      </c>
      <c r="E16" s="82">
        <f t="shared" si="0"/>
        <v>9</v>
      </c>
      <c r="F16" s="82">
        <f>IF($B15="","",IF($C16=$C13,INDEX('MAPA DE PREÇOS'!$H:$H,MATCH($B16,'MAPA DE PREÇOS'!$B:$B)-19),IF($C16=$C14,"Código","")))</f>
        <v>0</v>
      </c>
      <c r="G16" s="83" t="str">
        <f>IF($B15="","",IF($C16=$C13,IF('BASE EDITAL'!$C$2="",INDEX('MAPA DE PREÇOS'!H:H,MATCH(EDITAL!B16,'MAPA DE PREÇOS'!B:B,0)+1),UPPER(INDEX('BASE EDITAL'!$C:$C,EDITAL!B16+1))),IF($C16=$C14,"Especificação do Objeto","")))</f>
        <v>Outdoors</v>
      </c>
      <c r="H16" s="84" t="str">
        <f>IF($B15="","",IF($C16=$C13,INDEX('MAPA DE PREÇOS'!$M:$M,MATCH($B16,'MAPA DE PREÇOS'!$B:$B)-16),IF($C16=$C14,"Unidade","")))</f>
        <v>M2</v>
      </c>
      <c r="I16" s="84">
        <f>IF($B15="","",IF($C16=$C13,INDEX('MAPA DE PREÇOS'!$M:$M,MATCH($B16,'MAPA DE PREÇOS'!$B:$B)-17),IF($C16=$C14,"Quant.","")))</f>
        <v>791</v>
      </c>
      <c r="J16" s="60">
        <f>IF(J15="Total Mensal","Total Acumulado",IF($B15="","",IF($C16=$C13,INDEX('MAPA DE PREÇOS'!$M:$M,MATCH($B16,'MAPA DE PREÇOS'!$B:$B)-19),IF($C16=$C14,"Valor Unit. (R$)",IF(AND($C16&lt;&gt;$C15,$J15&lt;&gt;""),"Total Mensal","")))))</f>
        <v>55.98</v>
      </c>
      <c r="K16" s="75">
        <f>IF(J16="","",IF(J16="Total Mensal","-",IF(J16="Total Acumulado",SUM(K$7:K15),I16*J16)))</f>
        <v>44280.18</v>
      </c>
      <c r="L16" s="112">
        <f>IF(J16="","",IF(J16="Total Mensal","-",IF(J16="Total Acumulado",SUM(L$7:L15),K16/SUMIF(J:J,"Total Acumulado",K:K))))</f>
        <v>9.0385554918572669E-3</v>
      </c>
      <c r="M16" s="108"/>
      <c r="N16" s="112">
        <f>IF($J16="","",IF($J16="Total Mensal",SUM(O$7:O15)/VLOOKUP("Total Acumulado",$J:$K,2,FALSE),IF($J16="Total Acumulado",N15+L16+IF(L$7="% Item",-1,0),0%)))</f>
        <v>0</v>
      </c>
      <c r="O16" s="109">
        <f>IF($J16="","",IF($J16="Total Mensal",SUM(O$7:O15),IF($J16="Total Acumulado",SUM(O$7:O14)+M16,IFERROR(N16*$K16,0))))</f>
        <v>0</v>
      </c>
      <c r="P16" s="112">
        <f>IF($J16="","",IF($J16="Total Mensal",SUM(Q$7:Q15)/VLOOKUP("Total Acumulado",$J:$K,2,FALSE),IF($J16="Total Acumulado",P15+N16+IF(N$7="% Item",-1,0),0%)))</f>
        <v>0</v>
      </c>
      <c r="Q16" s="109">
        <f>IF($J16="","",IF($J16="Total Mensal",SUM(Q$7:Q15),IF($J16="Total Acumulado",SUM(Q$7:Q14)+O16,IFERROR(P16*$K16,0))))</f>
        <v>0</v>
      </c>
      <c r="R16" s="112">
        <f>IF($J16="","",IF($J16="Total Mensal",SUM(S$7:S15)/VLOOKUP("Total Acumulado",$J:$K,2,FALSE),IF($J16="Total Acumulado",R15+P16+IF(P$7="% Item",-1,0),0%)))</f>
        <v>0</v>
      </c>
      <c r="S16" s="109">
        <f>IF($J16="","",IF($J16="Total Mensal",SUM(S$7:S15),IF($J16="Total Acumulado",SUM(S$7:S14)+Q16,IFERROR(R16*$K16,0))))</f>
        <v>0</v>
      </c>
      <c r="T16" s="112">
        <f>IF($J16="","",IF($J16="Total Mensal",SUM(U$7:U15)/VLOOKUP("Total Acumulado",$J:$K,2,FALSE),IF($J16="Total Acumulado",T15+R16+IF(R$7="% Item",-1,0),0%)))</f>
        <v>0</v>
      </c>
      <c r="U16" s="109">
        <f>IF($J16="","",IF($J16="Total Mensal",SUM(U$7:U15),IF($J16="Total Acumulado",SUM(U$7:U14)+S16,IFERROR(T16*$K16,0))))</f>
        <v>0</v>
      </c>
      <c r="V16" s="112">
        <f>IF($J16="","",IF($J16="Total Mensal",SUM(W$7:W15)/VLOOKUP("Total Acumulado",$J:$K,2,FALSE),IF($J16="Total Acumulado",V15+T16+IF(T$7="% Item",-1,0),0%)))</f>
        <v>0</v>
      </c>
      <c r="W16" s="109">
        <f>IF($J16="","",IF($J16="Total Mensal",SUM(W$7:W15),IF($J16="Total Acumulado",SUM(W$7:W14)+U16,IFERROR(V16*$K16,0))))</f>
        <v>0</v>
      </c>
      <c r="X16" s="112">
        <f>IF($J16="","",IF($J16="Total Mensal",SUM(Y$7:Y15)/VLOOKUP("Total Acumulado",$J:$K,2,FALSE),IF($J16="Total Acumulado",X15+V16+IF(V$7="% Item",-1,0),0%)))</f>
        <v>0</v>
      </c>
      <c r="Y16" s="109">
        <f>IF($J16="","",IF($J16="Total Mensal",SUM(Y$7:Y15),IF($J16="Total Acumulado",SUM(Y$7:Y14)+W16,IFERROR(X16*$K16,0))))</f>
        <v>0</v>
      </c>
      <c r="Z16" s="112">
        <f>IF($J16="","",IF($J16="Total Mensal",SUM(AA$7:AA15)/VLOOKUP("Total Acumulado",$J:$K,2,FALSE),IF($J16="Total Acumulado",Z15+X16+IF(X$7="% Item",-1,0),0%)))</f>
        <v>0</v>
      </c>
      <c r="AA16" s="109">
        <f>IF($J16="","",IF($J16="Total Mensal",SUM(AA$7:AA15),IF($J16="Total Acumulado",SUM(AA$7:AA14)+Y16,IFERROR(Z16*$K16,0))))</f>
        <v>0</v>
      </c>
      <c r="AB16" s="112">
        <f>IF($J16="","",IF($J16="Total Mensal",SUM(AC$7:AC15)/VLOOKUP("Total Acumulado",$J:$K,2,FALSE),IF($J16="Total Acumulado",AB15+Z16+IF(Z$7="% Item",-1,0),0%)))</f>
        <v>0</v>
      </c>
      <c r="AC16" s="109">
        <f>IF($J16="","",IF($J16="Total Mensal",SUM(AC$7:AC15),IF($J16="Total Acumulado",SUM(AC$7:AC14)+AA16,IFERROR(AB16*$K16,0))))</f>
        <v>0</v>
      </c>
      <c r="AD16" s="112">
        <f>IF($J16="","",IF($J16="Total Mensal",SUM(AE$7:AE15)/VLOOKUP("Total Acumulado",$J:$K,2,FALSE),IF($J16="Total Acumulado",AD15+AB16+IF(AB$7="% Item",-1,0),0%)))</f>
        <v>0</v>
      </c>
      <c r="AE16" s="109">
        <f>IF($J16="","",IF($J16="Total Mensal",SUM(AE$7:AE15),IF($J16="Total Acumulado",SUM(AE$7:AE14)+AC16,IFERROR(AD16*$K16,0))))</f>
        <v>0</v>
      </c>
      <c r="AF16" s="112">
        <f>IF($J16="","",IF($J16="Total Mensal",SUM(AG$7:AG15)/VLOOKUP("Total Acumulado",$J:$K,2,FALSE),IF($J16="Total Acumulado",AF15+AD16+IF(AD$7="% Item",-1,0),0%)))</f>
        <v>0</v>
      </c>
      <c r="AG16" s="109">
        <f>IF($J16="","",IF($J16="Total Mensal",SUM(AG$7:AG15),IF($J16="Total Acumulado",SUM(AG$7:AG14)+AE16,IFERROR(AF16*$K16,0))))</f>
        <v>0</v>
      </c>
      <c r="AH16" s="112">
        <f>IF($J16="","",IF($J16="Total Mensal",SUM(AI$7:AI15)/VLOOKUP("Total Acumulado",$J:$K,2,FALSE),IF($J16="Total Acumulado",AH15+AF16+IF(AF$7="% Item",-1,0),0%)))</f>
        <v>0</v>
      </c>
      <c r="AI16" s="109">
        <f>IF($J16="","",IF($J16="Total Mensal",SUM(AI$7:AI15),IF($J16="Total Acumulado",SUM(AI$7:AI14)+AG16,IFERROR(AH16*$K16,0))))</f>
        <v>0</v>
      </c>
      <c r="AJ16" s="112">
        <f>IF($J16="","",IF($J16="Total Mensal",SUM(AK$7:AK15)/VLOOKUP("Total Acumulado",$J:$K,2,FALSE),IF($J16="Total Acumulado",AJ15+AH16+IF(AH$7="% Item",-1,0),0%)))</f>
        <v>0</v>
      </c>
      <c r="AK16" s="109">
        <f>IF($J16="","",IF($J16="Total Mensal",SUM(AK$7:AK15),IF($J16="Total Acumulado",SUM(AK$7:AK14)+AI16,IFERROR(AJ16*$K16,0))))</f>
        <v>0</v>
      </c>
    </row>
    <row r="17" spans="2:37" x14ac:dyDescent="0.25">
      <c r="B17" s="41">
        <f>IFERROR(IF(C16=C13,IF(B16+1&lt;='MAPA DE PREÇOS'!$H$8,B16+1,""),B16),"")</f>
        <v>10</v>
      </c>
      <c r="C17" s="41">
        <f>IFERROR(VLOOKUP(B17,'MAPA DE PREÇOS'!B:D,2,FALSE),"")</f>
        <v>1</v>
      </c>
      <c r="D17" s="41">
        <f>IFERROR(VLOOKUP(B17,'MAPA DE PREÇOS'!B:D,3,FALSE),"")</f>
        <v>10</v>
      </c>
      <c r="E17" s="82">
        <f t="shared" si="0"/>
        <v>10</v>
      </c>
      <c r="F17" s="82">
        <f>IF($B16="","",IF($C17=$C14,INDEX('MAPA DE PREÇOS'!$H:$H,MATCH($B17,'MAPA DE PREÇOS'!$B:$B)-19),IF($C17=$C15,"Código","")))</f>
        <v>0</v>
      </c>
      <c r="G17" s="83" t="str">
        <f>IF($B16="","",IF($C17=$C14,IF('BASE EDITAL'!$C$2="",INDEX('MAPA DE PREÇOS'!H:H,MATCH(EDITAL!B17,'MAPA DE PREÇOS'!B:B,0)+1),UPPER(INDEX('BASE EDITAL'!$C:$C,EDITAL!B17+1))),IF($C17=$C15,"Especificação do Objeto","")))</f>
        <v>Cartazes</v>
      </c>
      <c r="H17" s="84" t="str">
        <f>IF($B16="","",IF($C17=$C14,INDEX('MAPA DE PREÇOS'!$M:$M,MATCH($B17,'MAPA DE PREÇOS'!$B:$B)-16),IF($C17=$C15,"Unidade","")))</f>
        <v>M2</v>
      </c>
      <c r="I17" s="84">
        <f>IF($B16="","",IF($C17=$C14,INDEX('MAPA DE PREÇOS'!$M:$M,MATCH($B17,'MAPA DE PREÇOS'!$B:$B)-17),IF($C17=$C15,"Quant.","")))</f>
        <v>13166</v>
      </c>
      <c r="J17" s="60">
        <f>IF(J16="Total Mensal","Total Acumulado",IF($B16="","",IF($C17=$C14,INDEX('MAPA DE PREÇOS'!$M:$M,MATCH($B17,'MAPA DE PREÇOS'!$B:$B)-19),IF($C17=$C15,"Valor Unit. (R$)",IF(AND($C17&lt;&gt;$C16,$J16&lt;&gt;""),"Total Mensal","")))))</f>
        <v>62.42</v>
      </c>
      <c r="K17" s="75">
        <f>IF(J17="","",IF(J17="Total Mensal","-",IF(J17="Total Acumulado",SUM(K$7:K16),I17*J17)))</f>
        <v>821821.72</v>
      </c>
      <c r="L17" s="112">
        <f>IF(J17="","",IF(J17="Total Mensal","-",IF(J17="Total Acumulado",SUM(L$7:L16),K17/SUMIF(J:J,"Total Acumulado",K:K))))</f>
        <v>0.1677518298397519</v>
      </c>
      <c r="M17" s="108"/>
      <c r="N17" s="112">
        <f>IF($J17="","",IF($J17="Total Mensal",SUM(O$7:O16)/VLOOKUP("Total Acumulado",$J:$K,2,FALSE),IF($J17="Total Acumulado",N16+L17+IF(L$7="% Item",-1,0),0%)))</f>
        <v>0</v>
      </c>
      <c r="O17" s="109">
        <f>IF($J17="","",IF($J17="Total Mensal",SUM(O$7:O16),IF($J17="Total Acumulado",SUM(O$7:O15)+M17,IFERROR(N17*$K17,0))))</f>
        <v>0</v>
      </c>
      <c r="P17" s="112">
        <f>IF($J17="","",IF($J17="Total Mensal",SUM(Q$7:Q16)/VLOOKUP("Total Acumulado",$J:$K,2,FALSE),IF($J17="Total Acumulado",P16+N17+IF(N$7="% Item",-1,0),0%)))</f>
        <v>0</v>
      </c>
      <c r="Q17" s="109">
        <f>IF($J17="","",IF($J17="Total Mensal",SUM(Q$7:Q16),IF($J17="Total Acumulado",SUM(Q$7:Q15)+O17,IFERROR(P17*$K17,0))))</f>
        <v>0</v>
      </c>
      <c r="R17" s="112">
        <f>IF($J17="","",IF($J17="Total Mensal",SUM(S$7:S16)/VLOOKUP("Total Acumulado",$J:$K,2,FALSE),IF($J17="Total Acumulado",R16+P17+IF(P$7="% Item",-1,0),0%)))</f>
        <v>0</v>
      </c>
      <c r="S17" s="109">
        <f>IF($J17="","",IF($J17="Total Mensal",SUM(S$7:S16),IF($J17="Total Acumulado",SUM(S$7:S15)+Q17,IFERROR(R17*$K17,0))))</f>
        <v>0</v>
      </c>
      <c r="T17" s="112">
        <f>IF($J17="","",IF($J17="Total Mensal",SUM(U$7:U16)/VLOOKUP("Total Acumulado",$J:$K,2,FALSE),IF($J17="Total Acumulado",T16+R17+IF(R$7="% Item",-1,0),0%)))</f>
        <v>0</v>
      </c>
      <c r="U17" s="109">
        <f>IF($J17="","",IF($J17="Total Mensal",SUM(U$7:U16),IF($J17="Total Acumulado",SUM(U$7:U15)+S17,IFERROR(T17*$K17,0))))</f>
        <v>0</v>
      </c>
      <c r="V17" s="112">
        <f>IF($J17="","",IF($J17="Total Mensal",SUM(W$7:W16)/VLOOKUP("Total Acumulado",$J:$K,2,FALSE),IF($J17="Total Acumulado",V16+T17+IF(T$7="% Item",-1,0),0%)))</f>
        <v>0</v>
      </c>
      <c r="W17" s="109">
        <f>IF($J17="","",IF($J17="Total Mensal",SUM(W$7:W16),IF($J17="Total Acumulado",SUM(W$7:W15)+U17,IFERROR(V17*$K17,0))))</f>
        <v>0</v>
      </c>
      <c r="X17" s="112">
        <f>IF($J17="","",IF($J17="Total Mensal",SUM(Y$7:Y16)/VLOOKUP("Total Acumulado",$J:$K,2,FALSE),IF($J17="Total Acumulado",X16+V17+IF(V$7="% Item",-1,0),0%)))</f>
        <v>0</v>
      </c>
      <c r="Y17" s="109">
        <f>IF($J17="","",IF($J17="Total Mensal",SUM(Y$7:Y16),IF($J17="Total Acumulado",SUM(Y$7:Y15)+W17,IFERROR(X17*$K17,0))))</f>
        <v>0</v>
      </c>
      <c r="Z17" s="112">
        <f>IF($J17="","",IF($J17="Total Mensal",SUM(AA$7:AA16)/VLOOKUP("Total Acumulado",$J:$K,2,FALSE),IF($J17="Total Acumulado",Z16+X17+IF(X$7="% Item",-1,0),0%)))</f>
        <v>0</v>
      </c>
      <c r="AA17" s="109">
        <f>IF($J17="","",IF($J17="Total Mensal",SUM(AA$7:AA16),IF($J17="Total Acumulado",SUM(AA$7:AA15)+Y17,IFERROR(Z17*$K17,0))))</f>
        <v>0</v>
      </c>
      <c r="AB17" s="112">
        <f>IF($J17="","",IF($J17="Total Mensal",SUM(AC$7:AC16)/VLOOKUP("Total Acumulado",$J:$K,2,FALSE),IF($J17="Total Acumulado",AB16+Z17+IF(Z$7="% Item",-1,0),0%)))</f>
        <v>0</v>
      </c>
      <c r="AC17" s="109">
        <f>IF($J17="","",IF($J17="Total Mensal",SUM(AC$7:AC16),IF($J17="Total Acumulado",SUM(AC$7:AC15)+AA17,IFERROR(AB17*$K17,0))))</f>
        <v>0</v>
      </c>
      <c r="AD17" s="112">
        <f>IF($J17="","",IF($J17="Total Mensal",SUM(AE$7:AE16)/VLOOKUP("Total Acumulado",$J:$K,2,FALSE),IF($J17="Total Acumulado",AD16+AB17+IF(AB$7="% Item",-1,0),0%)))</f>
        <v>0</v>
      </c>
      <c r="AE17" s="109">
        <f>IF($J17="","",IF($J17="Total Mensal",SUM(AE$7:AE16),IF($J17="Total Acumulado",SUM(AE$7:AE15)+AC17,IFERROR(AD17*$K17,0))))</f>
        <v>0</v>
      </c>
      <c r="AF17" s="112">
        <f>IF($J17="","",IF($J17="Total Mensal",SUM(AG$7:AG16)/VLOOKUP("Total Acumulado",$J:$K,2,FALSE),IF($J17="Total Acumulado",AF16+AD17+IF(AD$7="% Item",-1,0),0%)))</f>
        <v>0</v>
      </c>
      <c r="AG17" s="109">
        <f>IF($J17="","",IF($J17="Total Mensal",SUM(AG$7:AG16),IF($J17="Total Acumulado",SUM(AG$7:AG15)+AE17,IFERROR(AF17*$K17,0))))</f>
        <v>0</v>
      </c>
      <c r="AH17" s="112">
        <f>IF($J17="","",IF($J17="Total Mensal",SUM(AI$7:AI16)/VLOOKUP("Total Acumulado",$J:$K,2,FALSE),IF($J17="Total Acumulado",AH16+AF17+IF(AF$7="% Item",-1,0),0%)))</f>
        <v>0</v>
      </c>
      <c r="AI17" s="109">
        <f>IF($J17="","",IF($J17="Total Mensal",SUM(AI$7:AI16),IF($J17="Total Acumulado",SUM(AI$7:AI15)+AG17,IFERROR(AH17*$K17,0))))</f>
        <v>0</v>
      </c>
      <c r="AJ17" s="112">
        <f>IF($J17="","",IF($J17="Total Mensal",SUM(AK$7:AK16)/VLOOKUP("Total Acumulado",$J:$K,2,FALSE),IF($J17="Total Acumulado",AJ16+AH17+IF(AH$7="% Item",-1,0),0%)))</f>
        <v>0</v>
      </c>
      <c r="AK17" s="109">
        <f>IF($J17="","",IF($J17="Total Mensal",SUM(AK$7:AK16),IF($J17="Total Acumulado",SUM(AK$7:AK15)+AI17,IFERROR(AJ17*$K17,0))))</f>
        <v>0</v>
      </c>
    </row>
    <row r="18" spans="2:37" x14ac:dyDescent="0.25">
      <c r="B18" s="41">
        <f>IFERROR(IF(C17=C14,IF(B17+1&lt;='MAPA DE PREÇOS'!$H$8,B17+1,""),B17),"")</f>
        <v>11</v>
      </c>
      <c r="C18" s="41">
        <f>IFERROR(VLOOKUP(B18,'MAPA DE PREÇOS'!B:D,2,FALSE),"")</f>
        <v>1</v>
      </c>
      <c r="D18" s="41">
        <f>IFERROR(VLOOKUP(B18,'MAPA DE PREÇOS'!B:D,3,FALSE),"")</f>
        <v>11</v>
      </c>
      <c r="E18" s="82">
        <f t="shared" si="0"/>
        <v>11</v>
      </c>
      <c r="F18" s="82">
        <f>IF($B17="","",IF($C18=$C15,INDEX('MAPA DE PREÇOS'!$H:$H,MATCH($B18,'MAPA DE PREÇOS'!$B:$B)-19),IF($C18=$C16,"Código","")))</f>
        <v>0</v>
      </c>
      <c r="G18" s="83" t="str">
        <f>IF($B17="","",IF($C18=$C15,IF('BASE EDITAL'!$C$2="",INDEX('MAPA DE PREÇOS'!H:H,MATCH(EDITAL!B18,'MAPA DE PREÇOS'!B:B,0)+1),UPPER(INDEX('BASE EDITAL'!$C:$C,EDITAL!B18+1))),IF($C18=$C16,"Especificação do Objeto","")))</f>
        <v>Adesivos lixeiras</v>
      </c>
      <c r="H18" s="84" t="str">
        <f>IF($B17="","",IF($C18=$C15,INDEX('MAPA DE PREÇOS'!$M:$M,MATCH($B18,'MAPA DE PREÇOS'!$B:$B)-16),IF($C18=$C16,"Unidade","")))</f>
        <v>M2</v>
      </c>
      <c r="I18" s="84">
        <f>IF($B17="","",IF($C18=$C15,INDEX('MAPA DE PREÇOS'!$M:$M,MATCH($B18,'MAPA DE PREÇOS'!$B:$B)-17),IF($C18=$C16,"Quant.","")))</f>
        <v>5181</v>
      </c>
      <c r="J18" s="60">
        <f>IF(J17="Total Mensal","Total Acumulado",IF($B17="","",IF($C18=$C15,INDEX('MAPA DE PREÇOS'!$M:$M,MATCH($B18,'MAPA DE PREÇOS'!$B:$B)-19),IF($C18=$C16,"Valor Unit. (R$)",IF(AND($C18&lt;&gt;$C17,$J17&lt;&gt;""),"Total Mensal","")))))</f>
        <v>34.5</v>
      </c>
      <c r="K18" s="75">
        <f>IF(J18="","",IF(J18="Total Mensal","-",IF(J18="Total Acumulado",SUM(K$7:K17),I18*J18)))</f>
        <v>178744.5</v>
      </c>
      <c r="L18" s="112">
        <f>IF(J18="","",IF(J18="Total Mensal","-",IF(J18="Total Acumulado",SUM(L$7:L17),K18/SUMIF(J:J,"Total Acumulado",K:K))))</f>
        <v>3.6485671063538616E-2</v>
      </c>
      <c r="M18" s="108"/>
      <c r="N18" s="112">
        <f>IF($J18="","",IF($J18="Total Mensal",SUM(O$7:O17)/VLOOKUP("Total Acumulado",$J:$K,2,FALSE),IF($J18="Total Acumulado",N17+L18+IF(L$7="% Item",-1,0),0%)))</f>
        <v>0</v>
      </c>
      <c r="O18" s="109">
        <f>IF($J18="","",IF($J18="Total Mensal",SUM(O$7:O17),IF($J18="Total Acumulado",SUM(O$7:O16)+M18,IFERROR(N18*$K18,0))))</f>
        <v>0</v>
      </c>
      <c r="P18" s="112">
        <f>IF($J18="","",IF($J18="Total Mensal",SUM(Q$7:Q17)/VLOOKUP("Total Acumulado",$J:$K,2,FALSE),IF($J18="Total Acumulado",P17+N18+IF(N$7="% Item",-1,0),0%)))</f>
        <v>0</v>
      </c>
      <c r="Q18" s="109">
        <f>IF($J18="","",IF($J18="Total Mensal",SUM(Q$7:Q17),IF($J18="Total Acumulado",SUM(Q$7:Q16)+O18,IFERROR(P18*$K18,0))))</f>
        <v>0</v>
      </c>
      <c r="R18" s="112">
        <f>IF($J18="","",IF($J18="Total Mensal",SUM(S$7:S17)/VLOOKUP("Total Acumulado",$J:$K,2,FALSE),IF($J18="Total Acumulado",R17+P18+IF(P$7="% Item",-1,0),0%)))</f>
        <v>0</v>
      </c>
      <c r="S18" s="109">
        <f>IF($J18="","",IF($J18="Total Mensal",SUM(S$7:S17),IF($J18="Total Acumulado",SUM(S$7:S16)+Q18,IFERROR(R18*$K18,0))))</f>
        <v>0</v>
      </c>
      <c r="T18" s="112">
        <f>IF($J18="","",IF($J18="Total Mensal",SUM(U$7:U17)/VLOOKUP("Total Acumulado",$J:$K,2,FALSE),IF($J18="Total Acumulado",T17+R18+IF(R$7="% Item",-1,0),0%)))</f>
        <v>0</v>
      </c>
      <c r="U18" s="109">
        <f>IF($J18="","",IF($J18="Total Mensal",SUM(U$7:U17),IF($J18="Total Acumulado",SUM(U$7:U16)+S18,IFERROR(T18*$K18,0))))</f>
        <v>0</v>
      </c>
      <c r="V18" s="112">
        <f>IF($J18="","",IF($J18="Total Mensal",SUM(W$7:W17)/VLOOKUP("Total Acumulado",$J:$K,2,FALSE),IF($J18="Total Acumulado",V17+T18+IF(T$7="% Item",-1,0),0%)))</f>
        <v>0</v>
      </c>
      <c r="W18" s="109">
        <f>IF($J18="","",IF($J18="Total Mensal",SUM(W$7:W17),IF($J18="Total Acumulado",SUM(W$7:W16)+U18,IFERROR(V18*$K18,0))))</f>
        <v>0</v>
      </c>
      <c r="X18" s="112">
        <f>IF($J18="","",IF($J18="Total Mensal",SUM(Y$7:Y17)/VLOOKUP("Total Acumulado",$J:$K,2,FALSE),IF($J18="Total Acumulado",X17+V18+IF(V$7="% Item",-1,0),0%)))</f>
        <v>0</v>
      </c>
      <c r="Y18" s="109">
        <f>IF($J18="","",IF($J18="Total Mensal",SUM(Y$7:Y17),IF($J18="Total Acumulado",SUM(Y$7:Y16)+W18,IFERROR(X18*$K18,0))))</f>
        <v>0</v>
      </c>
      <c r="Z18" s="112">
        <f>IF($J18="","",IF($J18="Total Mensal",SUM(AA$7:AA17)/VLOOKUP("Total Acumulado",$J:$K,2,FALSE),IF($J18="Total Acumulado",Z17+X18+IF(X$7="% Item",-1,0),0%)))</f>
        <v>0</v>
      </c>
      <c r="AA18" s="109">
        <f>IF($J18="","",IF($J18="Total Mensal",SUM(AA$7:AA17),IF($J18="Total Acumulado",SUM(AA$7:AA16)+Y18,IFERROR(Z18*$K18,0))))</f>
        <v>0</v>
      </c>
      <c r="AB18" s="112">
        <f>IF($J18="","",IF($J18="Total Mensal",SUM(AC$7:AC17)/VLOOKUP("Total Acumulado",$J:$K,2,FALSE),IF($J18="Total Acumulado",AB17+Z18+IF(Z$7="% Item",-1,0),0%)))</f>
        <v>0</v>
      </c>
      <c r="AC18" s="109">
        <f>IF($J18="","",IF($J18="Total Mensal",SUM(AC$7:AC17),IF($J18="Total Acumulado",SUM(AC$7:AC16)+AA18,IFERROR(AB18*$K18,0))))</f>
        <v>0</v>
      </c>
      <c r="AD18" s="112">
        <f>IF($J18="","",IF($J18="Total Mensal",SUM(AE$7:AE17)/VLOOKUP("Total Acumulado",$J:$K,2,FALSE),IF($J18="Total Acumulado",AD17+AB18+IF(AB$7="% Item",-1,0),0%)))</f>
        <v>0</v>
      </c>
      <c r="AE18" s="109">
        <f>IF($J18="","",IF($J18="Total Mensal",SUM(AE$7:AE17),IF($J18="Total Acumulado",SUM(AE$7:AE16)+AC18,IFERROR(AD18*$K18,0))))</f>
        <v>0</v>
      </c>
      <c r="AF18" s="112">
        <f>IF($J18="","",IF($J18="Total Mensal",SUM(AG$7:AG17)/VLOOKUP("Total Acumulado",$J:$K,2,FALSE),IF($J18="Total Acumulado",AF17+AD18+IF(AD$7="% Item",-1,0),0%)))</f>
        <v>0</v>
      </c>
      <c r="AG18" s="109">
        <f>IF($J18="","",IF($J18="Total Mensal",SUM(AG$7:AG17),IF($J18="Total Acumulado",SUM(AG$7:AG16)+AE18,IFERROR(AF18*$K18,0))))</f>
        <v>0</v>
      </c>
      <c r="AH18" s="112">
        <f>IF($J18="","",IF($J18="Total Mensal",SUM(AI$7:AI17)/VLOOKUP("Total Acumulado",$J:$K,2,FALSE),IF($J18="Total Acumulado",AH17+AF18+IF(AF$7="% Item",-1,0),0%)))</f>
        <v>0</v>
      </c>
      <c r="AI18" s="109">
        <f>IF($J18="","",IF($J18="Total Mensal",SUM(AI$7:AI17),IF($J18="Total Acumulado",SUM(AI$7:AI16)+AG18,IFERROR(AH18*$K18,0))))</f>
        <v>0</v>
      </c>
      <c r="AJ18" s="112">
        <f>IF($J18="","",IF($J18="Total Mensal",SUM(AK$7:AK17)/VLOOKUP("Total Acumulado",$J:$K,2,FALSE),IF($J18="Total Acumulado",AJ17+AH18+IF(AH$7="% Item",-1,0),0%)))</f>
        <v>0</v>
      </c>
      <c r="AK18" s="109">
        <f>IF($J18="","",IF($J18="Total Mensal",SUM(AK$7:AK17),IF($J18="Total Acumulado",SUM(AK$7:AK16)+AI18,IFERROR(AJ18*$K18,0))))</f>
        <v>0</v>
      </c>
    </row>
    <row r="19" spans="2:37" x14ac:dyDescent="0.25">
      <c r="B19" s="41">
        <f>IFERROR(IF(C18=C15,IF(B18+1&lt;='MAPA DE PREÇOS'!$H$8,B18+1,""),B18),"")</f>
        <v>12</v>
      </c>
      <c r="C19" s="41">
        <f>IFERROR(VLOOKUP(B19,'MAPA DE PREÇOS'!B:D,2,FALSE),"")</f>
        <v>1</v>
      </c>
      <c r="D19" s="41">
        <f>IFERROR(VLOOKUP(B19,'MAPA DE PREÇOS'!B:D,3,FALSE),"")</f>
        <v>12</v>
      </c>
      <c r="E19" s="82">
        <f t="shared" si="0"/>
        <v>12</v>
      </c>
      <c r="F19" s="82">
        <f>IF($B18="","",IF($C19=$C16,INDEX('MAPA DE PREÇOS'!$H:$H,MATCH($B19,'MAPA DE PREÇOS'!$B:$B)-19),IF($C19=$C17,"Código","")))</f>
        <v>0</v>
      </c>
      <c r="G19" s="83" t="str">
        <f>IF($B18="","",IF($C19=$C16,IF('BASE EDITAL'!$C$2="",INDEX('MAPA DE PREÇOS'!H:H,MATCH(EDITAL!B19,'MAPA DE PREÇOS'!B:B,0)+1),UPPER(INDEX('BASE EDITAL'!$C:$C,EDITAL!B19+1))),IF($C19=$C17,"Especificação do Objeto","")))</f>
        <v>Adesivos refletivos para carro</v>
      </c>
      <c r="H19" s="84" t="str">
        <f>IF($B18="","",IF($C19=$C16,INDEX('MAPA DE PREÇOS'!$M:$M,MATCH($B19,'MAPA DE PREÇOS'!$B:$B)-16),IF($C19=$C17,"Unidade","")))</f>
        <v>M2</v>
      </c>
      <c r="I19" s="84">
        <f>IF($B18="","",IF($C19=$C16,INDEX('MAPA DE PREÇOS'!$M:$M,MATCH($B19,'MAPA DE PREÇOS'!$B:$B)-17),IF($C19=$C17,"Quant.","")))</f>
        <v>1979</v>
      </c>
      <c r="J19" s="60">
        <f>IF(J18="Total Mensal","Total Acumulado",IF($B18="","",IF($C19=$C16,INDEX('MAPA DE PREÇOS'!$M:$M,MATCH($B19,'MAPA DE PREÇOS'!$B:$B)-19),IF($C19=$C17,"Valor Unit. (R$)",IF(AND($C19&lt;&gt;$C18,$J18&lt;&gt;""),"Total Mensal","")))))</f>
        <v>76.34</v>
      </c>
      <c r="K19" s="75">
        <f>IF(J19="","",IF(J19="Total Mensal","-",IF(J19="Total Acumulado",SUM(K$7:K18),I19*J19)))</f>
        <v>151076.86000000002</v>
      </c>
      <c r="L19" s="112">
        <f>IF(J19="","",IF(J19="Total Mensal","-",IF(J19="Total Acumulado",SUM(L$7:L18),K19/SUMIF(J:J,"Total Acumulado",K:K))))</f>
        <v>3.0838099182197355E-2</v>
      </c>
      <c r="M19" s="108"/>
      <c r="N19" s="112">
        <f>IF($J19="","",IF($J19="Total Mensal",SUM(O$7:O18)/VLOOKUP("Total Acumulado",$J:$K,2,FALSE),IF($J19="Total Acumulado",N18+L19+IF(L$7="% Item",-1,0),0%)))</f>
        <v>0</v>
      </c>
      <c r="O19" s="109">
        <f>IF($J19="","",IF($J19="Total Mensal",SUM(O$7:O18),IF($J19="Total Acumulado",SUM(O$7:O17)+M19,IFERROR(N19*$K19,0))))</f>
        <v>0</v>
      </c>
      <c r="P19" s="112">
        <f>IF($J19="","",IF($J19="Total Mensal",SUM(Q$7:Q18)/VLOOKUP("Total Acumulado",$J:$K,2,FALSE),IF($J19="Total Acumulado",P18+N19+IF(N$7="% Item",-1,0),0%)))</f>
        <v>0</v>
      </c>
      <c r="Q19" s="109">
        <f>IF($J19="","",IF($J19="Total Mensal",SUM(Q$7:Q18),IF($J19="Total Acumulado",SUM(Q$7:Q17)+O19,IFERROR(P19*$K19,0))))</f>
        <v>0</v>
      </c>
      <c r="R19" s="112">
        <f>IF($J19="","",IF($J19="Total Mensal",SUM(S$7:S18)/VLOOKUP("Total Acumulado",$J:$K,2,FALSE),IF($J19="Total Acumulado",R18+P19+IF(P$7="% Item",-1,0),0%)))</f>
        <v>0</v>
      </c>
      <c r="S19" s="109">
        <f>IF($J19="","",IF($J19="Total Mensal",SUM(S$7:S18),IF($J19="Total Acumulado",SUM(S$7:S17)+Q19,IFERROR(R19*$K19,0))))</f>
        <v>0</v>
      </c>
      <c r="T19" s="112">
        <f>IF($J19="","",IF($J19="Total Mensal",SUM(U$7:U18)/VLOOKUP("Total Acumulado",$J:$K,2,FALSE),IF($J19="Total Acumulado",T18+R19+IF(R$7="% Item",-1,0),0%)))</f>
        <v>0</v>
      </c>
      <c r="U19" s="109">
        <f>IF($J19="","",IF($J19="Total Mensal",SUM(U$7:U18),IF($J19="Total Acumulado",SUM(U$7:U17)+S19,IFERROR(T19*$K19,0))))</f>
        <v>0</v>
      </c>
      <c r="V19" s="112">
        <f>IF($J19="","",IF($J19="Total Mensal",SUM(W$7:W18)/VLOOKUP("Total Acumulado",$J:$K,2,FALSE),IF($J19="Total Acumulado",V18+T19+IF(T$7="% Item",-1,0),0%)))</f>
        <v>0</v>
      </c>
      <c r="W19" s="109">
        <f>IF($J19="","",IF($J19="Total Mensal",SUM(W$7:W18),IF($J19="Total Acumulado",SUM(W$7:W17)+U19,IFERROR(V19*$K19,0))))</f>
        <v>0</v>
      </c>
      <c r="X19" s="112">
        <f>IF($J19="","",IF($J19="Total Mensal",SUM(Y$7:Y18)/VLOOKUP("Total Acumulado",$J:$K,2,FALSE),IF($J19="Total Acumulado",X18+V19+IF(V$7="% Item",-1,0),0%)))</f>
        <v>0</v>
      </c>
      <c r="Y19" s="109">
        <f>IF($J19="","",IF($J19="Total Mensal",SUM(Y$7:Y18),IF($J19="Total Acumulado",SUM(Y$7:Y17)+W19,IFERROR(X19*$K19,0))))</f>
        <v>0</v>
      </c>
      <c r="Z19" s="112">
        <f>IF($J19="","",IF($J19="Total Mensal",SUM(AA$7:AA18)/VLOOKUP("Total Acumulado",$J:$K,2,FALSE),IF($J19="Total Acumulado",Z18+X19+IF(X$7="% Item",-1,0),0%)))</f>
        <v>0</v>
      </c>
      <c r="AA19" s="109">
        <f>IF($J19="","",IF($J19="Total Mensal",SUM(AA$7:AA18),IF($J19="Total Acumulado",SUM(AA$7:AA17)+Y19,IFERROR(Z19*$K19,0))))</f>
        <v>0</v>
      </c>
      <c r="AB19" s="112">
        <f>IF($J19="","",IF($J19="Total Mensal",SUM(AC$7:AC18)/VLOOKUP("Total Acumulado",$J:$K,2,FALSE),IF($J19="Total Acumulado",AB18+Z19+IF(Z$7="% Item",-1,0),0%)))</f>
        <v>0</v>
      </c>
      <c r="AC19" s="109">
        <f>IF($J19="","",IF($J19="Total Mensal",SUM(AC$7:AC18),IF($J19="Total Acumulado",SUM(AC$7:AC17)+AA19,IFERROR(AB19*$K19,0))))</f>
        <v>0</v>
      </c>
      <c r="AD19" s="112">
        <f>IF($J19="","",IF($J19="Total Mensal",SUM(AE$7:AE18)/VLOOKUP("Total Acumulado",$J:$K,2,FALSE),IF($J19="Total Acumulado",AD18+AB19+IF(AB$7="% Item",-1,0),0%)))</f>
        <v>0</v>
      </c>
      <c r="AE19" s="109">
        <f>IF($J19="","",IF($J19="Total Mensal",SUM(AE$7:AE18),IF($J19="Total Acumulado",SUM(AE$7:AE17)+AC19,IFERROR(AD19*$K19,0))))</f>
        <v>0</v>
      </c>
      <c r="AF19" s="112">
        <f>IF($J19="","",IF($J19="Total Mensal",SUM(AG$7:AG18)/VLOOKUP("Total Acumulado",$J:$K,2,FALSE),IF($J19="Total Acumulado",AF18+AD19+IF(AD$7="% Item",-1,0),0%)))</f>
        <v>0</v>
      </c>
      <c r="AG19" s="109">
        <f>IF($J19="","",IF($J19="Total Mensal",SUM(AG$7:AG18),IF($J19="Total Acumulado",SUM(AG$7:AG17)+AE19,IFERROR(AF19*$K19,0))))</f>
        <v>0</v>
      </c>
      <c r="AH19" s="112">
        <f>IF($J19="","",IF($J19="Total Mensal",SUM(AI$7:AI18)/VLOOKUP("Total Acumulado",$J:$K,2,FALSE),IF($J19="Total Acumulado",AH18+AF19+IF(AF$7="% Item",-1,0),0%)))</f>
        <v>0</v>
      </c>
      <c r="AI19" s="109">
        <f>IF($J19="","",IF($J19="Total Mensal",SUM(AI$7:AI18),IF($J19="Total Acumulado",SUM(AI$7:AI17)+AG19,IFERROR(AH19*$K19,0))))</f>
        <v>0</v>
      </c>
      <c r="AJ19" s="112">
        <f>IF($J19="","",IF($J19="Total Mensal",SUM(AK$7:AK18)/VLOOKUP("Total Acumulado",$J:$K,2,FALSE),IF($J19="Total Acumulado",AJ18+AH19+IF(AH$7="% Item",-1,0),0%)))</f>
        <v>0</v>
      </c>
      <c r="AK19" s="109">
        <f>IF($J19="","",IF($J19="Total Mensal",SUM(AK$7:AK18),IF($J19="Total Acumulado",SUM(AK$7:AK17)+AI19,IFERROR(AJ19*$K19,0))))</f>
        <v>0</v>
      </c>
    </row>
    <row r="20" spans="2:37" x14ac:dyDescent="0.25">
      <c r="B20" s="41">
        <f>IFERROR(IF(C19=C16,IF(B19+1&lt;='MAPA DE PREÇOS'!$H$8,B19+1,""),B19),"")</f>
        <v>13</v>
      </c>
      <c r="C20" s="41">
        <f>IFERROR(VLOOKUP(B20,'MAPA DE PREÇOS'!B:D,2,FALSE),"")</f>
        <v>1</v>
      </c>
      <c r="D20" s="41">
        <f>IFERROR(VLOOKUP(B20,'MAPA DE PREÇOS'!B:D,3,FALSE),"")</f>
        <v>13</v>
      </c>
      <c r="E20" s="82">
        <f t="shared" si="0"/>
        <v>13</v>
      </c>
      <c r="F20" s="82">
        <f>IF($B19="","",IF($C20=$C17,INDEX('MAPA DE PREÇOS'!$H:$H,MATCH($B20,'MAPA DE PREÇOS'!$B:$B)-19),IF($C20=$C18,"Código","")))</f>
        <v>0</v>
      </c>
      <c r="G20" s="83" t="str">
        <f>IF($B19="","",IF($C20=$C17,IF('BASE EDITAL'!$C$2="",INDEX('MAPA DE PREÇOS'!H:H,MATCH(EDITAL!B20,'MAPA DE PREÇOS'!B:B,0)+1),UPPER(INDEX('BASE EDITAL'!$C:$C,EDITAL!B20+1))),IF($C20=$C18,"Especificação do Objeto","")))</f>
        <v>Totens</v>
      </c>
      <c r="H20" s="84" t="str">
        <f>IF($B19="","",IF($C20=$C17,INDEX('MAPA DE PREÇOS'!$M:$M,MATCH($B20,'MAPA DE PREÇOS'!$B:$B)-16),IF($C20=$C18,"Unidade","")))</f>
        <v>UND</v>
      </c>
      <c r="I20" s="84">
        <f>IF($B19="","",IF($C20=$C17,INDEX('MAPA DE PREÇOS'!$M:$M,MATCH($B20,'MAPA DE PREÇOS'!$B:$B)-17),IF($C20=$C18,"Quant.","")))</f>
        <v>399</v>
      </c>
      <c r="J20" s="60">
        <f>IF(J19="Total Mensal","Total Acumulado",IF($B19="","",IF($C20=$C17,INDEX('MAPA DE PREÇOS'!$M:$M,MATCH($B20,'MAPA DE PREÇOS'!$B:$B)-19),IF($C20=$C18,"Valor Unit. (R$)",IF(AND($C20&lt;&gt;$C19,$J19&lt;&gt;""),"Total Mensal","")))))</f>
        <v>3651.14</v>
      </c>
      <c r="K20" s="75">
        <f>IF(J20="","",IF(J20="Total Mensal","-",IF(J20="Total Acumulado",SUM(K$7:K19),I20*J20)))</f>
        <v>1456804.8599999999</v>
      </c>
      <c r="L20" s="112">
        <f>IF(J20="","",IF(J20="Total Mensal","-",IF(J20="Total Acumulado",SUM(L$7:L19),K20/SUMIF(J:J,"Total Acumulado",K:K))))</f>
        <v>0.297365809441546</v>
      </c>
      <c r="M20" s="108"/>
      <c r="N20" s="112">
        <f>IF($J20="","",IF($J20="Total Mensal",SUM(O$7:O19)/VLOOKUP("Total Acumulado",$J:$K,2,FALSE),IF($J20="Total Acumulado",N19+L20+IF(L$7="% Item",-1,0),0%)))</f>
        <v>0</v>
      </c>
      <c r="O20" s="109">
        <f>IF($J20="","",IF($J20="Total Mensal",SUM(O$7:O19),IF($J20="Total Acumulado",SUM(O$7:O18)+M20,IFERROR(N20*$K20,0))))</f>
        <v>0</v>
      </c>
      <c r="P20" s="112">
        <f>IF($J20="","",IF($J20="Total Mensal",SUM(Q$7:Q19)/VLOOKUP("Total Acumulado",$J:$K,2,FALSE),IF($J20="Total Acumulado",P19+N20+IF(N$7="% Item",-1,0),0%)))</f>
        <v>0</v>
      </c>
      <c r="Q20" s="109">
        <f>IF($J20="","",IF($J20="Total Mensal",SUM(Q$7:Q19),IF($J20="Total Acumulado",SUM(Q$7:Q18)+O20,IFERROR(P20*$K20,0))))</f>
        <v>0</v>
      </c>
      <c r="R20" s="112">
        <f>IF($J20="","",IF($J20="Total Mensal",SUM(S$7:S19)/VLOOKUP("Total Acumulado",$J:$K,2,FALSE),IF($J20="Total Acumulado",R19+P20+IF(P$7="% Item",-1,0),0%)))</f>
        <v>0</v>
      </c>
      <c r="S20" s="109">
        <f>IF($J20="","",IF($J20="Total Mensal",SUM(S$7:S19),IF($J20="Total Acumulado",SUM(S$7:S18)+Q20,IFERROR(R20*$K20,0))))</f>
        <v>0</v>
      </c>
      <c r="T20" s="112">
        <f>IF($J20="","",IF($J20="Total Mensal",SUM(U$7:U19)/VLOOKUP("Total Acumulado",$J:$K,2,FALSE),IF($J20="Total Acumulado",T19+R20+IF(R$7="% Item",-1,0),0%)))</f>
        <v>0</v>
      </c>
      <c r="U20" s="109">
        <f>IF($J20="","",IF($J20="Total Mensal",SUM(U$7:U19),IF($J20="Total Acumulado",SUM(U$7:U18)+S20,IFERROR(T20*$K20,0))))</f>
        <v>0</v>
      </c>
      <c r="V20" s="112">
        <f>IF($J20="","",IF($J20="Total Mensal",SUM(W$7:W19)/VLOOKUP("Total Acumulado",$J:$K,2,FALSE),IF($J20="Total Acumulado",V19+T20+IF(T$7="% Item",-1,0),0%)))</f>
        <v>0</v>
      </c>
      <c r="W20" s="109">
        <f>IF($J20="","",IF($J20="Total Mensal",SUM(W$7:W19),IF($J20="Total Acumulado",SUM(W$7:W18)+U20,IFERROR(V20*$K20,0))))</f>
        <v>0</v>
      </c>
      <c r="X20" s="112">
        <f>IF($J20="","",IF($J20="Total Mensal",SUM(Y$7:Y19)/VLOOKUP("Total Acumulado",$J:$K,2,FALSE),IF($J20="Total Acumulado",X19+V20+IF(V$7="% Item",-1,0),0%)))</f>
        <v>0</v>
      </c>
      <c r="Y20" s="109">
        <f>IF($J20="","",IF($J20="Total Mensal",SUM(Y$7:Y19),IF($J20="Total Acumulado",SUM(Y$7:Y18)+W20,IFERROR(X20*$K20,0))))</f>
        <v>0</v>
      </c>
      <c r="Z20" s="112">
        <f>IF($J20="","",IF($J20="Total Mensal",SUM(AA$7:AA19)/VLOOKUP("Total Acumulado",$J:$K,2,FALSE),IF($J20="Total Acumulado",Z19+X20+IF(X$7="% Item",-1,0),0%)))</f>
        <v>0</v>
      </c>
      <c r="AA20" s="109">
        <f>IF($J20="","",IF($J20="Total Mensal",SUM(AA$7:AA19),IF($J20="Total Acumulado",SUM(AA$7:AA18)+Y20,IFERROR(Z20*$K20,0))))</f>
        <v>0</v>
      </c>
      <c r="AB20" s="112">
        <f>IF($J20="","",IF($J20="Total Mensal",SUM(AC$7:AC19)/VLOOKUP("Total Acumulado",$J:$K,2,FALSE),IF($J20="Total Acumulado",AB19+Z20+IF(Z$7="% Item",-1,0),0%)))</f>
        <v>0</v>
      </c>
      <c r="AC20" s="109">
        <f>IF($J20="","",IF($J20="Total Mensal",SUM(AC$7:AC19),IF($J20="Total Acumulado",SUM(AC$7:AC18)+AA20,IFERROR(AB20*$K20,0))))</f>
        <v>0</v>
      </c>
      <c r="AD20" s="112">
        <f>IF($J20="","",IF($J20="Total Mensal",SUM(AE$7:AE19)/VLOOKUP("Total Acumulado",$J:$K,2,FALSE),IF($J20="Total Acumulado",AD19+AB20+IF(AB$7="% Item",-1,0),0%)))</f>
        <v>0</v>
      </c>
      <c r="AE20" s="109">
        <f>IF($J20="","",IF($J20="Total Mensal",SUM(AE$7:AE19),IF($J20="Total Acumulado",SUM(AE$7:AE18)+AC20,IFERROR(AD20*$K20,0))))</f>
        <v>0</v>
      </c>
      <c r="AF20" s="112">
        <f>IF($J20="","",IF($J20="Total Mensal",SUM(AG$7:AG19)/VLOOKUP("Total Acumulado",$J:$K,2,FALSE),IF($J20="Total Acumulado",AF19+AD20+IF(AD$7="% Item",-1,0),0%)))</f>
        <v>0</v>
      </c>
      <c r="AG20" s="109">
        <f>IF($J20="","",IF($J20="Total Mensal",SUM(AG$7:AG19),IF($J20="Total Acumulado",SUM(AG$7:AG18)+AE20,IFERROR(AF20*$K20,0))))</f>
        <v>0</v>
      </c>
      <c r="AH20" s="112">
        <f>IF($J20="","",IF($J20="Total Mensal",SUM(AI$7:AI19)/VLOOKUP("Total Acumulado",$J:$K,2,FALSE),IF($J20="Total Acumulado",AH19+AF20+IF(AF$7="% Item",-1,0),0%)))</f>
        <v>0</v>
      </c>
      <c r="AI20" s="109">
        <f>IF($J20="","",IF($J20="Total Mensal",SUM(AI$7:AI19),IF($J20="Total Acumulado",SUM(AI$7:AI18)+AG20,IFERROR(AH20*$K20,0))))</f>
        <v>0</v>
      </c>
      <c r="AJ20" s="112">
        <f>IF($J20="","",IF($J20="Total Mensal",SUM(AK$7:AK19)/VLOOKUP("Total Acumulado",$J:$K,2,FALSE),IF($J20="Total Acumulado",AJ19+AH20+IF(AH$7="% Item",-1,0),0%)))</f>
        <v>0</v>
      </c>
      <c r="AK20" s="109">
        <f>IF($J20="","",IF($J20="Total Mensal",SUM(AK$7:AK19),IF($J20="Total Acumulado",SUM(AK$7:AK18)+AI20,IFERROR(AJ20*$K20,0))))</f>
        <v>0</v>
      </c>
    </row>
    <row r="21" spans="2:37" x14ac:dyDescent="0.25">
      <c r="B21" s="41">
        <f>IFERROR(IF(C20=C17,IF(B20+1&lt;='MAPA DE PREÇOS'!$H$8,B20+1,""),B20),"")</f>
        <v>14</v>
      </c>
      <c r="C21" s="41">
        <f>IFERROR(VLOOKUP(B21,'MAPA DE PREÇOS'!B:D,2,FALSE),"")</f>
        <v>1</v>
      </c>
      <c r="D21" s="41">
        <f>IFERROR(VLOOKUP(B21,'MAPA DE PREÇOS'!B:D,3,FALSE),"")</f>
        <v>14</v>
      </c>
      <c r="E21" s="82">
        <f t="shared" si="0"/>
        <v>14</v>
      </c>
      <c r="F21" s="82">
        <f>IF($B20="","",IF($C21=$C18,INDEX('MAPA DE PREÇOS'!$H:$H,MATCH($B21,'MAPA DE PREÇOS'!$B:$B)-19),IF($C21=$C19,"Código","")))</f>
        <v>0</v>
      </c>
      <c r="G21" s="83" t="str">
        <f>IF($B20="","",IF($C21=$C18,IF('BASE EDITAL'!$C$2="",INDEX('MAPA DE PREÇOS'!H:H,MATCH(EDITAL!B21,'MAPA DE PREÇOS'!B:B,0)+1),UPPER(INDEX('BASE EDITAL'!$C:$C,EDITAL!B21+1))),IF($C21=$C19,"Especificação do Objeto","")))</f>
        <v>Placas de Fachada modelo 1</v>
      </c>
      <c r="H21" s="84" t="str">
        <f>IF($B20="","",IF($C21=$C18,INDEX('MAPA DE PREÇOS'!$M:$M,MATCH($B21,'MAPA DE PREÇOS'!$B:$B)-16),IF($C21=$C19,"Unidade","")))</f>
        <v>M2</v>
      </c>
      <c r="I21" s="84">
        <f>IF($B20="","",IF($C21=$C18,INDEX('MAPA DE PREÇOS'!$M:$M,MATCH($B21,'MAPA DE PREÇOS'!$B:$B)-17),IF($C21=$C19,"Quant.","")))</f>
        <v>743</v>
      </c>
      <c r="J21" s="60">
        <f>IF(J20="Total Mensal","Total Acumulado",IF($B20="","",IF($C21=$C18,INDEX('MAPA DE PREÇOS'!$M:$M,MATCH($B21,'MAPA DE PREÇOS'!$B:$B)-19),IF($C21=$C19,"Valor Unit. (R$)",IF(AND($C21&lt;&gt;$C20,$J20&lt;&gt;""),"Total Mensal","")))))</f>
        <v>251.43</v>
      </c>
      <c r="K21" s="75">
        <f>IF(J21="","",IF(J21="Total Mensal","-",IF(J21="Total Acumulado",SUM(K$7:K20),I21*J21)))</f>
        <v>186812.49</v>
      </c>
      <c r="L21" s="112">
        <f>IF(J21="","",IF(J21="Total Mensal","-",IF(J21="Total Acumulado",SUM(L$7:L20),K21/SUMIF(J:J,"Total Acumulado",K:K))))</f>
        <v>3.8132524696987025E-2</v>
      </c>
      <c r="M21" s="108"/>
      <c r="N21" s="112">
        <f>IF($J21="","",IF($J21="Total Mensal",SUM(O$7:O20)/VLOOKUP("Total Acumulado",$J:$K,2,FALSE),IF($J21="Total Acumulado",N20+L21+IF(L$7="% Item",-1,0),0%)))</f>
        <v>0</v>
      </c>
      <c r="O21" s="109">
        <f>IF($J21="","",IF($J21="Total Mensal",SUM(O$7:O20),IF($J21="Total Acumulado",SUM(O$7:O19)+M21,IFERROR(N21*$K21,0))))</f>
        <v>0</v>
      </c>
      <c r="P21" s="112">
        <f>IF($J21="","",IF($J21="Total Mensal",SUM(Q$7:Q20)/VLOOKUP("Total Acumulado",$J:$K,2,FALSE),IF($J21="Total Acumulado",P20+N21+IF(N$7="% Item",-1,0),0%)))</f>
        <v>0</v>
      </c>
      <c r="Q21" s="109">
        <f>IF($J21="","",IF($J21="Total Mensal",SUM(Q$7:Q20),IF($J21="Total Acumulado",SUM(Q$7:Q19)+O21,IFERROR(P21*$K21,0))))</f>
        <v>0</v>
      </c>
      <c r="R21" s="112">
        <f>IF($J21="","",IF($J21="Total Mensal",SUM(S$7:S20)/VLOOKUP("Total Acumulado",$J:$K,2,FALSE),IF($J21="Total Acumulado",R20+P21+IF(P$7="% Item",-1,0),0%)))</f>
        <v>0</v>
      </c>
      <c r="S21" s="109">
        <f>IF($J21="","",IF($J21="Total Mensal",SUM(S$7:S20),IF($J21="Total Acumulado",SUM(S$7:S19)+Q21,IFERROR(R21*$K21,0))))</f>
        <v>0</v>
      </c>
      <c r="T21" s="112">
        <f>IF($J21="","",IF($J21="Total Mensal",SUM(U$7:U20)/VLOOKUP("Total Acumulado",$J:$K,2,FALSE),IF($J21="Total Acumulado",T20+R21+IF(R$7="% Item",-1,0),0%)))</f>
        <v>0</v>
      </c>
      <c r="U21" s="109">
        <f>IF($J21="","",IF($J21="Total Mensal",SUM(U$7:U20),IF($J21="Total Acumulado",SUM(U$7:U19)+S21,IFERROR(T21*$K21,0))))</f>
        <v>0</v>
      </c>
      <c r="V21" s="112">
        <f>IF($J21="","",IF($J21="Total Mensal",SUM(W$7:W20)/VLOOKUP("Total Acumulado",$J:$K,2,FALSE),IF($J21="Total Acumulado",V20+T21+IF(T$7="% Item",-1,0),0%)))</f>
        <v>0</v>
      </c>
      <c r="W21" s="109">
        <f>IF($J21="","",IF($J21="Total Mensal",SUM(W$7:W20),IF($J21="Total Acumulado",SUM(W$7:W19)+U21,IFERROR(V21*$K21,0))))</f>
        <v>0</v>
      </c>
      <c r="X21" s="112">
        <f>IF($J21="","",IF($J21="Total Mensal",SUM(Y$7:Y20)/VLOOKUP("Total Acumulado",$J:$K,2,FALSE),IF($J21="Total Acumulado",X20+V21+IF(V$7="% Item",-1,0),0%)))</f>
        <v>0</v>
      </c>
      <c r="Y21" s="109">
        <f>IF($J21="","",IF($J21="Total Mensal",SUM(Y$7:Y20),IF($J21="Total Acumulado",SUM(Y$7:Y19)+W21,IFERROR(X21*$K21,0))))</f>
        <v>0</v>
      </c>
      <c r="Z21" s="112">
        <f>IF($J21="","",IF($J21="Total Mensal",SUM(AA$7:AA20)/VLOOKUP("Total Acumulado",$J:$K,2,FALSE),IF($J21="Total Acumulado",Z20+X21+IF(X$7="% Item",-1,0),0%)))</f>
        <v>0</v>
      </c>
      <c r="AA21" s="109">
        <f>IF($J21="","",IF($J21="Total Mensal",SUM(AA$7:AA20),IF($J21="Total Acumulado",SUM(AA$7:AA19)+Y21,IFERROR(Z21*$K21,0))))</f>
        <v>0</v>
      </c>
      <c r="AB21" s="112">
        <f>IF($J21="","",IF($J21="Total Mensal",SUM(AC$7:AC20)/VLOOKUP("Total Acumulado",$J:$K,2,FALSE),IF($J21="Total Acumulado",AB20+Z21+IF(Z$7="% Item",-1,0),0%)))</f>
        <v>0</v>
      </c>
      <c r="AC21" s="109">
        <f>IF($J21="","",IF($J21="Total Mensal",SUM(AC$7:AC20),IF($J21="Total Acumulado",SUM(AC$7:AC19)+AA21,IFERROR(AB21*$K21,0))))</f>
        <v>0</v>
      </c>
      <c r="AD21" s="112">
        <f>IF($J21="","",IF($J21="Total Mensal",SUM(AE$7:AE20)/VLOOKUP("Total Acumulado",$J:$K,2,FALSE),IF($J21="Total Acumulado",AD20+AB21+IF(AB$7="% Item",-1,0),0%)))</f>
        <v>0</v>
      </c>
      <c r="AE21" s="109">
        <f>IF($J21="","",IF($J21="Total Mensal",SUM(AE$7:AE20),IF($J21="Total Acumulado",SUM(AE$7:AE19)+AC21,IFERROR(AD21*$K21,0))))</f>
        <v>0</v>
      </c>
      <c r="AF21" s="112">
        <f>IF($J21="","",IF($J21="Total Mensal",SUM(AG$7:AG20)/VLOOKUP("Total Acumulado",$J:$K,2,FALSE),IF($J21="Total Acumulado",AF20+AD21+IF(AD$7="% Item",-1,0),0%)))</f>
        <v>0</v>
      </c>
      <c r="AG21" s="109">
        <f>IF($J21="","",IF($J21="Total Mensal",SUM(AG$7:AG20),IF($J21="Total Acumulado",SUM(AG$7:AG19)+AE21,IFERROR(AF21*$K21,0))))</f>
        <v>0</v>
      </c>
      <c r="AH21" s="112">
        <f>IF($J21="","",IF($J21="Total Mensal",SUM(AI$7:AI20)/VLOOKUP("Total Acumulado",$J:$K,2,FALSE),IF($J21="Total Acumulado",AH20+AF21+IF(AF$7="% Item",-1,0),0%)))</f>
        <v>0</v>
      </c>
      <c r="AI21" s="109">
        <f>IF($J21="","",IF($J21="Total Mensal",SUM(AI$7:AI20),IF($J21="Total Acumulado",SUM(AI$7:AI19)+AG21,IFERROR(AH21*$K21,0))))</f>
        <v>0</v>
      </c>
      <c r="AJ21" s="112">
        <f>IF($J21="","",IF($J21="Total Mensal",SUM(AK$7:AK20)/VLOOKUP("Total Acumulado",$J:$K,2,FALSE),IF($J21="Total Acumulado",AJ20+AH21+IF(AH$7="% Item",-1,0),0%)))</f>
        <v>0</v>
      </c>
      <c r="AK21" s="109">
        <f>IF($J21="","",IF($J21="Total Mensal",SUM(AK$7:AK20),IF($J21="Total Acumulado",SUM(AK$7:AK19)+AI21,IFERROR(AJ21*$K21,0))))</f>
        <v>0</v>
      </c>
    </row>
    <row r="22" spans="2:37" x14ac:dyDescent="0.25">
      <c r="B22" s="41">
        <f>IFERROR(IF(C21=C18,IF(B21+1&lt;='MAPA DE PREÇOS'!$H$8,B21+1,""),B21),"")</f>
        <v>15</v>
      </c>
      <c r="C22" s="41">
        <f>IFERROR(VLOOKUP(B22,'MAPA DE PREÇOS'!B:D,2,FALSE),"")</f>
        <v>1</v>
      </c>
      <c r="D22" s="41">
        <f>IFERROR(VLOOKUP(B22,'MAPA DE PREÇOS'!B:D,3,FALSE),"")</f>
        <v>15</v>
      </c>
      <c r="E22" s="82">
        <f t="shared" si="0"/>
        <v>15</v>
      </c>
      <c r="F22" s="82">
        <f>IF($B21="","",IF($C22=$C19,INDEX('MAPA DE PREÇOS'!$H:$H,MATCH($B22,'MAPA DE PREÇOS'!$B:$B)-19),IF($C22=$C20,"Código","")))</f>
        <v>0</v>
      </c>
      <c r="G22" s="83" t="str">
        <f>IF($B21="","",IF($C22=$C19,IF('BASE EDITAL'!$C$2="",INDEX('MAPA DE PREÇOS'!H:H,MATCH(EDITAL!B22,'MAPA DE PREÇOS'!B:B,0)+1),UPPER(INDEX('BASE EDITAL'!$C:$C,EDITAL!B22+1))),IF($C22=$C20,"Especificação do Objeto","")))</f>
        <v>Placas de Fachada modelo 2</v>
      </c>
      <c r="H22" s="84" t="str">
        <f>IF($B21="","",IF($C22=$C19,INDEX('MAPA DE PREÇOS'!$M:$M,MATCH($B22,'MAPA DE PREÇOS'!$B:$B)-16),IF($C22=$C20,"Unidade","")))</f>
        <v>M2</v>
      </c>
      <c r="I22" s="84">
        <f>IF($B21="","",IF($C22=$C19,INDEX('MAPA DE PREÇOS'!$M:$M,MATCH($B22,'MAPA DE PREÇOS'!$B:$B)-17),IF($C22=$C20,"Quant.","")))</f>
        <v>582</v>
      </c>
      <c r="J22" s="60">
        <f>IF(J21="Total Mensal","Total Acumulado",IF($B21="","",IF($C22=$C19,INDEX('MAPA DE PREÇOS'!$M:$M,MATCH($B22,'MAPA DE PREÇOS'!$B:$B)-19),IF($C22=$C20,"Valor Unit. (R$)",IF(AND($C22&lt;&gt;$C21,$J21&lt;&gt;""),"Total Mensal","")))))</f>
        <v>175.5</v>
      </c>
      <c r="K22" s="75">
        <f>IF(J22="","",IF(J22="Total Mensal","-",IF(J22="Total Acumulado",SUM(K$7:K21),I22*J22)))</f>
        <v>102141</v>
      </c>
      <c r="L22" s="112">
        <f>IF(J22="","",IF(J22="Total Mensal","-",IF(J22="Total Acumulado",SUM(L$7:L21),K22/SUMIF(J:J,"Total Acumulado",K:K))))</f>
        <v>2.0849217335923053E-2</v>
      </c>
      <c r="M22" s="108"/>
      <c r="N22" s="112">
        <f>IF($J22="","",IF($J22="Total Mensal",SUM(O$7:O21)/VLOOKUP("Total Acumulado",$J:$K,2,FALSE),IF($J22="Total Acumulado",N21+L22+IF(L$7="% Item",-1,0),0%)))</f>
        <v>0</v>
      </c>
      <c r="O22" s="109">
        <f>IF($J22="","",IF($J22="Total Mensal",SUM(O$7:O21),IF($J22="Total Acumulado",SUM(O$7:O20)+M22,IFERROR(N22*$K22,0))))</f>
        <v>0</v>
      </c>
      <c r="P22" s="112">
        <f>IF($J22="","",IF($J22="Total Mensal",SUM(Q$7:Q21)/VLOOKUP("Total Acumulado",$J:$K,2,FALSE),IF($J22="Total Acumulado",P21+N22+IF(N$7="% Item",-1,0),0%)))</f>
        <v>0</v>
      </c>
      <c r="Q22" s="109">
        <f>IF($J22="","",IF($J22="Total Mensal",SUM(Q$7:Q21),IF($J22="Total Acumulado",SUM(Q$7:Q20)+O22,IFERROR(P22*$K22,0))))</f>
        <v>0</v>
      </c>
      <c r="R22" s="112">
        <f>IF($J22="","",IF($J22="Total Mensal",SUM(S$7:S21)/VLOOKUP("Total Acumulado",$J:$K,2,FALSE),IF($J22="Total Acumulado",R21+P22+IF(P$7="% Item",-1,0),0%)))</f>
        <v>0</v>
      </c>
      <c r="S22" s="109">
        <f>IF($J22="","",IF($J22="Total Mensal",SUM(S$7:S21),IF($J22="Total Acumulado",SUM(S$7:S20)+Q22,IFERROR(R22*$K22,0))))</f>
        <v>0</v>
      </c>
      <c r="T22" s="112">
        <f>IF($J22="","",IF($J22="Total Mensal",SUM(U$7:U21)/VLOOKUP("Total Acumulado",$J:$K,2,FALSE),IF($J22="Total Acumulado",T21+R22+IF(R$7="% Item",-1,0),0%)))</f>
        <v>0</v>
      </c>
      <c r="U22" s="109">
        <f>IF($J22="","",IF($J22="Total Mensal",SUM(U$7:U21),IF($J22="Total Acumulado",SUM(U$7:U20)+S22,IFERROR(T22*$K22,0))))</f>
        <v>0</v>
      </c>
      <c r="V22" s="112">
        <f>IF($J22="","",IF($J22="Total Mensal",SUM(W$7:W21)/VLOOKUP("Total Acumulado",$J:$K,2,FALSE),IF($J22="Total Acumulado",V21+T22+IF(T$7="% Item",-1,0),0%)))</f>
        <v>0</v>
      </c>
      <c r="W22" s="109">
        <f>IF($J22="","",IF($J22="Total Mensal",SUM(W$7:W21),IF($J22="Total Acumulado",SUM(W$7:W20)+U22,IFERROR(V22*$K22,0))))</f>
        <v>0</v>
      </c>
      <c r="X22" s="112">
        <f>IF($J22="","",IF($J22="Total Mensal",SUM(Y$7:Y21)/VLOOKUP("Total Acumulado",$J:$K,2,FALSE),IF($J22="Total Acumulado",X21+V22+IF(V$7="% Item",-1,0),0%)))</f>
        <v>0</v>
      </c>
      <c r="Y22" s="109">
        <f>IF($J22="","",IF($J22="Total Mensal",SUM(Y$7:Y21),IF($J22="Total Acumulado",SUM(Y$7:Y20)+W22,IFERROR(X22*$K22,0))))</f>
        <v>0</v>
      </c>
      <c r="Z22" s="112">
        <f>IF($J22="","",IF($J22="Total Mensal",SUM(AA$7:AA21)/VLOOKUP("Total Acumulado",$J:$K,2,FALSE),IF($J22="Total Acumulado",Z21+X22+IF(X$7="% Item",-1,0),0%)))</f>
        <v>0</v>
      </c>
      <c r="AA22" s="109">
        <f>IF($J22="","",IF($J22="Total Mensal",SUM(AA$7:AA21),IF($J22="Total Acumulado",SUM(AA$7:AA20)+Y22,IFERROR(Z22*$K22,0))))</f>
        <v>0</v>
      </c>
      <c r="AB22" s="112">
        <f>IF($J22="","",IF($J22="Total Mensal",SUM(AC$7:AC21)/VLOOKUP("Total Acumulado",$J:$K,2,FALSE),IF($J22="Total Acumulado",AB21+Z22+IF(Z$7="% Item",-1,0),0%)))</f>
        <v>0</v>
      </c>
      <c r="AC22" s="109">
        <f>IF($J22="","",IF($J22="Total Mensal",SUM(AC$7:AC21),IF($J22="Total Acumulado",SUM(AC$7:AC20)+AA22,IFERROR(AB22*$K22,0))))</f>
        <v>0</v>
      </c>
      <c r="AD22" s="112">
        <f>IF($J22="","",IF($J22="Total Mensal",SUM(AE$7:AE21)/VLOOKUP("Total Acumulado",$J:$K,2,FALSE),IF($J22="Total Acumulado",AD21+AB22+IF(AB$7="% Item",-1,0),0%)))</f>
        <v>0</v>
      </c>
      <c r="AE22" s="109">
        <f>IF($J22="","",IF($J22="Total Mensal",SUM(AE$7:AE21),IF($J22="Total Acumulado",SUM(AE$7:AE20)+AC22,IFERROR(AD22*$K22,0))))</f>
        <v>0</v>
      </c>
      <c r="AF22" s="112">
        <f>IF($J22="","",IF($J22="Total Mensal",SUM(AG$7:AG21)/VLOOKUP("Total Acumulado",$J:$K,2,FALSE),IF($J22="Total Acumulado",AF21+AD22+IF(AD$7="% Item",-1,0),0%)))</f>
        <v>0</v>
      </c>
      <c r="AG22" s="109">
        <f>IF($J22="","",IF($J22="Total Mensal",SUM(AG$7:AG21),IF($J22="Total Acumulado",SUM(AG$7:AG20)+AE22,IFERROR(AF22*$K22,0))))</f>
        <v>0</v>
      </c>
      <c r="AH22" s="112">
        <f>IF($J22="","",IF($J22="Total Mensal",SUM(AI$7:AI21)/VLOOKUP("Total Acumulado",$J:$K,2,FALSE),IF($J22="Total Acumulado",AH21+AF22+IF(AF$7="% Item",-1,0),0%)))</f>
        <v>0</v>
      </c>
      <c r="AI22" s="109">
        <f>IF($J22="","",IF($J22="Total Mensal",SUM(AI$7:AI21),IF($J22="Total Acumulado",SUM(AI$7:AI20)+AG22,IFERROR(AH22*$K22,0))))</f>
        <v>0</v>
      </c>
      <c r="AJ22" s="112">
        <f>IF($J22="","",IF($J22="Total Mensal",SUM(AK$7:AK21)/VLOOKUP("Total Acumulado",$J:$K,2,FALSE),IF($J22="Total Acumulado",AJ21+AH22+IF(AH$7="% Item",-1,0),0%)))</f>
        <v>0</v>
      </c>
      <c r="AK22" s="109">
        <f>IF($J22="","",IF($J22="Total Mensal",SUM(AK$7:AK21),IF($J22="Total Acumulado",SUM(AK$7:AK20)+AI22,IFERROR(AJ22*$K22,0))))</f>
        <v>0</v>
      </c>
    </row>
    <row r="23" spans="2:37" x14ac:dyDescent="0.25">
      <c r="B23" s="41">
        <f>IFERROR(IF(C22=C19,IF(B22+1&lt;='MAPA DE PREÇOS'!$H$8,B22+1,""),B22),"")</f>
        <v>16</v>
      </c>
      <c r="C23" s="41">
        <f>IFERROR(VLOOKUP(B23,'MAPA DE PREÇOS'!B:D,2,FALSE),"")</f>
        <v>1</v>
      </c>
      <c r="D23" s="41">
        <f>IFERROR(VLOOKUP(B23,'MAPA DE PREÇOS'!B:D,3,FALSE),"")</f>
        <v>16</v>
      </c>
      <c r="E23" s="82">
        <f t="shared" si="0"/>
        <v>16</v>
      </c>
      <c r="F23" s="82">
        <f>IF($B22="","",IF($C23=$C20,INDEX('MAPA DE PREÇOS'!$H:$H,MATCH($B23,'MAPA DE PREÇOS'!$B:$B)-19),IF($C23=$C21,"Código","")))</f>
        <v>0</v>
      </c>
      <c r="G23" s="83" t="str">
        <f>IF($B22="","",IF($C23=$C20,IF('BASE EDITAL'!$C$2="",INDEX('MAPA DE PREÇOS'!H:H,MATCH(EDITAL!B23,'MAPA DE PREÇOS'!B:B,0)+1),UPPER(INDEX('BASE EDITAL'!$C:$C,EDITAL!B23+1))),IF($C23=$C21,"Especificação do Objeto","")))</f>
        <v>Placas de Inauguração</v>
      </c>
      <c r="H23" s="84" t="str">
        <f>IF($B22="","",IF($C23=$C20,INDEX('MAPA DE PREÇOS'!$M:$M,MATCH($B23,'MAPA DE PREÇOS'!$B:$B)-16),IF($C23=$C21,"Unidade","")))</f>
        <v>M2</v>
      </c>
      <c r="I23" s="84">
        <f>IF($B22="","",IF($C23=$C20,INDEX('MAPA DE PREÇOS'!$M:$M,MATCH($B23,'MAPA DE PREÇOS'!$B:$B)-17),IF($C23=$C21,"Quant.","")))</f>
        <v>1100</v>
      </c>
      <c r="J23" s="60">
        <f>IF(J22="Total Mensal","Total Acumulado",IF($B22="","",IF($C23=$C20,INDEX('MAPA DE PREÇOS'!$M:$M,MATCH($B23,'MAPA DE PREÇOS'!$B:$B)-19),IF($C23=$C21,"Valor Unit. (R$)",IF(AND($C23&lt;&gt;$C22,$J22&lt;&gt;""),"Total Mensal","")))))</f>
        <v>110.58</v>
      </c>
      <c r="K23" s="75">
        <f>IF(J23="","",IF(J23="Total Mensal","-",IF(J23="Total Acumulado",SUM(K$7:K22),I23*J23)))</f>
        <v>121638</v>
      </c>
      <c r="L23" s="112">
        <f>IF(J23="","",IF(J23="Total Mensal","-",IF(J23="Total Acumulado",SUM(L$7:L22),K23/SUMIF(J:J,"Total Acumulado",K:K))))</f>
        <v>2.4828982468421183E-2</v>
      </c>
      <c r="M23" s="108"/>
      <c r="N23" s="112">
        <f>IF($J23="","",IF($J23="Total Mensal",SUM(O$7:O22)/VLOOKUP("Total Acumulado",$J:$K,2,FALSE),IF($J23="Total Acumulado",N22+L23+IF(L$7="% Item",-1,0),0%)))</f>
        <v>0</v>
      </c>
      <c r="O23" s="109">
        <f>IF($J23="","",IF($J23="Total Mensal",SUM(O$7:O22),IF($J23="Total Acumulado",SUM(O$7:O21)+M23,IFERROR(N23*$K23,0))))</f>
        <v>0</v>
      </c>
      <c r="P23" s="112">
        <f>IF($J23="","",IF($J23="Total Mensal",SUM(Q$7:Q22)/VLOOKUP("Total Acumulado",$J:$K,2,FALSE),IF($J23="Total Acumulado",P22+N23+IF(N$7="% Item",-1,0),0%)))</f>
        <v>0</v>
      </c>
      <c r="Q23" s="109">
        <f>IF($J23="","",IF($J23="Total Mensal",SUM(Q$7:Q22),IF($J23="Total Acumulado",SUM(Q$7:Q21)+O23,IFERROR(P23*$K23,0))))</f>
        <v>0</v>
      </c>
      <c r="R23" s="112">
        <f>IF($J23="","",IF($J23="Total Mensal",SUM(S$7:S22)/VLOOKUP("Total Acumulado",$J:$K,2,FALSE),IF($J23="Total Acumulado",R22+P23+IF(P$7="% Item",-1,0),0%)))</f>
        <v>0</v>
      </c>
      <c r="S23" s="109">
        <f>IF($J23="","",IF($J23="Total Mensal",SUM(S$7:S22),IF($J23="Total Acumulado",SUM(S$7:S21)+Q23,IFERROR(R23*$K23,0))))</f>
        <v>0</v>
      </c>
      <c r="T23" s="112">
        <f>IF($J23="","",IF($J23="Total Mensal",SUM(U$7:U22)/VLOOKUP("Total Acumulado",$J:$K,2,FALSE),IF($J23="Total Acumulado",T22+R23+IF(R$7="% Item",-1,0),0%)))</f>
        <v>0</v>
      </c>
      <c r="U23" s="109">
        <f>IF($J23="","",IF($J23="Total Mensal",SUM(U$7:U22),IF($J23="Total Acumulado",SUM(U$7:U21)+S23,IFERROR(T23*$K23,0))))</f>
        <v>0</v>
      </c>
      <c r="V23" s="112">
        <f>IF($J23="","",IF($J23="Total Mensal",SUM(W$7:W22)/VLOOKUP("Total Acumulado",$J:$K,2,FALSE),IF($J23="Total Acumulado",V22+T23+IF(T$7="% Item",-1,0),0%)))</f>
        <v>0</v>
      </c>
      <c r="W23" s="109">
        <f>IF($J23="","",IF($J23="Total Mensal",SUM(W$7:W22),IF($J23="Total Acumulado",SUM(W$7:W21)+U23,IFERROR(V23*$K23,0))))</f>
        <v>0</v>
      </c>
      <c r="X23" s="112">
        <f>IF($J23="","",IF($J23="Total Mensal",SUM(Y$7:Y22)/VLOOKUP("Total Acumulado",$J:$K,2,FALSE),IF($J23="Total Acumulado",X22+V23+IF(V$7="% Item",-1,0),0%)))</f>
        <v>0</v>
      </c>
      <c r="Y23" s="109">
        <f>IF($J23="","",IF($J23="Total Mensal",SUM(Y$7:Y22),IF($J23="Total Acumulado",SUM(Y$7:Y21)+W23,IFERROR(X23*$K23,0))))</f>
        <v>0</v>
      </c>
      <c r="Z23" s="112">
        <f>IF($J23="","",IF($J23="Total Mensal",SUM(AA$7:AA22)/VLOOKUP("Total Acumulado",$J:$K,2,FALSE),IF($J23="Total Acumulado",Z22+X23+IF(X$7="% Item",-1,0),0%)))</f>
        <v>0</v>
      </c>
      <c r="AA23" s="109">
        <f>IF($J23="","",IF($J23="Total Mensal",SUM(AA$7:AA22),IF($J23="Total Acumulado",SUM(AA$7:AA21)+Y23,IFERROR(Z23*$K23,0))))</f>
        <v>0</v>
      </c>
      <c r="AB23" s="112">
        <f>IF($J23="","",IF($J23="Total Mensal",SUM(AC$7:AC22)/VLOOKUP("Total Acumulado",$J:$K,2,FALSE),IF($J23="Total Acumulado",AB22+Z23+IF(Z$7="% Item",-1,0),0%)))</f>
        <v>0</v>
      </c>
      <c r="AC23" s="109">
        <f>IF($J23="","",IF($J23="Total Mensal",SUM(AC$7:AC22),IF($J23="Total Acumulado",SUM(AC$7:AC21)+AA23,IFERROR(AB23*$K23,0))))</f>
        <v>0</v>
      </c>
      <c r="AD23" s="112">
        <f>IF($J23="","",IF($J23="Total Mensal",SUM(AE$7:AE22)/VLOOKUP("Total Acumulado",$J:$K,2,FALSE),IF($J23="Total Acumulado",AD22+AB23+IF(AB$7="% Item",-1,0),0%)))</f>
        <v>0</v>
      </c>
      <c r="AE23" s="109">
        <f>IF($J23="","",IF($J23="Total Mensal",SUM(AE$7:AE22),IF($J23="Total Acumulado",SUM(AE$7:AE21)+AC23,IFERROR(AD23*$K23,0))))</f>
        <v>0</v>
      </c>
      <c r="AF23" s="112">
        <f>IF($J23="","",IF($J23="Total Mensal",SUM(AG$7:AG22)/VLOOKUP("Total Acumulado",$J:$K,2,FALSE),IF($J23="Total Acumulado",AF22+AD23+IF(AD$7="% Item",-1,0),0%)))</f>
        <v>0</v>
      </c>
      <c r="AG23" s="109">
        <f>IF($J23="","",IF($J23="Total Mensal",SUM(AG$7:AG22),IF($J23="Total Acumulado",SUM(AG$7:AG21)+AE23,IFERROR(AF23*$K23,0))))</f>
        <v>0</v>
      </c>
      <c r="AH23" s="112">
        <f>IF($J23="","",IF($J23="Total Mensal",SUM(AI$7:AI22)/VLOOKUP("Total Acumulado",$J:$K,2,FALSE),IF($J23="Total Acumulado",AH22+AF23+IF(AF$7="% Item",-1,0),0%)))</f>
        <v>0</v>
      </c>
      <c r="AI23" s="109">
        <f>IF($J23="","",IF($J23="Total Mensal",SUM(AI$7:AI22),IF($J23="Total Acumulado",SUM(AI$7:AI21)+AG23,IFERROR(AH23*$K23,0))))</f>
        <v>0</v>
      </c>
      <c r="AJ23" s="112">
        <f>IF($J23="","",IF($J23="Total Mensal",SUM(AK$7:AK22)/VLOOKUP("Total Acumulado",$J:$K,2,FALSE),IF($J23="Total Acumulado",AJ22+AH23+IF(AH$7="% Item",-1,0),0%)))</f>
        <v>0</v>
      </c>
      <c r="AK23" s="109">
        <f>IF($J23="","",IF($J23="Total Mensal",SUM(AK$7:AK22),IF($J23="Total Acumulado",SUM(AK$7:AK21)+AI23,IFERROR(AJ23*$K23,0))))</f>
        <v>0</v>
      </c>
    </row>
    <row r="24" spans="2:37" x14ac:dyDescent="0.25">
      <c r="B24" s="41">
        <f>IFERROR(IF(C23=C20,IF(B23+1&lt;='MAPA DE PREÇOS'!$H$8,B23+1,""),B23),"")</f>
        <v>17</v>
      </c>
      <c r="C24" s="41">
        <f>IFERROR(VLOOKUP(B24,'MAPA DE PREÇOS'!B:D,2,FALSE),"")</f>
        <v>1</v>
      </c>
      <c r="D24" s="41">
        <f>IFERROR(VLOOKUP(B24,'MAPA DE PREÇOS'!B:D,3,FALSE),"")</f>
        <v>17</v>
      </c>
      <c r="E24" s="82">
        <f t="shared" si="0"/>
        <v>17</v>
      </c>
      <c r="F24" s="82">
        <f>IF($B23="","",IF($C24=$C21,INDEX('MAPA DE PREÇOS'!$H:$H,MATCH($B24,'MAPA DE PREÇOS'!$B:$B)-19),IF($C24=$C22,"Código","")))</f>
        <v>0</v>
      </c>
      <c r="G24" s="83" t="str">
        <f>IF($B23="","",IF($C24=$C21,IF('BASE EDITAL'!$C$2="",INDEX('MAPA DE PREÇOS'!H:H,MATCH(EDITAL!B24,'MAPA DE PREÇOS'!B:B,0)+1),UPPER(INDEX('BASE EDITAL'!$C:$C,EDITAL!B24+1))),IF($C24=$C22,"Especificação do Objeto","")))</f>
        <v>Placa de Porta</v>
      </c>
      <c r="H24" s="84" t="str">
        <f>IF($B23="","",IF($C24=$C21,INDEX('MAPA DE PREÇOS'!$M:$M,MATCH($B24,'MAPA DE PREÇOS'!$B:$B)-16),IF($C24=$C22,"Unidade","")))</f>
        <v>M2</v>
      </c>
      <c r="I24" s="84">
        <f>IF($B23="","",IF($C24=$C21,INDEX('MAPA DE PREÇOS'!$M:$M,MATCH($B24,'MAPA DE PREÇOS'!$B:$B)-17),IF($C24=$C22,"Quant.","")))</f>
        <v>2117</v>
      </c>
      <c r="J24" s="60">
        <f>IF(J23="Total Mensal","Total Acumulado",IF($B23="","",IF($C24=$C21,INDEX('MAPA DE PREÇOS'!$M:$M,MATCH($B24,'MAPA DE PREÇOS'!$B:$B)-19),IF($C24=$C22,"Valor Unit. (R$)",IF(AND($C24&lt;&gt;$C23,$J23&lt;&gt;""),"Total Mensal","")))))</f>
        <v>64.5</v>
      </c>
      <c r="K24" s="75">
        <f>IF(J24="","",IF(J24="Total Mensal","-",IF(J24="Total Acumulado",SUM(K$7:K23),I24*J24)))</f>
        <v>136546.5</v>
      </c>
      <c r="L24" s="112">
        <f>IF(J24="","",IF(J24="Total Mensal","-",IF(J24="Total Acumulado",SUM(L$7:L23),K24/SUMIF(J:J,"Total Acumulado",K:K))))</f>
        <v>2.7872134157288619E-2</v>
      </c>
      <c r="M24" s="108"/>
      <c r="N24" s="112">
        <f>IF($J24="","",IF($J24="Total Mensal",SUM(O$7:O23)/VLOOKUP("Total Acumulado",$J:$K,2,FALSE),IF($J24="Total Acumulado",N23+L24+IF(L$7="% Item",-1,0),0%)))</f>
        <v>0</v>
      </c>
      <c r="O24" s="109">
        <f>IF($J24="","",IF($J24="Total Mensal",SUM(O$7:O23),IF($J24="Total Acumulado",SUM(O$7:O22)+M24,IFERROR(N24*$K24,0))))</f>
        <v>0</v>
      </c>
      <c r="P24" s="112">
        <f>IF($J24="","",IF($J24="Total Mensal",SUM(Q$7:Q23)/VLOOKUP("Total Acumulado",$J:$K,2,FALSE),IF($J24="Total Acumulado",P23+N24+IF(N$7="% Item",-1,0),0%)))</f>
        <v>0</v>
      </c>
      <c r="Q24" s="109">
        <f>IF($J24="","",IF($J24="Total Mensal",SUM(Q$7:Q23),IF($J24="Total Acumulado",SUM(Q$7:Q22)+O24,IFERROR(P24*$K24,0))))</f>
        <v>0</v>
      </c>
      <c r="R24" s="112">
        <f>IF($J24="","",IF($J24="Total Mensal",SUM(S$7:S23)/VLOOKUP("Total Acumulado",$J:$K,2,FALSE),IF($J24="Total Acumulado",R23+P24+IF(P$7="% Item",-1,0),0%)))</f>
        <v>0</v>
      </c>
      <c r="S24" s="109">
        <f>IF($J24="","",IF($J24="Total Mensal",SUM(S$7:S23),IF($J24="Total Acumulado",SUM(S$7:S22)+Q24,IFERROR(R24*$K24,0))))</f>
        <v>0</v>
      </c>
      <c r="T24" s="112">
        <f>IF($J24="","",IF($J24="Total Mensal",SUM(U$7:U23)/VLOOKUP("Total Acumulado",$J:$K,2,FALSE),IF($J24="Total Acumulado",T23+R24+IF(R$7="% Item",-1,0),0%)))</f>
        <v>0</v>
      </c>
      <c r="U24" s="109">
        <f>IF($J24="","",IF($J24="Total Mensal",SUM(U$7:U23),IF($J24="Total Acumulado",SUM(U$7:U22)+S24,IFERROR(T24*$K24,0))))</f>
        <v>0</v>
      </c>
      <c r="V24" s="112">
        <f>IF($J24="","",IF($J24="Total Mensal",SUM(W$7:W23)/VLOOKUP("Total Acumulado",$J:$K,2,FALSE),IF($J24="Total Acumulado",V23+T24+IF(T$7="% Item",-1,0),0%)))</f>
        <v>0</v>
      </c>
      <c r="W24" s="109">
        <f>IF($J24="","",IF($J24="Total Mensal",SUM(W$7:W23),IF($J24="Total Acumulado",SUM(W$7:W22)+U24,IFERROR(V24*$K24,0))))</f>
        <v>0</v>
      </c>
      <c r="X24" s="112">
        <f>IF($J24="","",IF($J24="Total Mensal",SUM(Y$7:Y23)/VLOOKUP("Total Acumulado",$J:$K,2,FALSE),IF($J24="Total Acumulado",X23+V24+IF(V$7="% Item",-1,0),0%)))</f>
        <v>0</v>
      </c>
      <c r="Y24" s="109">
        <f>IF($J24="","",IF($J24="Total Mensal",SUM(Y$7:Y23),IF($J24="Total Acumulado",SUM(Y$7:Y22)+W24,IFERROR(X24*$K24,0))))</f>
        <v>0</v>
      </c>
      <c r="Z24" s="112">
        <f>IF($J24="","",IF($J24="Total Mensal",SUM(AA$7:AA23)/VLOOKUP("Total Acumulado",$J:$K,2,FALSE),IF($J24="Total Acumulado",Z23+X24+IF(X$7="% Item",-1,0),0%)))</f>
        <v>0</v>
      </c>
      <c r="AA24" s="109">
        <f>IF($J24="","",IF($J24="Total Mensal",SUM(AA$7:AA23),IF($J24="Total Acumulado",SUM(AA$7:AA22)+Y24,IFERROR(Z24*$K24,0))))</f>
        <v>0</v>
      </c>
      <c r="AB24" s="112">
        <f>IF($J24="","",IF($J24="Total Mensal",SUM(AC$7:AC23)/VLOOKUP("Total Acumulado",$J:$K,2,FALSE),IF($J24="Total Acumulado",AB23+Z24+IF(Z$7="% Item",-1,0),0%)))</f>
        <v>0</v>
      </c>
      <c r="AC24" s="109">
        <f>IF($J24="","",IF($J24="Total Mensal",SUM(AC$7:AC23),IF($J24="Total Acumulado",SUM(AC$7:AC22)+AA24,IFERROR(AB24*$K24,0))))</f>
        <v>0</v>
      </c>
      <c r="AD24" s="112">
        <f>IF($J24="","",IF($J24="Total Mensal",SUM(AE$7:AE23)/VLOOKUP("Total Acumulado",$J:$K,2,FALSE),IF($J24="Total Acumulado",AD23+AB24+IF(AB$7="% Item",-1,0),0%)))</f>
        <v>0</v>
      </c>
      <c r="AE24" s="109">
        <f>IF($J24="","",IF($J24="Total Mensal",SUM(AE$7:AE23),IF($J24="Total Acumulado",SUM(AE$7:AE22)+AC24,IFERROR(AD24*$K24,0))))</f>
        <v>0</v>
      </c>
      <c r="AF24" s="112">
        <f>IF($J24="","",IF($J24="Total Mensal",SUM(AG$7:AG23)/VLOOKUP("Total Acumulado",$J:$K,2,FALSE),IF($J24="Total Acumulado",AF23+AD24+IF(AD$7="% Item",-1,0),0%)))</f>
        <v>0</v>
      </c>
      <c r="AG24" s="109">
        <f>IF($J24="","",IF($J24="Total Mensal",SUM(AG$7:AG23),IF($J24="Total Acumulado",SUM(AG$7:AG22)+AE24,IFERROR(AF24*$K24,0))))</f>
        <v>0</v>
      </c>
      <c r="AH24" s="112">
        <f>IF($J24="","",IF($J24="Total Mensal",SUM(AI$7:AI23)/VLOOKUP("Total Acumulado",$J:$K,2,FALSE),IF($J24="Total Acumulado",AH23+AF24+IF(AF$7="% Item",-1,0),0%)))</f>
        <v>0</v>
      </c>
      <c r="AI24" s="109">
        <f>IF($J24="","",IF($J24="Total Mensal",SUM(AI$7:AI23),IF($J24="Total Acumulado",SUM(AI$7:AI22)+AG24,IFERROR(AH24*$K24,0))))</f>
        <v>0</v>
      </c>
      <c r="AJ24" s="112">
        <f>IF($J24="","",IF($J24="Total Mensal",SUM(AK$7:AK23)/VLOOKUP("Total Acumulado",$J:$K,2,FALSE),IF($J24="Total Acumulado",AJ23+AH24+IF(AH$7="% Item",-1,0),0%)))</f>
        <v>0</v>
      </c>
      <c r="AK24" s="109">
        <f>IF($J24="","",IF($J24="Total Mensal",SUM(AK$7:AK23),IF($J24="Total Acumulado",SUM(AK$7:AK22)+AI24,IFERROR(AJ24*$K24,0))))</f>
        <v>0</v>
      </c>
    </row>
    <row r="25" spans="2:37" x14ac:dyDescent="0.25">
      <c r="B25" s="41">
        <f>IFERROR(IF(C24=C21,IF(B24+1&lt;='MAPA DE PREÇOS'!$H$8,B24+1,""),B24),"")</f>
        <v>18</v>
      </c>
      <c r="C25" s="41">
        <f>IFERROR(VLOOKUP(B25,'MAPA DE PREÇOS'!B:D,2,FALSE),"")</f>
        <v>1</v>
      </c>
      <c r="D25" s="41">
        <f>IFERROR(VLOOKUP(B25,'MAPA DE PREÇOS'!B:D,3,FALSE),"")</f>
        <v>18</v>
      </c>
      <c r="E25" s="82">
        <f t="shared" si="0"/>
        <v>18</v>
      </c>
      <c r="F25" s="82">
        <f>IF($B24="","",IF($C25=$C22,INDEX('MAPA DE PREÇOS'!$H:$H,MATCH($B25,'MAPA DE PREÇOS'!$B:$B)-19),IF($C25=$C23,"Código","")))</f>
        <v>0</v>
      </c>
      <c r="G25" s="83" t="str">
        <f>IF($B24="","",IF($C25=$C22,IF('BASE EDITAL'!$C$2="",INDEX('MAPA DE PREÇOS'!H:H,MATCH(EDITAL!B25,'MAPA DE PREÇOS'!B:B,0)+1),UPPER(INDEX('BASE EDITAL'!$C:$C,EDITAL!B25+1))),IF($C25=$C23,"Especificação do Objeto","")))</f>
        <v>Placas modelo 1</v>
      </c>
      <c r="H25" s="84" t="str">
        <f>IF($B24="","",IF($C25=$C22,INDEX('MAPA DE PREÇOS'!$M:$M,MATCH($B25,'MAPA DE PREÇOS'!$B:$B)-16),IF($C25=$C23,"Unidade","")))</f>
        <v>M2</v>
      </c>
      <c r="I25" s="84">
        <f>IF($B24="","",IF($C25=$C22,INDEX('MAPA DE PREÇOS'!$M:$M,MATCH($B25,'MAPA DE PREÇOS'!$B:$B)-17),IF($C25=$C23,"Quant.","")))</f>
        <v>1055</v>
      </c>
      <c r="J25" s="60">
        <f>IF(J24="Total Mensal","Total Acumulado",IF($B24="","",IF($C25=$C22,INDEX('MAPA DE PREÇOS'!$M:$M,MATCH($B25,'MAPA DE PREÇOS'!$B:$B)-19),IF($C25=$C23,"Valor Unit. (R$)",IF(AND($C25&lt;&gt;$C24,$J24&lt;&gt;""),"Total Mensal","")))))</f>
        <v>64.5</v>
      </c>
      <c r="K25" s="75">
        <f>IF(J25="","",IF(J25="Total Mensal","-",IF(J25="Total Acumulado",SUM(K$7:K24),I25*J25)))</f>
        <v>68047.5</v>
      </c>
      <c r="L25" s="112">
        <f>IF(J25="","",IF(J25="Total Mensal","-",IF(J25="Total Acumulado",SUM(L$7:L24),K25/SUMIF(J:J,"Total Acumulado",K:K))))</f>
        <v>1.3889986554529757E-2</v>
      </c>
      <c r="M25" s="108"/>
      <c r="N25" s="112">
        <f>IF($J25="","",IF($J25="Total Mensal",SUM(O$7:O24)/VLOOKUP("Total Acumulado",$J:$K,2,FALSE),IF($J25="Total Acumulado",N24+L25+IF(L$7="% Item",-1,0),0%)))</f>
        <v>0</v>
      </c>
      <c r="O25" s="109">
        <f>IF($J25="","",IF($J25="Total Mensal",SUM(O$7:O24),IF($J25="Total Acumulado",SUM(O$7:O23)+M25,IFERROR(N25*$K25,0))))</f>
        <v>0</v>
      </c>
      <c r="P25" s="112">
        <f>IF($J25="","",IF($J25="Total Mensal",SUM(Q$7:Q24)/VLOOKUP("Total Acumulado",$J:$K,2,FALSE),IF($J25="Total Acumulado",P24+N25+IF(N$7="% Item",-1,0),0%)))</f>
        <v>0</v>
      </c>
      <c r="Q25" s="109">
        <f>IF($J25="","",IF($J25="Total Mensal",SUM(Q$7:Q24),IF($J25="Total Acumulado",SUM(Q$7:Q23)+O25,IFERROR(P25*$K25,0))))</f>
        <v>0</v>
      </c>
      <c r="R25" s="112">
        <f>IF($J25="","",IF($J25="Total Mensal",SUM(S$7:S24)/VLOOKUP("Total Acumulado",$J:$K,2,FALSE),IF($J25="Total Acumulado",R24+P25+IF(P$7="% Item",-1,0),0%)))</f>
        <v>0</v>
      </c>
      <c r="S25" s="109">
        <f>IF($J25="","",IF($J25="Total Mensal",SUM(S$7:S24),IF($J25="Total Acumulado",SUM(S$7:S23)+Q25,IFERROR(R25*$K25,0))))</f>
        <v>0</v>
      </c>
      <c r="T25" s="112">
        <f>IF($J25="","",IF($J25="Total Mensal",SUM(U$7:U24)/VLOOKUP("Total Acumulado",$J:$K,2,FALSE),IF($J25="Total Acumulado",T24+R25+IF(R$7="% Item",-1,0),0%)))</f>
        <v>0</v>
      </c>
      <c r="U25" s="109">
        <f>IF($J25="","",IF($J25="Total Mensal",SUM(U$7:U24),IF($J25="Total Acumulado",SUM(U$7:U23)+S25,IFERROR(T25*$K25,0))))</f>
        <v>0</v>
      </c>
      <c r="V25" s="112">
        <f>IF($J25="","",IF($J25="Total Mensal",SUM(W$7:W24)/VLOOKUP("Total Acumulado",$J:$K,2,FALSE),IF($J25="Total Acumulado",V24+T25+IF(T$7="% Item",-1,0),0%)))</f>
        <v>0</v>
      </c>
      <c r="W25" s="109">
        <f>IF($J25="","",IF($J25="Total Mensal",SUM(W$7:W24),IF($J25="Total Acumulado",SUM(W$7:W23)+U25,IFERROR(V25*$K25,0))))</f>
        <v>0</v>
      </c>
      <c r="X25" s="112">
        <f>IF($J25="","",IF($J25="Total Mensal",SUM(Y$7:Y24)/VLOOKUP("Total Acumulado",$J:$K,2,FALSE),IF($J25="Total Acumulado",X24+V25+IF(V$7="% Item",-1,0),0%)))</f>
        <v>0</v>
      </c>
      <c r="Y25" s="109">
        <f>IF($J25="","",IF($J25="Total Mensal",SUM(Y$7:Y24),IF($J25="Total Acumulado",SUM(Y$7:Y23)+W25,IFERROR(X25*$K25,0))))</f>
        <v>0</v>
      </c>
      <c r="Z25" s="112">
        <f>IF($J25="","",IF($J25="Total Mensal",SUM(AA$7:AA24)/VLOOKUP("Total Acumulado",$J:$K,2,FALSE),IF($J25="Total Acumulado",Z24+X25+IF(X$7="% Item",-1,0),0%)))</f>
        <v>0</v>
      </c>
      <c r="AA25" s="109">
        <f>IF($J25="","",IF($J25="Total Mensal",SUM(AA$7:AA24),IF($J25="Total Acumulado",SUM(AA$7:AA23)+Y25,IFERROR(Z25*$K25,0))))</f>
        <v>0</v>
      </c>
      <c r="AB25" s="112">
        <f>IF($J25="","",IF($J25="Total Mensal",SUM(AC$7:AC24)/VLOOKUP("Total Acumulado",$J:$K,2,FALSE),IF($J25="Total Acumulado",AB24+Z25+IF(Z$7="% Item",-1,0),0%)))</f>
        <v>0</v>
      </c>
      <c r="AC25" s="109">
        <f>IF($J25="","",IF($J25="Total Mensal",SUM(AC$7:AC24),IF($J25="Total Acumulado",SUM(AC$7:AC23)+AA25,IFERROR(AB25*$K25,0))))</f>
        <v>0</v>
      </c>
      <c r="AD25" s="112">
        <f>IF($J25="","",IF($J25="Total Mensal",SUM(AE$7:AE24)/VLOOKUP("Total Acumulado",$J:$K,2,FALSE),IF($J25="Total Acumulado",AD24+AB25+IF(AB$7="% Item",-1,0),0%)))</f>
        <v>0</v>
      </c>
      <c r="AE25" s="109">
        <f>IF($J25="","",IF($J25="Total Mensal",SUM(AE$7:AE24),IF($J25="Total Acumulado",SUM(AE$7:AE23)+AC25,IFERROR(AD25*$K25,0))))</f>
        <v>0</v>
      </c>
      <c r="AF25" s="112">
        <f>IF($J25="","",IF($J25="Total Mensal",SUM(AG$7:AG24)/VLOOKUP("Total Acumulado",$J:$K,2,FALSE),IF($J25="Total Acumulado",AF24+AD25+IF(AD$7="% Item",-1,0),0%)))</f>
        <v>0</v>
      </c>
      <c r="AG25" s="109">
        <f>IF($J25="","",IF($J25="Total Mensal",SUM(AG$7:AG24),IF($J25="Total Acumulado",SUM(AG$7:AG23)+AE25,IFERROR(AF25*$K25,0))))</f>
        <v>0</v>
      </c>
      <c r="AH25" s="112">
        <f>IF($J25="","",IF($J25="Total Mensal",SUM(AI$7:AI24)/VLOOKUP("Total Acumulado",$J:$K,2,FALSE),IF($J25="Total Acumulado",AH24+AF25+IF(AF$7="% Item",-1,0),0%)))</f>
        <v>0</v>
      </c>
      <c r="AI25" s="109">
        <f>IF($J25="","",IF($J25="Total Mensal",SUM(AI$7:AI24),IF($J25="Total Acumulado",SUM(AI$7:AI23)+AG25,IFERROR(AH25*$K25,0))))</f>
        <v>0</v>
      </c>
      <c r="AJ25" s="112">
        <f>IF($J25="","",IF($J25="Total Mensal",SUM(AK$7:AK24)/VLOOKUP("Total Acumulado",$J:$K,2,FALSE),IF($J25="Total Acumulado",AJ24+AH25+IF(AH$7="% Item",-1,0),0%)))</f>
        <v>0</v>
      </c>
      <c r="AK25" s="109">
        <f>IF($J25="","",IF($J25="Total Mensal",SUM(AK$7:AK24),IF($J25="Total Acumulado",SUM(AK$7:AK23)+AI25,IFERROR(AJ25*$K25,0))))</f>
        <v>0</v>
      </c>
    </row>
    <row r="26" spans="2:37" x14ac:dyDescent="0.25">
      <c r="B26" s="41">
        <f>IFERROR(IF(C25=C22,IF(B25+1&lt;='MAPA DE PREÇOS'!$H$8,B25+1,""),B25),"")</f>
        <v>19</v>
      </c>
      <c r="C26" s="41">
        <f>IFERROR(VLOOKUP(B26,'MAPA DE PREÇOS'!B:D,2,FALSE),"")</f>
        <v>1</v>
      </c>
      <c r="D26" s="41">
        <f>IFERROR(VLOOKUP(B26,'MAPA DE PREÇOS'!B:D,3,FALSE),"")</f>
        <v>19</v>
      </c>
      <c r="E26" s="82">
        <f t="shared" si="0"/>
        <v>19</v>
      </c>
      <c r="F26" s="82">
        <f>IF($B25="","",IF($C26=$C23,INDEX('MAPA DE PREÇOS'!$H:$H,MATCH($B26,'MAPA DE PREÇOS'!$B:$B)-19),IF($C26=$C24,"Código","")))</f>
        <v>0</v>
      </c>
      <c r="G26" s="83" t="str">
        <f>IF($B25="","",IF($C26=$C23,IF('BASE EDITAL'!$C$2="",INDEX('MAPA DE PREÇOS'!H:H,MATCH(EDITAL!B26,'MAPA DE PREÇOS'!B:B,0)+1),UPPER(INDEX('BASE EDITAL'!$C:$C,EDITAL!B26+1))),IF($C26=$C24,"Especificação do Objeto","")))</f>
        <v>Placas modelo 2</v>
      </c>
      <c r="H26" s="84" t="str">
        <f>IF($B25="","",IF($C26=$C23,INDEX('MAPA DE PREÇOS'!$M:$M,MATCH($B26,'MAPA DE PREÇOS'!$B:$B)-16),IF($C26=$C24,"Unidade","")))</f>
        <v>M2</v>
      </c>
      <c r="I26" s="84">
        <f>IF($B25="","",IF($C26=$C23,INDEX('MAPA DE PREÇOS'!$M:$M,MATCH($B26,'MAPA DE PREÇOS'!$B:$B)-17),IF($C26=$C24,"Quant.","")))</f>
        <v>975</v>
      </c>
      <c r="J26" s="60">
        <f>IF(J25="Total Mensal","Total Acumulado",IF($B25="","",IF($C26=$C23,INDEX('MAPA DE PREÇOS'!$M:$M,MATCH($B26,'MAPA DE PREÇOS'!$B:$B)-19),IF($C26=$C24,"Valor Unit. (R$)",IF(AND($C26&lt;&gt;$C25,$J25&lt;&gt;""),"Total Mensal","")))))</f>
        <v>62.33</v>
      </c>
      <c r="K26" s="75">
        <f>IF(J26="","",IF(J26="Total Mensal","-",IF(J26="Total Acumulado",SUM(K$7:K25),I26*J26)))</f>
        <v>60771.75</v>
      </c>
      <c r="L26" s="112">
        <f>IF(J26="","",IF(J26="Total Mensal","-",IF(J26="Total Acumulado",SUM(L$7:L25),K26/SUMIF(J:J,"Total Acumulado",K:K))))</f>
        <v>1.2404846473349405E-2</v>
      </c>
      <c r="M26" s="108"/>
      <c r="N26" s="112">
        <f>IF($J26="","",IF($J26="Total Mensal",SUM(O$7:O25)/VLOOKUP("Total Acumulado",$J:$K,2,FALSE),IF($J26="Total Acumulado",N25+L26+IF(L$7="% Item",-1,0),0%)))</f>
        <v>0</v>
      </c>
      <c r="O26" s="109">
        <f>IF($J26="","",IF($J26="Total Mensal",SUM(O$7:O25),IF($J26="Total Acumulado",SUM(O$7:O24)+M26,IFERROR(N26*$K26,0))))</f>
        <v>0</v>
      </c>
      <c r="P26" s="112">
        <f>IF($J26="","",IF($J26="Total Mensal",SUM(Q$7:Q25)/VLOOKUP("Total Acumulado",$J:$K,2,FALSE),IF($J26="Total Acumulado",P25+N26+IF(N$7="% Item",-1,0),0%)))</f>
        <v>0</v>
      </c>
      <c r="Q26" s="109">
        <f>IF($J26="","",IF($J26="Total Mensal",SUM(Q$7:Q25),IF($J26="Total Acumulado",SUM(Q$7:Q24)+O26,IFERROR(P26*$K26,0))))</f>
        <v>0</v>
      </c>
      <c r="R26" s="112">
        <f>IF($J26="","",IF($J26="Total Mensal",SUM(S$7:S25)/VLOOKUP("Total Acumulado",$J:$K,2,FALSE),IF($J26="Total Acumulado",R25+P26+IF(P$7="% Item",-1,0),0%)))</f>
        <v>0</v>
      </c>
      <c r="S26" s="109">
        <f>IF($J26="","",IF($J26="Total Mensal",SUM(S$7:S25),IF($J26="Total Acumulado",SUM(S$7:S24)+Q26,IFERROR(R26*$K26,0))))</f>
        <v>0</v>
      </c>
      <c r="T26" s="112">
        <f>IF($J26="","",IF($J26="Total Mensal",SUM(U$7:U25)/VLOOKUP("Total Acumulado",$J:$K,2,FALSE),IF($J26="Total Acumulado",T25+R26+IF(R$7="% Item",-1,0),0%)))</f>
        <v>0</v>
      </c>
      <c r="U26" s="109">
        <f>IF($J26="","",IF($J26="Total Mensal",SUM(U$7:U25),IF($J26="Total Acumulado",SUM(U$7:U24)+S26,IFERROR(T26*$K26,0))))</f>
        <v>0</v>
      </c>
      <c r="V26" s="112">
        <f>IF($J26="","",IF($J26="Total Mensal",SUM(W$7:W25)/VLOOKUP("Total Acumulado",$J:$K,2,FALSE),IF($J26="Total Acumulado",V25+T26+IF(T$7="% Item",-1,0),0%)))</f>
        <v>0</v>
      </c>
      <c r="W26" s="109">
        <f>IF($J26="","",IF($J26="Total Mensal",SUM(W$7:W25),IF($J26="Total Acumulado",SUM(W$7:W24)+U26,IFERROR(V26*$K26,0))))</f>
        <v>0</v>
      </c>
      <c r="X26" s="112">
        <f>IF($J26="","",IF($J26="Total Mensal",SUM(Y$7:Y25)/VLOOKUP("Total Acumulado",$J:$K,2,FALSE),IF($J26="Total Acumulado",X25+V26+IF(V$7="% Item",-1,0),0%)))</f>
        <v>0</v>
      </c>
      <c r="Y26" s="109">
        <f>IF($J26="","",IF($J26="Total Mensal",SUM(Y$7:Y25),IF($J26="Total Acumulado",SUM(Y$7:Y24)+W26,IFERROR(X26*$K26,0))))</f>
        <v>0</v>
      </c>
      <c r="Z26" s="112">
        <f>IF($J26="","",IF($J26="Total Mensal",SUM(AA$7:AA25)/VLOOKUP("Total Acumulado",$J:$K,2,FALSE),IF($J26="Total Acumulado",Z25+X26+IF(X$7="% Item",-1,0),0%)))</f>
        <v>0</v>
      </c>
      <c r="AA26" s="109">
        <f>IF($J26="","",IF($J26="Total Mensal",SUM(AA$7:AA25),IF($J26="Total Acumulado",SUM(AA$7:AA24)+Y26,IFERROR(Z26*$K26,0))))</f>
        <v>0</v>
      </c>
      <c r="AB26" s="112">
        <f>IF($J26="","",IF($J26="Total Mensal",SUM(AC$7:AC25)/VLOOKUP("Total Acumulado",$J:$K,2,FALSE),IF($J26="Total Acumulado",AB25+Z26+IF(Z$7="% Item",-1,0),0%)))</f>
        <v>0</v>
      </c>
      <c r="AC26" s="109">
        <f>IF($J26="","",IF($J26="Total Mensal",SUM(AC$7:AC25),IF($J26="Total Acumulado",SUM(AC$7:AC24)+AA26,IFERROR(AB26*$K26,0))))</f>
        <v>0</v>
      </c>
      <c r="AD26" s="112">
        <f>IF($J26="","",IF($J26="Total Mensal",SUM(AE$7:AE25)/VLOOKUP("Total Acumulado",$J:$K,2,FALSE),IF($J26="Total Acumulado",AD25+AB26+IF(AB$7="% Item",-1,0),0%)))</f>
        <v>0</v>
      </c>
      <c r="AE26" s="109">
        <f>IF($J26="","",IF($J26="Total Mensal",SUM(AE$7:AE25),IF($J26="Total Acumulado",SUM(AE$7:AE24)+AC26,IFERROR(AD26*$K26,0))))</f>
        <v>0</v>
      </c>
      <c r="AF26" s="112">
        <f>IF($J26="","",IF($J26="Total Mensal",SUM(AG$7:AG25)/VLOOKUP("Total Acumulado",$J:$K,2,FALSE),IF($J26="Total Acumulado",AF25+AD26+IF(AD$7="% Item",-1,0),0%)))</f>
        <v>0</v>
      </c>
      <c r="AG26" s="109">
        <f>IF($J26="","",IF($J26="Total Mensal",SUM(AG$7:AG25),IF($J26="Total Acumulado",SUM(AG$7:AG24)+AE26,IFERROR(AF26*$K26,0))))</f>
        <v>0</v>
      </c>
      <c r="AH26" s="112">
        <f>IF($J26="","",IF($J26="Total Mensal",SUM(AI$7:AI25)/VLOOKUP("Total Acumulado",$J:$K,2,FALSE),IF($J26="Total Acumulado",AH25+AF26+IF(AF$7="% Item",-1,0),0%)))</f>
        <v>0</v>
      </c>
      <c r="AI26" s="109">
        <f>IF($J26="","",IF($J26="Total Mensal",SUM(AI$7:AI25),IF($J26="Total Acumulado",SUM(AI$7:AI24)+AG26,IFERROR(AH26*$K26,0))))</f>
        <v>0</v>
      </c>
      <c r="AJ26" s="112">
        <f>IF($J26="","",IF($J26="Total Mensal",SUM(AK$7:AK25)/VLOOKUP("Total Acumulado",$J:$K,2,FALSE),IF($J26="Total Acumulado",AJ25+AH26+IF(AH$7="% Item",-1,0),0%)))</f>
        <v>0</v>
      </c>
      <c r="AK26" s="109">
        <f>IF($J26="","",IF($J26="Total Mensal",SUM(AK$7:AK25),IF($J26="Total Acumulado",SUM(AK$7:AK24)+AI26,IFERROR(AJ26*$K26,0))))</f>
        <v>0</v>
      </c>
    </row>
    <row r="27" spans="2:37" x14ac:dyDescent="0.25">
      <c r="B27" s="41">
        <f>IFERROR(IF(C26=C23,IF(B26+1&lt;='MAPA DE PREÇOS'!$H$8,B26+1,""),B26),"")</f>
        <v>20</v>
      </c>
      <c r="C27" s="41">
        <f>IFERROR(VLOOKUP(B27,'MAPA DE PREÇOS'!B:D,2,FALSE),"")</f>
        <v>1</v>
      </c>
      <c r="D27" s="41">
        <f>IFERROR(VLOOKUP(B27,'MAPA DE PREÇOS'!B:D,3,FALSE),"")</f>
        <v>20</v>
      </c>
      <c r="E27" s="82">
        <f t="shared" si="0"/>
        <v>20</v>
      </c>
      <c r="F27" s="82">
        <f>IF($B26="","",IF($C27=$C24,INDEX('MAPA DE PREÇOS'!$H:$H,MATCH($B27,'MAPA DE PREÇOS'!$B:$B)-19),IF($C27=$C25,"Código","")))</f>
        <v>0</v>
      </c>
      <c r="G27" s="83" t="str">
        <f>IF($B26="","",IF($C27=$C24,IF('BASE EDITAL'!$C$2="",INDEX('MAPA DE PREÇOS'!H:H,MATCH(EDITAL!B27,'MAPA DE PREÇOS'!B:B,0)+1),UPPER(INDEX('BASE EDITAL'!$C:$C,EDITAL!B27+1))),IF($C27=$C25,"Especificação do Objeto","")))</f>
        <v>Placas de Obra</v>
      </c>
      <c r="H27" s="84" t="str">
        <f>IF($B26="","",IF($C27=$C24,INDEX('MAPA DE PREÇOS'!$M:$M,MATCH($B27,'MAPA DE PREÇOS'!$B:$B)-16),IF($C27=$C25,"Unidade","")))</f>
        <v>M2</v>
      </c>
      <c r="I27" s="84">
        <f>IF($B26="","",IF($C27=$C24,INDEX('MAPA DE PREÇOS'!$M:$M,MATCH($B27,'MAPA DE PREÇOS'!$B:$B)-17),IF($C27=$C25,"Quant.","")))</f>
        <v>1649</v>
      </c>
      <c r="J27" s="60">
        <f>IF(J26="Total Mensal","Total Acumulado",IF($B26="","",IF($C27=$C24,INDEX('MAPA DE PREÇOS'!$M:$M,MATCH($B27,'MAPA DE PREÇOS'!$B:$B)-19),IF($C27=$C25,"Valor Unit. (R$)",IF(AND($C27&lt;&gt;$C26,$J26&lt;&gt;""),"Total Mensal","")))))</f>
        <v>106.93</v>
      </c>
      <c r="K27" s="75">
        <f>IF(J27="","",IF(J27="Total Mensal","-",IF(J27="Total Acumulado",SUM(K$7:K26),I27*J27)))</f>
        <v>176327.57</v>
      </c>
      <c r="L27" s="112">
        <f>IF(J27="","",IF(J27="Total Mensal","-",IF(J27="Total Acumulado",SUM(L$7:L26),K27/SUMIF(J:J,"Total Acumulado",K:K))))</f>
        <v>3.5992322664211096E-2</v>
      </c>
      <c r="M27" s="108"/>
      <c r="N27" s="112">
        <f>IF($J27="","",IF($J27="Total Mensal",SUM(O$7:O26)/VLOOKUP("Total Acumulado",$J:$K,2,FALSE),IF($J27="Total Acumulado",N26+L27+IF(L$7="% Item",-1,0),0%)))</f>
        <v>0</v>
      </c>
      <c r="O27" s="109">
        <f>IF($J27="","",IF($J27="Total Mensal",SUM(O$7:O26),IF($J27="Total Acumulado",SUM(O$7:O25)+M27,IFERROR(N27*$K27,0))))</f>
        <v>0</v>
      </c>
      <c r="P27" s="112">
        <f>IF($J27="","",IF($J27="Total Mensal",SUM(Q$7:Q26)/VLOOKUP("Total Acumulado",$J:$K,2,FALSE),IF($J27="Total Acumulado",P26+N27+IF(N$7="% Item",-1,0),0%)))</f>
        <v>0</v>
      </c>
      <c r="Q27" s="109">
        <f>IF($J27="","",IF($J27="Total Mensal",SUM(Q$7:Q26),IF($J27="Total Acumulado",SUM(Q$7:Q25)+O27,IFERROR(P27*$K27,0))))</f>
        <v>0</v>
      </c>
      <c r="R27" s="112">
        <f>IF($J27="","",IF($J27="Total Mensal",SUM(S$7:S26)/VLOOKUP("Total Acumulado",$J:$K,2,FALSE),IF($J27="Total Acumulado",R26+P27+IF(P$7="% Item",-1,0),0%)))</f>
        <v>0</v>
      </c>
      <c r="S27" s="109">
        <f>IF($J27="","",IF($J27="Total Mensal",SUM(S$7:S26),IF($J27="Total Acumulado",SUM(S$7:S25)+Q27,IFERROR(R27*$K27,0))))</f>
        <v>0</v>
      </c>
      <c r="T27" s="112">
        <f>IF($J27="","",IF($J27="Total Mensal",SUM(U$7:U26)/VLOOKUP("Total Acumulado",$J:$K,2,FALSE),IF($J27="Total Acumulado",T26+R27+IF(R$7="% Item",-1,0),0%)))</f>
        <v>0</v>
      </c>
      <c r="U27" s="109">
        <f>IF($J27="","",IF($J27="Total Mensal",SUM(U$7:U26),IF($J27="Total Acumulado",SUM(U$7:U25)+S27,IFERROR(T27*$K27,0))))</f>
        <v>0</v>
      </c>
      <c r="V27" s="112">
        <f>IF($J27="","",IF($J27="Total Mensal",SUM(W$7:W26)/VLOOKUP("Total Acumulado",$J:$K,2,FALSE),IF($J27="Total Acumulado",V26+T27+IF(T$7="% Item",-1,0),0%)))</f>
        <v>0</v>
      </c>
      <c r="W27" s="109">
        <f>IF($J27="","",IF($J27="Total Mensal",SUM(W$7:W26),IF($J27="Total Acumulado",SUM(W$7:W25)+U27,IFERROR(V27*$K27,0))))</f>
        <v>0</v>
      </c>
      <c r="X27" s="112">
        <f>IF($J27="","",IF($J27="Total Mensal",SUM(Y$7:Y26)/VLOOKUP("Total Acumulado",$J:$K,2,FALSE),IF($J27="Total Acumulado",X26+V27+IF(V$7="% Item",-1,0),0%)))</f>
        <v>0</v>
      </c>
      <c r="Y27" s="109">
        <f>IF($J27="","",IF($J27="Total Mensal",SUM(Y$7:Y26),IF($J27="Total Acumulado",SUM(Y$7:Y25)+W27,IFERROR(X27*$K27,0))))</f>
        <v>0</v>
      </c>
      <c r="Z27" s="112">
        <f>IF($J27="","",IF($J27="Total Mensal",SUM(AA$7:AA26)/VLOOKUP("Total Acumulado",$J:$K,2,FALSE),IF($J27="Total Acumulado",Z26+X27+IF(X$7="% Item",-1,0),0%)))</f>
        <v>0</v>
      </c>
      <c r="AA27" s="109">
        <f>IF($J27="","",IF($J27="Total Mensal",SUM(AA$7:AA26),IF($J27="Total Acumulado",SUM(AA$7:AA25)+Y27,IFERROR(Z27*$K27,0))))</f>
        <v>0</v>
      </c>
      <c r="AB27" s="112">
        <f>IF($J27="","",IF($J27="Total Mensal",SUM(AC$7:AC26)/VLOOKUP("Total Acumulado",$J:$K,2,FALSE),IF($J27="Total Acumulado",AB26+Z27+IF(Z$7="% Item",-1,0),0%)))</f>
        <v>0</v>
      </c>
      <c r="AC27" s="109">
        <f>IF($J27="","",IF($J27="Total Mensal",SUM(AC$7:AC26),IF($J27="Total Acumulado",SUM(AC$7:AC25)+AA27,IFERROR(AB27*$K27,0))))</f>
        <v>0</v>
      </c>
      <c r="AD27" s="112">
        <f>IF($J27="","",IF($J27="Total Mensal",SUM(AE$7:AE26)/VLOOKUP("Total Acumulado",$J:$K,2,FALSE),IF($J27="Total Acumulado",AD26+AB27+IF(AB$7="% Item",-1,0),0%)))</f>
        <v>0</v>
      </c>
      <c r="AE27" s="109">
        <f>IF($J27="","",IF($J27="Total Mensal",SUM(AE$7:AE26),IF($J27="Total Acumulado",SUM(AE$7:AE25)+AC27,IFERROR(AD27*$K27,0))))</f>
        <v>0</v>
      </c>
      <c r="AF27" s="112">
        <f>IF($J27="","",IF($J27="Total Mensal",SUM(AG$7:AG26)/VLOOKUP("Total Acumulado",$J:$K,2,FALSE),IF($J27="Total Acumulado",AF26+AD27+IF(AD$7="% Item",-1,0),0%)))</f>
        <v>0</v>
      </c>
      <c r="AG27" s="109">
        <f>IF($J27="","",IF($J27="Total Mensal",SUM(AG$7:AG26),IF($J27="Total Acumulado",SUM(AG$7:AG25)+AE27,IFERROR(AF27*$K27,0))))</f>
        <v>0</v>
      </c>
      <c r="AH27" s="112">
        <f>IF($J27="","",IF($J27="Total Mensal",SUM(AI$7:AI26)/VLOOKUP("Total Acumulado",$J:$K,2,FALSE),IF($J27="Total Acumulado",AH26+AF27+IF(AF$7="% Item",-1,0),0%)))</f>
        <v>0</v>
      </c>
      <c r="AI27" s="109">
        <f>IF($J27="","",IF($J27="Total Mensal",SUM(AI$7:AI26),IF($J27="Total Acumulado",SUM(AI$7:AI25)+AG27,IFERROR(AH27*$K27,0))))</f>
        <v>0</v>
      </c>
      <c r="AJ27" s="112">
        <f>IF($J27="","",IF($J27="Total Mensal",SUM(AK$7:AK26)/VLOOKUP("Total Acumulado",$J:$K,2,FALSE),IF($J27="Total Acumulado",AJ26+AH27+IF(AH$7="% Item",-1,0),0%)))</f>
        <v>0</v>
      </c>
      <c r="AK27" s="109">
        <f>IF($J27="","",IF($J27="Total Mensal",SUM(AK$7:AK26),IF($J27="Total Acumulado",SUM(AK$7:AK25)+AI27,IFERROR(AJ27*$K27,0))))</f>
        <v>0</v>
      </c>
    </row>
    <row r="28" spans="2:37" x14ac:dyDescent="0.25">
      <c r="B28" s="41">
        <f>IFERROR(IF(C27=C24,IF(B27+1&lt;='MAPA DE PREÇOS'!$H$8,B27+1,""),B27),"")</f>
        <v>21</v>
      </c>
      <c r="C28" s="41">
        <f>IFERROR(VLOOKUP(B28,'MAPA DE PREÇOS'!B:D,2,FALSE),"")</f>
        <v>1</v>
      </c>
      <c r="D28" s="41">
        <f>IFERROR(VLOOKUP(B28,'MAPA DE PREÇOS'!B:D,3,FALSE),"")</f>
        <v>21</v>
      </c>
      <c r="E28" s="82">
        <f t="shared" si="0"/>
        <v>21</v>
      </c>
      <c r="F28" s="82">
        <f>IF($B27="","",IF($C28=$C25,INDEX('MAPA DE PREÇOS'!$H:$H,MATCH($B28,'MAPA DE PREÇOS'!$B:$B)-19),IF($C28=$C26,"Código","")))</f>
        <v>0</v>
      </c>
      <c r="G28" s="83" t="str">
        <f>IF($B27="","",IF($C28=$C25,IF('BASE EDITAL'!$C$2="",INDEX('MAPA DE PREÇOS'!H:H,MATCH(EDITAL!B28,'MAPA DE PREÇOS'!B:B,0)+1),UPPER(INDEX('BASE EDITAL'!$C:$C,EDITAL!B28+1))),IF($C28=$C26,"Especificação do Objeto","")))</f>
        <v>Inserção de Mural Modelo 1</v>
      </c>
      <c r="H28" s="84" t="str">
        <f>IF($B27="","",IF($C28=$C25,INDEX('MAPA DE PREÇOS'!$M:$M,MATCH($B28,'MAPA DE PREÇOS'!$B:$B)-16),IF($C28=$C26,"Unidade","")))</f>
        <v>UND</v>
      </c>
      <c r="I28" s="84">
        <f>IF($B27="","",IF($C28=$C25,INDEX('MAPA DE PREÇOS'!$M:$M,MATCH($B28,'MAPA DE PREÇOS'!$B:$B)-17),IF($C28=$C26,"Quant.","")))</f>
        <v>395</v>
      </c>
      <c r="J28" s="60">
        <f>IF(J27="Total Mensal","Total Acumulado",IF($B27="","",IF($C28=$C25,INDEX('MAPA DE PREÇOS'!$M:$M,MATCH($B28,'MAPA DE PREÇOS'!$B:$B)-19),IF($C28=$C26,"Valor Unit. (R$)",IF(AND($C28&lt;&gt;$C27,$J27&lt;&gt;""),"Total Mensal","")))))</f>
        <v>789.96</v>
      </c>
      <c r="K28" s="75">
        <f>IF(J28="","",IF(J28="Total Mensal","-",IF(J28="Total Acumulado",SUM(K$7:K27),I28*J28)))</f>
        <v>312034.2</v>
      </c>
      <c r="L28" s="112">
        <f>IF(J28="","",IF(J28="Total Mensal","-",IF(J28="Total Acumulado",SUM(L$7:L27),K28/SUMIF(J:J,"Total Acumulado",K:K))))</f>
        <v>6.3693020942039741E-2</v>
      </c>
      <c r="M28" s="108"/>
      <c r="N28" s="112">
        <f>IF($J28="","",IF($J28="Total Mensal",SUM(O$7:O27)/VLOOKUP("Total Acumulado",$J:$K,2,FALSE),IF($J28="Total Acumulado",N27+L28+IF(L$7="% Item",-1,0),0%)))</f>
        <v>0</v>
      </c>
      <c r="O28" s="109">
        <f>IF($J28="","",IF($J28="Total Mensal",SUM(O$7:O27),IF($J28="Total Acumulado",SUM(O$7:O26)+M28,IFERROR(N28*$K28,0))))</f>
        <v>0</v>
      </c>
      <c r="P28" s="112">
        <f>IF($J28="","",IF($J28="Total Mensal",SUM(Q$7:Q27)/VLOOKUP("Total Acumulado",$J:$K,2,FALSE),IF($J28="Total Acumulado",P27+N28+IF(N$7="% Item",-1,0),0%)))</f>
        <v>0</v>
      </c>
      <c r="Q28" s="109">
        <f>IF($J28="","",IF($J28="Total Mensal",SUM(Q$7:Q27),IF($J28="Total Acumulado",SUM(Q$7:Q26)+O28,IFERROR(P28*$K28,0))))</f>
        <v>0</v>
      </c>
      <c r="R28" s="112">
        <f>IF($J28="","",IF($J28="Total Mensal",SUM(S$7:S27)/VLOOKUP("Total Acumulado",$J:$K,2,FALSE),IF($J28="Total Acumulado",R27+P28+IF(P$7="% Item",-1,0),0%)))</f>
        <v>0</v>
      </c>
      <c r="S28" s="109">
        <f>IF($J28="","",IF($J28="Total Mensal",SUM(S$7:S27),IF($J28="Total Acumulado",SUM(S$7:S26)+Q28,IFERROR(R28*$K28,0))))</f>
        <v>0</v>
      </c>
      <c r="T28" s="112">
        <f>IF($J28="","",IF($J28="Total Mensal",SUM(U$7:U27)/VLOOKUP("Total Acumulado",$J:$K,2,FALSE),IF($J28="Total Acumulado",T27+R28+IF(R$7="% Item",-1,0),0%)))</f>
        <v>0</v>
      </c>
      <c r="U28" s="109">
        <f>IF($J28="","",IF($J28="Total Mensal",SUM(U$7:U27),IF($J28="Total Acumulado",SUM(U$7:U26)+S28,IFERROR(T28*$K28,0))))</f>
        <v>0</v>
      </c>
      <c r="V28" s="112">
        <f>IF($J28="","",IF($J28="Total Mensal",SUM(W$7:W27)/VLOOKUP("Total Acumulado",$J:$K,2,FALSE),IF($J28="Total Acumulado",V27+T28+IF(T$7="% Item",-1,0),0%)))</f>
        <v>0</v>
      </c>
      <c r="W28" s="109">
        <f>IF($J28="","",IF($J28="Total Mensal",SUM(W$7:W27),IF($J28="Total Acumulado",SUM(W$7:W26)+U28,IFERROR(V28*$K28,0))))</f>
        <v>0</v>
      </c>
      <c r="X28" s="112">
        <f>IF($J28="","",IF($J28="Total Mensal",SUM(Y$7:Y27)/VLOOKUP("Total Acumulado",$J:$K,2,FALSE),IF($J28="Total Acumulado",X27+V28+IF(V$7="% Item",-1,0),0%)))</f>
        <v>0</v>
      </c>
      <c r="Y28" s="109">
        <f>IF($J28="","",IF($J28="Total Mensal",SUM(Y$7:Y27),IF($J28="Total Acumulado",SUM(Y$7:Y26)+W28,IFERROR(X28*$K28,0))))</f>
        <v>0</v>
      </c>
      <c r="Z28" s="112">
        <f>IF($J28="","",IF($J28="Total Mensal",SUM(AA$7:AA27)/VLOOKUP("Total Acumulado",$J:$K,2,FALSE),IF($J28="Total Acumulado",Z27+X28+IF(X$7="% Item",-1,0),0%)))</f>
        <v>0</v>
      </c>
      <c r="AA28" s="109">
        <f>IF($J28="","",IF($J28="Total Mensal",SUM(AA$7:AA27),IF($J28="Total Acumulado",SUM(AA$7:AA26)+Y28,IFERROR(Z28*$K28,0))))</f>
        <v>0</v>
      </c>
      <c r="AB28" s="112">
        <f>IF($J28="","",IF($J28="Total Mensal",SUM(AC$7:AC27)/VLOOKUP("Total Acumulado",$J:$K,2,FALSE),IF($J28="Total Acumulado",AB27+Z28+IF(Z$7="% Item",-1,0),0%)))</f>
        <v>0</v>
      </c>
      <c r="AC28" s="109">
        <f>IF($J28="","",IF($J28="Total Mensal",SUM(AC$7:AC27),IF($J28="Total Acumulado",SUM(AC$7:AC26)+AA28,IFERROR(AB28*$K28,0))))</f>
        <v>0</v>
      </c>
      <c r="AD28" s="112">
        <f>IF($J28="","",IF($J28="Total Mensal",SUM(AE$7:AE27)/VLOOKUP("Total Acumulado",$J:$K,2,FALSE),IF($J28="Total Acumulado",AD27+AB28+IF(AB$7="% Item",-1,0),0%)))</f>
        <v>0</v>
      </c>
      <c r="AE28" s="109">
        <f>IF($J28="","",IF($J28="Total Mensal",SUM(AE$7:AE27),IF($J28="Total Acumulado",SUM(AE$7:AE26)+AC28,IFERROR(AD28*$K28,0))))</f>
        <v>0</v>
      </c>
      <c r="AF28" s="112">
        <f>IF($J28="","",IF($J28="Total Mensal",SUM(AG$7:AG27)/VLOOKUP("Total Acumulado",$J:$K,2,FALSE),IF($J28="Total Acumulado",AF27+AD28+IF(AD$7="% Item",-1,0),0%)))</f>
        <v>0</v>
      </c>
      <c r="AG28" s="109">
        <f>IF($J28="","",IF($J28="Total Mensal",SUM(AG$7:AG27),IF($J28="Total Acumulado",SUM(AG$7:AG26)+AE28,IFERROR(AF28*$K28,0))))</f>
        <v>0</v>
      </c>
      <c r="AH28" s="112">
        <f>IF($J28="","",IF($J28="Total Mensal",SUM(AI$7:AI27)/VLOOKUP("Total Acumulado",$J:$K,2,FALSE),IF($J28="Total Acumulado",AH27+AF28+IF(AF$7="% Item",-1,0),0%)))</f>
        <v>0</v>
      </c>
      <c r="AI28" s="109">
        <f>IF($J28="","",IF($J28="Total Mensal",SUM(AI$7:AI27),IF($J28="Total Acumulado",SUM(AI$7:AI26)+AG28,IFERROR(AH28*$K28,0))))</f>
        <v>0</v>
      </c>
      <c r="AJ28" s="112">
        <f>IF($J28="","",IF($J28="Total Mensal",SUM(AK$7:AK27)/VLOOKUP("Total Acumulado",$J:$K,2,FALSE),IF($J28="Total Acumulado",AJ27+AH28+IF(AH$7="% Item",-1,0),0%)))</f>
        <v>0</v>
      </c>
      <c r="AK28" s="109">
        <f>IF($J28="","",IF($J28="Total Mensal",SUM(AK$7:AK27),IF($J28="Total Acumulado",SUM(AK$7:AK26)+AI28,IFERROR(AJ28*$K28,0))))</f>
        <v>0</v>
      </c>
    </row>
    <row r="29" spans="2:37" x14ac:dyDescent="0.25">
      <c r="B29" s="41">
        <f>IFERROR(IF(C28=C25,IF(B28+1&lt;='MAPA DE PREÇOS'!$H$8,B28+1,""),B28),"")</f>
        <v>22</v>
      </c>
      <c r="C29" s="41">
        <f>IFERROR(VLOOKUP(B29,'MAPA DE PREÇOS'!B:D,2,FALSE),"")</f>
        <v>1</v>
      </c>
      <c r="D29" s="41">
        <f>IFERROR(VLOOKUP(B29,'MAPA DE PREÇOS'!B:D,3,FALSE),"")</f>
        <v>22</v>
      </c>
      <c r="E29" s="82">
        <f t="shared" si="0"/>
        <v>22</v>
      </c>
      <c r="F29" s="82">
        <f>IF($B28="","",IF($C29=$C26,INDEX('MAPA DE PREÇOS'!$H:$H,MATCH($B29,'MAPA DE PREÇOS'!$B:$B)-19),IF($C29=$C27,"Código","")))</f>
        <v>0</v>
      </c>
      <c r="G29" s="83" t="str">
        <f>IF($B28="","",IF($C29=$C26,IF('BASE EDITAL'!$C$2="",INDEX('MAPA DE PREÇOS'!H:H,MATCH(EDITAL!B29,'MAPA DE PREÇOS'!B:B,0)+1),UPPER(INDEX('BASE EDITAL'!$C:$C,EDITAL!B29+1))),IF($C29=$C27,"Especificação do Objeto","")))</f>
        <v>Inserção de Mural Modelo 2</v>
      </c>
      <c r="H29" s="84" t="str">
        <f>IF($B28="","",IF($C29=$C26,INDEX('MAPA DE PREÇOS'!$M:$M,MATCH($B29,'MAPA DE PREÇOS'!$B:$B)-16),IF($C29=$C27,"Unidade","")))</f>
        <v>UND</v>
      </c>
      <c r="I29" s="84">
        <f>IF($B28="","",IF($C29=$C26,INDEX('MAPA DE PREÇOS'!$M:$M,MATCH($B29,'MAPA DE PREÇOS'!$B:$B)-17),IF($C29=$C27,"Quant.","")))</f>
        <v>578</v>
      </c>
      <c r="J29" s="60">
        <f>IF(J28="Total Mensal","Total Acumulado",IF($B28="","",IF($C29=$C26,INDEX('MAPA DE PREÇOS'!$M:$M,MATCH($B29,'MAPA DE PREÇOS'!$B:$B)-19),IF($C29=$C27,"Valor Unit. (R$)",IF(AND($C29&lt;&gt;$C28,$J28&lt;&gt;""),"Total Mensal","")))))</f>
        <v>256.73</v>
      </c>
      <c r="K29" s="75">
        <f>IF(J29="","",IF(J29="Total Mensal","-",IF(J29="Total Acumulado",SUM(K$7:K28),I29*J29)))</f>
        <v>148389.94</v>
      </c>
      <c r="L29" s="112">
        <f>IF(J29="","",IF(J29="Total Mensal","-",IF(J29="Total Acumulado",SUM(L$7:L28),K29/SUMIF(J:J,"Total Acumulado",K:K))))</f>
        <v>3.0289639904882284E-2</v>
      </c>
      <c r="M29" s="108"/>
      <c r="N29" s="112">
        <f>IF($J29="","",IF($J29="Total Mensal",SUM(O$7:O28)/VLOOKUP("Total Acumulado",$J:$K,2,FALSE),IF($J29="Total Acumulado",N28+L29+IF(L$7="% Item",-1,0),0%)))</f>
        <v>0</v>
      </c>
      <c r="O29" s="109">
        <f>IF($J29="","",IF($J29="Total Mensal",SUM(O$7:O28),IF($J29="Total Acumulado",SUM(O$7:O27)+M29,IFERROR(N29*$K29,0))))</f>
        <v>0</v>
      </c>
      <c r="P29" s="112">
        <f>IF($J29="","",IF($J29="Total Mensal",SUM(Q$7:Q28)/VLOOKUP("Total Acumulado",$J:$K,2,FALSE),IF($J29="Total Acumulado",P28+N29+IF(N$7="% Item",-1,0),0%)))</f>
        <v>0</v>
      </c>
      <c r="Q29" s="109">
        <f>IF($J29="","",IF($J29="Total Mensal",SUM(Q$7:Q28),IF($J29="Total Acumulado",SUM(Q$7:Q27)+O29,IFERROR(P29*$K29,0))))</f>
        <v>0</v>
      </c>
      <c r="R29" s="112">
        <f>IF($J29="","",IF($J29="Total Mensal",SUM(S$7:S28)/VLOOKUP("Total Acumulado",$J:$K,2,FALSE),IF($J29="Total Acumulado",R28+P29+IF(P$7="% Item",-1,0),0%)))</f>
        <v>0</v>
      </c>
      <c r="S29" s="109">
        <f>IF($J29="","",IF($J29="Total Mensal",SUM(S$7:S28),IF($J29="Total Acumulado",SUM(S$7:S27)+Q29,IFERROR(R29*$K29,0))))</f>
        <v>0</v>
      </c>
      <c r="T29" s="112">
        <f>IF($J29="","",IF($J29="Total Mensal",SUM(U$7:U28)/VLOOKUP("Total Acumulado",$J:$K,2,FALSE),IF($J29="Total Acumulado",T28+R29+IF(R$7="% Item",-1,0),0%)))</f>
        <v>0</v>
      </c>
      <c r="U29" s="109">
        <f>IF($J29="","",IF($J29="Total Mensal",SUM(U$7:U28),IF($J29="Total Acumulado",SUM(U$7:U27)+S29,IFERROR(T29*$K29,0))))</f>
        <v>0</v>
      </c>
      <c r="V29" s="112">
        <f>IF($J29="","",IF($J29="Total Mensal",SUM(W$7:W28)/VLOOKUP("Total Acumulado",$J:$K,2,FALSE),IF($J29="Total Acumulado",V28+T29+IF(T$7="% Item",-1,0),0%)))</f>
        <v>0</v>
      </c>
      <c r="W29" s="109">
        <f>IF($J29="","",IF($J29="Total Mensal",SUM(W$7:W28),IF($J29="Total Acumulado",SUM(W$7:W27)+U29,IFERROR(V29*$K29,0))))</f>
        <v>0</v>
      </c>
      <c r="X29" s="112">
        <f>IF($J29="","",IF($J29="Total Mensal",SUM(Y$7:Y28)/VLOOKUP("Total Acumulado",$J:$K,2,FALSE),IF($J29="Total Acumulado",X28+V29+IF(V$7="% Item",-1,0),0%)))</f>
        <v>0</v>
      </c>
      <c r="Y29" s="109">
        <f>IF($J29="","",IF($J29="Total Mensal",SUM(Y$7:Y28),IF($J29="Total Acumulado",SUM(Y$7:Y27)+W29,IFERROR(X29*$K29,0))))</f>
        <v>0</v>
      </c>
      <c r="Z29" s="112">
        <f>IF($J29="","",IF($J29="Total Mensal",SUM(AA$7:AA28)/VLOOKUP("Total Acumulado",$J:$K,2,FALSE),IF($J29="Total Acumulado",Z28+X29+IF(X$7="% Item",-1,0),0%)))</f>
        <v>0</v>
      </c>
      <c r="AA29" s="109">
        <f>IF($J29="","",IF($J29="Total Mensal",SUM(AA$7:AA28),IF($J29="Total Acumulado",SUM(AA$7:AA27)+Y29,IFERROR(Z29*$K29,0))))</f>
        <v>0</v>
      </c>
      <c r="AB29" s="112">
        <f>IF($J29="","",IF($J29="Total Mensal",SUM(AC$7:AC28)/VLOOKUP("Total Acumulado",$J:$K,2,FALSE),IF($J29="Total Acumulado",AB28+Z29+IF(Z$7="% Item",-1,0),0%)))</f>
        <v>0</v>
      </c>
      <c r="AC29" s="109">
        <f>IF($J29="","",IF($J29="Total Mensal",SUM(AC$7:AC28),IF($J29="Total Acumulado",SUM(AC$7:AC27)+AA29,IFERROR(AB29*$K29,0))))</f>
        <v>0</v>
      </c>
      <c r="AD29" s="112">
        <f>IF($J29="","",IF($J29="Total Mensal",SUM(AE$7:AE28)/VLOOKUP("Total Acumulado",$J:$K,2,FALSE),IF($J29="Total Acumulado",AD28+AB29+IF(AB$7="% Item",-1,0),0%)))</f>
        <v>0</v>
      </c>
      <c r="AE29" s="109">
        <f>IF($J29="","",IF($J29="Total Mensal",SUM(AE$7:AE28),IF($J29="Total Acumulado",SUM(AE$7:AE27)+AC29,IFERROR(AD29*$K29,0))))</f>
        <v>0</v>
      </c>
      <c r="AF29" s="112">
        <f>IF($J29="","",IF($J29="Total Mensal",SUM(AG$7:AG28)/VLOOKUP("Total Acumulado",$J:$K,2,FALSE),IF($J29="Total Acumulado",AF28+AD29+IF(AD$7="% Item",-1,0),0%)))</f>
        <v>0</v>
      </c>
      <c r="AG29" s="109">
        <f>IF($J29="","",IF($J29="Total Mensal",SUM(AG$7:AG28),IF($J29="Total Acumulado",SUM(AG$7:AG27)+AE29,IFERROR(AF29*$K29,0))))</f>
        <v>0</v>
      </c>
      <c r="AH29" s="112">
        <f>IF($J29="","",IF($J29="Total Mensal",SUM(AI$7:AI28)/VLOOKUP("Total Acumulado",$J:$K,2,FALSE),IF($J29="Total Acumulado",AH28+AF29+IF(AF$7="% Item",-1,0),0%)))</f>
        <v>0</v>
      </c>
      <c r="AI29" s="109">
        <f>IF($J29="","",IF($J29="Total Mensal",SUM(AI$7:AI28),IF($J29="Total Acumulado",SUM(AI$7:AI27)+AG29,IFERROR(AH29*$K29,0))))</f>
        <v>0</v>
      </c>
      <c r="AJ29" s="112">
        <f>IF($J29="","",IF($J29="Total Mensal",SUM(AK$7:AK28)/VLOOKUP("Total Acumulado",$J:$K,2,FALSE),IF($J29="Total Acumulado",AJ28+AH29+IF(AH$7="% Item",-1,0),0%)))</f>
        <v>0</v>
      </c>
      <c r="AK29" s="109">
        <f>IF($J29="","",IF($J29="Total Mensal",SUM(AK$7:AK28),IF($J29="Total Acumulado",SUM(AK$7:AK27)+AI29,IFERROR(AJ29*$K29,0))))</f>
        <v>0</v>
      </c>
    </row>
    <row r="30" spans="2:37" x14ac:dyDescent="0.25">
      <c r="B30" s="41">
        <f>IFERROR(IF(C29=C26,IF(B29+1&lt;='MAPA DE PREÇOS'!$H$8,B29+1,""),B29),"")</f>
        <v>23</v>
      </c>
      <c r="C30" s="41">
        <f>IFERROR(VLOOKUP(B30,'MAPA DE PREÇOS'!B:D,2,FALSE),"")</f>
        <v>1</v>
      </c>
      <c r="D30" s="41">
        <f>IFERROR(VLOOKUP(B30,'MAPA DE PREÇOS'!B:D,3,FALSE),"")</f>
        <v>23</v>
      </c>
      <c r="E30" s="82">
        <f t="shared" si="0"/>
        <v>23</v>
      </c>
      <c r="F30" s="82">
        <f>IF($B29="","",IF($C30=$C27,INDEX('MAPA DE PREÇOS'!$H:$H,MATCH($B30,'MAPA DE PREÇOS'!$B:$B)-19),IF($C30=$C28,"Código","")))</f>
        <v>0</v>
      </c>
      <c r="G30" s="83" t="str">
        <f>IF($B29="","",IF($C30=$C27,IF('BASE EDITAL'!$C$2="",INDEX('MAPA DE PREÇOS'!H:H,MATCH(EDITAL!B30,'MAPA DE PREÇOS'!B:B,0)+1),UPPER(INDEX('BASE EDITAL'!$C:$C,EDITAL!B30+1))),IF($C30=$C28,"Especificação do Objeto","")))</f>
        <v>Lona de chão</v>
      </c>
      <c r="H30" s="84" t="str">
        <f>IF($B29="","",IF($C30=$C27,INDEX('MAPA DE PREÇOS'!$M:$M,MATCH($B30,'MAPA DE PREÇOS'!$B:$B)-16),IF($C30=$C28,"Unidade","")))</f>
        <v>M2</v>
      </c>
      <c r="I30" s="84">
        <f>IF($B29="","",IF($C30=$C27,INDEX('MAPA DE PREÇOS'!$M:$M,MATCH($B30,'MAPA DE PREÇOS'!$B:$B)-17),IF($C30=$C28,"Quant.","")))</f>
        <v>621</v>
      </c>
      <c r="J30" s="60">
        <f>IF(J29="Total Mensal","Total Acumulado",IF($B29="","",IF($C30=$C27,INDEX('MAPA DE PREÇOS'!$M:$M,MATCH($B30,'MAPA DE PREÇOS'!$B:$B)-19),IF($C30=$C28,"Valor Unit. (R$)",IF(AND($C30&lt;&gt;$C29,$J29&lt;&gt;""),"Total Mensal","")))))</f>
        <v>28.47</v>
      </c>
      <c r="K30" s="75">
        <f>IF(J30="","",IF(J30="Total Mensal","-",IF(J30="Total Acumulado",SUM(K$7:K29),I30*J30)))</f>
        <v>17679.87</v>
      </c>
      <c r="L30" s="112">
        <f>IF(J30="","",IF(J30="Total Mensal","-",IF(J30="Total Acumulado",SUM(L$7:L29),K30/SUMIF(J:J,"Total Acumulado",K:K))))</f>
        <v>3.6088490625788457E-3</v>
      </c>
      <c r="M30" s="108"/>
      <c r="N30" s="112">
        <f>IF($J30="","",IF($J30="Total Mensal",SUM(O$7:O29)/VLOOKUP("Total Acumulado",$J:$K,2,FALSE),IF($J30="Total Acumulado",N29+L30+IF(L$7="% Item",-1,0),0%)))</f>
        <v>0</v>
      </c>
      <c r="O30" s="109">
        <f>IF($J30="","",IF($J30="Total Mensal",SUM(O$7:O29),IF($J30="Total Acumulado",SUM(O$7:O28)+M30,IFERROR(N30*$K30,0))))</f>
        <v>0</v>
      </c>
      <c r="P30" s="112">
        <f>IF($J30="","",IF($J30="Total Mensal",SUM(Q$7:Q29)/VLOOKUP("Total Acumulado",$J:$K,2,FALSE),IF($J30="Total Acumulado",P29+N30+IF(N$7="% Item",-1,0),0%)))</f>
        <v>0</v>
      </c>
      <c r="Q30" s="109">
        <f>IF($J30="","",IF($J30="Total Mensal",SUM(Q$7:Q29),IF($J30="Total Acumulado",SUM(Q$7:Q28)+O30,IFERROR(P30*$K30,0))))</f>
        <v>0</v>
      </c>
      <c r="R30" s="112">
        <f>IF($J30="","",IF($J30="Total Mensal",SUM(S$7:S29)/VLOOKUP("Total Acumulado",$J:$K,2,FALSE),IF($J30="Total Acumulado",R29+P30+IF(P$7="% Item",-1,0),0%)))</f>
        <v>0</v>
      </c>
      <c r="S30" s="109">
        <f>IF($J30="","",IF($J30="Total Mensal",SUM(S$7:S29),IF($J30="Total Acumulado",SUM(S$7:S28)+Q30,IFERROR(R30*$K30,0))))</f>
        <v>0</v>
      </c>
      <c r="T30" s="112">
        <f>IF($J30="","",IF($J30="Total Mensal",SUM(U$7:U29)/VLOOKUP("Total Acumulado",$J:$K,2,FALSE),IF($J30="Total Acumulado",T29+R30+IF(R$7="% Item",-1,0),0%)))</f>
        <v>0</v>
      </c>
      <c r="U30" s="109">
        <f>IF($J30="","",IF($J30="Total Mensal",SUM(U$7:U29),IF($J30="Total Acumulado",SUM(U$7:U28)+S30,IFERROR(T30*$K30,0))))</f>
        <v>0</v>
      </c>
      <c r="V30" s="112">
        <f>IF($J30="","",IF($J30="Total Mensal",SUM(W$7:W29)/VLOOKUP("Total Acumulado",$J:$K,2,FALSE),IF($J30="Total Acumulado",V29+T30+IF(T$7="% Item",-1,0),0%)))</f>
        <v>0</v>
      </c>
      <c r="W30" s="109">
        <f>IF($J30="","",IF($J30="Total Mensal",SUM(W$7:W29),IF($J30="Total Acumulado",SUM(W$7:W28)+U30,IFERROR(V30*$K30,0))))</f>
        <v>0</v>
      </c>
      <c r="X30" s="112">
        <f>IF($J30="","",IF($J30="Total Mensal",SUM(Y$7:Y29)/VLOOKUP("Total Acumulado",$J:$K,2,FALSE),IF($J30="Total Acumulado",X29+V30+IF(V$7="% Item",-1,0),0%)))</f>
        <v>0</v>
      </c>
      <c r="Y30" s="109">
        <f>IF($J30="","",IF($J30="Total Mensal",SUM(Y$7:Y29),IF($J30="Total Acumulado",SUM(Y$7:Y28)+W30,IFERROR(X30*$K30,0))))</f>
        <v>0</v>
      </c>
      <c r="Z30" s="112">
        <f>IF($J30="","",IF($J30="Total Mensal",SUM(AA$7:AA29)/VLOOKUP("Total Acumulado",$J:$K,2,FALSE),IF($J30="Total Acumulado",Z29+X30+IF(X$7="% Item",-1,0),0%)))</f>
        <v>0</v>
      </c>
      <c r="AA30" s="109">
        <f>IF($J30="","",IF($J30="Total Mensal",SUM(AA$7:AA29),IF($J30="Total Acumulado",SUM(AA$7:AA28)+Y30,IFERROR(Z30*$K30,0))))</f>
        <v>0</v>
      </c>
      <c r="AB30" s="112">
        <f>IF($J30="","",IF($J30="Total Mensal",SUM(AC$7:AC29)/VLOOKUP("Total Acumulado",$J:$K,2,FALSE),IF($J30="Total Acumulado",AB29+Z30+IF(Z$7="% Item",-1,0),0%)))</f>
        <v>0</v>
      </c>
      <c r="AC30" s="109">
        <f>IF($J30="","",IF($J30="Total Mensal",SUM(AC$7:AC29),IF($J30="Total Acumulado",SUM(AC$7:AC28)+AA30,IFERROR(AB30*$K30,0))))</f>
        <v>0</v>
      </c>
      <c r="AD30" s="112">
        <f>IF($J30="","",IF($J30="Total Mensal",SUM(AE$7:AE29)/VLOOKUP("Total Acumulado",$J:$K,2,FALSE),IF($J30="Total Acumulado",AD29+AB30+IF(AB$7="% Item",-1,0),0%)))</f>
        <v>0</v>
      </c>
      <c r="AE30" s="109">
        <f>IF($J30="","",IF($J30="Total Mensal",SUM(AE$7:AE29),IF($J30="Total Acumulado",SUM(AE$7:AE28)+AC30,IFERROR(AD30*$K30,0))))</f>
        <v>0</v>
      </c>
      <c r="AF30" s="112">
        <f>IF($J30="","",IF($J30="Total Mensal",SUM(AG$7:AG29)/VLOOKUP("Total Acumulado",$J:$K,2,FALSE),IF($J30="Total Acumulado",AF29+AD30+IF(AD$7="% Item",-1,0),0%)))</f>
        <v>0</v>
      </c>
      <c r="AG30" s="109">
        <f>IF($J30="","",IF($J30="Total Mensal",SUM(AG$7:AG29),IF($J30="Total Acumulado",SUM(AG$7:AG28)+AE30,IFERROR(AF30*$K30,0))))</f>
        <v>0</v>
      </c>
      <c r="AH30" s="112">
        <f>IF($J30="","",IF($J30="Total Mensal",SUM(AI$7:AI29)/VLOOKUP("Total Acumulado",$J:$K,2,FALSE),IF($J30="Total Acumulado",AH29+AF30+IF(AF$7="% Item",-1,0),0%)))</f>
        <v>0</v>
      </c>
      <c r="AI30" s="109">
        <f>IF($J30="","",IF($J30="Total Mensal",SUM(AI$7:AI29),IF($J30="Total Acumulado",SUM(AI$7:AI28)+AG30,IFERROR(AH30*$K30,0))))</f>
        <v>0</v>
      </c>
      <c r="AJ30" s="112">
        <f>IF($J30="","",IF($J30="Total Mensal",SUM(AK$7:AK29)/VLOOKUP("Total Acumulado",$J:$K,2,FALSE),IF($J30="Total Acumulado",AJ29+AH30+IF(AH$7="% Item",-1,0),0%)))</f>
        <v>0</v>
      </c>
      <c r="AK30" s="109">
        <f>IF($J30="","",IF($J30="Total Mensal",SUM(AK$7:AK29),IF($J30="Total Acumulado",SUM(AK$7:AK28)+AI30,IFERROR(AJ30*$K30,0))))</f>
        <v>0</v>
      </c>
    </row>
    <row r="31" spans="2:37" x14ac:dyDescent="0.25">
      <c r="B31" s="41">
        <f>IFERROR(IF(C30=C27,IF(B30+1&lt;='MAPA DE PREÇOS'!$H$8,B30+1,""),B30),"")</f>
        <v>24</v>
      </c>
      <c r="C31" s="41">
        <f>IFERROR(VLOOKUP(B31,'MAPA DE PREÇOS'!B:D,2,FALSE),"")</f>
        <v>1</v>
      </c>
      <c r="D31" s="41">
        <f>IFERROR(VLOOKUP(B31,'MAPA DE PREÇOS'!B:D,3,FALSE),"")</f>
        <v>24</v>
      </c>
      <c r="E31" s="82">
        <f t="shared" si="0"/>
        <v>24</v>
      </c>
      <c r="F31" s="82">
        <f>IF($B30="","",IF($C31=$C28,INDEX('MAPA DE PREÇOS'!$H:$H,MATCH($B31,'MAPA DE PREÇOS'!$B:$B)-19),IF($C31=$C29,"Código","")))</f>
        <v>0</v>
      </c>
      <c r="G31" s="83" t="str">
        <f>IF($B30="","",IF($C31=$C28,IF('BASE EDITAL'!$C$2="",INDEX('MAPA DE PREÇOS'!H:H,MATCH(EDITAL!B31,'MAPA DE PREÇOS'!B:B,0)+1),UPPER(INDEX('BASE EDITAL'!$C:$C,EDITAL!B31+1))),IF($C31=$C29,"Especificação do Objeto","")))</f>
        <v>Placa de Comunicação Visual em painel de ACM</v>
      </c>
      <c r="H31" s="84" t="str">
        <f>IF($B30="","",IF($C31=$C28,INDEX('MAPA DE PREÇOS'!$M:$M,MATCH($B31,'MAPA DE PREÇOS'!$B:$B)-16),IF($C31=$C29,"Unidade","")))</f>
        <v>M2</v>
      </c>
      <c r="I31" s="84">
        <f>IF($B30="","",IF($C31=$C28,INDEX('MAPA DE PREÇOS'!$M:$M,MATCH($B31,'MAPA DE PREÇOS'!$B:$B)-17),IF($C31=$C29,"Quant.","")))</f>
        <v>1289</v>
      </c>
      <c r="J31" s="60">
        <f>IF(J30="Total Mensal","Total Acumulado",IF($B30="","",IF($C31=$C28,INDEX('MAPA DE PREÇOS'!$M:$M,MATCH($B31,'MAPA DE PREÇOS'!$B:$B)-19),IF($C31=$C29,"Valor Unit. (R$)",IF(AND($C31&lt;&gt;$C30,$J30&lt;&gt;""),"Total Mensal","")))))</f>
        <v>279.45</v>
      </c>
      <c r="K31" s="75">
        <f>IF(J31="","",IF(J31="Total Mensal","-",IF(J31="Total Acumulado",SUM(K$7:K30),I31*J31)))</f>
        <v>360211.05</v>
      </c>
      <c r="L31" s="112">
        <f>IF(J31="","",IF(J31="Total Mensal","-",IF(J31="Total Acumulado",SUM(L$7:L30),K31/SUMIF(J:J,"Total Acumulado",K:K))))</f>
        <v>7.3526972207546865E-2</v>
      </c>
      <c r="M31" s="108"/>
      <c r="N31" s="112">
        <f>IF($J31="","",IF($J31="Total Mensal",SUM(O$7:O30)/VLOOKUP("Total Acumulado",$J:$K,2,FALSE),IF($J31="Total Acumulado",N30+L31+IF(L$7="% Item",-1,0),0%)))</f>
        <v>0</v>
      </c>
      <c r="O31" s="109">
        <f>IF($J31="","",IF($J31="Total Mensal",SUM(O$7:O30),IF($J31="Total Acumulado",SUM(O$7:O29)+M31,IFERROR(N31*$K31,0))))</f>
        <v>0</v>
      </c>
      <c r="P31" s="112">
        <f>IF($J31="","",IF($J31="Total Mensal",SUM(Q$7:Q30)/VLOOKUP("Total Acumulado",$J:$K,2,FALSE),IF($J31="Total Acumulado",P30+N31+IF(N$7="% Item",-1,0),0%)))</f>
        <v>0</v>
      </c>
      <c r="Q31" s="109">
        <f>IF($J31="","",IF($J31="Total Mensal",SUM(Q$7:Q30),IF($J31="Total Acumulado",SUM(Q$7:Q29)+O31,IFERROR(P31*$K31,0))))</f>
        <v>0</v>
      </c>
      <c r="R31" s="112">
        <f>IF($J31="","",IF($J31="Total Mensal",SUM(S$7:S30)/VLOOKUP("Total Acumulado",$J:$K,2,FALSE),IF($J31="Total Acumulado",R30+P31+IF(P$7="% Item",-1,0),0%)))</f>
        <v>0</v>
      </c>
      <c r="S31" s="109">
        <f>IF($J31="","",IF($J31="Total Mensal",SUM(S$7:S30),IF($J31="Total Acumulado",SUM(S$7:S29)+Q31,IFERROR(R31*$K31,0))))</f>
        <v>0</v>
      </c>
      <c r="T31" s="112">
        <f>IF($J31="","",IF($J31="Total Mensal",SUM(U$7:U30)/VLOOKUP("Total Acumulado",$J:$K,2,FALSE),IF($J31="Total Acumulado",T30+R31+IF(R$7="% Item",-1,0),0%)))</f>
        <v>0</v>
      </c>
      <c r="U31" s="109">
        <f>IF($J31="","",IF($J31="Total Mensal",SUM(U$7:U30),IF($J31="Total Acumulado",SUM(U$7:U29)+S31,IFERROR(T31*$K31,0))))</f>
        <v>0</v>
      </c>
      <c r="V31" s="112">
        <f>IF($J31="","",IF($J31="Total Mensal",SUM(W$7:W30)/VLOOKUP("Total Acumulado",$J:$K,2,FALSE),IF($J31="Total Acumulado",V30+T31+IF(T$7="% Item",-1,0),0%)))</f>
        <v>0</v>
      </c>
      <c r="W31" s="109">
        <f>IF($J31="","",IF($J31="Total Mensal",SUM(W$7:W30),IF($J31="Total Acumulado",SUM(W$7:W29)+U31,IFERROR(V31*$K31,0))))</f>
        <v>0</v>
      </c>
      <c r="X31" s="112">
        <f>IF($J31="","",IF($J31="Total Mensal",SUM(Y$7:Y30)/VLOOKUP("Total Acumulado",$J:$K,2,FALSE),IF($J31="Total Acumulado",X30+V31+IF(V$7="% Item",-1,0),0%)))</f>
        <v>0</v>
      </c>
      <c r="Y31" s="109">
        <f>IF($J31="","",IF($J31="Total Mensal",SUM(Y$7:Y30),IF($J31="Total Acumulado",SUM(Y$7:Y29)+W31,IFERROR(X31*$K31,0))))</f>
        <v>0</v>
      </c>
      <c r="Z31" s="112">
        <f>IF($J31="","",IF($J31="Total Mensal",SUM(AA$7:AA30)/VLOOKUP("Total Acumulado",$J:$K,2,FALSE),IF($J31="Total Acumulado",Z30+X31+IF(X$7="% Item",-1,0),0%)))</f>
        <v>0</v>
      </c>
      <c r="AA31" s="109">
        <f>IF($J31="","",IF($J31="Total Mensal",SUM(AA$7:AA30),IF($J31="Total Acumulado",SUM(AA$7:AA29)+Y31,IFERROR(Z31*$K31,0))))</f>
        <v>0</v>
      </c>
      <c r="AB31" s="112">
        <f>IF($J31="","",IF($J31="Total Mensal",SUM(AC$7:AC30)/VLOOKUP("Total Acumulado",$J:$K,2,FALSE),IF($J31="Total Acumulado",AB30+Z31+IF(Z$7="% Item",-1,0),0%)))</f>
        <v>0</v>
      </c>
      <c r="AC31" s="109">
        <f>IF($J31="","",IF($J31="Total Mensal",SUM(AC$7:AC30),IF($J31="Total Acumulado",SUM(AC$7:AC29)+AA31,IFERROR(AB31*$K31,0))))</f>
        <v>0</v>
      </c>
      <c r="AD31" s="112">
        <f>IF($J31="","",IF($J31="Total Mensal",SUM(AE$7:AE30)/VLOOKUP("Total Acumulado",$J:$K,2,FALSE),IF($J31="Total Acumulado",AD30+AB31+IF(AB$7="% Item",-1,0),0%)))</f>
        <v>0</v>
      </c>
      <c r="AE31" s="109">
        <f>IF($J31="","",IF($J31="Total Mensal",SUM(AE$7:AE30),IF($J31="Total Acumulado",SUM(AE$7:AE29)+AC31,IFERROR(AD31*$K31,0))))</f>
        <v>0</v>
      </c>
      <c r="AF31" s="112">
        <f>IF($J31="","",IF($J31="Total Mensal",SUM(AG$7:AG30)/VLOOKUP("Total Acumulado",$J:$K,2,FALSE),IF($J31="Total Acumulado",AF30+AD31+IF(AD$7="% Item",-1,0),0%)))</f>
        <v>0</v>
      </c>
      <c r="AG31" s="109">
        <f>IF($J31="","",IF($J31="Total Mensal",SUM(AG$7:AG30),IF($J31="Total Acumulado",SUM(AG$7:AG29)+AE31,IFERROR(AF31*$K31,0))))</f>
        <v>0</v>
      </c>
      <c r="AH31" s="112">
        <f>IF($J31="","",IF($J31="Total Mensal",SUM(AI$7:AI30)/VLOOKUP("Total Acumulado",$J:$K,2,FALSE),IF($J31="Total Acumulado",AH30+AF31+IF(AF$7="% Item",-1,0),0%)))</f>
        <v>0</v>
      </c>
      <c r="AI31" s="109">
        <f>IF($J31="","",IF($J31="Total Mensal",SUM(AI$7:AI30),IF($J31="Total Acumulado",SUM(AI$7:AI29)+AG31,IFERROR(AH31*$K31,0))))</f>
        <v>0</v>
      </c>
      <c r="AJ31" s="112">
        <f>IF($J31="","",IF($J31="Total Mensal",SUM(AK$7:AK30)/VLOOKUP("Total Acumulado",$J:$K,2,FALSE),IF($J31="Total Acumulado",AJ30+AH31+IF(AH$7="% Item",-1,0),0%)))</f>
        <v>0</v>
      </c>
      <c r="AK31" s="109">
        <f>IF($J31="","",IF($J31="Total Mensal",SUM(AK$7:AK30),IF($J31="Total Acumulado",SUM(AK$7:AK29)+AI31,IFERROR(AJ31*$K31,0))))</f>
        <v>0</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Total Mensal</v>
      </c>
      <c r="K32" s="75" t="str">
        <f>IF(J32="","",IF(J32="Total Mensal","-",IF(J32="Total Acumulado",SUM(K$7:K31),I32*J32)))</f>
        <v>-</v>
      </c>
      <c r="L32" s="112" t="str">
        <f>IF(J32="","",IF(J32="Total Mensal","-",IF(J32="Total Acumulado",SUM(L$7:L31),K32/SUMIF(J:J,"Total Acumulado",K:K))))</f>
        <v>-</v>
      </c>
      <c r="M32" s="108"/>
      <c r="N32" s="112">
        <f>IF($J32="","",IF($J32="Total Mensal",SUM(O$7:O31)/VLOOKUP("Total Acumulado",$J:$K,2,FALSE),IF($J32="Total Acumulado",N31+L32+IF(L$7="% Item",-1,0),0%)))</f>
        <v>0</v>
      </c>
      <c r="O32" s="109">
        <f>IF($J32="","",IF($J32="Total Mensal",SUM(O$7:O31),IF($J32="Total Acumulado",SUM(O$7:O30)+M32,IFERROR(N32*$K32,0))))</f>
        <v>0</v>
      </c>
      <c r="P32" s="112">
        <f>IF($J32="","",IF($J32="Total Mensal",SUM(Q$7:Q31)/VLOOKUP("Total Acumulado",$J:$K,2,FALSE),IF($J32="Total Acumulado",P31+N32+IF(N$7="% Item",-1,0),0%)))</f>
        <v>0</v>
      </c>
      <c r="Q32" s="109">
        <f>IF($J32="","",IF($J32="Total Mensal",SUM(Q$7:Q31),IF($J32="Total Acumulado",SUM(Q$7:Q30)+O32,IFERROR(P32*$K32,0))))</f>
        <v>0</v>
      </c>
      <c r="R32" s="112">
        <f>IF($J32="","",IF($J32="Total Mensal",SUM(S$7:S31)/VLOOKUP("Total Acumulado",$J:$K,2,FALSE),IF($J32="Total Acumulado",R31+P32+IF(P$7="% Item",-1,0),0%)))</f>
        <v>0</v>
      </c>
      <c r="S32" s="109">
        <f>IF($J32="","",IF($J32="Total Mensal",SUM(S$7:S31),IF($J32="Total Acumulado",SUM(S$7:S30)+Q32,IFERROR(R32*$K32,0))))</f>
        <v>0</v>
      </c>
      <c r="T32" s="112">
        <f>IF($J32="","",IF($J32="Total Mensal",SUM(U$7:U31)/VLOOKUP("Total Acumulado",$J:$K,2,FALSE),IF($J32="Total Acumulado",T31+R32+IF(R$7="% Item",-1,0),0%)))</f>
        <v>0</v>
      </c>
      <c r="U32" s="109">
        <f>IF($J32="","",IF($J32="Total Mensal",SUM(U$7:U31),IF($J32="Total Acumulado",SUM(U$7:U30)+S32,IFERROR(T32*$K32,0))))</f>
        <v>0</v>
      </c>
      <c r="V32" s="112">
        <f>IF($J32="","",IF($J32="Total Mensal",SUM(W$7:W31)/VLOOKUP("Total Acumulado",$J:$K,2,FALSE),IF($J32="Total Acumulado",V31+T32+IF(T$7="% Item",-1,0),0%)))</f>
        <v>0</v>
      </c>
      <c r="W32" s="109">
        <f>IF($J32="","",IF($J32="Total Mensal",SUM(W$7:W31),IF($J32="Total Acumulado",SUM(W$7:W30)+U32,IFERROR(V32*$K32,0))))</f>
        <v>0</v>
      </c>
      <c r="X32" s="112">
        <f>IF($J32="","",IF($J32="Total Mensal",SUM(Y$7:Y31)/VLOOKUP("Total Acumulado",$J:$K,2,FALSE),IF($J32="Total Acumulado",X31+V32+IF(V$7="% Item",-1,0),0%)))</f>
        <v>0</v>
      </c>
      <c r="Y32" s="109">
        <f>IF($J32="","",IF($J32="Total Mensal",SUM(Y$7:Y31),IF($J32="Total Acumulado",SUM(Y$7:Y30)+W32,IFERROR(X32*$K32,0))))</f>
        <v>0</v>
      </c>
      <c r="Z32" s="112">
        <f>IF($J32="","",IF($J32="Total Mensal",SUM(AA$7:AA31)/VLOOKUP("Total Acumulado",$J:$K,2,FALSE),IF($J32="Total Acumulado",Z31+X32+IF(X$7="% Item",-1,0),0%)))</f>
        <v>0</v>
      </c>
      <c r="AA32" s="109">
        <f>IF($J32="","",IF($J32="Total Mensal",SUM(AA$7:AA31),IF($J32="Total Acumulado",SUM(AA$7:AA30)+Y32,IFERROR(Z32*$K32,0))))</f>
        <v>0</v>
      </c>
      <c r="AB32" s="112">
        <f>IF($J32="","",IF($J32="Total Mensal",SUM(AC$7:AC31)/VLOOKUP("Total Acumulado",$J:$K,2,FALSE),IF($J32="Total Acumulado",AB31+Z32+IF(Z$7="% Item",-1,0),0%)))</f>
        <v>0</v>
      </c>
      <c r="AC32" s="109">
        <f>IF($J32="","",IF($J32="Total Mensal",SUM(AC$7:AC31),IF($J32="Total Acumulado",SUM(AC$7:AC30)+AA32,IFERROR(AB32*$K32,0))))</f>
        <v>0</v>
      </c>
      <c r="AD32" s="112">
        <f>IF($J32="","",IF($J32="Total Mensal",SUM(AE$7:AE31)/VLOOKUP("Total Acumulado",$J:$K,2,FALSE),IF($J32="Total Acumulado",AD31+AB32+IF(AB$7="% Item",-1,0),0%)))</f>
        <v>0</v>
      </c>
      <c r="AE32" s="109">
        <f>IF($J32="","",IF($J32="Total Mensal",SUM(AE$7:AE31),IF($J32="Total Acumulado",SUM(AE$7:AE30)+AC32,IFERROR(AD32*$K32,0))))</f>
        <v>0</v>
      </c>
      <c r="AF32" s="112">
        <f>IF($J32="","",IF($J32="Total Mensal",SUM(AG$7:AG31)/VLOOKUP("Total Acumulado",$J:$K,2,FALSE),IF($J32="Total Acumulado",AF31+AD32+IF(AD$7="% Item",-1,0),0%)))</f>
        <v>0</v>
      </c>
      <c r="AG32" s="109">
        <f>IF($J32="","",IF($J32="Total Mensal",SUM(AG$7:AG31),IF($J32="Total Acumulado",SUM(AG$7:AG30)+AE32,IFERROR(AF32*$K32,0))))</f>
        <v>0</v>
      </c>
      <c r="AH32" s="112">
        <f>IF($J32="","",IF($J32="Total Mensal",SUM(AI$7:AI31)/VLOOKUP("Total Acumulado",$J:$K,2,FALSE),IF($J32="Total Acumulado",AH31+AF32+IF(AF$7="% Item",-1,0),0%)))</f>
        <v>0</v>
      </c>
      <c r="AI32" s="109">
        <f>IF($J32="","",IF($J32="Total Mensal",SUM(AI$7:AI31),IF($J32="Total Acumulado",SUM(AI$7:AI30)+AG32,IFERROR(AH32*$K32,0))))</f>
        <v>0</v>
      </c>
      <c r="AJ32" s="112">
        <f>IF($J32="","",IF($J32="Total Mensal",SUM(AK$7:AK31)/VLOOKUP("Total Acumulado",$J:$K,2,FALSE),IF($J32="Total Acumulado",AJ31+AH32+IF(AH$7="% Item",-1,0),0%)))</f>
        <v>0</v>
      </c>
      <c r="AK32" s="109">
        <f>IF($J32="","",IF($J32="Total Mensal",SUM(AK$7:AK31),IF($J32="Total Acumulado",SUM(AK$7:AK30)+AI32,IFERROR(AJ32*$K32,0))))</f>
        <v>0</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Total Acumulado</v>
      </c>
      <c r="K33" s="75">
        <f>IF(J33="","",IF(J33="Total Mensal","-",IF(J33="Total Acumulado",SUM(K$7:K32),I33*J33)))</f>
        <v>4899032.82</v>
      </c>
      <c r="L33" s="112">
        <f>IF(J33="","",IF(J33="Total Mensal","-",IF(J33="Total Acumulado",SUM(L$7:L32),K33/SUMIF(J:J,"Total Acumulado",K:K))))</f>
        <v>0.99999999999999989</v>
      </c>
      <c r="M33" s="108"/>
      <c r="N33" s="112">
        <f>IF($J33="","",IF($J33="Total Mensal",SUM(O$7:O32)/VLOOKUP("Total Acumulado",$J:$K,2,FALSE),IF($J33="Total Acumulado",N32+L33+IF(L$7="% Item",-1,0),0%)))</f>
        <v>-1.1102230246251565E-16</v>
      </c>
      <c r="O33" s="109">
        <f>IF($J33="","",IF($J33="Total Mensal",SUM(O$7:O32),IF($J33="Total Acumulado",SUM(O$7:O31)+M33,IFERROR(N33*$K33,0))))</f>
        <v>0</v>
      </c>
      <c r="P33" s="112">
        <f>IF($J33="","",IF($J33="Total Mensal",SUM(Q$7:Q32)/VLOOKUP("Total Acumulado",$J:$K,2,FALSE),IF($J33="Total Acumulado",P32+N33+IF(N$7="% Item",-1,0),0%)))</f>
        <v>-1.1102230246251565E-16</v>
      </c>
      <c r="Q33" s="109">
        <f>IF($J33="","",IF($J33="Total Mensal",SUM(Q$7:Q32),IF($J33="Total Acumulado",SUM(Q$7:Q31)+O33,IFERROR(P33*$K33,0))))</f>
        <v>0</v>
      </c>
      <c r="R33" s="112">
        <f>IF($J33="","",IF($J33="Total Mensal",SUM(S$7:S32)/VLOOKUP("Total Acumulado",$J:$K,2,FALSE),IF($J33="Total Acumulado",R32+P33+IF(P$7="% Item",-1,0),0%)))</f>
        <v>-1.1102230246251565E-16</v>
      </c>
      <c r="S33" s="109">
        <f>IF($J33="","",IF($J33="Total Mensal",SUM(S$7:S32),IF($J33="Total Acumulado",SUM(S$7:S31)+Q33,IFERROR(R33*$K33,0))))</f>
        <v>0</v>
      </c>
      <c r="T33" s="112">
        <f>IF($J33="","",IF($J33="Total Mensal",SUM(U$7:U32)/VLOOKUP("Total Acumulado",$J:$K,2,FALSE),IF($J33="Total Acumulado",T32+R33+IF(R$7="% Item",-1,0),0%)))</f>
        <v>-1.1102230246251565E-16</v>
      </c>
      <c r="U33" s="109">
        <f>IF($J33="","",IF($J33="Total Mensal",SUM(U$7:U32),IF($J33="Total Acumulado",SUM(U$7:U31)+S33,IFERROR(T33*$K33,0))))</f>
        <v>0</v>
      </c>
      <c r="V33" s="112">
        <f>IF($J33="","",IF($J33="Total Mensal",SUM(W$7:W32)/VLOOKUP("Total Acumulado",$J:$K,2,FALSE),IF($J33="Total Acumulado",V32+T33+IF(T$7="% Item",-1,0),0%)))</f>
        <v>-1.1102230246251565E-16</v>
      </c>
      <c r="W33" s="109">
        <f>IF($J33="","",IF($J33="Total Mensal",SUM(W$7:W32),IF($J33="Total Acumulado",SUM(W$7:W31)+U33,IFERROR(V33*$K33,0))))</f>
        <v>0</v>
      </c>
      <c r="X33" s="112">
        <f>IF($J33="","",IF($J33="Total Mensal",SUM(Y$7:Y32)/VLOOKUP("Total Acumulado",$J:$K,2,FALSE),IF($J33="Total Acumulado",X32+V33+IF(V$7="% Item",-1,0),0%)))</f>
        <v>-1.1102230246251565E-16</v>
      </c>
      <c r="Y33" s="109">
        <f>IF($J33="","",IF($J33="Total Mensal",SUM(Y$7:Y32),IF($J33="Total Acumulado",SUM(Y$7:Y31)+W33,IFERROR(X33*$K33,0))))</f>
        <v>0</v>
      </c>
      <c r="Z33" s="112">
        <f>IF($J33="","",IF($J33="Total Mensal",SUM(AA$7:AA32)/VLOOKUP("Total Acumulado",$J:$K,2,FALSE),IF($J33="Total Acumulado",Z32+X33+IF(X$7="% Item",-1,0),0%)))</f>
        <v>-1.1102230246251565E-16</v>
      </c>
      <c r="AA33" s="109">
        <f>IF($J33="","",IF($J33="Total Mensal",SUM(AA$7:AA32),IF($J33="Total Acumulado",SUM(AA$7:AA31)+Y33,IFERROR(Z33*$K33,0))))</f>
        <v>0</v>
      </c>
      <c r="AB33" s="112">
        <f>IF($J33="","",IF($J33="Total Mensal",SUM(AC$7:AC32)/VLOOKUP("Total Acumulado",$J:$K,2,FALSE),IF($J33="Total Acumulado",AB32+Z33+IF(Z$7="% Item",-1,0),0%)))</f>
        <v>-1.1102230246251565E-16</v>
      </c>
      <c r="AC33" s="109">
        <f>IF($J33="","",IF($J33="Total Mensal",SUM(AC$7:AC32),IF($J33="Total Acumulado",SUM(AC$7:AC31)+AA33,IFERROR(AB33*$K33,0))))</f>
        <v>0</v>
      </c>
      <c r="AD33" s="112">
        <f>IF($J33="","",IF($J33="Total Mensal",SUM(AE$7:AE32)/VLOOKUP("Total Acumulado",$J:$K,2,FALSE),IF($J33="Total Acumulado",AD32+AB33+IF(AB$7="% Item",-1,0),0%)))</f>
        <v>-1.1102230246251565E-16</v>
      </c>
      <c r="AE33" s="109">
        <f>IF($J33="","",IF($J33="Total Mensal",SUM(AE$7:AE32),IF($J33="Total Acumulado",SUM(AE$7:AE31)+AC33,IFERROR(AD33*$K33,0))))</f>
        <v>0</v>
      </c>
      <c r="AF33" s="112">
        <f>IF($J33="","",IF($J33="Total Mensal",SUM(AG$7:AG32)/VLOOKUP("Total Acumulado",$J:$K,2,FALSE),IF($J33="Total Acumulado",AF32+AD33+IF(AD$7="% Item",-1,0),0%)))</f>
        <v>-1.1102230246251565E-16</v>
      </c>
      <c r="AG33" s="109">
        <f>IF($J33="","",IF($J33="Total Mensal",SUM(AG$7:AG32),IF($J33="Total Acumulado",SUM(AG$7:AG31)+AE33,IFERROR(AF33*$K33,0))))</f>
        <v>0</v>
      </c>
      <c r="AH33" s="112">
        <f>IF($J33="","",IF($J33="Total Mensal",SUM(AI$7:AI32)/VLOOKUP("Total Acumulado",$J:$K,2,FALSE),IF($J33="Total Acumulado",AH32+AF33+IF(AF$7="% Item",-1,0),0%)))</f>
        <v>-1.1102230246251565E-16</v>
      </c>
      <c r="AI33" s="109">
        <f>IF($J33="","",IF($J33="Total Mensal",SUM(AI$7:AI32),IF($J33="Total Acumulado",SUM(AI$7:AI31)+AG33,IFERROR(AH33*$K33,0))))</f>
        <v>0</v>
      </c>
      <c r="AJ33" s="112">
        <f>IF($J33="","",IF($J33="Total Mensal",SUM(AK$7:AK32)/VLOOKUP("Total Acumulado",$J:$K,2,FALSE),IF($J33="Total Acumulado",AJ32+AH33+IF(AH$7="% Item",-1,0),0%)))</f>
        <v>-1.1102230246251565E-16</v>
      </c>
      <c r="AK33" s="109">
        <f>IF($J33="","",IF($J33="Total Mensal",SUM(AK$7:AK32),IF($J33="Total Acumulado",SUM(AK$7:AK31)+AI33,IFERROR(AJ33*$K33,0))))</f>
        <v>0</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8" t="s">
        <v>305</v>
      </c>
      <c r="F2" s="249"/>
      <c r="G2" s="249"/>
      <c r="H2" s="249"/>
      <c r="I2" s="249"/>
      <c r="J2" s="249"/>
      <c r="K2" s="249"/>
      <c r="L2" s="249"/>
      <c r="M2" s="249"/>
      <c r="N2" s="249"/>
      <c r="O2" s="249"/>
      <c r="P2" s="250"/>
    </row>
    <row r="3" spans="1:21" ht="21" x14ac:dyDescent="0.35">
      <c r="A3" s="138"/>
      <c r="E3" s="251" t="str">
        <f>IFERROR('MAPA DE PREÇOS'!H5:J5,"")</f>
        <v/>
      </c>
      <c r="F3" s="252"/>
      <c r="G3" s="252"/>
      <c r="H3" s="252"/>
      <c r="I3" s="252"/>
      <c r="J3" s="252"/>
      <c r="K3" s="252"/>
      <c r="L3" s="252"/>
      <c r="M3" s="252"/>
      <c r="N3" s="252"/>
      <c r="O3" s="252"/>
      <c r="P3" s="253"/>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2.9848299730312888E-3</v>
      </c>
      <c r="D6" s="42">
        <f>IFERROR(IF(C6=C5,IF(D5="","",D5+0.000000001),C6),"")</f>
        <v>2.9848299730312888E-3</v>
      </c>
      <c r="E6" s="41">
        <f t="shared" ref="E6:E37" si="0">IFERROR(INDEX(B:B,MATCH(LARGE(D:D,ROW()-5),D:D,0)),"")</f>
        <v>13</v>
      </c>
      <c r="F6" s="41">
        <f>IFERROR(VLOOKUP($E6,'MAPA DE PREÇOS'!$B:$D,2,FALSE),"")</f>
        <v>1</v>
      </c>
      <c r="G6" s="41">
        <f>IFERROR(VLOOKUP($E6,'MAPA DE PREÇOS'!$B:$D,3,FALSE),"")</f>
        <v>13</v>
      </c>
      <c r="H6" s="41">
        <f t="array" ref="H6">IFERROR(IF(E6="","",INDEX('MAPA DE PREÇOS'!H:H,0+MATCH(ABC!E6,'MAPA DE PREÇOS'!B:B,0))),"")</f>
        <v>0</v>
      </c>
      <c r="I6" t="str">
        <f>IF(E6="","",INDEX('MAPA DE PREÇOS'!H:H,MATCH(ABC!E6,'MAPA DE PREÇOS'!B:B,0)+1))</f>
        <v>Totens</v>
      </c>
      <c r="J6" s="41" t="str">
        <f>IFERROR(IF(E6="","",INDEX('MAPA DE PREÇOS'!M:M,3+MATCH(ABC!E6,'MAPA DE PREÇOS'!B:B,0))),"")</f>
        <v>UND</v>
      </c>
      <c r="K6" s="52">
        <f t="array" ref="K6">IFERROR(IF(E6="","",INDEX('MAPA DE PREÇOS'!M:M,2+MATCH(ABC!E6,'MAPA DE PREÇOS'!B:B,0))),"")</f>
        <v>399</v>
      </c>
      <c r="L6" s="53">
        <f t="array" ref="L6">IFERROR(IF(AND(E5&lt;&gt;"",E6=""),"TOTAL ESTIMADO",INDEX('MAPA DE PREÇOS'!M:M,0+MATCH(ABC!E6,'MAPA DE PREÇOS'!B:B,0))),"")</f>
        <v>3651.14</v>
      </c>
      <c r="M6" s="54">
        <f>IFERROR(IF(AND(E5&lt;&gt;"",E6=""),SUM($M$5:M5),INDEX('MAPA DE PREÇOS'!M:M,19+MATCH(ABC!E6,'MAPA DE PREÇOS'!B:B,0))),"")</f>
        <v>1456804.86</v>
      </c>
      <c r="N6" s="90">
        <f t="shared" ref="N6:N37" si="1">IFERROR(VLOOKUP(E6,$B:$C,2),"")</f>
        <v>0.29736580944154606</v>
      </c>
      <c r="O6" s="90">
        <f>N6</f>
        <v>0.29736580944154606</v>
      </c>
      <c r="P6" s="54" t="str">
        <f>IF(O6="","",IF(OR(N6&gt;=$S$6,O6&lt;=$S$6),"A",IF(O6&lt;=SUM($S$6:$S$7),"B","C")))</f>
        <v>A</v>
      </c>
      <c r="R6" s="156" t="s">
        <v>310</v>
      </c>
      <c r="S6" s="157">
        <v>0.8</v>
      </c>
      <c r="T6" s="156">
        <f>COUNTIF($P$6:$P$107,$R6)</f>
        <v>9</v>
      </c>
      <c r="U6" s="158">
        <f>SUMIFS($M$6:$M$107,$P$6:$P$107,$R6)</f>
        <v>3804641.17</v>
      </c>
    </row>
    <row r="7" spans="1:21" x14ac:dyDescent="0.25">
      <c r="B7" s="41">
        <v>2</v>
      </c>
      <c r="C7" s="42">
        <f>IFERROR(INDEX('MAPA DE PREÇOS'!M:M,MATCH(B7,'MAPA DE PREÇOS'!B:B,0)+19)/(SUMPRODUCT(EDITAL!I:I,EDITAL!J:J)),"")</f>
        <v>4.9157539630444846E-3</v>
      </c>
      <c r="D7" s="42">
        <f t="shared" ref="D7:D70" si="2">IFERROR(IF(C7=C6,IF(D6="","",D6+0.000000001),C7),"")</f>
        <v>4.9157539630444846E-3</v>
      </c>
      <c r="E7" s="41">
        <f t="shared" si="0"/>
        <v>10</v>
      </c>
      <c r="F7" s="41">
        <f>IFERROR(VLOOKUP($E7,'MAPA DE PREÇOS'!$B:$D,2,FALSE),"")</f>
        <v>1</v>
      </c>
      <c r="G7" s="41">
        <f>IFERROR(VLOOKUP($E7,'MAPA DE PREÇOS'!$B:$D,3,FALSE),"")</f>
        <v>10</v>
      </c>
      <c r="H7" s="41">
        <f t="array" ref="H7">IFERROR(IF(E7="","",INDEX('MAPA DE PREÇOS'!H:H,0+MATCH(ABC!E7,'MAPA DE PREÇOS'!B:B,0))),"")</f>
        <v>0</v>
      </c>
      <c r="I7" t="str">
        <f>IF(E7="","",INDEX('MAPA DE PREÇOS'!H:H,MATCH(ABC!E7,'MAPA DE PREÇOS'!B:B,0)+1))</f>
        <v>Cartazes</v>
      </c>
      <c r="J7" s="41" t="str">
        <f>IFERROR(IF(E7="","",INDEX('MAPA DE PREÇOS'!M:M,3+MATCH(ABC!E7,'MAPA DE PREÇOS'!B:B,0))),"")</f>
        <v>M2</v>
      </c>
      <c r="K7" s="52">
        <f t="array" ref="K7">IFERROR(IF(E7="","",INDEX('MAPA DE PREÇOS'!M:M,2+MATCH(ABC!E7,'MAPA DE PREÇOS'!B:B,0))),"")</f>
        <v>13166</v>
      </c>
      <c r="L7" s="53">
        <f t="array" ref="L7">IFERROR(IF(AND(E6&lt;&gt;"",E7=""),"TOTAL ESTIMADO",INDEX('MAPA DE PREÇOS'!M:M,0+MATCH(ABC!E7,'MAPA DE PREÇOS'!B:B,0))),"")</f>
        <v>62.42</v>
      </c>
      <c r="M7" s="54">
        <f>IFERROR(IF(AND(E6&lt;&gt;"",E7=""),SUM($M$5:M6),INDEX('MAPA DE PREÇOS'!M:M,19+MATCH(ABC!E7,'MAPA DE PREÇOS'!B:B,0))),"")</f>
        <v>821821.72</v>
      </c>
      <c r="N7" s="90">
        <f t="shared" si="1"/>
        <v>0.1677518298397519</v>
      </c>
      <c r="O7" s="90">
        <f>IFERROR(N7+O6,"")</f>
        <v>0.46511763928129796</v>
      </c>
      <c r="P7" s="54" t="str">
        <f t="shared" ref="P7:P70" si="3">IF(O7="","",IF(OR(N7&gt;=$S$6,O7&lt;=$S$6),"A",IF(O7&lt;=SUM($S$6:$S$7),"B","C")))</f>
        <v>A</v>
      </c>
      <c r="R7" s="159" t="s">
        <v>311</v>
      </c>
      <c r="S7" s="160">
        <v>0.15</v>
      </c>
      <c r="T7" s="159">
        <f>COUNTIF($P$6:$P$107,$R7)</f>
        <v>8</v>
      </c>
      <c r="U7" s="161">
        <f>SUMIFS($M$6:$M$107,$P$6:$P$107,$R7)</f>
        <v>847250.58000000007</v>
      </c>
    </row>
    <row r="8" spans="1:21" x14ac:dyDescent="0.25">
      <c r="B8" s="41">
        <v>3</v>
      </c>
      <c r="C8" s="42">
        <f>IFERROR(INDEX('MAPA DE PREÇOS'!M:M,MATCH(B8,'MAPA DE PREÇOS'!B:B,0)+19)/(SUMPRODUCT(EDITAL!I:I,EDITAL!J:J)),"")</f>
        <v>1.1844101097489687E-2</v>
      </c>
      <c r="D8" s="42">
        <f t="shared" si="2"/>
        <v>1.1844101097489687E-2</v>
      </c>
      <c r="E8" s="41">
        <f t="shared" si="0"/>
        <v>24</v>
      </c>
      <c r="F8" s="41">
        <f>IFERROR(VLOOKUP($E8,'MAPA DE PREÇOS'!$B:$D,2,FALSE),"")</f>
        <v>1</v>
      </c>
      <c r="G8" s="41">
        <f>IFERROR(VLOOKUP($E8,'MAPA DE PREÇOS'!$B:$D,3,FALSE),"")</f>
        <v>24</v>
      </c>
      <c r="H8" s="41">
        <f t="array" ref="H8">IFERROR(IF(E8="","",INDEX('MAPA DE PREÇOS'!H:H,0+MATCH(ABC!E8,'MAPA DE PREÇOS'!B:B,0))),"")</f>
        <v>0</v>
      </c>
      <c r="I8" t="str">
        <f>IF(E8="","",INDEX('MAPA DE PREÇOS'!H:H,MATCH(ABC!E8,'MAPA DE PREÇOS'!B:B,0)+1))</f>
        <v>Placa de Comunicação Visual em painel de ACM</v>
      </c>
      <c r="J8" s="41" t="str">
        <f>IFERROR(IF(E8="","",INDEX('MAPA DE PREÇOS'!M:M,3+MATCH(ABC!E8,'MAPA DE PREÇOS'!B:B,0))),"")</f>
        <v>M2</v>
      </c>
      <c r="K8" s="52">
        <f t="array" ref="K8">IFERROR(IF(E8="","",INDEX('MAPA DE PREÇOS'!M:M,2+MATCH(ABC!E8,'MAPA DE PREÇOS'!B:B,0))),"")</f>
        <v>1289</v>
      </c>
      <c r="L8" s="53">
        <f t="array" ref="L8">IFERROR(IF(AND(E7&lt;&gt;"",E8=""),"TOTAL ESTIMADO",INDEX('MAPA DE PREÇOS'!M:M,0+MATCH(ABC!E8,'MAPA DE PREÇOS'!B:B,0))),"")</f>
        <v>279.45</v>
      </c>
      <c r="M8" s="54">
        <f>IFERROR(IF(AND(E7&lt;&gt;"",E8=""),SUM($M$5:M7),INDEX('MAPA DE PREÇOS'!M:M,19+MATCH(ABC!E8,'MAPA DE PREÇOS'!B:B,0))),"")</f>
        <v>360211.05</v>
      </c>
      <c r="N8" s="90">
        <f t="shared" si="1"/>
        <v>7.3526972207546865E-2</v>
      </c>
      <c r="O8" s="90">
        <f t="shared" ref="O8:O71" si="4">IFERROR(N8+O7,"")</f>
        <v>0.53864461148884479</v>
      </c>
      <c r="P8" s="54" t="str">
        <f t="shared" si="3"/>
        <v>A</v>
      </c>
      <c r="R8" s="153" t="s">
        <v>312</v>
      </c>
      <c r="S8" s="154">
        <v>0.05</v>
      </c>
      <c r="T8" s="153">
        <f>COUNTIF($P$6:$P$107,$R8)</f>
        <v>7</v>
      </c>
      <c r="U8" s="155">
        <f>SUMIFS($M$6:$M$107,$P$6:$P$107,$R8)</f>
        <v>247141.07</v>
      </c>
    </row>
    <row r="9" spans="1:21" x14ac:dyDescent="0.25">
      <c r="B9" s="41">
        <v>4</v>
      </c>
      <c r="C9" s="42">
        <f>IFERROR(INDEX('MAPA DE PREÇOS'!M:M,MATCH(B9,'MAPA DE PREÇOS'!B:B,0)+19)/(SUMPRODUCT(EDITAL!I:I,EDITAL!J:J)),"")</f>
        <v>2.0691012639511158E-2</v>
      </c>
      <c r="D9" s="42">
        <f t="shared" si="2"/>
        <v>2.0691012639511158E-2</v>
      </c>
      <c r="E9" s="41">
        <f t="shared" si="0"/>
        <v>21</v>
      </c>
      <c r="F9" s="41">
        <f>IFERROR(VLOOKUP($E9,'MAPA DE PREÇOS'!$B:$D,2,FALSE),"")</f>
        <v>1</v>
      </c>
      <c r="G9" s="41">
        <f>IFERROR(VLOOKUP($E9,'MAPA DE PREÇOS'!$B:$D,3,FALSE),"")</f>
        <v>21</v>
      </c>
      <c r="H9" s="41">
        <f t="array" ref="H9">IFERROR(IF(E9="","",INDEX('MAPA DE PREÇOS'!H:H,0+MATCH(ABC!E9,'MAPA DE PREÇOS'!B:B,0))),"")</f>
        <v>0</v>
      </c>
      <c r="I9" t="str">
        <f>IF(E9="","",INDEX('MAPA DE PREÇOS'!H:H,MATCH(ABC!E9,'MAPA DE PREÇOS'!B:B,0)+1))</f>
        <v>Inserção de Mural Modelo 1</v>
      </c>
      <c r="J9" s="41" t="str">
        <f>IFERROR(IF(E9="","",INDEX('MAPA DE PREÇOS'!M:M,3+MATCH(ABC!E9,'MAPA DE PREÇOS'!B:B,0))),"")</f>
        <v>UND</v>
      </c>
      <c r="K9" s="52">
        <f t="array" ref="K9">IFERROR(IF(E9="","",INDEX('MAPA DE PREÇOS'!M:M,2+MATCH(ABC!E9,'MAPA DE PREÇOS'!B:B,0))),"")</f>
        <v>395</v>
      </c>
      <c r="L9" s="53">
        <f t="array" ref="L9">IFERROR(IF(AND(E8&lt;&gt;"",E9=""),"TOTAL ESTIMADO",INDEX('MAPA DE PREÇOS'!M:M,0+MATCH(ABC!E9,'MAPA DE PREÇOS'!B:B,0))),"")</f>
        <v>789.96</v>
      </c>
      <c r="M9" s="54">
        <f>IFERROR(IF(AND(E8&lt;&gt;"",E9=""),SUM($M$5:M8),INDEX('MAPA DE PREÇOS'!M:M,19+MATCH(ABC!E9,'MAPA DE PREÇOS'!B:B,0))),"")</f>
        <v>312034.2</v>
      </c>
      <c r="N9" s="90">
        <f t="shared" si="1"/>
        <v>6.3693020942039741E-2</v>
      </c>
      <c r="O9" s="90">
        <f t="shared" si="4"/>
        <v>0.60233763243088456</v>
      </c>
      <c r="P9" s="54" t="str">
        <f t="shared" si="3"/>
        <v>A</v>
      </c>
    </row>
    <row r="10" spans="1:21" x14ac:dyDescent="0.25">
      <c r="B10" s="41">
        <v>5</v>
      </c>
      <c r="C10" s="42">
        <f>IFERROR(INDEX('MAPA DE PREÇOS'!M:M,MATCH(B10,'MAPA DE PREÇOS'!B:B,0)+19)/(SUMPRODUCT(EDITAL!I:I,EDITAL!J:J)),"")</f>
        <v>3.2824421862109508E-2</v>
      </c>
      <c r="D10" s="42">
        <f t="shared" si="2"/>
        <v>3.2824421862109508E-2</v>
      </c>
      <c r="E10" s="41">
        <f t="shared" si="0"/>
        <v>14</v>
      </c>
      <c r="F10" s="41">
        <f>IFERROR(VLOOKUP($E10,'MAPA DE PREÇOS'!$B:$D,2,FALSE),"")</f>
        <v>1</v>
      </c>
      <c r="G10" s="41">
        <f>IFERROR(VLOOKUP($E10,'MAPA DE PREÇOS'!$B:$D,3,FALSE),"")</f>
        <v>14</v>
      </c>
      <c r="H10" s="41">
        <f t="array" ref="H10">IFERROR(IF(E10="","",INDEX('MAPA DE PREÇOS'!H:H,0+MATCH(ABC!E10,'MAPA DE PREÇOS'!B:B,0))),"")</f>
        <v>0</v>
      </c>
      <c r="I10" t="str">
        <f>IF(E10="","",INDEX('MAPA DE PREÇOS'!H:H,MATCH(ABC!E10,'MAPA DE PREÇOS'!B:B,0)+1))</f>
        <v>Placas de Fachada modelo 1</v>
      </c>
      <c r="J10" s="41" t="str">
        <f>IFERROR(IF(E10="","",INDEX('MAPA DE PREÇOS'!M:M,3+MATCH(ABC!E10,'MAPA DE PREÇOS'!B:B,0))),"")</f>
        <v>M2</v>
      </c>
      <c r="K10" s="52">
        <f t="array" ref="K10">IFERROR(IF(E10="","",INDEX('MAPA DE PREÇOS'!M:M,2+MATCH(ABC!E10,'MAPA DE PREÇOS'!B:B,0))),"")</f>
        <v>743</v>
      </c>
      <c r="L10" s="53">
        <f t="array" ref="L10">IFERROR(IF(AND(E9&lt;&gt;"",E10=""),"TOTAL ESTIMADO",INDEX('MAPA DE PREÇOS'!M:M,0+MATCH(ABC!E10,'MAPA DE PREÇOS'!B:B,0))),"")</f>
        <v>251.43</v>
      </c>
      <c r="M10" s="54">
        <f>IFERROR(IF(AND(E9&lt;&gt;"",E10=""),SUM($M$5:M9),INDEX('MAPA DE PREÇOS'!M:M,19+MATCH(ABC!E10,'MAPA DE PREÇOS'!B:B,0))),"")</f>
        <v>186812.49</v>
      </c>
      <c r="N10" s="90">
        <f t="shared" si="1"/>
        <v>3.8132524696987025E-2</v>
      </c>
      <c r="O10" s="90">
        <f t="shared" si="4"/>
        <v>0.64047015712787159</v>
      </c>
      <c r="P10" s="54" t="str">
        <f t="shared" si="3"/>
        <v>A</v>
      </c>
    </row>
    <row r="11" spans="1:21" x14ac:dyDescent="0.25">
      <c r="B11" s="41">
        <v>6</v>
      </c>
      <c r="C11" s="42">
        <f>IFERROR(INDEX('MAPA DE PREÇOS'!M:M,MATCH(B11,'MAPA DE PREÇOS'!B:B,0)+19)/(SUMPRODUCT(EDITAL!I:I,EDITAL!J:J)),"")</f>
        <v>1.7719040306408886E-2</v>
      </c>
      <c r="D11" s="42">
        <f t="shared" si="2"/>
        <v>1.7719040306408886E-2</v>
      </c>
      <c r="E11" s="41">
        <f t="shared" si="0"/>
        <v>11</v>
      </c>
      <c r="F11" s="41">
        <f>IFERROR(VLOOKUP($E11,'MAPA DE PREÇOS'!$B:$D,2,FALSE),"")</f>
        <v>1</v>
      </c>
      <c r="G11" s="41">
        <f>IFERROR(VLOOKUP($E11,'MAPA DE PREÇOS'!$B:$D,3,FALSE),"")</f>
        <v>11</v>
      </c>
      <c r="H11" s="41">
        <f t="array" ref="H11">IFERROR(IF(E11="","",INDEX('MAPA DE PREÇOS'!H:H,0+MATCH(ABC!E11,'MAPA DE PREÇOS'!B:B,0))),"")</f>
        <v>0</v>
      </c>
      <c r="I11" t="str">
        <f>IF(E11="","",INDEX('MAPA DE PREÇOS'!H:H,MATCH(ABC!E11,'MAPA DE PREÇOS'!B:B,0)+1))</f>
        <v>Adesivos lixeiras</v>
      </c>
      <c r="J11" s="41" t="str">
        <f>IFERROR(IF(E11="","",INDEX('MAPA DE PREÇOS'!M:M,3+MATCH(ABC!E11,'MAPA DE PREÇOS'!B:B,0))),"")</f>
        <v>M2</v>
      </c>
      <c r="K11" s="52">
        <f t="array" ref="K11">IFERROR(IF(E11="","",INDEX('MAPA DE PREÇOS'!M:M,2+MATCH(ABC!E11,'MAPA DE PREÇOS'!B:B,0))),"")</f>
        <v>5181</v>
      </c>
      <c r="L11" s="53">
        <f t="array" ref="L11">IFERROR(IF(AND(E10&lt;&gt;"",E11=""),"TOTAL ESTIMADO",INDEX('MAPA DE PREÇOS'!M:M,0+MATCH(ABC!E11,'MAPA DE PREÇOS'!B:B,0))),"")</f>
        <v>34.5</v>
      </c>
      <c r="M11" s="54">
        <f>IFERROR(IF(AND(E10&lt;&gt;"",E11=""),SUM($M$5:M10),INDEX('MAPA DE PREÇOS'!M:M,19+MATCH(ABC!E11,'MAPA DE PREÇOS'!B:B,0))),"")</f>
        <v>178744.5</v>
      </c>
      <c r="N11" s="90">
        <f t="shared" si="1"/>
        <v>3.6485671063538616E-2</v>
      </c>
      <c r="O11" s="90">
        <f t="shared" si="4"/>
        <v>0.6769558281914102</v>
      </c>
      <c r="P11" s="54" t="str">
        <f t="shared" si="3"/>
        <v>A</v>
      </c>
    </row>
    <row r="12" spans="1:21" x14ac:dyDescent="0.25">
      <c r="B12" s="41">
        <v>7</v>
      </c>
      <c r="C12" s="42">
        <f>IFERROR(INDEX('MAPA DE PREÇOS'!M:M,MATCH(B12,'MAPA DE PREÇOS'!B:B,0)+19)/(SUMPRODUCT(EDITAL!I:I,EDITAL!J:J)),"")</f>
        <v>1.680240427538103E-2</v>
      </c>
      <c r="D12" s="42">
        <f t="shared" si="2"/>
        <v>1.680240427538103E-2</v>
      </c>
      <c r="E12" s="41">
        <f t="shared" si="0"/>
        <v>20</v>
      </c>
      <c r="F12" s="41">
        <f>IFERROR(VLOOKUP($E12,'MAPA DE PREÇOS'!$B:$D,2,FALSE),"")</f>
        <v>1</v>
      </c>
      <c r="G12" s="41">
        <f>IFERROR(VLOOKUP($E12,'MAPA DE PREÇOS'!$B:$D,3,FALSE),"")</f>
        <v>20</v>
      </c>
      <c r="H12" s="41">
        <f t="array" ref="H12">IFERROR(IF(E12="","",INDEX('MAPA DE PREÇOS'!H:H,0+MATCH(ABC!E12,'MAPA DE PREÇOS'!B:B,0))),"")</f>
        <v>0</v>
      </c>
      <c r="I12" t="str">
        <f>IF(E12="","",INDEX('MAPA DE PREÇOS'!H:H,MATCH(ABC!E12,'MAPA DE PREÇOS'!B:B,0)+1))</f>
        <v>Placas de Obra</v>
      </c>
      <c r="J12" s="41" t="str">
        <f>IFERROR(IF(E12="","",INDEX('MAPA DE PREÇOS'!M:M,3+MATCH(ABC!E12,'MAPA DE PREÇOS'!B:B,0))),"")</f>
        <v>M2</v>
      </c>
      <c r="K12" s="52">
        <f t="array" ref="K12">IFERROR(IF(E12="","",INDEX('MAPA DE PREÇOS'!M:M,2+MATCH(ABC!E12,'MAPA DE PREÇOS'!B:B,0))),"")</f>
        <v>1649</v>
      </c>
      <c r="L12" s="53">
        <f t="array" ref="L12">IFERROR(IF(AND(E11&lt;&gt;"",E12=""),"TOTAL ESTIMADO",INDEX('MAPA DE PREÇOS'!M:M,0+MATCH(ABC!E12,'MAPA DE PREÇOS'!B:B,0))),"")</f>
        <v>106.93</v>
      </c>
      <c r="M12" s="54">
        <f>IFERROR(IF(AND(E11&lt;&gt;"",E12=""),SUM($M$5:M11),INDEX('MAPA DE PREÇOS'!M:M,19+MATCH(ABC!E12,'MAPA DE PREÇOS'!B:B,0))),"")</f>
        <v>176327.57</v>
      </c>
      <c r="N12" s="90">
        <f t="shared" si="1"/>
        <v>3.5992322664211096E-2</v>
      </c>
      <c r="O12" s="90">
        <f t="shared" si="4"/>
        <v>0.71294815085562124</v>
      </c>
      <c r="P12" s="54" t="str">
        <f t="shared" si="3"/>
        <v>A</v>
      </c>
    </row>
    <row r="13" spans="1:21" x14ac:dyDescent="0.25">
      <c r="B13" s="41">
        <v>8</v>
      </c>
      <c r="C13" s="42">
        <f>IFERROR(INDEX('MAPA DE PREÇOS'!M:M,MATCH(B13,'MAPA DE PREÇOS'!B:B,0)+19)/(SUMPRODUCT(EDITAL!I:I,EDITAL!J:J)),"")</f>
        <v>5.6499743963748334E-3</v>
      </c>
      <c r="D13" s="42">
        <f t="shared" si="2"/>
        <v>5.6499743963748334E-3</v>
      </c>
      <c r="E13" s="41">
        <f t="shared" si="0"/>
        <v>5</v>
      </c>
      <c r="F13" s="41">
        <f>IFERROR(VLOOKUP($E13,'MAPA DE PREÇOS'!$B:$D,2,FALSE),"")</f>
        <v>1</v>
      </c>
      <c r="G13" s="41">
        <f>IFERROR(VLOOKUP($E13,'MAPA DE PREÇOS'!$B:$D,3,FALSE),"")</f>
        <v>5</v>
      </c>
      <c r="H13" s="41">
        <f t="array" ref="H13">IFERROR(IF(E13="","",INDEX('MAPA DE PREÇOS'!H:H,0+MATCH(ABC!E13,'MAPA DE PREÇOS'!B:B,0))),"")</f>
        <v>0</v>
      </c>
      <c r="I13" t="str">
        <f>IF(E13="","",INDEX('MAPA DE PREÇOS'!H:H,MATCH(ABC!E13,'MAPA DE PREÇOS'!B:B,0)+1))</f>
        <v>Banners modelo 3</v>
      </c>
      <c r="J13" s="41" t="str">
        <f>IFERROR(IF(E13="","",INDEX('MAPA DE PREÇOS'!M:M,3+MATCH(ABC!E13,'MAPA DE PREÇOS'!B:B,0))),"")</f>
        <v>M2</v>
      </c>
      <c r="K13" s="52">
        <f t="array" ref="K13">IFERROR(IF(E13="","",INDEX('MAPA DE PREÇOS'!M:M,2+MATCH(ABC!E13,'MAPA DE PREÇOS'!B:B,0))),"")</f>
        <v>1443</v>
      </c>
      <c r="L13" s="53">
        <f t="array" ref="L13">IFERROR(IF(AND(E12&lt;&gt;"",E13=""),"TOTAL ESTIMADO",INDEX('MAPA DE PREÇOS'!M:M,0+MATCH(ABC!E13,'MAPA DE PREÇOS'!B:B,0))),"")</f>
        <v>111.44</v>
      </c>
      <c r="M13" s="54">
        <f>IFERROR(IF(AND(E12&lt;&gt;"",E13=""),SUM($M$5:M12),INDEX('MAPA DE PREÇOS'!M:M,19+MATCH(ABC!E13,'MAPA DE PREÇOS'!B:B,0))),"")</f>
        <v>160807.92000000001</v>
      </c>
      <c r="N13" s="90">
        <f t="shared" si="1"/>
        <v>3.2824421862109508E-2</v>
      </c>
      <c r="O13" s="90">
        <f t="shared" si="4"/>
        <v>0.74577257271773079</v>
      </c>
      <c r="P13" s="54" t="str">
        <f t="shared" si="3"/>
        <v>A</v>
      </c>
    </row>
    <row r="14" spans="1:21" x14ac:dyDescent="0.25">
      <c r="B14" s="41">
        <v>9</v>
      </c>
      <c r="C14" s="42">
        <f>IFERROR(INDEX('MAPA DE PREÇOS'!M:M,MATCH(B14,'MAPA DE PREÇOS'!B:B,0)+19)/(SUMPRODUCT(EDITAL!I:I,EDITAL!J:J)),"")</f>
        <v>9.0385554918572669E-3</v>
      </c>
      <c r="D14" s="42">
        <f t="shared" si="2"/>
        <v>9.0385554918572669E-3</v>
      </c>
      <c r="E14" s="41">
        <f t="shared" si="0"/>
        <v>12</v>
      </c>
      <c r="F14" s="41">
        <f>IFERROR(VLOOKUP($E14,'MAPA DE PREÇOS'!$B:$D,2,FALSE),"")</f>
        <v>1</v>
      </c>
      <c r="G14" s="41">
        <f>IFERROR(VLOOKUP($E14,'MAPA DE PREÇOS'!$B:$D,3,FALSE),"")</f>
        <v>12</v>
      </c>
      <c r="H14" s="41">
        <f t="array" ref="H14">IFERROR(IF(E14="","",INDEX('MAPA DE PREÇOS'!H:H,0+MATCH(ABC!E14,'MAPA DE PREÇOS'!B:B,0))),"")</f>
        <v>0</v>
      </c>
      <c r="I14" t="str">
        <f>IF(E14="","",INDEX('MAPA DE PREÇOS'!H:H,MATCH(ABC!E14,'MAPA DE PREÇOS'!B:B,0)+1))</f>
        <v>Adesivos refletivos para carro</v>
      </c>
      <c r="J14" s="41" t="str">
        <f>IFERROR(IF(E14="","",INDEX('MAPA DE PREÇOS'!M:M,3+MATCH(ABC!E14,'MAPA DE PREÇOS'!B:B,0))),"")</f>
        <v>M2</v>
      </c>
      <c r="K14" s="52">
        <f t="array" ref="K14">IFERROR(IF(E14="","",INDEX('MAPA DE PREÇOS'!M:M,2+MATCH(ABC!E14,'MAPA DE PREÇOS'!B:B,0))),"")</f>
        <v>1979</v>
      </c>
      <c r="L14" s="53">
        <f t="array" ref="L14">IFERROR(IF(AND(E13&lt;&gt;"",E14=""),"TOTAL ESTIMADO",INDEX('MAPA DE PREÇOS'!M:M,0+MATCH(ABC!E14,'MAPA DE PREÇOS'!B:B,0))),"")</f>
        <v>76.34</v>
      </c>
      <c r="M14" s="54">
        <f>IFERROR(IF(AND(E13&lt;&gt;"",E14=""),SUM($M$5:M13),INDEX('MAPA DE PREÇOS'!M:M,19+MATCH(ABC!E14,'MAPA DE PREÇOS'!B:B,0))),"")</f>
        <v>151076.85999999999</v>
      </c>
      <c r="N14" s="90">
        <f t="shared" si="1"/>
        <v>3.0838099182197348E-2</v>
      </c>
      <c r="O14" s="90">
        <f t="shared" si="4"/>
        <v>0.77661067189992816</v>
      </c>
      <c r="P14" s="54" t="str">
        <f t="shared" si="3"/>
        <v>A</v>
      </c>
    </row>
    <row r="15" spans="1:21" x14ac:dyDescent="0.25">
      <c r="B15" s="41">
        <v>10</v>
      </c>
      <c r="C15" s="42">
        <f>IFERROR(INDEX('MAPA DE PREÇOS'!M:M,MATCH(B15,'MAPA DE PREÇOS'!B:B,0)+19)/(SUMPRODUCT(EDITAL!I:I,EDITAL!J:J)),"")</f>
        <v>0.1677518298397519</v>
      </c>
      <c r="D15" s="42">
        <f t="shared" si="2"/>
        <v>0.1677518298397519</v>
      </c>
      <c r="E15" s="41">
        <f t="shared" si="0"/>
        <v>22</v>
      </c>
      <c r="F15" s="41">
        <f>IFERROR(VLOOKUP($E15,'MAPA DE PREÇOS'!$B:$D,2,FALSE),"")</f>
        <v>1</v>
      </c>
      <c r="G15" s="41">
        <f>IFERROR(VLOOKUP($E15,'MAPA DE PREÇOS'!$B:$D,3,FALSE),"")</f>
        <v>22</v>
      </c>
      <c r="H15" s="41">
        <f t="array" ref="H15">IFERROR(IF(E15="","",INDEX('MAPA DE PREÇOS'!H:H,0+MATCH(ABC!E15,'MAPA DE PREÇOS'!B:B,0))),"")</f>
        <v>0</v>
      </c>
      <c r="I15" t="str">
        <f>IF(E15="","",INDEX('MAPA DE PREÇOS'!H:H,MATCH(ABC!E15,'MAPA DE PREÇOS'!B:B,0)+1))</f>
        <v>Inserção de Mural Modelo 2</v>
      </c>
      <c r="J15" s="41" t="str">
        <f>IFERROR(IF(E15="","",INDEX('MAPA DE PREÇOS'!M:M,3+MATCH(ABC!E15,'MAPA DE PREÇOS'!B:B,0))),"")</f>
        <v>UND</v>
      </c>
      <c r="K15" s="52">
        <f t="array" ref="K15">IFERROR(IF(E15="","",INDEX('MAPA DE PREÇOS'!M:M,2+MATCH(ABC!E15,'MAPA DE PREÇOS'!B:B,0))),"")</f>
        <v>578</v>
      </c>
      <c r="L15" s="53">
        <f t="array" ref="L15">IFERROR(IF(AND(E14&lt;&gt;"",E15=""),"TOTAL ESTIMADO",INDEX('MAPA DE PREÇOS'!M:M,0+MATCH(ABC!E15,'MAPA DE PREÇOS'!B:B,0))),"")</f>
        <v>256.73</v>
      </c>
      <c r="M15" s="54">
        <f>IFERROR(IF(AND(E14&lt;&gt;"",E15=""),SUM($M$5:M14),INDEX('MAPA DE PREÇOS'!M:M,19+MATCH(ABC!E15,'MAPA DE PREÇOS'!B:B,0))),"")</f>
        <v>148389.94</v>
      </c>
      <c r="N15" s="90">
        <f t="shared" si="1"/>
        <v>3.0289639904882284E-2</v>
      </c>
      <c r="O15" s="90">
        <f t="shared" si="4"/>
        <v>0.80690031180481048</v>
      </c>
      <c r="P15" s="54" t="str">
        <f t="shared" si="3"/>
        <v>B</v>
      </c>
    </row>
    <row r="16" spans="1:21" x14ac:dyDescent="0.25">
      <c r="B16" s="41">
        <v>11</v>
      </c>
      <c r="C16" s="42">
        <f>IFERROR(INDEX('MAPA DE PREÇOS'!M:M,MATCH(B16,'MAPA DE PREÇOS'!B:B,0)+19)/(SUMPRODUCT(EDITAL!I:I,EDITAL!J:J)),"")</f>
        <v>3.6485671063538616E-2</v>
      </c>
      <c r="D16" s="42">
        <f t="shared" si="2"/>
        <v>3.6485671063538616E-2</v>
      </c>
      <c r="E16" s="41">
        <f t="shared" si="0"/>
        <v>17</v>
      </c>
      <c r="F16" s="41">
        <f>IFERROR(VLOOKUP($E16,'MAPA DE PREÇOS'!$B:$D,2,FALSE),"")</f>
        <v>1</v>
      </c>
      <c r="G16" s="41">
        <f>IFERROR(VLOOKUP($E16,'MAPA DE PREÇOS'!$B:$D,3,FALSE),"")</f>
        <v>17</v>
      </c>
      <c r="H16" s="41">
        <f t="array" ref="H16">IFERROR(IF(E16="","",INDEX('MAPA DE PREÇOS'!H:H,0+MATCH(ABC!E16,'MAPA DE PREÇOS'!B:B,0))),"")</f>
        <v>0</v>
      </c>
      <c r="I16" t="str">
        <f>IF(E16="","",INDEX('MAPA DE PREÇOS'!H:H,MATCH(ABC!E16,'MAPA DE PREÇOS'!B:B,0)+1))</f>
        <v>Placa de Porta</v>
      </c>
      <c r="J16" s="41" t="str">
        <f>IFERROR(IF(E16="","",INDEX('MAPA DE PREÇOS'!M:M,3+MATCH(ABC!E16,'MAPA DE PREÇOS'!B:B,0))),"")</f>
        <v>M2</v>
      </c>
      <c r="K16" s="52">
        <f t="array" ref="K16">IFERROR(IF(E16="","",INDEX('MAPA DE PREÇOS'!M:M,2+MATCH(ABC!E16,'MAPA DE PREÇOS'!B:B,0))),"")</f>
        <v>2117</v>
      </c>
      <c r="L16" s="53">
        <f t="array" ref="L16">IFERROR(IF(AND(E15&lt;&gt;"",E16=""),"TOTAL ESTIMADO",INDEX('MAPA DE PREÇOS'!M:M,0+MATCH(ABC!E16,'MAPA DE PREÇOS'!B:B,0))),"")</f>
        <v>64.5</v>
      </c>
      <c r="M16" s="54">
        <f>IFERROR(IF(AND(E15&lt;&gt;"",E16=""),SUM($M$5:M15),INDEX('MAPA DE PREÇOS'!M:M,19+MATCH(ABC!E16,'MAPA DE PREÇOS'!B:B,0))),"")</f>
        <v>136546.5</v>
      </c>
      <c r="N16" s="90">
        <f t="shared" si="1"/>
        <v>2.7872134157288619E-2</v>
      </c>
      <c r="O16" s="90">
        <f t="shared" si="4"/>
        <v>0.8347724459620991</v>
      </c>
      <c r="P16" s="54" t="str">
        <f t="shared" si="3"/>
        <v>B</v>
      </c>
    </row>
    <row r="17" spans="2:16" x14ac:dyDescent="0.25">
      <c r="B17" s="41">
        <v>12</v>
      </c>
      <c r="C17" s="42">
        <f>IFERROR(INDEX('MAPA DE PREÇOS'!M:M,MATCH(B17,'MAPA DE PREÇOS'!B:B,0)+19)/(SUMPRODUCT(EDITAL!I:I,EDITAL!J:J)),"")</f>
        <v>3.0838099182197348E-2</v>
      </c>
      <c r="D17" s="42">
        <f t="shared" si="2"/>
        <v>3.0838099182197348E-2</v>
      </c>
      <c r="E17" s="41">
        <f t="shared" si="0"/>
        <v>16</v>
      </c>
      <c r="F17" s="41">
        <f>IFERROR(VLOOKUP($E17,'MAPA DE PREÇOS'!$B:$D,2,FALSE),"")</f>
        <v>1</v>
      </c>
      <c r="G17" s="41">
        <f>IFERROR(VLOOKUP($E17,'MAPA DE PREÇOS'!$B:$D,3,FALSE),"")</f>
        <v>16</v>
      </c>
      <c r="H17" s="41">
        <f t="array" ref="H17">IFERROR(IF(E17="","",INDEX('MAPA DE PREÇOS'!H:H,0+MATCH(ABC!E17,'MAPA DE PREÇOS'!B:B,0))),"")</f>
        <v>0</v>
      </c>
      <c r="I17" t="str">
        <f>IF(E17="","",INDEX('MAPA DE PREÇOS'!H:H,MATCH(ABC!E17,'MAPA DE PREÇOS'!B:B,0)+1))</f>
        <v>Placas de Inauguração</v>
      </c>
      <c r="J17" s="41" t="str">
        <f>IFERROR(IF(E17="","",INDEX('MAPA DE PREÇOS'!M:M,3+MATCH(ABC!E17,'MAPA DE PREÇOS'!B:B,0))),"")</f>
        <v>M2</v>
      </c>
      <c r="K17" s="52">
        <f t="array" ref="K17">IFERROR(IF(E17="","",INDEX('MAPA DE PREÇOS'!M:M,2+MATCH(ABC!E17,'MAPA DE PREÇOS'!B:B,0))),"")</f>
        <v>1100</v>
      </c>
      <c r="L17" s="53">
        <f t="array" ref="L17">IFERROR(IF(AND(E16&lt;&gt;"",E17=""),"TOTAL ESTIMADO",INDEX('MAPA DE PREÇOS'!M:M,0+MATCH(ABC!E17,'MAPA DE PREÇOS'!B:B,0))),"")</f>
        <v>110.58</v>
      </c>
      <c r="M17" s="54">
        <f>IFERROR(IF(AND(E16&lt;&gt;"",E17=""),SUM($M$5:M16),INDEX('MAPA DE PREÇOS'!M:M,19+MATCH(ABC!E17,'MAPA DE PREÇOS'!B:B,0))),"")</f>
        <v>121638</v>
      </c>
      <c r="N17" s="90">
        <f t="shared" si="1"/>
        <v>2.4828982468421183E-2</v>
      </c>
      <c r="O17" s="90">
        <f t="shared" si="4"/>
        <v>0.85960142843052023</v>
      </c>
      <c r="P17" s="54" t="str">
        <f t="shared" si="3"/>
        <v>B</v>
      </c>
    </row>
    <row r="18" spans="2:16" x14ac:dyDescent="0.25">
      <c r="B18" s="41">
        <v>13</v>
      </c>
      <c r="C18" s="42">
        <f>IFERROR(INDEX('MAPA DE PREÇOS'!M:M,MATCH(B18,'MAPA DE PREÇOS'!B:B,0)+19)/(SUMPRODUCT(EDITAL!I:I,EDITAL!J:J)),"")</f>
        <v>0.29736580944154606</v>
      </c>
      <c r="D18" s="42">
        <f t="shared" si="2"/>
        <v>0.29736580944154606</v>
      </c>
      <c r="E18" s="41">
        <f t="shared" si="0"/>
        <v>15</v>
      </c>
      <c r="F18" s="41">
        <f>IFERROR(VLOOKUP($E18,'MAPA DE PREÇOS'!$B:$D,2,FALSE),"")</f>
        <v>1</v>
      </c>
      <c r="G18" s="41">
        <f>IFERROR(VLOOKUP($E18,'MAPA DE PREÇOS'!$B:$D,3,FALSE),"")</f>
        <v>15</v>
      </c>
      <c r="H18" s="41">
        <f t="array" ref="H18">IFERROR(IF(E18="","",INDEX('MAPA DE PREÇOS'!H:H,0+MATCH(ABC!E18,'MAPA DE PREÇOS'!B:B,0))),"")</f>
        <v>0</v>
      </c>
      <c r="I18" t="str">
        <f>IF(E18="","",INDEX('MAPA DE PREÇOS'!H:H,MATCH(ABC!E18,'MAPA DE PREÇOS'!B:B,0)+1))</f>
        <v>Placas de Fachada modelo 2</v>
      </c>
      <c r="J18" s="41" t="str">
        <f>IFERROR(IF(E18="","",INDEX('MAPA DE PREÇOS'!M:M,3+MATCH(ABC!E18,'MAPA DE PREÇOS'!B:B,0))),"")</f>
        <v>M2</v>
      </c>
      <c r="K18" s="52">
        <f t="array" ref="K18">IFERROR(IF(E18="","",INDEX('MAPA DE PREÇOS'!M:M,2+MATCH(ABC!E18,'MAPA DE PREÇOS'!B:B,0))),"")</f>
        <v>582</v>
      </c>
      <c r="L18" s="53">
        <f t="array" ref="L18">IFERROR(IF(AND(E17&lt;&gt;"",E18=""),"TOTAL ESTIMADO",INDEX('MAPA DE PREÇOS'!M:M,0+MATCH(ABC!E18,'MAPA DE PREÇOS'!B:B,0))),"")</f>
        <v>175.5</v>
      </c>
      <c r="M18" s="54">
        <f>IFERROR(IF(AND(E17&lt;&gt;"",E18=""),SUM($M$5:M17),INDEX('MAPA DE PREÇOS'!M:M,19+MATCH(ABC!E18,'MAPA DE PREÇOS'!B:B,0))),"")</f>
        <v>102141</v>
      </c>
      <c r="N18" s="90">
        <f t="shared" si="1"/>
        <v>2.0849217335923053E-2</v>
      </c>
      <c r="O18" s="90">
        <f t="shared" si="4"/>
        <v>0.88045064576644327</v>
      </c>
      <c r="P18" s="54" t="str">
        <f t="shared" si="3"/>
        <v>B</v>
      </c>
    </row>
    <row r="19" spans="2:16" x14ac:dyDescent="0.25">
      <c r="B19" s="41">
        <v>14</v>
      </c>
      <c r="C19" s="42">
        <f>IFERROR(INDEX('MAPA DE PREÇOS'!M:M,MATCH(B19,'MAPA DE PREÇOS'!B:B,0)+19)/(SUMPRODUCT(EDITAL!I:I,EDITAL!J:J)),"")</f>
        <v>3.8132524696987025E-2</v>
      </c>
      <c r="D19" s="42">
        <f t="shared" si="2"/>
        <v>3.8132524696987025E-2</v>
      </c>
      <c r="E19" s="41">
        <f t="shared" si="0"/>
        <v>4</v>
      </c>
      <c r="F19" s="41">
        <f>IFERROR(VLOOKUP($E19,'MAPA DE PREÇOS'!$B:$D,2,FALSE),"")</f>
        <v>1</v>
      </c>
      <c r="G19" s="41">
        <f>IFERROR(VLOOKUP($E19,'MAPA DE PREÇOS'!$B:$D,3,FALSE),"")</f>
        <v>4</v>
      </c>
      <c r="H19" s="41">
        <f t="array" ref="H19">IFERROR(IF(E19="","",INDEX('MAPA DE PREÇOS'!H:H,0+MATCH(ABC!E19,'MAPA DE PREÇOS'!B:B,0))),"")</f>
        <v>0</v>
      </c>
      <c r="I19" t="str">
        <f>IF(E19="","",INDEX('MAPA DE PREÇOS'!H:H,MATCH(ABC!E19,'MAPA DE PREÇOS'!B:B,0)+1))</f>
        <v>Banners modelo 2</v>
      </c>
      <c r="J19" s="41" t="str">
        <f>IFERROR(IF(E19="","",INDEX('MAPA DE PREÇOS'!M:M,3+MATCH(ABC!E19,'MAPA DE PREÇOS'!B:B,0))),"")</f>
        <v>M2</v>
      </c>
      <c r="K19" s="52">
        <f t="array" ref="K19">IFERROR(IF(E19="","",INDEX('MAPA DE PREÇOS'!M:M,2+MATCH(ABC!E19,'MAPA DE PREÇOS'!B:B,0))),"")</f>
        <v>1995</v>
      </c>
      <c r="L19" s="53">
        <f t="array" ref="L19">IFERROR(IF(AND(E18&lt;&gt;"",E19=""),"TOTAL ESTIMADO",INDEX('MAPA DE PREÇOS'!M:M,0+MATCH(ABC!E19,'MAPA DE PREÇOS'!B:B,0))),"")</f>
        <v>50.81</v>
      </c>
      <c r="M19" s="54">
        <f>IFERROR(IF(AND(E18&lt;&gt;"",E19=""),SUM($M$5:M18),INDEX('MAPA DE PREÇOS'!M:M,19+MATCH(ABC!E19,'MAPA DE PREÇOS'!B:B,0))),"")</f>
        <v>101365.95</v>
      </c>
      <c r="N19" s="90">
        <f t="shared" si="1"/>
        <v>2.0691012639511158E-2</v>
      </c>
      <c r="O19" s="90">
        <f t="shared" si="4"/>
        <v>0.90114165840595439</v>
      </c>
      <c r="P19" s="54" t="str">
        <f t="shared" si="3"/>
        <v>B</v>
      </c>
    </row>
    <row r="20" spans="2:16" x14ac:dyDescent="0.25">
      <c r="B20" s="41">
        <v>15</v>
      </c>
      <c r="C20" s="42">
        <f>IFERROR(INDEX('MAPA DE PREÇOS'!M:M,MATCH(B20,'MAPA DE PREÇOS'!B:B,0)+19)/(SUMPRODUCT(EDITAL!I:I,EDITAL!J:J)),"")</f>
        <v>2.0849217335923053E-2</v>
      </c>
      <c r="D20" s="42">
        <f t="shared" si="2"/>
        <v>2.0849217335923053E-2</v>
      </c>
      <c r="E20" s="41">
        <f t="shared" si="0"/>
        <v>6</v>
      </c>
      <c r="F20" s="41">
        <f>IFERROR(VLOOKUP($E20,'MAPA DE PREÇOS'!$B:$D,2,FALSE),"")</f>
        <v>1</v>
      </c>
      <c r="G20" s="41">
        <f>IFERROR(VLOOKUP($E20,'MAPA DE PREÇOS'!$B:$D,3,FALSE),"")</f>
        <v>6</v>
      </c>
      <c r="H20" s="41">
        <f t="array" ref="H20">IFERROR(IF(E20="","",INDEX('MAPA DE PREÇOS'!H:H,0+MATCH(ABC!E20,'MAPA DE PREÇOS'!B:B,0))),"")</f>
        <v>0</v>
      </c>
      <c r="I20" t="str">
        <f>IF(E20="","",INDEX('MAPA DE PREÇOS'!H:H,MATCH(ABC!E20,'MAPA DE PREÇOS'!B:B,0)+1))</f>
        <v>Suporte móvel banner convencional</v>
      </c>
      <c r="J20" s="41" t="str">
        <f>IFERROR(IF(E20="","",INDEX('MAPA DE PREÇOS'!M:M,3+MATCH(ABC!E20,'MAPA DE PREÇOS'!B:B,0))),"")</f>
        <v>UND</v>
      </c>
      <c r="K20" s="52">
        <f t="array" ref="K20">IFERROR(IF(E20="","",INDEX('MAPA DE PREÇOS'!M:M,2+MATCH(ABC!E20,'MAPA DE PREÇOS'!B:B,0))),"")</f>
        <v>818</v>
      </c>
      <c r="L20" s="53">
        <f t="array" ref="L20">IFERROR(IF(AND(E19&lt;&gt;"",E20=""),"TOTAL ESTIMADO",INDEX('MAPA DE PREÇOS'!M:M,0+MATCH(ABC!E20,'MAPA DE PREÇOS'!B:B,0))),"")</f>
        <v>106.12</v>
      </c>
      <c r="M20" s="54">
        <f>IFERROR(IF(AND(E19&lt;&gt;"",E20=""),SUM($M$5:M19),INDEX('MAPA DE PREÇOS'!M:M,19+MATCH(ABC!E20,'MAPA DE PREÇOS'!B:B,0))),"")</f>
        <v>86806.16</v>
      </c>
      <c r="N20" s="90">
        <f t="shared" si="1"/>
        <v>1.7719040306408886E-2</v>
      </c>
      <c r="O20" s="90">
        <f t="shared" si="4"/>
        <v>0.91886069871236331</v>
      </c>
      <c r="P20" s="54" t="str">
        <f t="shared" si="3"/>
        <v>B</v>
      </c>
    </row>
    <row r="21" spans="2:16" x14ac:dyDescent="0.25">
      <c r="B21" s="41">
        <v>16</v>
      </c>
      <c r="C21" s="42">
        <f>IFERROR(INDEX('MAPA DE PREÇOS'!M:M,MATCH(B21,'MAPA DE PREÇOS'!B:B,0)+19)/(SUMPRODUCT(EDITAL!I:I,EDITAL!J:J)),"")</f>
        <v>2.4828982468421183E-2</v>
      </c>
      <c r="D21" s="42">
        <f t="shared" si="2"/>
        <v>2.4828982468421183E-2</v>
      </c>
      <c r="E21" s="41">
        <f t="shared" si="0"/>
        <v>7</v>
      </c>
      <c r="F21" s="41">
        <f>IFERROR(VLOOKUP($E21,'MAPA DE PREÇOS'!$B:$D,2,FALSE),"")</f>
        <v>1</v>
      </c>
      <c r="G21" s="41">
        <f>IFERROR(VLOOKUP($E21,'MAPA DE PREÇOS'!$B:$D,3,FALSE),"")</f>
        <v>7</v>
      </c>
      <c r="H21" s="41">
        <f t="array" ref="H21">IFERROR(IF(E21="","",INDEX('MAPA DE PREÇOS'!H:H,0+MATCH(ABC!E21,'MAPA DE PREÇOS'!B:B,0))),"")</f>
        <v>0</v>
      </c>
      <c r="I21" t="str">
        <f>IF(E21="","",INDEX('MAPA DE PREÇOS'!H:H,MATCH(ABC!E21,'MAPA DE PREÇOS'!B:B,0)+1))</f>
        <v>Faixas de rua</v>
      </c>
      <c r="J21" s="41" t="str">
        <f>IFERROR(IF(E21="","",INDEX('MAPA DE PREÇOS'!M:M,3+MATCH(ABC!E21,'MAPA DE PREÇOS'!B:B,0))),"")</f>
        <v>UND</v>
      </c>
      <c r="K21" s="52">
        <f t="array" ref="K21">IFERROR(IF(E21="","",INDEX('MAPA DE PREÇOS'!M:M,2+MATCH(ABC!E21,'MAPA DE PREÇOS'!B:B,0))),"")</f>
        <v>1139</v>
      </c>
      <c r="L21" s="53">
        <f t="array" ref="L21">IFERROR(IF(AND(E20&lt;&gt;"",E21=""),"TOTAL ESTIMADO",INDEX('MAPA DE PREÇOS'!M:M,0+MATCH(ABC!E21,'MAPA DE PREÇOS'!B:B,0))),"")</f>
        <v>72.27</v>
      </c>
      <c r="M21" s="54">
        <f>IFERROR(IF(AND(E20&lt;&gt;"",E21=""),SUM($M$5:M20),INDEX('MAPA DE PREÇOS'!M:M,19+MATCH(ABC!E21,'MAPA DE PREÇOS'!B:B,0))),"")</f>
        <v>82315.53</v>
      </c>
      <c r="N21" s="90">
        <f t="shared" si="1"/>
        <v>1.680240427538103E-2</v>
      </c>
      <c r="O21" s="90">
        <f t="shared" si="4"/>
        <v>0.93566310298774436</v>
      </c>
      <c r="P21" s="54" t="str">
        <f t="shared" si="3"/>
        <v>B</v>
      </c>
    </row>
    <row r="22" spans="2:16" x14ac:dyDescent="0.25">
      <c r="B22" s="41">
        <v>17</v>
      </c>
      <c r="C22" s="42">
        <f>IFERROR(INDEX('MAPA DE PREÇOS'!M:M,MATCH(B22,'MAPA DE PREÇOS'!B:B,0)+19)/(SUMPRODUCT(EDITAL!I:I,EDITAL!J:J)),"")</f>
        <v>2.7872134157288619E-2</v>
      </c>
      <c r="D22" s="42">
        <f t="shared" si="2"/>
        <v>2.7872134157288619E-2</v>
      </c>
      <c r="E22" s="41">
        <f t="shared" si="0"/>
        <v>18</v>
      </c>
      <c r="F22" s="41">
        <f>IFERROR(VLOOKUP($E22,'MAPA DE PREÇOS'!$B:$D,2,FALSE),"")</f>
        <v>1</v>
      </c>
      <c r="G22" s="41">
        <f>IFERROR(VLOOKUP($E22,'MAPA DE PREÇOS'!$B:$D,3,FALSE),"")</f>
        <v>18</v>
      </c>
      <c r="H22" s="41">
        <f t="array" ref="H22">IFERROR(IF(E22="","",INDEX('MAPA DE PREÇOS'!H:H,0+MATCH(ABC!E22,'MAPA DE PREÇOS'!B:B,0))),"")</f>
        <v>0</v>
      </c>
      <c r="I22" t="str">
        <f>IF(E22="","",INDEX('MAPA DE PREÇOS'!H:H,MATCH(ABC!E22,'MAPA DE PREÇOS'!B:B,0)+1))</f>
        <v>Placas modelo 1</v>
      </c>
      <c r="J22" s="41" t="str">
        <f>IFERROR(IF(E22="","",INDEX('MAPA DE PREÇOS'!M:M,3+MATCH(ABC!E22,'MAPA DE PREÇOS'!B:B,0))),"")</f>
        <v>M2</v>
      </c>
      <c r="K22" s="52">
        <f t="array" ref="K22">IFERROR(IF(E22="","",INDEX('MAPA DE PREÇOS'!M:M,2+MATCH(ABC!E22,'MAPA DE PREÇOS'!B:B,0))),"")</f>
        <v>1055</v>
      </c>
      <c r="L22" s="53">
        <f t="array" ref="L22">IFERROR(IF(AND(E21&lt;&gt;"",E22=""),"TOTAL ESTIMADO",INDEX('MAPA DE PREÇOS'!M:M,0+MATCH(ABC!E22,'MAPA DE PREÇOS'!B:B,0))),"")</f>
        <v>64.5</v>
      </c>
      <c r="M22" s="54">
        <f>IFERROR(IF(AND(E21&lt;&gt;"",E22=""),SUM($M$5:M21),INDEX('MAPA DE PREÇOS'!M:M,19+MATCH(ABC!E22,'MAPA DE PREÇOS'!B:B,0))),"")</f>
        <v>68047.5</v>
      </c>
      <c r="N22" s="90">
        <f t="shared" si="1"/>
        <v>1.3889986554529757E-2</v>
      </c>
      <c r="O22" s="90">
        <f t="shared" si="4"/>
        <v>0.94955308954227413</v>
      </c>
      <c r="P22" s="54" t="str">
        <f t="shared" si="3"/>
        <v>B</v>
      </c>
    </row>
    <row r="23" spans="2:16" x14ac:dyDescent="0.25">
      <c r="B23" s="41">
        <v>18</v>
      </c>
      <c r="C23" s="42">
        <f>IFERROR(INDEX('MAPA DE PREÇOS'!M:M,MATCH(B23,'MAPA DE PREÇOS'!B:B,0)+19)/(SUMPRODUCT(EDITAL!I:I,EDITAL!J:J)),"")</f>
        <v>1.3889986554529757E-2</v>
      </c>
      <c r="D23" s="42">
        <f t="shared" si="2"/>
        <v>1.3889986554529757E-2</v>
      </c>
      <c r="E23" s="41">
        <f t="shared" si="0"/>
        <v>19</v>
      </c>
      <c r="F23" s="41">
        <f>IFERROR(VLOOKUP($E23,'MAPA DE PREÇOS'!$B:$D,2,FALSE),"")</f>
        <v>1</v>
      </c>
      <c r="G23" s="41">
        <f>IFERROR(VLOOKUP($E23,'MAPA DE PREÇOS'!$B:$D,3,FALSE),"")</f>
        <v>19</v>
      </c>
      <c r="H23" s="41">
        <f t="array" ref="H23">IFERROR(IF(E23="","",INDEX('MAPA DE PREÇOS'!H:H,0+MATCH(ABC!E23,'MAPA DE PREÇOS'!B:B,0))),"")</f>
        <v>0</v>
      </c>
      <c r="I23" t="str">
        <f>IF(E23="","",INDEX('MAPA DE PREÇOS'!H:H,MATCH(ABC!E23,'MAPA DE PREÇOS'!B:B,0)+1))</f>
        <v>Placas modelo 2</v>
      </c>
      <c r="J23" s="41" t="str">
        <f>IFERROR(IF(E23="","",INDEX('MAPA DE PREÇOS'!M:M,3+MATCH(ABC!E23,'MAPA DE PREÇOS'!B:B,0))),"")</f>
        <v>M2</v>
      </c>
      <c r="K23" s="52">
        <f t="array" ref="K23">IFERROR(IF(E23="","",INDEX('MAPA DE PREÇOS'!M:M,2+MATCH(ABC!E23,'MAPA DE PREÇOS'!B:B,0))),"")</f>
        <v>975</v>
      </c>
      <c r="L23" s="53">
        <f t="array" ref="L23">IFERROR(IF(AND(E22&lt;&gt;"",E23=""),"TOTAL ESTIMADO",INDEX('MAPA DE PREÇOS'!M:M,0+MATCH(ABC!E23,'MAPA DE PREÇOS'!B:B,0))),"")</f>
        <v>62.33</v>
      </c>
      <c r="M23" s="54">
        <f>IFERROR(IF(AND(E22&lt;&gt;"",E23=""),SUM($M$5:M22),INDEX('MAPA DE PREÇOS'!M:M,19+MATCH(ABC!E23,'MAPA DE PREÇOS'!B:B,0))),"")</f>
        <v>60771.75</v>
      </c>
      <c r="N23" s="90">
        <f t="shared" si="1"/>
        <v>1.2404846473349405E-2</v>
      </c>
      <c r="O23" s="90">
        <f t="shared" si="4"/>
        <v>0.96195793601562352</v>
      </c>
      <c r="P23" s="54" t="str">
        <f t="shared" si="3"/>
        <v>C</v>
      </c>
    </row>
    <row r="24" spans="2:16" x14ac:dyDescent="0.25">
      <c r="B24" s="41">
        <v>19</v>
      </c>
      <c r="C24" s="42">
        <f>IFERROR(INDEX('MAPA DE PREÇOS'!M:M,MATCH(B24,'MAPA DE PREÇOS'!B:B,0)+19)/(SUMPRODUCT(EDITAL!I:I,EDITAL!J:J)),"")</f>
        <v>1.2404846473349405E-2</v>
      </c>
      <c r="D24" s="42">
        <f t="shared" si="2"/>
        <v>1.2404846473349405E-2</v>
      </c>
      <c r="E24" s="41">
        <f t="shared" si="0"/>
        <v>3</v>
      </c>
      <c r="F24" s="41">
        <f>IFERROR(VLOOKUP($E24,'MAPA DE PREÇOS'!$B:$D,2,FALSE),"")</f>
        <v>1</v>
      </c>
      <c r="G24" s="41">
        <f>IFERROR(VLOOKUP($E24,'MAPA DE PREÇOS'!$B:$D,3,FALSE),"")</f>
        <v>3</v>
      </c>
      <c r="H24" s="41">
        <f t="array" ref="H24">IFERROR(IF(E24="","",INDEX('MAPA DE PREÇOS'!H:H,0+MATCH(ABC!E24,'MAPA DE PREÇOS'!B:B,0))),"")</f>
        <v>0</v>
      </c>
      <c r="I24" t="str">
        <f>IF(E24="","",INDEX('MAPA DE PREÇOS'!H:H,MATCH(ABC!E24,'MAPA DE PREÇOS'!B:B,0)+1))</f>
        <v>Banners modelo 1</v>
      </c>
      <c r="J24" s="41" t="str">
        <f>IFERROR(IF(E24="","",INDEX('MAPA DE PREÇOS'!M:M,3+MATCH(ABC!E24,'MAPA DE PREÇOS'!B:B,0))),"")</f>
        <v>M2</v>
      </c>
      <c r="K24" s="52">
        <f t="array" ref="K24">IFERROR(IF(E24="","",INDEX('MAPA DE PREÇOS'!M:M,2+MATCH(ABC!E24,'MAPA DE PREÇOS'!B:B,0))),"")</f>
        <v>2864</v>
      </c>
      <c r="L24" s="53">
        <f t="array" ref="L24">IFERROR(IF(AND(E23&lt;&gt;"",E24=""),"TOTAL ESTIMADO",INDEX('MAPA DE PREÇOS'!M:M,0+MATCH(ABC!E24,'MAPA DE PREÇOS'!B:B,0))),"")</f>
        <v>20.260000000000002</v>
      </c>
      <c r="M24" s="54">
        <f>IFERROR(IF(AND(E23&lt;&gt;"",E24=""),SUM($M$5:M23),INDEX('MAPA DE PREÇOS'!M:M,19+MATCH(ABC!E24,'MAPA DE PREÇOS'!B:B,0))),"")</f>
        <v>58024.639999999999</v>
      </c>
      <c r="N24" s="90">
        <f t="shared" si="1"/>
        <v>1.1844101097489687E-2</v>
      </c>
      <c r="O24" s="90">
        <f t="shared" si="4"/>
        <v>0.97380203711311319</v>
      </c>
      <c r="P24" s="54" t="str">
        <f t="shared" si="3"/>
        <v>C</v>
      </c>
    </row>
    <row r="25" spans="2:16" x14ac:dyDescent="0.25">
      <c r="B25" s="41">
        <v>20</v>
      </c>
      <c r="C25" s="42">
        <f>IFERROR(INDEX('MAPA DE PREÇOS'!M:M,MATCH(B25,'MAPA DE PREÇOS'!B:B,0)+19)/(SUMPRODUCT(EDITAL!I:I,EDITAL!J:J)),"")</f>
        <v>3.5992322664211096E-2</v>
      </c>
      <c r="D25" s="42">
        <f t="shared" si="2"/>
        <v>3.5992322664211096E-2</v>
      </c>
      <c r="E25" s="41">
        <f t="shared" si="0"/>
        <v>9</v>
      </c>
      <c r="F25" s="41">
        <f>IFERROR(VLOOKUP($E25,'MAPA DE PREÇOS'!$B:$D,2,FALSE),"")</f>
        <v>1</v>
      </c>
      <c r="G25" s="41">
        <f>IFERROR(VLOOKUP($E25,'MAPA DE PREÇOS'!$B:$D,3,FALSE),"")</f>
        <v>9</v>
      </c>
      <c r="H25" s="41">
        <f t="array" ref="H25">IFERROR(IF(E25="","",INDEX('MAPA DE PREÇOS'!H:H,0+MATCH(ABC!E25,'MAPA DE PREÇOS'!B:B,0))),"")</f>
        <v>0</v>
      </c>
      <c r="I25" t="str">
        <f>IF(E25="","",INDEX('MAPA DE PREÇOS'!H:H,MATCH(ABC!E25,'MAPA DE PREÇOS'!B:B,0)+1))</f>
        <v>Outdoors</v>
      </c>
      <c r="J25" s="41" t="str">
        <f>IFERROR(IF(E25="","",INDEX('MAPA DE PREÇOS'!M:M,3+MATCH(ABC!E25,'MAPA DE PREÇOS'!B:B,0))),"")</f>
        <v>M2</v>
      </c>
      <c r="K25" s="52">
        <f t="array" ref="K25">IFERROR(IF(E25="","",INDEX('MAPA DE PREÇOS'!M:M,2+MATCH(ABC!E25,'MAPA DE PREÇOS'!B:B,0))),"")</f>
        <v>791</v>
      </c>
      <c r="L25" s="53">
        <f t="array" ref="L25">IFERROR(IF(AND(E24&lt;&gt;"",E25=""),"TOTAL ESTIMADO",INDEX('MAPA DE PREÇOS'!M:M,0+MATCH(ABC!E25,'MAPA DE PREÇOS'!B:B,0))),"")</f>
        <v>55.98</v>
      </c>
      <c r="M25" s="54">
        <f>IFERROR(IF(AND(E24&lt;&gt;"",E25=""),SUM($M$5:M24),INDEX('MAPA DE PREÇOS'!M:M,19+MATCH(ABC!E25,'MAPA DE PREÇOS'!B:B,0))),"")</f>
        <v>44280.18</v>
      </c>
      <c r="N25" s="90">
        <f t="shared" si="1"/>
        <v>9.0385554918572669E-3</v>
      </c>
      <c r="O25" s="90">
        <f t="shared" si="4"/>
        <v>0.98284059260497048</v>
      </c>
      <c r="P25" s="54" t="str">
        <f t="shared" si="3"/>
        <v>C</v>
      </c>
    </row>
    <row r="26" spans="2:16" x14ac:dyDescent="0.25">
      <c r="B26" s="41">
        <v>21</v>
      </c>
      <c r="C26" s="42">
        <f>IFERROR(INDEX('MAPA DE PREÇOS'!M:M,MATCH(B26,'MAPA DE PREÇOS'!B:B,0)+19)/(SUMPRODUCT(EDITAL!I:I,EDITAL!J:J)),"")</f>
        <v>6.3693020942039741E-2</v>
      </c>
      <c r="D26" s="42">
        <f t="shared" si="2"/>
        <v>6.3693020942039741E-2</v>
      </c>
      <c r="E26" s="41">
        <f t="shared" si="0"/>
        <v>8</v>
      </c>
      <c r="F26" s="41">
        <f>IFERROR(VLOOKUP($E26,'MAPA DE PREÇOS'!$B:$D,2,FALSE),"")</f>
        <v>1</v>
      </c>
      <c r="G26" s="41">
        <f>IFERROR(VLOOKUP($E26,'MAPA DE PREÇOS'!$B:$D,3,FALSE),"")</f>
        <v>8</v>
      </c>
      <c r="H26" s="41">
        <f t="array" ref="H26">IFERROR(IF(E26="","",INDEX('MAPA DE PREÇOS'!H:H,0+MATCH(ABC!E26,'MAPA DE PREÇOS'!B:B,0))),"")</f>
        <v>0</v>
      </c>
      <c r="I26" t="str">
        <f>IF(E26="","",INDEX('MAPA DE PREÇOS'!H:H,MATCH(ABC!E26,'MAPA DE PREÇOS'!B:B,0)+1))</f>
        <v>Faixas de mesa</v>
      </c>
      <c r="J26" s="41" t="str">
        <f>IFERROR(IF(E26="","",INDEX('MAPA DE PREÇOS'!M:M,3+MATCH(ABC!E26,'MAPA DE PREÇOS'!B:B,0))),"")</f>
        <v>UND</v>
      </c>
      <c r="K26" s="52">
        <f t="array" ref="K26">IFERROR(IF(E26="","",INDEX('MAPA DE PREÇOS'!M:M,2+MATCH(ABC!E26,'MAPA DE PREÇOS'!B:B,0))),"")</f>
        <v>383</v>
      </c>
      <c r="L26" s="53">
        <f t="array" ref="L26">IFERROR(IF(AND(E25&lt;&gt;"",E26=""),"TOTAL ESTIMADO",INDEX('MAPA DE PREÇOS'!M:M,0+MATCH(ABC!E26,'MAPA DE PREÇOS'!B:B,0))),"")</f>
        <v>72.27</v>
      </c>
      <c r="M26" s="54">
        <f>IFERROR(IF(AND(E25&lt;&gt;"",E26=""),SUM($M$5:M25),INDEX('MAPA DE PREÇOS'!M:M,19+MATCH(ABC!E26,'MAPA DE PREÇOS'!B:B,0))),"")</f>
        <v>27679.41</v>
      </c>
      <c r="N26" s="90">
        <f t="shared" si="1"/>
        <v>5.6499743963748334E-3</v>
      </c>
      <c r="O26" s="90">
        <f t="shared" si="4"/>
        <v>0.9884905670013453</v>
      </c>
      <c r="P26" s="54" t="str">
        <f t="shared" si="3"/>
        <v>C</v>
      </c>
    </row>
    <row r="27" spans="2:16" x14ac:dyDescent="0.25">
      <c r="B27" s="41">
        <v>22</v>
      </c>
      <c r="C27" s="42">
        <f>IFERROR(INDEX('MAPA DE PREÇOS'!M:M,MATCH(B27,'MAPA DE PREÇOS'!B:B,0)+19)/(SUMPRODUCT(EDITAL!I:I,EDITAL!J:J)),"")</f>
        <v>3.0289639904882284E-2</v>
      </c>
      <c r="D27" s="42">
        <f t="shared" si="2"/>
        <v>3.0289639904882284E-2</v>
      </c>
      <c r="E27" s="41">
        <f t="shared" si="0"/>
        <v>2</v>
      </c>
      <c r="F27" s="41">
        <f>IFERROR(VLOOKUP($E27,'MAPA DE PREÇOS'!$B:$D,2,FALSE),"")</f>
        <v>1</v>
      </c>
      <c r="G27" s="41">
        <f>IFERROR(VLOOKUP($E27,'MAPA DE PREÇOS'!$B:$D,3,FALSE),"")</f>
        <v>2</v>
      </c>
      <c r="H27" s="41">
        <f t="array" ref="H27">IFERROR(IF(E27="","",INDEX('MAPA DE PREÇOS'!H:H,0+MATCH(ABC!E27,'MAPA DE PREÇOS'!B:B,0))),"")</f>
        <v>0</v>
      </c>
      <c r="I27" t="str">
        <f>IF(E27="","",INDEX('MAPA DE PREÇOS'!H:H,MATCH(ABC!E27,'MAPA DE PREÇOS'!B:B,0)+1))</f>
        <v>Busdoors modelo 2</v>
      </c>
      <c r="J27" s="41" t="str">
        <f>IFERROR(IF(E27="","",INDEX('MAPA DE PREÇOS'!M:M,3+MATCH(ABC!E27,'MAPA DE PREÇOS'!B:B,0))),"")</f>
        <v>UND</v>
      </c>
      <c r="K27" s="52">
        <f t="array" ref="K27">IFERROR(IF(E27="","",INDEX('MAPA DE PREÇOS'!M:M,2+MATCH(ABC!E27,'MAPA DE PREÇOS'!B:B,0))),"")</f>
        <v>404</v>
      </c>
      <c r="L27" s="53">
        <f t="array" ref="L27">IFERROR(IF(AND(E26&lt;&gt;"",E27=""),"TOTAL ESTIMADO",INDEX('MAPA DE PREÇOS'!M:M,0+MATCH(ABC!E27,'MAPA DE PREÇOS'!B:B,0))),"")</f>
        <v>59.61</v>
      </c>
      <c r="M27" s="54">
        <f>IFERROR(IF(AND(E26&lt;&gt;"",E27=""),SUM($M$5:M26),INDEX('MAPA DE PREÇOS'!M:M,19+MATCH(ABC!E27,'MAPA DE PREÇOS'!B:B,0))),"")</f>
        <v>24082.44</v>
      </c>
      <c r="N27" s="90">
        <f t="shared" si="1"/>
        <v>4.9157539630444846E-3</v>
      </c>
      <c r="O27" s="90">
        <f t="shared" si="4"/>
        <v>0.99340632096438974</v>
      </c>
      <c r="P27" s="54" t="str">
        <f t="shared" si="3"/>
        <v>C</v>
      </c>
    </row>
    <row r="28" spans="2:16" x14ac:dyDescent="0.25">
      <c r="B28" s="41">
        <v>23</v>
      </c>
      <c r="C28" s="42">
        <f>IFERROR(INDEX('MAPA DE PREÇOS'!M:M,MATCH(B28,'MAPA DE PREÇOS'!B:B,0)+19)/(SUMPRODUCT(EDITAL!I:I,EDITAL!J:J)),"")</f>
        <v>3.6088490625788457E-3</v>
      </c>
      <c r="D28" s="42">
        <f t="shared" si="2"/>
        <v>3.6088490625788457E-3</v>
      </c>
      <c r="E28" s="41">
        <f t="shared" si="0"/>
        <v>23</v>
      </c>
      <c r="F28" s="41">
        <f>IFERROR(VLOOKUP($E28,'MAPA DE PREÇOS'!$B:$D,2,FALSE),"")</f>
        <v>1</v>
      </c>
      <c r="G28" s="41">
        <f>IFERROR(VLOOKUP($E28,'MAPA DE PREÇOS'!$B:$D,3,FALSE),"")</f>
        <v>23</v>
      </c>
      <c r="H28" s="41">
        <f t="array" ref="H28">IFERROR(IF(E28="","",INDEX('MAPA DE PREÇOS'!H:H,0+MATCH(ABC!E28,'MAPA DE PREÇOS'!B:B,0))),"")</f>
        <v>0</v>
      </c>
      <c r="I28" t="str">
        <f>IF(E28="","",INDEX('MAPA DE PREÇOS'!H:H,MATCH(ABC!E28,'MAPA DE PREÇOS'!B:B,0)+1))</f>
        <v>Lona de chão</v>
      </c>
      <c r="J28" s="41" t="str">
        <f>IFERROR(IF(E28="","",INDEX('MAPA DE PREÇOS'!M:M,3+MATCH(ABC!E28,'MAPA DE PREÇOS'!B:B,0))),"")</f>
        <v>M2</v>
      </c>
      <c r="K28" s="52">
        <f t="array" ref="K28">IFERROR(IF(E28="","",INDEX('MAPA DE PREÇOS'!M:M,2+MATCH(ABC!E28,'MAPA DE PREÇOS'!B:B,0))),"")</f>
        <v>621</v>
      </c>
      <c r="L28" s="53">
        <f t="array" ref="L28">IFERROR(IF(AND(E27&lt;&gt;"",E28=""),"TOTAL ESTIMADO",INDEX('MAPA DE PREÇOS'!M:M,0+MATCH(ABC!E28,'MAPA DE PREÇOS'!B:B,0))),"")</f>
        <v>28.47</v>
      </c>
      <c r="M28" s="54">
        <f>IFERROR(IF(AND(E27&lt;&gt;"",E28=""),SUM($M$5:M27),INDEX('MAPA DE PREÇOS'!M:M,19+MATCH(ABC!E28,'MAPA DE PREÇOS'!B:B,0))),"")</f>
        <v>17679.87</v>
      </c>
      <c r="N28" s="90">
        <f t="shared" si="1"/>
        <v>3.6088490625788457E-3</v>
      </c>
      <c r="O28" s="90">
        <f t="shared" si="4"/>
        <v>0.9970151700269686</v>
      </c>
      <c r="P28" s="54" t="str">
        <f t="shared" si="3"/>
        <v>C</v>
      </c>
    </row>
    <row r="29" spans="2:16" x14ac:dyDescent="0.25">
      <c r="B29" s="41">
        <v>24</v>
      </c>
      <c r="C29" s="42">
        <f>IFERROR(INDEX('MAPA DE PREÇOS'!M:M,MATCH(B29,'MAPA DE PREÇOS'!B:B,0)+19)/(SUMPRODUCT(EDITAL!I:I,EDITAL!J:J)),"")</f>
        <v>7.3526972207546865E-2</v>
      </c>
      <c r="D29" s="42">
        <f t="shared" si="2"/>
        <v>7.3526972207546865E-2</v>
      </c>
      <c r="E29" s="41">
        <f t="shared" si="0"/>
        <v>1</v>
      </c>
      <c r="F29" s="41">
        <f>IFERROR(VLOOKUP($E29,'MAPA DE PREÇOS'!$B:$D,2,FALSE),"")</f>
        <v>1</v>
      </c>
      <c r="G29" s="41">
        <f>IFERROR(VLOOKUP($E29,'MAPA DE PREÇOS'!$B:$D,3,FALSE),"")</f>
        <v>1</v>
      </c>
      <c r="H29" s="41">
        <f t="array" ref="H29">IFERROR(IF(E29="","",INDEX('MAPA DE PREÇOS'!H:H,0+MATCH(ABC!E29,'MAPA DE PREÇOS'!B:B,0))),"")</f>
        <v>0</v>
      </c>
      <c r="I29" t="str">
        <f>IF(E29="","",INDEX('MAPA DE PREÇOS'!H:H,MATCH(ABC!E29,'MAPA DE PREÇOS'!B:B,0)+1))</f>
        <v>Busdoors modelo 1</v>
      </c>
      <c r="J29" s="41" t="str">
        <f>IFERROR(IF(E29="","",INDEX('MAPA DE PREÇOS'!M:M,3+MATCH(ABC!E29,'MAPA DE PREÇOS'!B:B,0))),"")</f>
        <v>UND</v>
      </c>
      <c r="K29" s="52">
        <f t="array" ref="K29">IFERROR(IF(E29="","",INDEX('MAPA DE PREÇOS'!M:M,2+MATCH(ABC!E29,'MAPA DE PREÇOS'!B:B,0))),"")</f>
        <v>381</v>
      </c>
      <c r="L29" s="53">
        <f t="array" ref="L29">IFERROR(IF(AND(E28&lt;&gt;"",E29=""),"TOTAL ESTIMADO",INDEX('MAPA DE PREÇOS'!M:M,0+MATCH(ABC!E29,'MAPA DE PREÇOS'!B:B,0))),"")</f>
        <v>38.380000000000003</v>
      </c>
      <c r="M29" s="54">
        <f>IFERROR(IF(AND(E28&lt;&gt;"",E29=""),SUM($M$5:M28),INDEX('MAPA DE PREÇOS'!M:M,19+MATCH(ABC!E29,'MAPA DE PREÇOS'!B:B,0))),"")</f>
        <v>14622.78</v>
      </c>
      <c r="N29" s="90">
        <f t="shared" si="1"/>
        <v>2.9848299730312888E-3</v>
      </c>
      <c r="O29" s="90">
        <f t="shared" si="4"/>
        <v>0.99999999999999989</v>
      </c>
      <c r="P29" s="54" t="str">
        <f t="shared" si="3"/>
        <v>C</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TOTAL ESTIMADO</v>
      </c>
      <c r="M30" s="54">
        <f>IFERROR(IF(AND(E29&lt;&gt;"",E30=""),SUM($M$5:M29),INDEX('MAPA DE PREÇOS'!M:M,19+MATCH(ABC!E30,'MAPA DE PREÇOS'!B:B,0))),"")</f>
        <v>4899032.82</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4" t="s">
        <v>35</v>
      </c>
      <c r="C2" s="265"/>
      <c r="D2" s="266"/>
    </row>
    <row r="3" spans="2:4" ht="78" customHeight="1" x14ac:dyDescent="0.2">
      <c r="B3" s="283" t="s">
        <v>384</v>
      </c>
      <c r="C3" s="284"/>
      <c r="D3" s="285"/>
    </row>
    <row r="4" spans="2:4" s="32" customFormat="1" ht="32.1" customHeight="1" x14ac:dyDescent="0.25">
      <c r="B4" s="263" t="s">
        <v>385</v>
      </c>
      <c r="C4" s="263"/>
      <c r="D4" s="263"/>
    </row>
    <row r="5" spans="2:4" ht="61.5" customHeight="1" x14ac:dyDescent="0.2">
      <c r="B5" s="280" t="s">
        <v>386</v>
      </c>
      <c r="C5" s="281"/>
      <c r="D5" s="282"/>
    </row>
    <row r="6" spans="2:4" s="33" customFormat="1" ht="32.1" customHeight="1" x14ac:dyDescent="0.25">
      <c r="B6" s="263" t="s">
        <v>387</v>
      </c>
      <c r="C6" s="263"/>
      <c r="D6" s="263"/>
    </row>
    <row r="7" spans="2:4" ht="61.5" customHeight="1" x14ac:dyDescent="0.2">
      <c r="B7" s="280" t="s">
        <v>388</v>
      </c>
      <c r="C7" s="281"/>
      <c r="D7" s="282"/>
    </row>
    <row r="8" spans="2:4" ht="21.6" customHeight="1" x14ac:dyDescent="0.2">
      <c r="B8" s="267" t="s">
        <v>389</v>
      </c>
      <c r="C8" s="268"/>
      <c r="D8" s="269"/>
    </row>
    <row r="9" spans="2:4" ht="14.25" x14ac:dyDescent="0.2">
      <c r="B9" s="270"/>
      <c r="C9" s="271"/>
      <c r="D9" s="272"/>
    </row>
    <row r="10" spans="2:4" ht="14.25" x14ac:dyDescent="0.2">
      <c r="B10" s="270"/>
      <c r="C10" s="271"/>
      <c r="D10" s="272"/>
    </row>
    <row r="11" spans="2:4" ht="14.25" x14ac:dyDescent="0.2">
      <c r="B11" s="270"/>
      <c r="C11" s="271"/>
      <c r="D11" s="272"/>
    </row>
    <row r="12" spans="2:4" ht="14.25" x14ac:dyDescent="0.2">
      <c r="B12" s="270"/>
      <c r="C12" s="271"/>
      <c r="D12" s="272"/>
    </row>
    <row r="13" spans="2:4" ht="61.5" customHeight="1" x14ac:dyDescent="0.2">
      <c r="B13" s="270"/>
      <c r="C13" s="271"/>
      <c r="D13" s="272"/>
    </row>
    <row r="14" spans="2:4" ht="61.5" customHeight="1" x14ac:dyDescent="0.2">
      <c r="B14" s="270"/>
      <c r="C14" s="271"/>
      <c r="D14" s="272"/>
    </row>
    <row r="15" spans="2:4" ht="61.5" customHeight="1" x14ac:dyDescent="0.2">
      <c r="B15" s="270"/>
      <c r="C15" s="271"/>
      <c r="D15" s="272"/>
    </row>
    <row r="16" spans="2:4" ht="61.5" customHeight="1" x14ac:dyDescent="0.2">
      <c r="B16" s="270"/>
      <c r="C16" s="271"/>
      <c r="D16" s="272"/>
    </row>
    <row r="17" spans="2:4" ht="61.5" customHeight="1" x14ac:dyDescent="0.2">
      <c r="B17" s="270"/>
      <c r="C17" s="271"/>
      <c r="D17" s="272"/>
    </row>
    <row r="18" spans="2:4" ht="61.5" customHeight="1" x14ac:dyDescent="0.2">
      <c r="B18" s="270"/>
      <c r="C18" s="271"/>
      <c r="D18" s="272"/>
    </row>
    <row r="19" spans="2:4" ht="15" customHeight="1" x14ac:dyDescent="0.2">
      <c r="B19" s="270"/>
      <c r="C19" s="271"/>
      <c r="D19" s="272"/>
    </row>
    <row r="20" spans="2:4" ht="15" customHeight="1" x14ac:dyDescent="0.2">
      <c r="B20" s="270"/>
      <c r="C20" s="271"/>
      <c r="D20" s="272"/>
    </row>
    <row r="21" spans="2:4" ht="15" customHeight="1" x14ac:dyDescent="0.2">
      <c r="B21" s="270"/>
      <c r="C21" s="271"/>
      <c r="D21" s="272"/>
    </row>
    <row r="22" spans="2:4" ht="15" customHeight="1" x14ac:dyDescent="0.2">
      <c r="B22" s="270"/>
      <c r="C22" s="271"/>
      <c r="D22" s="272"/>
    </row>
    <row r="23" spans="2:4" ht="15" customHeight="1" x14ac:dyDescent="0.2">
      <c r="B23" s="270"/>
      <c r="C23" s="271"/>
      <c r="D23" s="272"/>
    </row>
    <row r="24" spans="2:4" ht="15" customHeight="1" x14ac:dyDescent="0.2">
      <c r="B24" s="270"/>
      <c r="C24" s="271"/>
      <c r="D24" s="272"/>
    </row>
    <row r="25" spans="2:4" ht="15" customHeight="1" x14ac:dyDescent="0.2">
      <c r="B25" s="270"/>
      <c r="C25" s="271"/>
      <c r="D25" s="272"/>
    </row>
    <row r="26" spans="2:4" ht="15" customHeight="1" x14ac:dyDescent="0.2">
      <c r="B26" s="270"/>
      <c r="C26" s="271"/>
      <c r="D26" s="272"/>
    </row>
    <row r="27" spans="2:4" ht="15" customHeight="1" x14ac:dyDescent="0.2">
      <c r="B27" s="270"/>
      <c r="C27" s="271"/>
      <c r="D27" s="272"/>
    </row>
    <row r="28" spans="2:4" ht="15" customHeight="1" x14ac:dyDescent="0.2">
      <c r="B28" s="270"/>
      <c r="C28" s="271"/>
      <c r="D28" s="272"/>
    </row>
    <row r="29" spans="2:4" ht="15" customHeight="1" x14ac:dyDescent="0.2">
      <c r="B29" s="270"/>
      <c r="C29" s="271"/>
      <c r="D29" s="272"/>
    </row>
    <row r="30" spans="2:4" ht="15" customHeight="1" x14ac:dyDescent="0.2">
      <c r="B30" s="270"/>
      <c r="C30" s="271"/>
      <c r="D30" s="272"/>
    </row>
    <row r="31" spans="2:4" ht="15" customHeight="1" x14ac:dyDescent="0.2">
      <c r="B31" s="270"/>
      <c r="C31" s="271"/>
      <c r="D31" s="272"/>
    </row>
    <row r="32" spans="2:4" ht="15" customHeight="1" x14ac:dyDescent="0.2">
      <c r="B32" s="270"/>
      <c r="C32" s="271"/>
      <c r="D32" s="272"/>
    </row>
    <row r="33" spans="2:4" ht="15" customHeight="1" x14ac:dyDescent="0.2">
      <c r="B33" s="270"/>
      <c r="C33" s="271"/>
      <c r="D33" s="272"/>
    </row>
    <row r="34" spans="2:4" ht="15" customHeight="1" x14ac:dyDescent="0.2">
      <c r="B34" s="270"/>
      <c r="C34" s="271"/>
      <c r="D34" s="272"/>
    </row>
    <row r="35" spans="2:4" ht="15" customHeight="1" x14ac:dyDescent="0.2">
      <c r="B35" s="270"/>
      <c r="C35" s="271"/>
      <c r="D35" s="272"/>
    </row>
    <row r="36" spans="2:4" ht="15" customHeight="1" x14ac:dyDescent="0.2">
      <c r="B36" s="270"/>
      <c r="C36" s="271"/>
      <c r="D36" s="272"/>
    </row>
    <row r="37" spans="2:4" ht="15" customHeight="1" x14ac:dyDescent="0.2">
      <c r="B37" s="270"/>
      <c r="C37" s="271"/>
      <c r="D37" s="272"/>
    </row>
    <row r="38" spans="2:4" s="34" customFormat="1" ht="32.450000000000003" customHeight="1" x14ac:dyDescent="0.2">
      <c r="B38" s="273"/>
      <c r="C38" s="274"/>
      <c r="D38" s="275"/>
    </row>
    <row r="39" spans="2:4" s="32" customFormat="1" ht="32.1" customHeight="1" x14ac:dyDescent="0.25">
      <c r="B39" s="276" t="s">
        <v>390</v>
      </c>
      <c r="C39" s="277"/>
      <c r="D39" s="278"/>
    </row>
    <row r="40" spans="2:4" s="164" customFormat="1" ht="64.900000000000006" customHeight="1" x14ac:dyDescent="0.25">
      <c r="B40" s="279" t="s">
        <v>391</v>
      </c>
      <c r="C40" s="279"/>
      <c r="D40" s="279"/>
    </row>
    <row r="41" spans="2:4" s="164" customFormat="1" ht="64.900000000000006" customHeight="1" x14ac:dyDescent="0.25">
      <c r="B41" s="279"/>
      <c r="C41" s="279"/>
      <c r="D41" s="279"/>
    </row>
    <row r="42" spans="2:4" s="164" customFormat="1" ht="64.900000000000006" customHeight="1" x14ac:dyDescent="0.25">
      <c r="B42" s="279"/>
      <c r="C42" s="279"/>
      <c r="D42" s="279"/>
    </row>
    <row r="43" spans="2:4" s="164" customFormat="1" ht="64.900000000000006" customHeight="1" x14ac:dyDescent="0.25">
      <c r="B43" s="279"/>
      <c r="C43" s="279"/>
      <c r="D43" s="279"/>
    </row>
    <row r="44" spans="2:4" s="164" customFormat="1" ht="64.900000000000006" customHeight="1" x14ac:dyDescent="0.25">
      <c r="B44" s="279"/>
      <c r="C44" s="279"/>
      <c r="D44" s="279"/>
    </row>
    <row r="45" spans="2:4" s="164" customFormat="1" ht="112.15" customHeight="1" x14ac:dyDescent="0.25">
      <c r="B45" s="279"/>
      <c r="C45" s="279"/>
      <c r="D45" s="279"/>
    </row>
    <row r="46" spans="2:4" s="33" customFormat="1" ht="32.1" customHeight="1" x14ac:dyDescent="0.25">
      <c r="B46" s="264" t="s">
        <v>392</v>
      </c>
      <c r="C46" s="265"/>
      <c r="D46" s="266"/>
    </row>
    <row r="47" spans="2:4" ht="140.44999999999999" customHeight="1" x14ac:dyDescent="0.2">
      <c r="B47" s="254" t="s">
        <v>393</v>
      </c>
      <c r="C47" s="255"/>
      <c r="D47" s="256"/>
    </row>
    <row r="48" spans="2:4" s="33" customFormat="1" ht="32.1" customHeight="1" x14ac:dyDescent="0.25">
      <c r="B48" s="263" t="s">
        <v>394</v>
      </c>
      <c r="C48" s="263"/>
      <c r="D48" s="263"/>
    </row>
    <row r="49" spans="2:4" ht="14.25" x14ac:dyDescent="0.2">
      <c r="B49" s="254" t="s">
        <v>395</v>
      </c>
      <c r="C49" s="255"/>
      <c r="D49" s="256"/>
    </row>
    <row r="50" spans="2:4" ht="14.25" x14ac:dyDescent="0.2">
      <c r="B50" s="257"/>
      <c r="C50" s="258"/>
      <c r="D50" s="259"/>
    </row>
    <row r="51" spans="2:4" ht="14.25" x14ac:dyDescent="0.2">
      <c r="B51" s="257"/>
      <c r="C51" s="258"/>
      <c r="D51" s="259"/>
    </row>
    <row r="52" spans="2:4" ht="14.25" x14ac:dyDescent="0.2">
      <c r="B52" s="257"/>
      <c r="C52" s="258"/>
      <c r="D52" s="259"/>
    </row>
    <row r="53" spans="2:4" ht="14.25" x14ac:dyDescent="0.2">
      <c r="B53" s="257"/>
      <c r="C53" s="258"/>
      <c r="D53" s="259"/>
    </row>
    <row r="54" spans="2:4" ht="14.25" x14ac:dyDescent="0.2">
      <c r="B54" s="257"/>
      <c r="C54" s="258"/>
      <c r="D54" s="259"/>
    </row>
    <row r="55" spans="2:4" ht="14.25" x14ac:dyDescent="0.2">
      <c r="B55" s="257"/>
      <c r="C55" s="258"/>
      <c r="D55" s="259"/>
    </row>
    <row r="56" spans="2:4" ht="14.25" x14ac:dyDescent="0.2">
      <c r="B56" s="257"/>
      <c r="C56" s="258"/>
      <c r="D56" s="259"/>
    </row>
    <row r="57" spans="2:4" ht="14.25" x14ac:dyDescent="0.2">
      <c r="B57" s="260"/>
      <c r="C57" s="261"/>
      <c r="D57" s="262"/>
    </row>
    <row r="58" spans="2:4" s="33" customFormat="1" ht="32.1" customHeight="1" x14ac:dyDescent="0.25">
      <c r="B58" s="263" t="s">
        <v>396</v>
      </c>
      <c r="C58" s="263"/>
      <c r="D58" s="263"/>
    </row>
    <row r="59" spans="2:4" ht="14.25" x14ac:dyDescent="0.2">
      <c r="B59" s="254" t="s">
        <v>36</v>
      </c>
      <c r="C59" s="255"/>
      <c r="D59" s="256"/>
    </row>
    <row r="60" spans="2:4" ht="14.25" x14ac:dyDescent="0.2">
      <c r="B60" s="257"/>
      <c r="C60" s="258"/>
      <c r="D60" s="259"/>
    </row>
    <row r="61" spans="2:4" ht="14.25" x14ac:dyDescent="0.2">
      <c r="B61" s="257"/>
      <c r="C61" s="258"/>
      <c r="D61" s="259"/>
    </row>
    <row r="62" spans="2:4" ht="14.25" x14ac:dyDescent="0.2">
      <c r="B62" s="257"/>
      <c r="C62" s="258"/>
      <c r="D62" s="259"/>
    </row>
    <row r="63" spans="2:4" ht="14.25" x14ac:dyDescent="0.2">
      <c r="B63" s="257"/>
      <c r="C63" s="258"/>
      <c r="D63" s="259"/>
    </row>
    <row r="64" spans="2:4" ht="14.25" x14ac:dyDescent="0.2">
      <c r="B64" s="257"/>
      <c r="C64" s="258"/>
      <c r="D64" s="259"/>
    </row>
    <row r="65" spans="2:4" ht="14.25" x14ac:dyDescent="0.2">
      <c r="B65" s="260"/>
      <c r="C65" s="261"/>
      <c r="D65" s="262"/>
    </row>
    <row r="66" spans="2:4" s="33" customFormat="1" ht="32.1" customHeight="1" x14ac:dyDescent="0.25">
      <c r="B66" s="263" t="s">
        <v>397</v>
      </c>
      <c r="C66" s="263"/>
      <c r="D66" s="263"/>
    </row>
    <row r="67" spans="2:4" ht="14.25" x14ac:dyDescent="0.2">
      <c r="B67" s="254" t="s">
        <v>37</v>
      </c>
      <c r="C67" s="255"/>
      <c r="D67" s="256"/>
    </row>
    <row r="68" spans="2:4" ht="14.25" x14ac:dyDescent="0.2">
      <c r="B68" s="257"/>
      <c r="C68" s="258"/>
      <c r="D68" s="259"/>
    </row>
    <row r="69" spans="2:4" ht="14.25" x14ac:dyDescent="0.2">
      <c r="B69" s="257"/>
      <c r="C69" s="258"/>
      <c r="D69" s="259"/>
    </row>
    <row r="70" spans="2:4" ht="14.25" x14ac:dyDescent="0.2">
      <c r="B70" s="260"/>
      <c r="C70" s="261"/>
      <c r="D70" s="262"/>
    </row>
    <row r="71" spans="2:4" s="33" customFormat="1" ht="32.1" customHeight="1" x14ac:dyDescent="0.25">
      <c r="B71" s="263" t="s">
        <v>398</v>
      </c>
      <c r="C71" s="263"/>
      <c r="D71" s="263"/>
    </row>
    <row r="72" spans="2:4" ht="14.25" x14ac:dyDescent="0.2">
      <c r="B72" s="254" t="s">
        <v>34</v>
      </c>
      <c r="C72" s="255"/>
      <c r="D72" s="256"/>
    </row>
    <row r="73" spans="2:4" ht="14.25" x14ac:dyDescent="0.2">
      <c r="B73" s="257"/>
      <c r="C73" s="258"/>
      <c r="D73" s="259"/>
    </row>
    <row r="74" spans="2:4" ht="14.25" x14ac:dyDescent="0.2">
      <c r="B74" s="257"/>
      <c r="C74" s="258"/>
      <c r="D74" s="259"/>
    </row>
    <row r="75" spans="2:4" ht="14.25" x14ac:dyDescent="0.2">
      <c r="B75" s="260"/>
      <c r="C75" s="261"/>
      <c r="D75" s="262"/>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68966-F534-4EC0-957D-7C1697561808}">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6" t="s">
        <v>326</v>
      </c>
      <c r="F2" s="286"/>
      <c r="G2" s="286"/>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6" t="s">
        <v>327</v>
      </c>
      <c r="F3" s="206"/>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6" t="s">
        <v>321</v>
      </c>
      <c r="F4" s="206"/>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6" t="s">
        <v>320</v>
      </c>
      <c r="F5" s="206"/>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6" t="s">
        <v>322</v>
      </c>
      <c r="F6" s="206"/>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6" t="s">
        <v>352</v>
      </c>
      <c r="F7" s="206"/>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6" t="s">
        <v>351</v>
      </c>
      <c r="F8" s="206"/>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6" t="s">
        <v>431</v>
      </c>
      <c r="F9" s="206"/>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6" t="s">
        <v>301</v>
      </c>
      <c r="F10" s="206"/>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6" t="s">
        <v>323</v>
      </c>
      <c r="F11" s="206"/>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1" t="s">
        <v>305</v>
      </c>
      <c r="F13" s="232"/>
      <c r="G13" s="232"/>
      <c r="H13" s="232"/>
      <c r="I13" s="232"/>
      <c r="J13" s="232"/>
      <c r="K13" s="287"/>
      <c r="L13" s="287"/>
      <c r="M13" s="232"/>
      <c r="N13" s="233"/>
    </row>
    <row r="14" spans="1:163" s="19" customFormat="1" ht="21" x14ac:dyDescent="0.35">
      <c r="B14" s="41"/>
      <c r="C14" s="41"/>
      <c r="D14" s="41"/>
      <c r="E14" s="234">
        <f>G3</f>
        <v>0</v>
      </c>
      <c r="F14" s="235"/>
      <c r="G14" s="235"/>
      <c r="H14" s="235"/>
      <c r="I14" s="235"/>
      <c r="J14" s="235"/>
      <c r="K14" s="235"/>
      <c r="L14" s="235"/>
      <c r="M14" s="235"/>
      <c r="N14" s="236"/>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37"/>
      <c r="F16" s="238"/>
      <c r="G16" s="238"/>
      <c r="H16" s="238"/>
      <c r="I16" s="238"/>
      <c r="J16" s="238"/>
      <c r="K16" s="238"/>
      <c r="L16" s="238"/>
      <c r="M16" s="238"/>
      <c r="N16" s="239"/>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xr:uid="{956EE1B1-1A8C-4019-9469-BBD9E7CC4443}">
      <formula1>"EXCLUSIVO,DESEMPATE,DESEMPATE Art. 49"</formula1>
    </dataValidation>
    <dataValidation allowBlank="1" showInputMessage="1" sqref="G4" xr:uid="{E4173EAF-4D05-4D79-AC0F-8EE937972D5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BB0D8980-6AFE-4ED3-BB41-B7D2B746BC6D}">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7"/>
  <dimension ref="A1:L508"/>
  <sheetViews>
    <sheetView showGridLines="0" topLeftCell="A360" zoomScaleNormal="100" workbookViewId="0">
      <selection activeCell="B394" sqref="B394"/>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c r="A388" s="149">
        <v>46082</v>
      </c>
      <c r="B388" s="150">
        <v>7545.53</v>
      </c>
    </row>
    <row r="389" spans="1:2" ht="15" x14ac:dyDescent="0.25">
      <c r="A389" s="149">
        <v>46113</v>
      </c>
      <c r="B389" s="150">
        <v>7596.09</v>
      </c>
    </row>
    <row r="390" spans="1:2" ht="15" x14ac:dyDescent="0.25">
      <c r="A390" s="149">
        <v>46143</v>
      </c>
      <c r="B390" s="150">
        <v>7640.15</v>
      </c>
    </row>
    <row r="391" spans="1:2" ht="15" x14ac:dyDescent="0.25">
      <c r="A391" s="149">
        <v>46174</v>
      </c>
      <c r="B391" s="150">
        <v>7652.37</v>
      </c>
    </row>
    <row r="392" spans="1:2" ht="15" x14ac:dyDescent="0.25">
      <c r="A392" s="149">
        <v>46204</v>
      </c>
      <c r="B392" s="150">
        <v>7657.73</v>
      </c>
    </row>
    <row r="393" spans="1:2" ht="15" x14ac:dyDescent="0.25">
      <c r="A393" s="149">
        <v>46235</v>
      </c>
      <c r="B393" s="150">
        <v>7633.23</v>
      </c>
    </row>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2026-10-02T19:48:33Z</dcterms:modified>
</cp:coreProperties>
</file>