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EstaPastaDeTrabalho"/>
  <mc:AlternateContent xmlns:mc="http://schemas.openxmlformats.org/markup-compatibility/2006">
    <mc:Choice Requires="x15">
      <x15ac:absPath xmlns:x15ac="http://schemas.microsoft.com/office/spreadsheetml/2010/11/ac" url="\\pmpa-fs3\pgm-dlc$\UFPC-SLC\_PLANEJAMENTO E ANÁLISE DE PROCESSO\_2026\DEMO\26.0.000158828-0 - EMERGENCIAL eletrecista\"/>
    </mc:Choice>
  </mc:AlternateContent>
  <xr:revisionPtr revIDLastSave="0" documentId="13_ncr:1_{19AC4F26-52FF-4A2B-82FC-6EF4BF7476A5}" xr6:coauthVersionLast="47" xr6:coauthVersionMax="47" xr10:uidLastSave="{00000000-0000-0000-0000-000000000000}"/>
  <bookViews>
    <workbookView xWindow="-28920" yWindow="-120" windowWidth="29040" windowHeight="15720" tabRatio="802"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3" l="1"/>
  <c r="F10" i="3"/>
  <c r="G10" i="3"/>
  <c r="H10" i="3" s="1"/>
  <c r="F96" i="25"/>
  <c r="G96" i="25"/>
  <c r="H96" i="25"/>
  <c r="I96" i="25"/>
  <c r="J96" i="25"/>
  <c r="E96" i="25"/>
  <c r="E94" i="25" l="1"/>
  <c r="D58" i="5"/>
  <c r="D59" i="5"/>
  <c r="J21" i="25"/>
  <c r="I21" i="25"/>
  <c r="G42" i="3"/>
  <c r="H42" i="3" s="1"/>
  <c r="G8" i="3"/>
  <c r="H8" i="3" s="1"/>
  <c r="H19" i="9"/>
  <c r="G32" i="3" l="1"/>
  <c r="H32" i="3" s="1"/>
  <c r="G33" i="3"/>
  <c r="H33" i="3" s="1"/>
  <c r="F34" i="3"/>
  <c r="G34" i="3"/>
  <c r="G35" i="3"/>
  <c r="H35" i="3" s="1"/>
  <c r="G36" i="3"/>
  <c r="H36" i="3" s="1"/>
  <c r="G37" i="3"/>
  <c r="H37" i="3" s="1"/>
  <c r="G38" i="3"/>
  <c r="H38" i="3" s="1"/>
  <c r="G39" i="3"/>
  <c r="H39" i="3" s="1"/>
  <c r="G40" i="3"/>
  <c r="H40" i="3" s="1"/>
  <c r="G41" i="3"/>
  <c r="H41" i="3" s="1"/>
  <c r="H34" i="3" l="1"/>
  <c r="E107" i="25"/>
  <c r="E145" i="25"/>
  <c r="F145" i="25"/>
  <c r="G145" i="25"/>
  <c r="H145" i="25"/>
  <c r="I145" i="25"/>
  <c r="J145" i="25"/>
  <c r="K145" i="25"/>
  <c r="L145" i="25"/>
  <c r="M145" i="25"/>
  <c r="N145" i="25"/>
  <c r="O145" i="25"/>
  <c r="P145" i="25"/>
  <c r="Q145" i="25"/>
  <c r="R145" i="25"/>
  <c r="S145" i="25"/>
  <c r="T145" i="25"/>
  <c r="U145" i="25"/>
  <c r="V145" i="25"/>
  <c r="W145" i="25"/>
  <c r="X145" i="25"/>
  <c r="I8" i="9"/>
  <c r="I9" i="9"/>
  <c r="I10" i="9"/>
  <c r="L17" i="18"/>
  <c r="F41" i="6"/>
  <c r="G41" i="6"/>
  <c r="H41" i="6"/>
  <c r="I41" i="6"/>
  <c r="E41" i="6"/>
  <c r="I7" i="9" l="1"/>
  <c r="I11" i="9"/>
  <c r="I6" i="9"/>
  <c r="G6" i="3"/>
  <c r="F28" i="25"/>
  <c r="F29" i="25" s="1"/>
  <c r="F10" i="1"/>
  <c r="G10" i="1"/>
  <c r="I10" i="1"/>
  <c r="J10" i="1" s="1"/>
  <c r="H12" i="1"/>
  <c r="I12" i="1"/>
  <c r="G12" i="1"/>
  <c r="E17" i="6"/>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H15" i="9" l="1"/>
  <c r="H16" i="9"/>
  <c r="H17" i="9"/>
  <c r="H18"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9" i="3"/>
  <c r="G11" i="3"/>
  <c r="G12" i="3"/>
  <c r="G13" i="3"/>
  <c r="G14" i="3"/>
  <c r="G15" i="3"/>
  <c r="G16" i="3"/>
  <c r="G17" i="3"/>
  <c r="G18" i="3"/>
  <c r="G19" i="3"/>
  <c r="G20" i="3"/>
  <c r="G21" i="3"/>
  <c r="G22" i="3"/>
  <c r="G23" i="3"/>
  <c r="G24" i="3"/>
  <c r="G25" i="3"/>
  <c r="G26" i="3"/>
  <c r="G27" i="3"/>
  <c r="G28" i="3"/>
  <c r="G29" i="3"/>
  <c r="G30" i="3"/>
  <c r="G31" i="3"/>
  <c r="F9" i="3"/>
  <c r="F11" i="3"/>
  <c r="F15" i="3"/>
  <c r="F16" i="3"/>
  <c r="F17" i="3"/>
  <c r="E6" i="3"/>
  <c r="F6" i="3"/>
  <c r="I12" i="9" l="1"/>
  <c r="I13" i="9"/>
  <c r="I14" i="9"/>
  <c r="G15" i="9"/>
  <c r="I15" i="9" s="1"/>
  <c r="I16" i="9"/>
  <c r="I17" i="9"/>
  <c r="I18" i="9"/>
  <c r="I19" i="9"/>
  <c r="I20" i="9"/>
  <c r="I21" i="9"/>
  <c r="G22" i="9"/>
  <c r="I22" i="9" s="1"/>
  <c r="G23" i="9"/>
  <c r="I23" i="9" s="1"/>
  <c r="G24" i="9"/>
  <c r="I24" i="9" s="1"/>
  <c r="G25" i="9"/>
  <c r="I25" i="9" s="1"/>
  <c r="G26" i="9"/>
  <c r="I26" i="9" s="1"/>
  <c r="G27" i="9"/>
  <c r="I27" i="9" s="1"/>
  <c r="G28" i="9"/>
  <c r="I28" i="9" s="1"/>
  <c r="G29" i="9"/>
  <c r="I29" i="9" s="1"/>
  <c r="G30" i="9"/>
  <c r="I30" i="9" s="1"/>
  <c r="G31" i="9"/>
  <c r="I31" i="9" s="1"/>
  <c r="G32" i="9"/>
  <c r="I32" i="9" s="1"/>
  <c r="G33" i="9"/>
  <c r="I33" i="9" s="1"/>
  <c r="G34" i="9"/>
  <c r="I34" i="9" s="1"/>
  <c r="G35" i="9"/>
  <c r="I35" i="9" s="1"/>
  <c r="G36" i="9"/>
  <c r="I36" i="9" s="1"/>
  <c r="G37" i="9"/>
  <c r="I37" i="9" s="1"/>
  <c r="G38" i="9"/>
  <c r="I38" i="9" s="1"/>
  <c r="G39" i="9"/>
  <c r="I39" i="9" s="1"/>
  <c r="G40" i="9"/>
  <c r="I40" i="9" s="1"/>
  <c r="G41" i="9"/>
  <c r="I41" i="9" s="1"/>
  <c r="G42" i="9"/>
  <c r="I42" i="9" s="1"/>
  <c r="G43" i="9"/>
  <c r="I43" i="9" s="1"/>
  <c r="G44" i="9"/>
  <c r="I44" i="9" s="1"/>
  <c r="G45" i="9"/>
  <c r="I45" i="9" s="1"/>
  <c r="G46" i="9"/>
  <c r="I46" i="9" s="1"/>
  <c r="G47" i="9"/>
  <c r="I47" i="9" s="1"/>
  <c r="G48" i="9"/>
  <c r="I48" i="9" s="1"/>
  <c r="G49" i="9"/>
  <c r="I49" i="9" s="1"/>
  <c r="G50" i="9"/>
  <c r="I50" i="9" s="1"/>
  <c r="G51" i="9"/>
  <c r="I51" i="9" s="1"/>
  <c r="G52" i="9"/>
  <c r="I52" i="9" s="1"/>
  <c r="G53" i="9"/>
  <c r="I53" i="9" s="1"/>
  <c r="G54" i="9"/>
  <c r="I54" i="9" s="1"/>
  <c r="G55" i="9"/>
  <c r="I55" i="9" s="1"/>
  <c r="G56" i="9"/>
  <c r="I56" i="9" s="1"/>
  <c r="G57" i="9"/>
  <c r="I57" i="9" s="1"/>
  <c r="G58" i="9"/>
  <c r="I58" i="9" s="1"/>
  <c r="G59" i="9"/>
  <c r="I59" i="9" s="1"/>
  <c r="G60" i="9"/>
  <c r="I60" i="9" s="1"/>
  <c r="G61" i="9"/>
  <c r="I61" i="9" s="1"/>
  <c r="G62" i="9"/>
  <c r="I62" i="9" s="1"/>
  <c r="G63" i="9"/>
  <c r="I63" i="9" s="1"/>
  <c r="G64" i="9"/>
  <c r="I64" i="9" s="1"/>
  <c r="G65" i="9"/>
  <c r="I65" i="9" s="1"/>
  <c r="G66" i="9"/>
  <c r="I66" i="9" s="1"/>
  <c r="G67" i="9"/>
  <c r="I67" i="9" s="1"/>
  <c r="G68" i="9"/>
  <c r="I68" i="9" s="1"/>
  <c r="G69" i="9"/>
  <c r="I69" i="9" s="1"/>
  <c r="G70" i="9"/>
  <c r="I70" i="9" s="1"/>
  <c r="G71" i="9"/>
  <c r="I71" i="9" s="1"/>
  <c r="G72" i="9"/>
  <c r="I72" i="9" s="1"/>
  <c r="G73" i="9"/>
  <c r="I73" i="9" s="1"/>
  <c r="G74" i="9"/>
  <c r="I74" i="9" s="1"/>
  <c r="G75" i="9"/>
  <c r="I75" i="9" s="1"/>
  <c r="G76" i="9"/>
  <c r="I76" i="9" s="1"/>
  <c r="G77" i="9"/>
  <c r="I77" i="9" s="1"/>
  <c r="G78" i="9"/>
  <c r="I78" i="9" s="1"/>
  <c r="G79" i="9"/>
  <c r="I79" i="9" s="1"/>
  <c r="G80" i="9"/>
  <c r="I80" i="9" s="1"/>
  <c r="G81" i="9"/>
  <c r="I81" i="9" s="1"/>
  <c r="G82" i="9"/>
  <c r="I82" i="9" s="1"/>
  <c r="G83" i="9"/>
  <c r="I83" i="9" s="1"/>
  <c r="G84" i="9"/>
  <c r="I84" i="9" s="1"/>
  <c r="G85" i="9"/>
  <c r="I85" i="9" s="1"/>
  <c r="G86" i="9"/>
  <c r="I86" i="9" s="1"/>
  <c r="G87" i="9"/>
  <c r="I87" i="9" s="1"/>
  <c r="G88" i="9"/>
  <c r="I88" i="9" s="1"/>
  <c r="G89" i="9"/>
  <c r="I89" i="9" s="1"/>
  <c r="G90" i="9"/>
  <c r="I90" i="9" s="1"/>
  <c r="G91" i="9"/>
  <c r="I91" i="9" s="1"/>
  <c r="G92" i="9"/>
  <c r="I92" i="9" s="1"/>
  <c r="G93" i="9"/>
  <c r="I93" i="9" s="1"/>
  <c r="G94" i="9"/>
  <c r="I94" i="9" s="1"/>
  <c r="G95" i="9"/>
  <c r="I95" i="9" s="1"/>
  <c r="G96" i="9"/>
  <c r="I96" i="9" s="1"/>
  <c r="G97" i="9"/>
  <c r="I97" i="9" s="1"/>
  <c r="G98" i="9"/>
  <c r="I98" i="9" s="1"/>
  <c r="G99" i="9"/>
  <c r="I99" i="9" s="1"/>
  <c r="G100" i="9"/>
  <c r="I100" i="9" s="1"/>
  <c r="G101" i="9"/>
  <c r="I101" i="9" s="1"/>
  <c r="G102" i="9"/>
  <c r="I102" i="9" s="1"/>
  <c r="G103" i="9"/>
  <c r="I103" i="9" s="1"/>
  <c r="G104" i="9"/>
  <c r="I104" i="9" s="1"/>
  <c r="G105" i="9"/>
  <c r="I105" i="9" s="1"/>
  <c r="G106" i="9"/>
  <c r="I106" i="9" s="1"/>
  <c r="G107" i="9"/>
  <c r="I107" i="9" s="1"/>
  <c r="G108" i="9"/>
  <c r="I108" i="9" s="1"/>
  <c r="G109" i="9"/>
  <c r="I109" i="9" s="1"/>
  <c r="G110" i="9"/>
  <c r="I110" i="9" s="1"/>
  <c r="G111" i="9"/>
  <c r="I111" i="9" s="1"/>
  <c r="G112" i="9"/>
  <c r="I112" i="9" s="1"/>
  <c r="G113" i="9"/>
  <c r="I113" i="9" s="1"/>
  <c r="G114" i="9"/>
  <c r="I114" i="9" s="1"/>
  <c r="G115" i="9"/>
  <c r="I115" i="9" s="1"/>
  <c r="G116" i="9"/>
  <c r="I116" i="9" s="1"/>
  <c r="G117" i="9"/>
  <c r="I117" i="9" s="1"/>
  <c r="G118" i="9"/>
  <c r="I118" i="9" s="1"/>
  <c r="G119" i="9"/>
  <c r="I119" i="9" s="1"/>
  <c r="G120" i="9"/>
  <c r="I120" i="9" s="1"/>
  <c r="G121" i="9"/>
  <c r="I121" i="9" s="1"/>
  <c r="G122" i="9"/>
  <c r="I122" i="9" s="1"/>
  <c r="G123" i="9"/>
  <c r="I123" i="9" s="1"/>
  <c r="G124" i="9"/>
  <c r="I124" i="9" s="1"/>
  <c r="G125" i="9"/>
  <c r="I125" i="9" s="1"/>
  <c r="G126" i="9"/>
  <c r="I126" i="9" s="1"/>
  <c r="G127" i="9"/>
  <c r="I127" i="9" s="1"/>
  <c r="G128" i="9"/>
  <c r="I128" i="9" s="1"/>
  <c r="G129" i="9"/>
  <c r="I129" i="9" s="1"/>
  <c r="G130" i="9"/>
  <c r="I130" i="9" s="1"/>
  <c r="G131" i="9"/>
  <c r="I131" i="9" s="1"/>
  <c r="G132" i="9"/>
  <c r="I132" i="9" s="1"/>
  <c r="G133" i="9"/>
  <c r="I133" i="9" s="1"/>
  <c r="G134" i="9"/>
  <c r="I134" i="9" s="1"/>
  <c r="G135" i="9"/>
  <c r="I135" i="9" s="1"/>
  <c r="G136" i="9"/>
  <c r="I136" i="9" s="1"/>
  <c r="G137" i="9"/>
  <c r="I137" i="9" s="1"/>
  <c r="G138" i="9"/>
  <c r="I138" i="9" s="1"/>
  <c r="G139" i="9"/>
  <c r="I139" i="9" s="1"/>
  <c r="G140" i="9"/>
  <c r="I140" i="9" s="1"/>
  <c r="G141" i="9"/>
  <c r="I141" i="9" s="1"/>
  <c r="G142" i="9"/>
  <c r="I142" i="9" s="1"/>
  <c r="G143" i="9"/>
  <c r="I143" i="9" s="1"/>
  <c r="G144" i="9"/>
  <c r="I144" i="9" s="1"/>
  <c r="G145" i="9"/>
  <c r="I145" i="9" s="1"/>
  <c r="G146" i="9"/>
  <c r="I146" i="9" s="1"/>
  <c r="G147" i="9"/>
  <c r="I147" i="9" s="1"/>
  <c r="G148" i="9"/>
  <c r="I148" i="9" s="1"/>
  <c r="G149" i="9"/>
  <c r="I149" i="9" s="1"/>
  <c r="G150" i="9"/>
  <c r="I150" i="9" s="1"/>
  <c r="G151" i="9"/>
  <c r="I151" i="9" s="1"/>
  <c r="G152" i="9"/>
  <c r="I152" i="9" s="1"/>
  <c r="G153" i="9"/>
  <c r="I153" i="9" s="1"/>
  <c r="G154" i="9"/>
  <c r="I154" i="9" s="1"/>
  <c r="G155" i="9"/>
  <c r="I155" i="9" s="1"/>
  <c r="G156" i="9"/>
  <c r="I156" i="9" s="1"/>
  <c r="G157" i="9"/>
  <c r="I157" i="9" s="1"/>
  <c r="G158" i="9"/>
  <c r="I158" i="9" s="1"/>
  <c r="G159" i="9"/>
  <c r="I159" i="9" s="1"/>
  <c r="G160" i="9"/>
  <c r="I160" i="9" s="1"/>
  <c r="G161" i="9"/>
  <c r="I161" i="9" s="1"/>
  <c r="G162" i="9"/>
  <c r="I162" i="9" s="1"/>
  <c r="G163" i="9"/>
  <c r="I163" i="9" s="1"/>
  <c r="G164" i="9"/>
  <c r="I164" i="9" s="1"/>
  <c r="G165" i="9"/>
  <c r="I165" i="9" s="1"/>
  <c r="G166" i="9"/>
  <c r="I166" i="9" s="1"/>
  <c r="G167" i="9"/>
  <c r="I167" i="9" s="1"/>
  <c r="G168" i="9"/>
  <c r="I168" i="9" s="1"/>
  <c r="G169" i="9"/>
  <c r="I169" i="9" s="1"/>
  <c r="G170" i="9"/>
  <c r="I170" i="9" s="1"/>
  <c r="G171" i="9"/>
  <c r="I171" i="9" s="1"/>
  <c r="G172" i="9"/>
  <c r="I172" i="9" s="1"/>
  <c r="G173" i="9"/>
  <c r="I173" i="9" s="1"/>
  <c r="G174" i="9"/>
  <c r="I174" i="9" s="1"/>
  <c r="G175" i="9"/>
  <c r="I175" i="9" s="1"/>
  <c r="G176" i="9"/>
  <c r="I176" i="9" s="1"/>
  <c r="G177" i="9"/>
  <c r="I177" i="9" s="1"/>
  <c r="G178" i="9"/>
  <c r="I178" i="9" s="1"/>
  <c r="G179" i="9"/>
  <c r="I179" i="9" s="1"/>
  <c r="G180" i="9"/>
  <c r="I180" i="9" s="1"/>
  <c r="G181" i="9"/>
  <c r="I181" i="9" s="1"/>
  <c r="G182" i="9"/>
  <c r="I182" i="9" s="1"/>
  <c r="G183" i="9"/>
  <c r="I183" i="9" s="1"/>
  <c r="G184" i="9"/>
  <c r="I184" i="9" s="1"/>
  <c r="G185" i="9"/>
  <c r="I185" i="9" s="1"/>
  <c r="G186" i="9"/>
  <c r="I186" i="9" s="1"/>
  <c r="G187" i="9"/>
  <c r="I187" i="9" s="1"/>
  <c r="G188" i="9"/>
  <c r="I188" i="9" s="1"/>
  <c r="G189" i="9"/>
  <c r="I189" i="9" s="1"/>
  <c r="G190" i="9"/>
  <c r="I190" i="9" s="1"/>
  <c r="G191" i="9"/>
  <c r="I191" i="9" s="1"/>
  <c r="G192" i="9"/>
  <c r="I192" i="9" s="1"/>
  <c r="G193" i="9"/>
  <c r="I193" i="9" s="1"/>
  <c r="G194" i="9"/>
  <c r="I194" i="9" s="1"/>
  <c r="G195" i="9"/>
  <c r="I195" i="9" s="1"/>
  <c r="G196" i="9"/>
  <c r="I196" i="9" s="1"/>
  <c r="G197" i="9"/>
  <c r="I197" i="9" s="1"/>
  <c r="G198" i="9"/>
  <c r="I198" i="9" s="1"/>
  <c r="G199" i="9"/>
  <c r="I199" i="9" s="1"/>
  <c r="G200" i="9"/>
  <c r="I200" i="9" s="1"/>
  <c r="G201" i="9"/>
  <c r="I201" i="9" s="1"/>
  <c r="G202" i="9"/>
  <c r="I202" i="9" s="1"/>
  <c r="G203" i="9"/>
  <c r="I203" i="9" s="1"/>
  <c r="G204" i="9"/>
  <c r="I204" i="9" s="1"/>
  <c r="G205" i="9"/>
  <c r="I205" i="9" s="1"/>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113" i="25"/>
  <c r="E76" i="6" l="1"/>
  <c r="E89" i="25"/>
  <c r="E22" i="9" l="1"/>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4" i="24"/>
  <c r="K213" i="24"/>
  <c r="E28" i="24"/>
  <c r="K221" i="24"/>
  <c r="K219" i="24"/>
  <c r="K216" i="24"/>
  <c r="K211" i="24"/>
  <c r="K210" i="24"/>
  <c r="K209" i="24"/>
  <c r="K198" i="24"/>
  <c r="K199" i="24"/>
  <c r="K200" i="24"/>
  <c r="K201" i="24"/>
  <c r="K202" i="24"/>
  <c r="K203" i="24"/>
  <c r="K205" i="24"/>
  <c r="K206" i="24"/>
  <c r="K196" i="24"/>
  <c r="K197" i="24"/>
  <c r="K222" i="24"/>
  <c r="D9" i="8" l="1"/>
  <c r="X151" i="25" l="1"/>
  <c r="W151" i="25"/>
  <c r="V151" i="25"/>
  <c r="U151" i="25"/>
  <c r="T151" i="25"/>
  <c r="S151" i="25"/>
  <c r="R151" i="25"/>
  <c r="Q151" i="25"/>
  <c r="P151" i="25"/>
  <c r="O151" i="25"/>
  <c r="N151" i="25"/>
  <c r="M151" i="25"/>
  <c r="L151" i="25"/>
  <c r="K151" i="25"/>
  <c r="S18" i="18"/>
  <c r="S19" i="18"/>
  <c r="S20" i="18"/>
  <c r="S21" i="18"/>
  <c r="S17" i="18"/>
  <c r="G21" i="18"/>
  <c r="G20" i="18"/>
  <c r="G19" i="18"/>
  <c r="G18" i="18"/>
  <c r="J16" i="18"/>
  <c r="B37" i="5"/>
  <c r="B38" i="5"/>
  <c r="B39" i="5"/>
  <c r="B40" i="5"/>
  <c r="B36" i="5"/>
  <c r="B18" i="5"/>
  <c r="B19" i="5"/>
  <c r="B20"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P178" i="25"/>
  <c r="Q178" i="25"/>
  <c r="R178" i="25"/>
  <c r="S178" i="25"/>
  <c r="T178" i="25"/>
  <c r="U178" i="25"/>
  <c r="V178" i="25"/>
  <c r="W178" i="25"/>
  <c r="X178" i="25"/>
  <c r="E59" i="25"/>
  <c r="F59" i="25"/>
  <c r="O3" i="3"/>
  <c r="P3" i="3"/>
  <c r="Q3" i="3"/>
  <c r="R3" i="3"/>
  <c r="S3" i="3"/>
  <c r="F28" i="24"/>
  <c r="G28" i="24"/>
  <c r="H28" i="24"/>
  <c r="P184" i="25" l="1"/>
  <c r="P190" i="25" s="1"/>
  <c r="O179" i="25"/>
  <c r="T183" i="25"/>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G27" i="24" l="1"/>
  <c r="F90" i="24"/>
  <c r="G90" i="24"/>
  <c r="H90" i="24"/>
  <c r="E90" i="24"/>
  <c r="F90" i="25"/>
  <c r="G90" i="25"/>
  <c r="H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J44" i="25"/>
  <c r="J48" i="25" s="1"/>
  <c r="K20" i="25"/>
  <c r="L20" i="25"/>
  <c r="M20" i="25"/>
  <c r="N20" i="25"/>
  <c r="K21" i="25"/>
  <c r="K61" i="25" s="1"/>
  <c r="L21" i="25"/>
  <c r="L106" i="25" s="1"/>
  <c r="M21" i="25"/>
  <c r="M57" i="25" s="1"/>
  <c r="N21" i="25"/>
  <c r="N61" i="25" s="1"/>
  <c r="K22" i="25"/>
  <c r="K168" i="25" s="1"/>
  <c r="L22" i="25"/>
  <c r="L168" i="25" s="1"/>
  <c r="M22" i="25"/>
  <c r="N22" i="25"/>
  <c r="N168" i="25" s="1"/>
  <c r="I109" i="25"/>
  <c r="I113" i="25" s="1"/>
  <c r="J109" i="25"/>
  <c r="J113" i="25" s="1"/>
  <c r="K23" i="25"/>
  <c r="K109" i="25" s="1"/>
  <c r="K113" i="25" s="1"/>
  <c r="L23" i="25"/>
  <c r="L109" i="25" s="1"/>
  <c r="L113" i="25" s="1"/>
  <c r="M23" i="25"/>
  <c r="M109" i="25" s="1"/>
  <c r="M113" i="25" s="1"/>
  <c r="N23" i="25"/>
  <c r="N109" i="25" s="1"/>
  <c r="N113" i="25" s="1"/>
  <c r="K24" i="25"/>
  <c r="L24" i="25"/>
  <c r="M24" i="25"/>
  <c r="N24" i="25"/>
  <c r="K25" i="25"/>
  <c r="L25" i="25"/>
  <c r="M25" i="25"/>
  <c r="N25" i="25"/>
  <c r="I28" i="25"/>
  <c r="I29" i="25" s="1"/>
  <c r="J28" i="25"/>
  <c r="J29" i="25" s="1"/>
  <c r="K28" i="25"/>
  <c r="L28" i="25"/>
  <c r="M28" i="25"/>
  <c r="N28" i="25"/>
  <c r="K29" i="25"/>
  <c r="F23" i="5" s="1"/>
  <c r="L29" i="25"/>
  <c r="F24" i="5" s="1"/>
  <c r="M29" i="25"/>
  <c r="F25" i="5" s="1"/>
  <c r="N29" i="25"/>
  <c r="F26" i="5" s="1"/>
  <c r="K34" i="25"/>
  <c r="L34" i="25"/>
  <c r="M34" i="25"/>
  <c r="N34" i="25"/>
  <c r="I37" i="25"/>
  <c r="J37" i="25"/>
  <c r="K37" i="25"/>
  <c r="L37" i="25"/>
  <c r="M37" i="25"/>
  <c r="N37" i="25"/>
  <c r="K55" i="25"/>
  <c r="L55" i="25"/>
  <c r="M55" i="25"/>
  <c r="N55" i="25"/>
  <c r="K56" i="25"/>
  <c r="L56" i="25"/>
  <c r="M56" i="25"/>
  <c r="N56" i="25"/>
  <c r="I59" i="25"/>
  <c r="I57" i="25" s="1"/>
  <c r="J59" i="25"/>
  <c r="K59" i="25"/>
  <c r="L59" i="25"/>
  <c r="M59" i="25"/>
  <c r="N59" i="25"/>
  <c r="I88" i="25"/>
  <c r="J88" i="25"/>
  <c r="K88" i="25"/>
  <c r="L88" i="25"/>
  <c r="M88" i="25"/>
  <c r="N88" i="25"/>
  <c r="K89" i="25"/>
  <c r="L89" i="25"/>
  <c r="M89" i="25"/>
  <c r="N89" i="25"/>
  <c r="K93" i="25"/>
  <c r="L93" i="25"/>
  <c r="M93" i="25"/>
  <c r="N93" i="25"/>
  <c r="I94" i="25"/>
  <c r="J94" i="25"/>
  <c r="K94" i="25"/>
  <c r="L94" i="25"/>
  <c r="M94" i="25"/>
  <c r="N94" i="25"/>
  <c r="K95" i="25"/>
  <c r="L95" i="25"/>
  <c r="M95" i="25"/>
  <c r="N95" i="25"/>
  <c r="K101" i="25"/>
  <c r="L101" i="25"/>
  <c r="M101" i="25"/>
  <c r="N101" i="25"/>
  <c r="I107" i="25"/>
  <c r="J107" i="25"/>
  <c r="K107" i="25"/>
  <c r="L107" i="25"/>
  <c r="M107" i="25"/>
  <c r="N107" i="25"/>
  <c r="K136" i="25"/>
  <c r="L136" i="25"/>
  <c r="M136" i="25"/>
  <c r="N136" i="25"/>
  <c r="I146" i="25"/>
  <c r="J146" i="25"/>
  <c r="K146" i="25"/>
  <c r="L146" i="25"/>
  <c r="M146" i="25"/>
  <c r="N146" i="25"/>
  <c r="K153" i="25"/>
  <c r="L153" i="25"/>
  <c r="M153" i="25"/>
  <c r="N153" i="25"/>
  <c r="K158" i="25"/>
  <c r="L158" i="25"/>
  <c r="M158" i="25"/>
  <c r="N158" i="25"/>
  <c r="K159" i="25"/>
  <c r="L159" i="25"/>
  <c r="M159" i="25"/>
  <c r="N159" i="25"/>
  <c r="K160" i="25"/>
  <c r="L160" i="25"/>
  <c r="M160" i="25"/>
  <c r="N160" i="25"/>
  <c r="K163" i="25"/>
  <c r="L163" i="25"/>
  <c r="M163" i="25"/>
  <c r="N163" i="25"/>
  <c r="K166" i="25"/>
  <c r="L166" i="25"/>
  <c r="M166" i="25"/>
  <c r="N166" i="25"/>
  <c r="K169" i="25"/>
  <c r="L169" i="25"/>
  <c r="M169" i="25"/>
  <c r="N169" i="25"/>
  <c r="K171" i="25"/>
  <c r="L171" i="25"/>
  <c r="M171" i="25"/>
  <c r="N171" i="25"/>
  <c r="K176" i="25"/>
  <c r="G23" i="5" s="1"/>
  <c r="L176" i="25"/>
  <c r="G24" i="5" s="1"/>
  <c r="M176" i="25"/>
  <c r="G25" i="5" s="1"/>
  <c r="N176" i="25"/>
  <c r="G26" i="5" s="1"/>
  <c r="K177" i="25"/>
  <c r="H23" i="5" s="1"/>
  <c r="L177" i="25"/>
  <c r="H24" i="5" s="1"/>
  <c r="M177" i="25"/>
  <c r="H25" i="5" s="1"/>
  <c r="N177" i="25"/>
  <c r="H26" i="5" s="1"/>
  <c r="K178" i="25"/>
  <c r="L178" i="25"/>
  <c r="M178" i="25"/>
  <c r="N178" i="25"/>
  <c r="D18" i="5"/>
  <c r="E18" i="5"/>
  <c r="D19" i="5"/>
  <c r="E19" i="5"/>
  <c r="D20" i="5"/>
  <c r="E20" i="5"/>
  <c r="D23" i="5"/>
  <c r="E23" i="5"/>
  <c r="D24" i="5"/>
  <c r="E24" i="5"/>
  <c r="D25" i="5"/>
  <c r="E25" i="5"/>
  <c r="D26" i="5"/>
  <c r="E26" i="5"/>
  <c r="E17" i="5"/>
  <c r="D17" i="5"/>
  <c r="H146" i="25"/>
  <c r="G146" i="25"/>
  <c r="F146" i="25"/>
  <c r="H107" i="25"/>
  <c r="G107" i="25"/>
  <c r="F107" i="25"/>
  <c r="D107" i="25"/>
  <c r="H95" i="25"/>
  <c r="G95" i="25"/>
  <c r="H94" i="25"/>
  <c r="G94" i="25"/>
  <c r="F94" i="25"/>
  <c r="H89" i="25"/>
  <c r="G89" i="25"/>
  <c r="F89" i="25"/>
  <c r="H88" i="25"/>
  <c r="G88" i="25"/>
  <c r="F88" i="25"/>
  <c r="E88" i="25"/>
  <c r="H59" i="25"/>
  <c r="H57" i="25" s="1"/>
  <c r="G59" i="25"/>
  <c r="H37" i="25"/>
  <c r="G37" i="25"/>
  <c r="F37" i="25"/>
  <c r="E37" i="25"/>
  <c r="G29" i="25"/>
  <c r="F19" i="5" s="1"/>
  <c r="H113" i="25"/>
  <c r="F113" i="25"/>
  <c r="G44" i="25"/>
  <c r="G48" i="25" s="1"/>
  <c r="A2" i="25"/>
  <c r="G62" i="6"/>
  <c r="H62" i="6"/>
  <c r="I62" i="6"/>
  <c r="G63" i="6"/>
  <c r="H63" i="6"/>
  <c r="I63" i="6"/>
  <c r="D61" i="6"/>
  <c r="G113" i="25" l="1"/>
  <c r="I76" i="6"/>
  <c r="H76" i="6"/>
  <c r="G76" i="6"/>
  <c r="F76" i="6"/>
  <c r="N114" i="25"/>
  <c r="M130" i="25"/>
  <c r="M116" i="25"/>
  <c r="M100" i="25"/>
  <c r="F88" i="6"/>
  <c r="E88" i="6"/>
  <c r="M184" i="25"/>
  <c r="M190" i="25" s="1"/>
  <c r="N184" i="25"/>
  <c r="N190" i="25" s="1"/>
  <c r="M183" i="25"/>
  <c r="M189" i="25" s="1"/>
  <c r="N183" i="25"/>
  <c r="N189" i="25" s="1"/>
  <c r="N179" i="25"/>
  <c r="I26" i="5" s="1"/>
  <c r="M179" i="25"/>
  <c r="I25" i="5" s="1"/>
  <c r="L183" i="25"/>
  <c r="L189" i="25" s="1"/>
  <c r="K183" i="25"/>
  <c r="K189" i="25" s="1"/>
  <c r="M96" i="25"/>
  <c r="L179" i="25"/>
  <c r="I24" i="5" s="1"/>
  <c r="K179" i="25"/>
  <c r="I23" i="5" s="1"/>
  <c r="L184" i="25"/>
  <c r="L190" i="25" s="1"/>
  <c r="K184" i="25"/>
  <c r="K190" i="25" s="1"/>
  <c r="M114" i="25"/>
  <c r="M44" i="25"/>
  <c r="M48" i="25" s="1"/>
  <c r="M164" i="25"/>
  <c r="I44" i="25"/>
  <c r="I48" i="25" s="1"/>
  <c r="K164" i="25"/>
  <c r="M32" i="25"/>
  <c r="M42" i="25" s="1"/>
  <c r="M106" i="25"/>
  <c r="M61" i="25"/>
  <c r="M168" i="25"/>
  <c r="K116" i="25"/>
  <c r="K114" i="25"/>
  <c r="I106" i="25"/>
  <c r="K167" i="25"/>
  <c r="K106" i="25"/>
  <c r="K57" i="25"/>
  <c r="K58" i="25" s="1"/>
  <c r="K130" i="25"/>
  <c r="K44" i="25"/>
  <c r="K45" i="25" s="1"/>
  <c r="I32" i="25"/>
  <c r="I100" i="25"/>
  <c r="N44" i="25"/>
  <c r="N48" i="25" s="1"/>
  <c r="L116" i="25"/>
  <c r="L44" i="25"/>
  <c r="L48" i="25" s="1"/>
  <c r="L57" i="25"/>
  <c r="L58" i="25" s="1"/>
  <c r="N164" i="25"/>
  <c r="N96" i="25"/>
  <c r="L39" i="25"/>
  <c r="L167" i="25"/>
  <c r="K39" i="25"/>
  <c r="K32" i="25"/>
  <c r="K42" i="25" s="1"/>
  <c r="F32" i="25"/>
  <c r="F42" i="25" s="1"/>
  <c r="L100" i="25"/>
  <c r="L61" i="25"/>
  <c r="L114" i="25"/>
  <c r="L130" i="25"/>
  <c r="K100" i="25"/>
  <c r="J45" i="25"/>
  <c r="M167" i="25"/>
  <c r="L164" i="25"/>
  <c r="M39" i="25"/>
  <c r="K96" i="25"/>
  <c r="I39" i="25"/>
  <c r="M58" i="25"/>
  <c r="N32" i="25"/>
  <c r="N91" i="25" s="1"/>
  <c r="N39" i="25"/>
  <c r="N57" i="25"/>
  <c r="N58" i="25" s="1"/>
  <c r="N100" i="25"/>
  <c r="N106" i="25"/>
  <c r="N116" i="25"/>
  <c r="N130" i="25"/>
  <c r="N167" i="25"/>
  <c r="J32" i="25"/>
  <c r="J39" i="25"/>
  <c r="J57" i="25"/>
  <c r="J100" i="25"/>
  <c r="J106" i="25"/>
  <c r="L32" i="25"/>
  <c r="L91" i="25" s="1"/>
  <c r="L96" i="25"/>
  <c r="F57" i="25"/>
  <c r="G32" i="25"/>
  <c r="G35" i="25" s="1"/>
  <c r="G57" i="25"/>
  <c r="H29" i="25"/>
  <c r="F20" i="5" s="1"/>
  <c r="H45" i="25"/>
  <c r="H48" i="25" s="1"/>
  <c r="E100" i="25"/>
  <c r="E106" i="25"/>
  <c r="F100" i="25"/>
  <c r="F106" i="25"/>
  <c r="G45" i="25"/>
  <c r="H106" i="25"/>
  <c r="H100" i="25"/>
  <c r="G106" i="25"/>
  <c r="H32" i="25"/>
  <c r="H91" i="25" s="1"/>
  <c r="G39" i="25"/>
  <c r="E44" i="25"/>
  <c r="E48" i="25" s="1"/>
  <c r="E57" i="25"/>
  <c r="G100" i="25"/>
  <c r="J91" i="25" l="1"/>
  <c r="J114" i="25" s="1"/>
  <c r="I35" i="25"/>
  <c r="I49" i="25" s="1"/>
  <c r="G91" i="25"/>
  <c r="G114" i="25" s="1"/>
  <c r="F39" i="25"/>
  <c r="F45" i="25"/>
  <c r="F48" i="25" s="1"/>
  <c r="M91" i="25"/>
  <c r="K91" i="25"/>
  <c r="I91" i="25"/>
  <c r="I114" i="25" s="1"/>
  <c r="F91" i="25"/>
  <c r="F114" i="25" s="1"/>
  <c r="I45" i="25"/>
  <c r="M45" i="25"/>
  <c r="M35" i="25"/>
  <c r="M49" i="25" s="1"/>
  <c r="L45" i="25"/>
  <c r="I42" i="25"/>
  <c r="N45" i="25"/>
  <c r="K48" i="25"/>
  <c r="F35" i="25"/>
  <c r="K35" i="25"/>
  <c r="K46" i="25" s="1"/>
  <c r="K53" i="25" s="1"/>
  <c r="G42" i="25"/>
  <c r="N35" i="25"/>
  <c r="N42" i="25"/>
  <c r="L42" i="25"/>
  <c r="L35" i="25"/>
  <c r="J35" i="25"/>
  <c r="J42" i="25"/>
  <c r="G49" i="25"/>
  <c r="G46" i="25"/>
  <c r="G53" i="25" s="1"/>
  <c r="H114" i="25"/>
  <c r="E29" i="25"/>
  <c r="F18" i="5"/>
  <c r="H42" i="25"/>
  <c r="H35" i="25"/>
  <c r="E45" i="25"/>
  <c r="H39" i="25"/>
  <c r="J49" i="25" l="1"/>
  <c r="I46" i="25"/>
  <c r="G55" i="25"/>
  <c r="F46" i="25"/>
  <c r="F53" i="25" s="1"/>
  <c r="F17" i="5"/>
  <c r="N46" i="25"/>
  <c r="N53" i="25" s="1"/>
  <c r="M46" i="25"/>
  <c r="M53" i="25" s="1"/>
  <c r="F49" i="25"/>
  <c r="J46" i="25"/>
  <c r="K49" i="25"/>
  <c r="N49" i="25"/>
  <c r="L49" i="25"/>
  <c r="L46" i="25"/>
  <c r="L53" i="25" s="1"/>
  <c r="H46" i="25"/>
  <c r="H53" i="25" s="1"/>
  <c r="H49" i="25"/>
  <c r="I53" i="25" l="1"/>
  <c r="I55" i="25"/>
  <c r="J53" i="25"/>
  <c r="J55" i="25"/>
  <c r="H55" i="25"/>
  <c r="F55" i="25"/>
  <c r="K36" i="8"/>
  <c r="P36" i="8"/>
  <c r="L36" i="8"/>
  <c r="M36" i="8"/>
  <c r="N36" i="8"/>
  <c r="O36" i="8"/>
  <c r="K37" i="8"/>
  <c r="P37" i="8"/>
  <c r="F7" i="8"/>
  <c r="F166" i="24" l="1"/>
  <c r="G166" i="24"/>
  <c r="H166" i="24"/>
  <c r="E166" i="24"/>
  <c r="Q149" i="8" l="1"/>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N75" i="25"/>
  <c r="K75" i="25"/>
  <c r="L75" i="25"/>
  <c r="M75" i="25"/>
  <c r="N73" i="25"/>
  <c r="K73" i="25"/>
  <c r="L73" i="25"/>
  <c r="M73" i="25"/>
  <c r="N77" i="25"/>
  <c r="K77" i="25"/>
  <c r="L77" i="25"/>
  <c r="M77" i="25"/>
  <c r="K72" i="25"/>
  <c r="L72" i="25"/>
  <c r="N72" i="25"/>
  <c r="M72" i="25"/>
  <c r="K74" i="25"/>
  <c r="L74" i="25"/>
  <c r="N74" i="25"/>
  <c r="M74" i="25"/>
  <c r="K76" i="25"/>
  <c r="L76" i="25"/>
  <c r="M76" i="25"/>
  <c r="N76" i="25"/>
  <c r="D37" i="5"/>
  <c r="F37" i="5"/>
  <c r="D38" i="5"/>
  <c r="F38" i="5"/>
  <c r="D39" i="5"/>
  <c r="F39" i="5"/>
  <c r="D40" i="5"/>
  <c r="F40" i="5"/>
  <c r="F36" i="5"/>
  <c r="D36" i="5"/>
  <c r="E37" i="5"/>
  <c r="E38" i="5"/>
  <c r="E39" i="5"/>
  <c r="E40" i="5"/>
  <c r="E36" i="5"/>
  <c r="G92" i="6" l="1"/>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I4" i="1" l="1"/>
  <c r="J4" i="1" s="1"/>
  <c r="I3" i="1"/>
  <c r="J3" i="1" s="1"/>
  <c r="E39" i="25" l="1"/>
  <c r="E42" i="25"/>
  <c r="E35" i="25"/>
  <c r="E91" i="25"/>
  <c r="E114" i="25" s="1"/>
  <c r="I178" i="24"/>
  <c r="I177" i="24"/>
  <c r="I176" i="24"/>
  <c r="E46" i="25" l="1"/>
  <c r="E53" i="25" s="1"/>
  <c r="E56" i="25" s="1"/>
  <c r="F56" i="25" s="1"/>
  <c r="E146" i="25"/>
  <c r="E49" i="25"/>
  <c r="H15" i="1"/>
  <c r="H13" i="1"/>
  <c r="H11" i="1"/>
  <c r="F58" i="25" l="1"/>
  <c r="F61" i="25" s="1"/>
  <c r="F72" i="25" s="1"/>
  <c r="G56" i="25"/>
  <c r="E55" i="25"/>
  <c r="E58" i="25" s="1"/>
  <c r="E61" i="25" s="1"/>
  <c r="F93" i="24"/>
  <c r="F96" i="24" s="1"/>
  <c r="G93" i="24"/>
  <c r="G96" i="24" s="1"/>
  <c r="H93" i="24"/>
  <c r="H96" i="24" s="1"/>
  <c r="G58" i="25" l="1"/>
  <c r="G61" i="25" s="1"/>
  <c r="H56" i="25"/>
  <c r="F75" i="25"/>
  <c r="F74" i="25"/>
  <c r="F76" i="25"/>
  <c r="F73" i="25"/>
  <c r="F77" i="25"/>
  <c r="E72" i="25"/>
  <c r="E77" i="25"/>
  <c r="E76" i="25"/>
  <c r="E73" i="25"/>
  <c r="E74" i="25"/>
  <c r="E75" i="25"/>
  <c r="J37" i="8"/>
  <c r="J36" i="8"/>
  <c r="G73" i="25" l="1"/>
  <c r="G75" i="25"/>
  <c r="G74" i="25"/>
  <c r="G72" i="25"/>
  <c r="G76" i="25"/>
  <c r="G77" i="25"/>
  <c r="I56" i="25"/>
  <c r="H58" i="25"/>
  <c r="H61" i="25" s="1"/>
  <c r="D55" i="6"/>
  <c r="F58" i="6" s="1"/>
  <c r="F63" i="6" s="1"/>
  <c r="J56" i="25" l="1"/>
  <c r="J58" i="25" s="1"/>
  <c r="J61" i="25" s="1"/>
  <c r="I58" i="25"/>
  <c r="I61" i="25" s="1"/>
  <c r="H76" i="25"/>
  <c r="H74" i="25"/>
  <c r="H72" i="25"/>
  <c r="H77" i="25"/>
  <c r="H73" i="25"/>
  <c r="H75" i="25"/>
  <c r="I152" i="24"/>
  <c r="J72" i="25" l="1"/>
  <c r="J77" i="25"/>
  <c r="J73" i="25"/>
  <c r="J75" i="25"/>
  <c r="J76" i="25"/>
  <c r="J74" i="25"/>
  <c r="I76" i="25"/>
  <c r="I74" i="25"/>
  <c r="I72" i="25"/>
  <c r="I77" i="25"/>
  <c r="I73" i="25"/>
  <c r="I75" i="25"/>
  <c r="I17" i="24"/>
  <c r="N3" i="3" s="1"/>
  <c r="I20" i="24"/>
  <c r="I21" i="24"/>
  <c r="I22" i="24"/>
  <c r="I23" i="24"/>
  <c r="I109" i="24" s="1"/>
  <c r="I24" i="24"/>
  <c r="I25" i="24"/>
  <c r="G81" i="6" l="1"/>
  <c r="H81" i="6"/>
  <c r="I81" i="6"/>
  <c r="G79" i="6"/>
  <c r="H79" i="6"/>
  <c r="I79" i="6"/>
  <c r="I93" i="6" l="1"/>
  <c r="H93" i="6"/>
  <c r="G93" i="6"/>
  <c r="H89" i="6" l="1"/>
  <c r="G89" i="6"/>
  <c r="I89" i="6"/>
  <c r="E27" i="5"/>
  <c r="D7" i="8" l="1"/>
  <c r="K207" i="24" l="1"/>
  <c r="D8" i="8"/>
  <c r="E20" i="24"/>
  <c r="F20" i="24"/>
  <c r="K208" i="24" l="1"/>
  <c r="K215" i="24"/>
  <c r="E27" i="24" s="1"/>
  <c r="F27" i="24" s="1"/>
  <c r="G44" i="24"/>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H109" i="24" s="1"/>
  <c r="G23" i="24"/>
  <c r="G109" i="24" s="1"/>
  <c r="F23" i="24"/>
  <c r="F109" i="24" s="1"/>
  <c r="E23" i="24"/>
  <c r="E109" i="24" s="1"/>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G130" i="25" l="1"/>
  <c r="H130" i="25"/>
  <c r="I130" i="25"/>
  <c r="J130" i="25"/>
  <c r="E130" i="25"/>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F166" i="25" l="1"/>
  <c r="E166" i="25"/>
  <c r="I166" i="25"/>
  <c r="J166" i="25"/>
  <c r="H166" i="25"/>
  <c r="G166" i="25"/>
  <c r="D164" i="25"/>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K47" i="8" l="1"/>
  <c r="K51" i="8" s="1"/>
  <c r="K106" i="8" s="1"/>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L123" i="25"/>
  <c r="L125" i="25" s="1"/>
  <c r="M123" i="25"/>
  <c r="M125" i="25" s="1"/>
  <c r="E123" i="25"/>
  <c r="E125" i="25" s="1"/>
  <c r="E138" i="25" s="1"/>
  <c r="N123" i="25"/>
  <c r="N125" i="25" s="1"/>
  <c r="F123" i="25"/>
  <c r="F125" i="25" s="1"/>
  <c r="G123" i="25"/>
  <c r="G125" i="25" s="1"/>
  <c r="G138" i="25" s="1"/>
  <c r="K123" i="25"/>
  <c r="K125" i="25" s="1"/>
  <c r="I123" i="25"/>
  <c r="I125" i="25" s="1"/>
  <c r="N51" i="8"/>
  <c r="O48" i="8"/>
  <c r="O47" i="8" s="1"/>
  <c r="M38" i="8"/>
  <c r="J138" i="25" l="1"/>
  <c r="N106" i="8"/>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N138" i="25"/>
  <c r="N139" i="25" s="1"/>
  <c r="N148" i="25" s="1"/>
  <c r="N182" i="25" s="1"/>
  <c r="N185" i="25" s="1"/>
  <c r="N191" i="25" s="1"/>
  <c r="K138" i="25"/>
  <c r="K139" i="25" s="1"/>
  <c r="K148" i="25" s="1"/>
  <c r="M138" i="25"/>
  <c r="M139" i="25" s="1"/>
  <c r="M148" i="25" s="1"/>
  <c r="L138" i="25"/>
  <c r="L139" i="25" s="1"/>
  <c r="L148" i="25" s="1"/>
  <c r="L182" i="25" s="1"/>
  <c r="L185" i="25" s="1"/>
  <c r="F138" i="25"/>
  <c r="O51" i="8"/>
  <c r="P48" i="8"/>
  <c r="D79" i="25" s="1"/>
  <c r="N38" i="8"/>
  <c r="O106" i="8" l="1"/>
  <c r="O78" i="8"/>
  <c r="R185" i="25"/>
  <c r="R191" i="25" s="1"/>
  <c r="R188" i="25"/>
  <c r="M182" i="25"/>
  <c r="M185" i="25" s="1"/>
  <c r="M191" i="25" s="1"/>
  <c r="K25" i="5" s="1"/>
  <c r="N188" i="25"/>
  <c r="L188" i="25"/>
  <c r="K182" i="25"/>
  <c r="K185" i="25" s="1"/>
  <c r="K191" i="25" s="1"/>
  <c r="K23" i="5" s="1"/>
  <c r="L191" i="25"/>
  <c r="K24" i="5" s="1"/>
  <c r="J24" i="5"/>
  <c r="C78" i="25"/>
  <c r="D81" i="25"/>
  <c r="J26" i="5"/>
  <c r="K26" i="5"/>
  <c r="P47" i="8"/>
  <c r="P51" i="8" s="1"/>
  <c r="O38" i="8"/>
  <c r="F136" i="25" l="1"/>
  <c r="F139" i="25" s="1"/>
  <c r="F148" i="25" s="1"/>
  <c r="I136" i="25"/>
  <c r="I139" i="25" s="1"/>
  <c r="I148" i="25" s="1"/>
  <c r="J136" i="25"/>
  <c r="J139" i="25" s="1"/>
  <c r="J148" i="25" s="1"/>
  <c r="H136" i="25"/>
  <c r="H139" i="25" s="1"/>
  <c r="H148" i="25" s="1"/>
  <c r="G136" i="25"/>
  <c r="G139" i="25" s="1"/>
  <c r="G148" i="25" s="1"/>
  <c r="P38" i="8"/>
  <c r="P106" i="8"/>
  <c r="P78" i="8"/>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J116" i="25" s="1"/>
  <c r="K81" i="25"/>
  <c r="K83" i="25" s="1"/>
  <c r="M81" i="25"/>
  <c r="M83" i="25" s="1"/>
  <c r="I81" i="25"/>
  <c r="I83" i="25" s="1"/>
  <c r="I116"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J182" i="25" l="1"/>
  <c r="I182" i="25"/>
  <c r="I188"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J188" i="25" l="1"/>
  <c r="I106" i="8"/>
  <c r="I78" i="8"/>
  <c r="F188" i="25"/>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68" i="24" l="1"/>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I182" i="24" l="1"/>
  <c r="I158" i="24"/>
  <c r="I188" i="24" l="1"/>
  <c r="I159" i="24"/>
  <c r="I160" i="24" s="1"/>
  <c r="F79" i="6"/>
  <c r="F81" i="6" s="1"/>
  <c r="F93" i="6" l="1"/>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7" i="5" s="1"/>
  <c r="E73" i="6"/>
  <c r="E77" i="6"/>
  <c r="E74" i="6" l="1"/>
  <c r="K67"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11" i="3"/>
  <c r="H16" i="3"/>
  <c r="H21" i="3"/>
  <c r="H24" i="3"/>
  <c r="H13" i="3"/>
  <c r="H15" i="3"/>
  <c r="H27" i="3"/>
  <c r="H17" i="3"/>
  <c r="H23" i="3"/>
  <c r="H26" i="3"/>
  <c r="H31" i="3"/>
  <c r="H12" i="3"/>
  <c r="H30" i="3"/>
  <c r="H28" i="3"/>
  <c r="H9" i="3"/>
  <c r="H7" i="3"/>
  <c r="H25" i="3"/>
  <c r="H6" i="3"/>
  <c r="H20" i="3"/>
  <c r="H14" i="3"/>
  <c r="E17" i="3"/>
  <c r="E11" i="3"/>
  <c r="E15" i="3"/>
  <c r="E16" i="3"/>
  <c r="E9" i="3"/>
  <c r="F182" i="24" l="1"/>
  <c r="F188" i="24" s="1"/>
  <c r="E182" i="24"/>
  <c r="E188" i="24" s="1"/>
  <c r="S4" i="3"/>
  <c r="Z4" i="3"/>
  <c r="AA4" i="3"/>
  <c r="P4" i="3"/>
  <c r="AC4" i="3"/>
  <c r="J4" i="3"/>
  <c r="U4" i="3"/>
  <c r="K4" i="3"/>
  <c r="R4" i="3"/>
  <c r="V4" i="3"/>
  <c r="M4" i="3"/>
  <c r="Y4" i="3"/>
  <c r="O4" i="3"/>
  <c r="J151" i="25" s="1"/>
  <c r="J153" i="25" s="1"/>
  <c r="W4" i="3"/>
  <c r="AB4" i="3"/>
  <c r="X4" i="3"/>
  <c r="N4" i="3"/>
  <c r="I151" i="25" s="1"/>
  <c r="I153" i="25" s="1"/>
  <c r="Q4" i="3"/>
  <c r="L4" i="3"/>
  <c r="T4" i="3"/>
  <c r="E151" i="24" l="1"/>
  <c r="E152" i="24" s="1"/>
  <c r="E153" i="24" s="1"/>
  <c r="E151" i="25"/>
  <c r="H151" i="24"/>
  <c r="H151" i="25"/>
  <c r="H153" i="25" s="1"/>
  <c r="J158" i="25"/>
  <c r="J159" i="25" s="1"/>
  <c r="J160" i="25" s="1"/>
  <c r="J183" i="25"/>
  <c r="I158" i="25"/>
  <c r="I159" i="25" s="1"/>
  <c r="I160" i="25" s="1"/>
  <c r="I183" i="25"/>
  <c r="G151" i="24"/>
  <c r="G151" i="25"/>
  <c r="G153" i="25" s="1"/>
  <c r="J64" i="5"/>
  <c r="K64" i="5" s="1"/>
  <c r="F151" i="24"/>
  <c r="F152" i="24" s="1"/>
  <c r="F153" i="24" s="1"/>
  <c r="F151" i="25"/>
  <c r="G152" i="24" l="1"/>
  <c r="G153" i="24" s="1"/>
  <c r="H152" i="24"/>
  <c r="H153" i="24" s="1"/>
  <c r="H158" i="25"/>
  <c r="H159" i="25" s="1"/>
  <c r="H160" i="25" s="1"/>
  <c r="H183" i="25"/>
  <c r="J167" i="25"/>
  <c r="J163" i="25"/>
  <c r="J164" i="25"/>
  <c r="J168" i="25"/>
  <c r="J189" i="25"/>
  <c r="I167" i="25"/>
  <c r="I163" i="25"/>
  <c r="I164" i="25"/>
  <c r="I168" i="25"/>
  <c r="I189" i="25"/>
  <c r="G158" i="25"/>
  <c r="G159" i="25" s="1"/>
  <c r="G160" i="25" s="1"/>
  <c r="G183" i="25"/>
  <c r="J65" i="5"/>
  <c r="K65" i="5" s="1"/>
  <c r="F183" i="24"/>
  <c r="F158" i="24"/>
  <c r="G158" i="24" l="1"/>
  <c r="G159" i="24" s="1"/>
  <c r="G160" i="24" s="1"/>
  <c r="G183" i="24"/>
  <c r="G189" i="24" s="1"/>
  <c r="H183" i="24"/>
  <c r="H189" i="24" s="1"/>
  <c r="H158" i="24"/>
  <c r="H159" i="24" s="1"/>
  <c r="H160" i="24" s="1"/>
  <c r="J169" i="25"/>
  <c r="J171" i="25" s="1"/>
  <c r="I169" i="25"/>
  <c r="I171" i="25" s="1"/>
  <c r="H167" i="25"/>
  <c r="H163" i="25"/>
  <c r="H164" i="25"/>
  <c r="H168" i="25"/>
  <c r="H189" i="25"/>
  <c r="G164" i="25"/>
  <c r="G167" i="25"/>
  <c r="G168" i="25"/>
  <c r="G163" i="25"/>
  <c r="G189" i="25"/>
  <c r="F159" i="24"/>
  <c r="F160" i="24" s="1"/>
  <c r="F189" i="24"/>
  <c r="E158" i="24"/>
  <c r="E183" i="24"/>
  <c r="J177" i="25" l="1"/>
  <c r="J178" i="25"/>
  <c r="J184" i="25"/>
  <c r="I184" i="25"/>
  <c r="I178" i="25"/>
  <c r="I177" i="25"/>
  <c r="H169" i="25"/>
  <c r="H171" i="25" s="1"/>
  <c r="G169" i="25"/>
  <c r="G171" i="25" s="1"/>
  <c r="H167" i="24"/>
  <c r="H163" i="24"/>
  <c r="H168" i="24"/>
  <c r="H164" i="24"/>
  <c r="G167" i="24"/>
  <c r="G168" i="24"/>
  <c r="G163" i="24"/>
  <c r="G164" i="24"/>
  <c r="F164" i="24"/>
  <c r="F163" i="24"/>
  <c r="F167" i="24"/>
  <c r="F168" i="24"/>
  <c r="E189" i="24"/>
  <c r="E159" i="24"/>
  <c r="J176" i="25" l="1"/>
  <c r="J179" i="25"/>
  <c r="J185" i="25"/>
  <c r="J190" i="25"/>
  <c r="I185" i="25"/>
  <c r="I191" i="25" s="1"/>
  <c r="I190" i="25"/>
  <c r="I176" i="25"/>
  <c r="I179" i="25"/>
  <c r="H184" i="25"/>
  <c r="H178" i="25"/>
  <c r="H177" i="25"/>
  <c r="H20" i="5" s="1"/>
  <c r="G184" i="25"/>
  <c r="G178" i="25"/>
  <c r="G177" i="25"/>
  <c r="H19" i="5" s="1"/>
  <c r="E160" i="24"/>
  <c r="E164" i="24" s="1"/>
  <c r="G169" i="24"/>
  <c r="G171" i="24" s="1"/>
  <c r="G184" i="24" s="1"/>
  <c r="F169" i="24"/>
  <c r="F171" i="24" s="1"/>
  <c r="H169" i="24"/>
  <c r="H171" i="24" s="1"/>
  <c r="G59" i="5" l="1"/>
  <c r="I59" i="5" s="1"/>
  <c r="J59" i="5" s="1"/>
  <c r="G58" i="5"/>
  <c r="I58" i="5" s="1"/>
  <c r="J58" i="5" s="1"/>
  <c r="J191" i="25"/>
  <c r="H185" i="25"/>
  <c r="H190" i="25"/>
  <c r="H179" i="25"/>
  <c r="I20" i="5" s="1"/>
  <c r="H176" i="25"/>
  <c r="G20" i="5" s="1"/>
  <c r="G185" i="25"/>
  <c r="G190" i="25"/>
  <c r="G179" i="25"/>
  <c r="I19" i="5" s="1"/>
  <c r="G176" i="25"/>
  <c r="G19" i="5" s="1"/>
  <c r="E168" i="24"/>
  <c r="E167" i="24"/>
  <c r="E163" i="24"/>
  <c r="G177" i="24"/>
  <c r="G178" i="24"/>
  <c r="G179" i="24" s="1"/>
  <c r="H184" i="24"/>
  <c r="H177" i="24"/>
  <c r="H178" i="24"/>
  <c r="F184" i="24"/>
  <c r="F178" i="24"/>
  <c r="F177" i="24"/>
  <c r="G190" i="24"/>
  <c r="G185" i="24"/>
  <c r="G191" i="24" s="1"/>
  <c r="K58" i="5" l="1"/>
  <c r="J60" i="5"/>
  <c r="K59" i="5"/>
  <c r="H191" i="25"/>
  <c r="K20" i="5" s="1"/>
  <c r="J20" i="5"/>
  <c r="G191" i="25"/>
  <c r="K19" i="5" s="1"/>
  <c r="J19" i="5"/>
  <c r="E169" i="24"/>
  <c r="E171" i="24" s="1"/>
  <c r="G176" i="24"/>
  <c r="G218" i="24" s="1"/>
  <c r="H176" i="24"/>
  <c r="H179" i="24"/>
  <c r="F179" i="24"/>
  <c r="F176" i="24"/>
  <c r="F190" i="24"/>
  <c r="F185" i="24"/>
  <c r="F191" i="24" s="1"/>
  <c r="H190" i="24"/>
  <c r="H185" i="24"/>
  <c r="H191" i="24" s="1"/>
  <c r="K60" i="5" l="1"/>
  <c r="G213" i="24"/>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6" i="5" s="1"/>
  <c r="E153" i="25" l="1"/>
  <c r="F158" i="25"/>
  <c r="F183" i="25"/>
  <c r="E158" i="25" l="1"/>
  <c r="E159" i="25" s="1"/>
  <c r="E183" i="25"/>
  <c r="E189" i="25" s="1"/>
  <c r="F159" i="25"/>
  <c r="F160" i="25" s="1"/>
  <c r="K66" i="5"/>
  <c r="J68" i="5"/>
  <c r="F189" i="25"/>
  <c r="K68" i="5" l="1"/>
  <c r="J70" i="5"/>
  <c r="J71" i="5"/>
  <c r="K71" i="5" s="1"/>
  <c r="F167" i="25"/>
  <c r="F164" i="25"/>
  <c r="F163" i="25"/>
  <c r="F168" i="25"/>
  <c r="E160" i="25"/>
  <c r="K70"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72" i="5"/>
  <c r="F179" i="25"/>
  <c r="I18" i="5" s="1"/>
  <c r="F176" i="25"/>
  <c r="G18" i="5" s="1"/>
  <c r="F190" i="25"/>
  <c r="F185" i="25"/>
  <c r="E171" i="25"/>
  <c r="E177" i="25" s="1"/>
  <c r="E184" i="25" l="1"/>
  <c r="H17" i="5"/>
  <c r="E178" i="25"/>
  <c r="K72" i="5"/>
  <c r="J18" i="5"/>
  <c r="F191" i="25"/>
  <c r="K18" i="5" s="1"/>
  <c r="E179" i="25" l="1"/>
  <c r="I17" i="5" s="1"/>
  <c r="E176" i="25"/>
  <c r="G17" i="5" s="1"/>
  <c r="E190" i="25"/>
  <c r="E185" i="25"/>
  <c r="E191" i="25" l="1"/>
  <c r="K17" i="5" s="1"/>
  <c r="K27" i="5" s="1"/>
  <c r="J17" i="5"/>
  <c r="J27" i="5" s="1"/>
  <c r="J4" i="9" l="1"/>
  <c r="J73" i="5" l="1"/>
  <c r="J74" i="5" s="1"/>
  <c r="J31" i="5"/>
  <c r="K31" i="5" s="1"/>
  <c r="K73" i="5" l="1"/>
  <c r="K74" i="5" s="1"/>
  <c r="H78" i="5"/>
  <c r="K78" i="5" s="1"/>
  <c r="J32" i="5"/>
  <c r="K32" i="5"/>
  <c r="K79" i="5" l="1"/>
  <c r="J78" i="5"/>
  <c r="J7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tc={260A64D7-CF45-41B8-94B7-1674A4F0652F}</author>
    <author>tc={8EF91C9B-34AD-4A1F-8A28-8A5A1A8D297B}</author>
    <author>tc={CB8E98E9-2927-42B6-86CE-99D3943EAB65}</author>
    <author>tc={EA2939E1-B3DD-4605-B685-11B87F15542C}</author>
    <author>tc={4FFEF955-0986-4BD8-9A6A-4D92B10E7C6C}</author>
    <author>tc={3C779A9C-1F36-4165-8511-01D69B64C257}</author>
    <author>tc={3EDEF3C3-A479-4CC4-8AE2-8E37ED461FD7}</author>
    <author>tc={F851C025-775B-4FC4-B9C6-A57AD598EE6E}</author>
  </authors>
  <commentList>
    <comment ref="C19" authorId="0" shapeId="0" xr:uid="{00000000-0006-0000-0000-000001000000}">
      <text>
        <r>
          <rPr>
            <sz val="9"/>
            <color indexed="81"/>
            <rFont val="Segoe UI"/>
            <family val="2"/>
          </rPr>
          <t>Campo livre para observações do posto</t>
        </r>
      </text>
    </comment>
    <comment ref="G21" authorId="1" shapeId="0" xr:uid="{260A64D7-CF45-41B8-94B7-1674A4F0652F}">
      <text>
        <t>[Comentário encadeado]
Sua versão do Excel permite que você leia este comentário encadeado, no entanto, as edições serão removidas se o arquivo for aberto em uma versão mais recente do Excel. Saiba mais: https://go.microsoft.com/fwlink/?linkid=870924
Comentário:
    A elaboração do Termo de Referência para os postos de Eletrotécnico fundamenta-se no salário atual do padrão 07 - Referência A, acrescido de 50% referente à RTI (Regime de Tempo Integral), do Quadro Geral da Prefeitura Municipal de Porto Alegre, disponível no link - https://transparencia.portoalegre.rs.gov.br/pessoal/composicao-remuneracao/tabelas-referencia/quadro-geral</t>
      </text>
    </comment>
    <comment ref="H21" authorId="2" shapeId="0" xr:uid="{8EF91C9B-34AD-4A1F-8A28-8A5A1A8D297B}">
      <text>
        <t>[Comentário encadeado]
Sua versão do Excel permite que você leia este comentário encadeado, no entanto, as edições serão removidas se o arquivo for aberto em uma versão mais recente do Excel. Saiba mais: https://go.microsoft.com/fwlink/?linkid=870924
Comentário:
    A elaboração do Termo de Referência para os postos de Eletrotécnico fundamenta-se no salário atual do padrão 07 - Referência A, acrescido de 50% referente à RTI (Regime de Tempo Integral), do Quadro Geral da Prefeitura Municipal de Porto Alegre, disponível no link - https://transparencia.portoalegre.rs.gov.br/pessoal/composicao-remuneracao/tabelas-referencia/quadro-geral</t>
      </text>
    </comment>
    <comment ref="I21" authorId="3" shapeId="0" xr:uid="{CB8E98E9-2927-42B6-86CE-99D3943EAB65}">
      <text>
        <t>[Comentário encadeado]
Sua versão do Excel permite que você leia este comentário encadeado, no entanto, as edições serão removidas se o arquivo for aberto em uma versão mais recente do Excel. Saiba mais: https://go.microsoft.com/fwlink/?linkid=870924
Comentário:
    CLÁUSULA TERCEIRA - PISO SALARIAL
a) A parr do mês de janeiro de 2024, o piso salarial dos profissionais representados pelo sindicato acordante será
fixado no valor de R$12.708,00 (doze mil, setecentos e oito reais), conforme previsão de salário-mínimo nacional
para 2024, correspondendo ao valor mínimo de 9 (nove) salários-mínimos nacionais para uma jornada de 8 (oito)
horas diárias de serviço, em atendimento à Lei 4950/A/66.
b) A parr do mês de janeiro de 2025, o piso salarial dos profissionais será fixado conforme o salário-mínimo
nacional, correspondendo ao valor de 9(nove) salários-mínimos nacionais na posição inicial da tabela matriz da
respecva categoria profissional (letra A)</t>
      </text>
    </comment>
    <comment ref="J21" authorId="4" shapeId="0" xr:uid="{EA2939E1-B3DD-4605-B685-11B87F15542C}">
      <text>
        <t>[Comentário encadeado]
Sua versão do Excel permite que você leia este comentário encadeado, no entanto, as edições serão removidas se o arquivo for aberto em uma versão mais recente do Excel. Saiba mais: https://go.microsoft.com/fwlink/?linkid=870924
Comentário:
    CLÁUSULA TERCEIRA - PISO SALARIAL
a) A parr do mês de janeiro de 2024, o piso salarial dos profissionais representados pelo sindicato acordante será
fixado no valor de R$12.708,00 (doze mil, setecentos e oito reais), conforme previsão de salário-mínimo nacional
para 2024, correspondendo ao valor mínimo de 9 (nove) salários-mínimos nacionais para uma jornada de 8 (oito)
horas diárias de serviço, em atendimento à Lei 4950/A/66.
b) A parr do mês de janeiro de 2025, o piso salarial dos profissionais será fixado conforme o salário-mínimo
nacional, correspondendo ao valor de 9(nove) salários-mínimos nacionais na posição inicial da tabela matriz da
respecva categoria profissional (letra A)</t>
      </text>
    </comment>
    <comment ref="E109" authorId="5" shapeId="0" xr:uid="{4FFEF955-0986-4BD8-9A6A-4D92B10E7C6C}">
      <text>
        <t>[Comentário encadeado]
Sua versão do Excel permite que você leia este comentário encadeado, no entanto, as edições serão removidas se o arquivo for aberto em uma versão mais recente do Excel. Saiba mais: https://go.microsoft.com/fwlink/?linkid=870924
Comentário:
    CLÁUSULA DÉCIMA QUARTA - PRÊMIO ASSIDUIDADE</t>
      </text>
    </comment>
    <comment ref="F109" authorId="6" shapeId="0" xr:uid="{3C779A9C-1F36-4165-8511-01D69B64C257}">
      <text>
        <t>[Comentário encadeado]
Sua versão do Excel permite que você leia este comentário encadeado, no entanto, as edições serão removidas se o arquivo for aberto em uma versão mais recente do Excel. Saiba mais: https://go.microsoft.com/fwlink/?linkid=870924
Comentário:
    CLÁUSULA DÉCIMA QUARTA - PRÊMIO ASSIDUIDADE</t>
      </text>
    </comment>
    <comment ref="G109" authorId="7" shapeId="0" xr:uid="{3EDEF3C3-A479-4CC4-8AE2-8E37ED461FD7}">
      <text>
        <t>[Comentário encadeado]
Sua versão do Excel permite que você leia este comentário encadeado, no entanto, as edições serão removidas se o arquivo for aberto em uma versão mais recente do Excel. Saiba mais: https://go.microsoft.com/fwlink/?linkid=870924
Comentário:
    CLÁUSULA DÉCIMA QUARTA - PRÊMIO ASSIDUIDADE</t>
      </text>
    </comment>
    <comment ref="H109" authorId="8" shapeId="0" xr:uid="{F851C025-775B-4FC4-B9C6-A57AD598EE6E}">
      <text>
        <t>[Comentário encadeado]
Sua versão do Excel permite que você leia este comentário encadeado, no entanto, as edições serão removidas se o arquivo for aberto em uma versão mais recente do Excel. Saiba mais: https://go.microsoft.com/fwlink/?linkid=870924
Comentário:
    CLÁUSULA DÉCIMA QUARTA - PRÊMIO ASSIDUIDADE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5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600-000001000000}">
      <text>
        <r>
          <rPr>
            <sz val="9"/>
            <color indexed="81"/>
            <rFont val="Segoe UI"/>
            <family val="2"/>
          </rPr>
          <t>Campo livre para observações do posto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tc={E3F930D2-9AFA-4F72-AB49-7B4E848EBCAC}</author>
    <author>tc={9DF18E63-5E07-4F6A-89FD-7DA78D1F876C}</author>
  </authors>
  <commentList>
    <comment ref="D58" authorId="0" shapeId="0" xr:uid="{E3F930D2-9AFA-4F72-AB49-7B4E848EBCAC}">
      <text>
        <t>[Comentário encadeado]
Sua versão do Excel permite que você leia este comentário encadeado, no entanto, as edições serão removidas se o arquivo for aberto em uma versão mais recente do Excel. Saiba mais: https://go.microsoft.com/fwlink/?linkid=870924
Comentário:
    Conforme item 4.5.1 do TR</t>
      </text>
    </comment>
    <comment ref="D59" authorId="1" shapeId="0" xr:uid="{9DF18E63-5E07-4F6A-89FD-7DA78D1F876C}">
      <text>
        <t>[Comentário encadeado]
Sua versão do Excel permite que você leia este comentário encadeado, no entanto, as edições serão removidas se o arquivo for aberto em uma versão mais recente do Excel. Saiba mais: https://go.microsoft.com/fwlink/?linkid=870924
Comentário:
    Conforme item 4.5.2. do TR</t>
      </text>
    </comment>
  </commentList>
</comments>
</file>

<file path=xl/sharedStrings.xml><?xml version="1.0" encoding="utf-8"?>
<sst xmlns="http://schemas.openxmlformats.org/spreadsheetml/2006/main" count="1678" uniqueCount="810">
  <si>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</si>
  <si>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</si>
  <si>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</si>
  <si>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</si>
  <si>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</si>
  <si>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</si>
  <si>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</si>
  <si>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</si>
  <si>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</si>
  <si>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</si>
  <si>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</si>
  <si>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</si>
  <si>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</si>
  <si>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</si>
  <si>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</si>
  <si>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</si>
  <si>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</si>
  <si>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</si>
  <si>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</si>
  <si>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</si>
  <si>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</si>
  <si>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</si>
  <si>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</si>
  <si>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</si>
  <si>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</si>
  <si>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</si>
  <si>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</si>
  <si>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</si>
  <si>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</si>
  <si>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</si>
  <si>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</si>
  <si>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</si>
  <si>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</si>
  <si>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</si>
  <si>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</si>
  <si>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</si>
  <si>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</si>
  <si>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</si>
  <si>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</si>
  <si>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</si>
  <si>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</si>
  <si>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</si>
  <si>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</si>
  <si>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</si>
  <si>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</si>
  <si>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</si>
  <si>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</si>
  <si>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</si>
  <si>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</si>
  <si>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</si>
  <si>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</si>
  <si>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</si>
  <si>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</si>
  <si>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</si>
  <si>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</si>
  <si>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</si>
  <si>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</si>
  <si>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</si>
  <si>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</si>
  <si>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</si>
  <si>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</si>
  <si>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</si>
  <si>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</si>
  <si>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</si>
  <si>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</si>
  <si>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</si>
  <si>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</si>
  <si>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</si>
  <si>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</si>
  <si>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</si>
  <si>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</si>
  <si>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</si>
  <si>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</si>
  <si>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</si>
  <si>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</si>
  <si>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</si>
  <si>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</si>
  <si>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</si>
  <si>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</si>
  <si>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</si>
  <si>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</si>
  <si>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</si>
  <si>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</si>
  <si>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</si>
  <si>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</si>
  <si>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</si>
  <si>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</si>
  <si>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</si>
  <si>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</si>
  <si>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</si>
  <si>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</si>
  <si>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</si>
  <si>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</si>
  <si>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</si>
  <si>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</si>
  <si>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</si>
  <si>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</si>
  <si>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</si>
  <si>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</si>
  <si>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</si>
  <si>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</si>
  <si>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</si>
  <si>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</si>
  <si>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</si>
  <si>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</si>
  <si>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</si>
  <si>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</si>
  <si>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</si>
  <si>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</si>
  <si>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</si>
  <si>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</si>
  <si>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</si>
  <si>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</si>
  <si>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</si>
  <si>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</si>
  <si>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</si>
  <si>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</si>
  <si>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</si>
  <si>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</si>
  <si>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</si>
  <si>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</si>
  <si>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</si>
  <si>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</si>
  <si>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</si>
  <si>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</si>
  <si>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</si>
  <si>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</si>
  <si>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</si>
  <si>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</si>
  <si>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</si>
  <si>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</si>
  <si>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</si>
  <si>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</si>
  <si>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</si>
  <si>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</si>
  <si>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</si>
  <si>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</si>
  <si>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</si>
  <si>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</si>
  <si>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</si>
  <si>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</si>
  <si>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</si>
  <si>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</si>
  <si>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</si>
  <si>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</si>
  <si>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</si>
  <si>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</si>
  <si>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</si>
  <si>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</si>
  <si>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</si>
  <si>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</si>
  <si>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</si>
  <si>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</si>
  <si>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</si>
  <si>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</si>
  <si>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</si>
  <si>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</si>
  <si>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</si>
  <si>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</si>
  <si>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</si>
  <si>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</si>
  <si>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</si>
  <si>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</si>
  <si>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</si>
  <si>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</si>
  <si>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</si>
  <si>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</si>
  <si>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</si>
  <si>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</si>
  <si>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</si>
  <si>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</si>
  <si>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</si>
  <si>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</si>
  <si>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</si>
  <si>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</si>
  <si>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</si>
  <si>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</si>
  <si>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</si>
  <si>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</si>
  <si>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</si>
  <si>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</si>
  <si>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</si>
  <si>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</si>
  <si>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</si>
  <si>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</si>
  <si>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</si>
  <si>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</si>
  <si>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</si>
  <si>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</si>
  <si>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</si>
  <si>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</si>
  <si>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</si>
  <si>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</si>
  <si>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</si>
  <si>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</si>
  <si>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</si>
  <si>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</si>
  <si>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</si>
  <si>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</si>
  <si>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</si>
  <si>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</si>
  <si>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</si>
  <si>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</si>
  <si>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</si>
  <si>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</si>
  <si>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</si>
  <si>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</si>
  <si>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</si>
  <si>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</si>
  <si>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</si>
  <si>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</si>
  <si>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</si>
  <si>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</si>
  <si>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</si>
  <si>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</si>
  <si>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</si>
  <si>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</si>
  <si>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</si>
  <si>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</si>
  <si>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</si>
  <si>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</si>
  <si>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</si>
  <si>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</si>
  <si>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</si>
  <si>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</si>
  <si>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</si>
  <si>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</si>
  <si>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</si>
  <si>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</si>
  <si>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</si>
  <si>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</si>
  <si>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</si>
  <si>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</si>
  <si>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</si>
  <si>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</si>
  <si>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</si>
  <si>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</si>
  <si>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</si>
  <si>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</si>
  <si>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</si>
  <si>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</si>
  <si>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</si>
  <si>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</si>
  <si>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</si>
  <si>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</si>
  <si>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</si>
  <si>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</si>
  <si>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</si>
  <si>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</si>
  <si>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</si>
  <si>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</si>
  <si>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</si>
  <si>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</si>
  <si>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</si>
  <si>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</si>
  <si>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</si>
  <si>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</si>
  <si>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</si>
  <si>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</si>
  <si>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</si>
  <si>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</si>
  <si>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</si>
  <si>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</si>
  <si>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</si>
  <si>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</si>
  <si>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</si>
  <si>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</si>
  <si>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</si>
  <si>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</si>
  <si>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</si>
  <si>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</si>
  <si>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</si>
  <si>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</si>
  <si>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</si>
  <si>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</si>
  <si>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</si>
  <si>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</si>
  <si>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</si>
  <si>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</si>
  <si>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</si>
  <si>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</si>
  <si>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</si>
  <si>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</si>
  <si>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</si>
  <si>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</si>
  <si>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</si>
  <si>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</si>
  <si>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</si>
  <si>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</si>
  <si>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</si>
  <si>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</si>
  <si>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</si>
  <si>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</si>
  <si>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</si>
  <si>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</si>
  <si>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</si>
  <si>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</si>
  <si>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</si>
  <si>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</si>
  <si>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</si>
  <si>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</si>
  <si>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</si>
  <si>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</si>
  <si>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</si>
  <si>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</si>
  <si>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</si>
  <si>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</si>
  <si>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</si>
  <si>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</si>
  <si>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</si>
  <si>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</si>
  <si>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</si>
  <si>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</si>
  <si>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</si>
  <si>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</si>
  <si>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</si>
  <si>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</si>
  <si>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</si>
  <si>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</si>
  <si>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</si>
  <si>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</si>
  <si>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</si>
  <si>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</si>
  <si>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</si>
  <si>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</si>
  <si>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</si>
  <si>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</si>
  <si>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</si>
  <si>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</si>
  <si>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</si>
  <si>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</si>
  <si>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</si>
  <si>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</si>
  <si>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</si>
  <si>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</si>
  <si>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</si>
  <si>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</si>
  <si>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</si>
  <si>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</si>
  <si>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</si>
  <si>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</si>
  <si>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</si>
  <si>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</si>
  <si>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</si>
  <si>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</si>
  <si>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</si>
  <si>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</si>
  <si>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</si>
  <si>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</si>
  <si>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</si>
  <si>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</si>
  <si>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</si>
  <si>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</si>
  <si>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</si>
  <si>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</si>
  <si>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</si>
  <si>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</si>
  <si>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</si>
  <si>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</si>
  <si>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</si>
  <si>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</si>
  <si>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</si>
  <si>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</si>
  <si>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</si>
  <si>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</si>
  <si>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</si>
  <si>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</si>
  <si>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</si>
  <si>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</si>
  <si>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</si>
  <si>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</si>
  <si>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</si>
  <si>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</si>
  <si>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</si>
  <si>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</si>
  <si>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</si>
  <si>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</si>
  <si>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</si>
  <si>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</si>
  <si>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</si>
  <si>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</si>
  <si>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</si>
  <si>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</si>
  <si>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</si>
  <si>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</si>
  <si>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</si>
  <si>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</si>
  <si>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</si>
  <si>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</si>
  <si>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</si>
  <si>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</si>
  <si>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</si>
  <si>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</si>
  <si>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</si>
  <si>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</si>
  <si>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</si>
  <si>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</si>
  <si>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</si>
  <si>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</si>
  <si>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</si>
  <si>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</si>
  <si>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</si>
  <si>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</si>
  <si>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</si>
  <si>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</si>
  <si>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</si>
  <si>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</si>
  <si>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</si>
  <si>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</si>
  <si>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</si>
  <si>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</si>
  <si>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</si>
  <si>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</si>
  <si>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</si>
  <si>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</si>
  <si>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</si>
  <si>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</si>
  <si>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</si>
  <si>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</si>
  <si>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</si>
  <si>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</si>
  <si>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</si>
  <si>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</si>
  <si>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</si>
  <si>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</si>
  <si>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</si>
  <si>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</si>
  <si>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</si>
  <si>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</si>
  <si>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</si>
  <si>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</si>
  <si>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</si>
  <si>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</si>
  <si>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</si>
  <si>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</si>
  <si>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</si>
  <si>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</si>
  <si>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</si>
  <si>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</si>
  <si>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</si>
  <si>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</si>
  <si>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</si>
  <si>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</si>
  <si>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</si>
  <si>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</si>
  <si>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</si>
  <si>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</si>
  <si>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</si>
  <si>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</si>
  <si>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</si>
  <si>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</si>
  <si>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</si>
  <si>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</si>
  <si>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</si>
  <si>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</si>
  <si>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</si>
  <si>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</si>
  <si>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</si>
  <si>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</si>
  <si>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</si>
  <si>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</si>
  <si>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</si>
  <si>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</si>
  <si>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</si>
  <si>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</si>
  <si>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</si>
  <si>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</si>
  <si>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</si>
  <si>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</si>
  <si>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</si>
  <si>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</si>
  <si>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</si>
  <si>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</si>
  <si>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</si>
  <si>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</si>
  <si>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</si>
  <si>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</si>
  <si>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</si>
  <si>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</si>
  <si>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</si>
  <si>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</si>
  <si>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</si>
  <si>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</si>
  <si>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</si>
  <si>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</si>
  <si>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</si>
  <si>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</si>
  <si>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</si>
  <si>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</si>
  <si>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</si>
  <si>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</si>
  <si>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</si>
  <si>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</si>
  <si>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</si>
  <si>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</si>
  <si>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</si>
  <si>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</si>
  <si>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</si>
  <si>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</si>
  <si>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</si>
  <si>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</si>
  <si>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</si>
  <si>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</si>
  <si>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</si>
  <si>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</si>
  <si>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</si>
  <si>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</si>
  <si>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</si>
  <si>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</si>
  <si>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</si>
  <si>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</si>
  <si>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</si>
  <si>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</si>
  <si>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</si>
  <si>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</si>
  <si>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</si>
  <si>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</si>
  <si>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</si>
  <si>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</si>
  <si>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</si>
  <si>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</si>
  <si>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</si>
  <si>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</si>
  <si>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</si>
  <si>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</si>
  <si>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</si>
  <si>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</si>
  <si>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</si>
  <si>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</si>
  <si>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</si>
  <si>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</si>
  <si>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</si>
  <si>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</si>
  <si>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</si>
  <si>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</si>
  <si>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</si>
  <si>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</si>
  <si>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</si>
  <si>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</si>
  <si>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</si>
  <si>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</si>
  <si>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</si>
  <si>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</si>
  <si>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</si>
  <si>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</si>
  <si>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</si>
  <si>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</si>
  <si>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</si>
  <si>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</si>
  <si>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</si>
  <si>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</si>
  <si>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</si>
  <si>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</si>
  <si>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</si>
  <si>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</si>
  <si>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</si>
  <si>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</si>
  <si>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</si>
  <si>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</si>
  <si>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</si>
  <si>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</si>
  <si>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</si>
  <si>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</si>
  <si>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</si>
  <si>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</si>
  <si>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</si>
  <si>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</si>
  <si>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</si>
  <si>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</si>
  <si>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</si>
  <si>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</si>
  <si>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</si>
  <si>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</si>
  <si>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</si>
  <si>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</si>
  <si>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</si>
  <si>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</si>
  <si>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</si>
  <si>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</si>
  <si>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</si>
  <si>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</si>
  <si>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</si>
  <si>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</si>
  <si>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</si>
  <si>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</si>
  <si>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</si>
  <si>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</si>
  <si>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</si>
  <si>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</si>
  <si>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</si>
  <si>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</si>
  <si>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</si>
  <si>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</si>
  <si>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</si>
  <si>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</si>
  <si>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</si>
  <si>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</si>
  <si>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</si>
  <si>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</si>
  <si>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</si>
  <si>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</si>
  <si>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</si>
  <si>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</si>
  <si>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</si>
  <si>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</si>
  <si>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</si>
  <si>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</si>
  <si>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</si>
  <si>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</si>
  <si>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</si>
  <si>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</si>
  <si>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</si>
  <si>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</si>
  <si>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</si>
  <si>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</si>
  <si>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</si>
  <si>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</si>
  <si>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</si>
  <si>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</si>
  <si>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</si>
  <si>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</si>
  <si>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</si>
  <si>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</si>
  <si>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</si>
  <si>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</si>
  <si>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</si>
  <si>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</si>
  <si>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</si>
  <si>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</si>
  <si>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</si>
  <si>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</si>
  <si>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</si>
  <si>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</si>
  <si>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</si>
  <si>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</si>
  <si>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</si>
  <si>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</si>
  <si>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</si>
  <si>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</si>
  <si>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</si>
  <si>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</si>
  <si>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</si>
  <si>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</si>
  <si>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</si>
  <si>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</si>
  <si>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</si>
  <si>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</si>
  <si>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</si>
  <si>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</si>
  <si>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</si>
  <si>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</si>
  <si>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</si>
  <si>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</si>
  <si>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</si>
  <si>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</si>
  <si>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</si>
  <si>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</si>
  <si>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</si>
  <si>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</si>
  <si>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</si>
  <si>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</si>
  <si>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</si>
  <si>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</si>
  <si>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</si>
  <si>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</si>
  <si>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</si>
  <si>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</si>
  <si>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</si>
  <si>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</si>
  <si>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</si>
  <si>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</si>
  <si>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</si>
  <si>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</si>
  <si>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</si>
  <si>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</si>
  <si>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</si>
  <si>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</si>
  <si>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</si>
  <si>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</si>
  <si>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</si>
  <si>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</si>
  <si>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</si>
  <si>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</si>
  <si>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</si>
  <si>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</si>
  <si>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</si>
  <si>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</si>
  <si>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</si>
  <si>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</si>
  <si>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</si>
  <si>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</si>
  <si>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</si>
  <si>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</si>
  <si>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</si>
  <si>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</si>
  <si>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</si>
  <si>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</si>
  <si>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</si>
  <si>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</si>
  <si>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</si>
  <si>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</si>
  <si>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</si>
  <si>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</si>
  <si>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</si>
  <si>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</si>
  <si>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</si>
  <si>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</si>
  <si>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</si>
  <si>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</si>
  <si>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</si>
  <si>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TOUCA EM TELA DE FILÓ</t>
  </si>
  <si>
    <t>mês</t>
  </si>
  <si>
    <t>LIVRO DE OCORRÊNCIAS</t>
  </si>
  <si>
    <t>MUNIÇÃO CALIBRE .38</t>
  </si>
  <si>
    <t>COLDRE</t>
  </si>
  <si>
    <t>JET LOADER</t>
  </si>
  <si>
    <t>Data base para atualização: 05/12/2025</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</si>
  <si>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</si>
  <si>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</si>
  <si>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</si>
  <si>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</si>
  <si>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</si>
  <si>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</si>
  <si>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</si>
  <si>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</si>
  <si>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</si>
  <si>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</si>
  <si>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</si>
  <si>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</si>
  <si>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</si>
  <si>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</si>
  <si>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</si>
  <si>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</si>
  <si>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</si>
  <si>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</si>
  <si>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</si>
  <si>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</si>
  <si>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</si>
  <si>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Contratação de empresa para execução serviço de Eletricistas e Eletrotécnicos</t>
  </si>
  <si>
    <t>Viviane M. Demoly</t>
  </si>
  <si>
    <t>Eletricista Industrial</t>
  </si>
  <si>
    <t>Responsável Técnico Segurança do Trabalho</t>
  </si>
  <si>
    <t>Diurno</t>
  </si>
  <si>
    <t>9511-05</t>
  </si>
  <si>
    <t>Sindieletro</t>
  </si>
  <si>
    <t>Noturno</t>
  </si>
  <si>
    <t>Conforme TR</t>
  </si>
  <si>
    <t>2143-05</t>
  </si>
  <si>
    <t>2. DEMONSTRATIVO DE CUSTOS COM MÃO DE OBRA SEM DEDICAÇÃO EXCLUSIVA</t>
  </si>
  <si>
    <t>Profissional de Responsabilidade Técnica</t>
  </si>
  <si>
    <t>Local</t>
  </si>
  <si>
    <t>Engenheiro Eletricista</t>
  </si>
  <si>
    <t>SMS</t>
  </si>
  <si>
    <t>Responsável de Segurança no Trabalho</t>
  </si>
  <si>
    <t>1. DEMONSTRATIVO DE CUSTOS COM MÃO DE OBRA POR POSTO</t>
  </si>
  <si>
    <t>Capacete de segurança com isolamento para eletricidade com jugular classe B</t>
  </si>
  <si>
    <t>Luva isolante clase 00</t>
  </si>
  <si>
    <t>Luva isolante classe II</t>
  </si>
  <si>
    <t>Protetor Auricular</t>
  </si>
  <si>
    <t>Vestimenta para eletricista clase de risco II</t>
  </si>
  <si>
    <t>Alicate de bico reto 8</t>
  </si>
  <si>
    <t>Alicate de Corte</t>
  </si>
  <si>
    <t>Amperímetro–Alicate digital-industrial categoria segurança CAT 3-600V-1000 corrente AC e DC 1000 Amperes</t>
  </si>
  <si>
    <t>Alicate Universal nº 08 Isolado</t>
  </si>
  <si>
    <t>Caixa metálica para ferramentas, sanfonada, com cadeado</t>
  </si>
  <si>
    <t>Cartucheira</t>
  </si>
  <si>
    <t>Chave Inglesa 10’</t>
  </si>
  <si>
    <t>Chave Teste</t>
  </si>
  <si>
    <t>Conjunto de chaves de fenda 6 peças</t>
  </si>
  <si>
    <t>Conjunto de chaves de fenda Phillips 5 peças</t>
  </si>
  <si>
    <t>Detector de Tensão CAT IV 1000V</t>
  </si>
  <si>
    <t>Estilete ou Canivete</t>
  </si>
  <si>
    <t>Jogo de chave combinada 6 X 24mm</t>
  </si>
  <si>
    <t>Lanterna recarregável</t>
  </si>
  <si>
    <t>Trena 5 m</t>
  </si>
  <si>
    <t>Alicate descascador de fio auto ajustável de 8"</t>
  </si>
  <si>
    <t>Alicate catraca crimpar terminal pré-isolado de 0,25 a 6mm²- Marca Ghétrica ou similar.</t>
  </si>
  <si>
    <t>Cortador de tubo de 3 a 32 mm-para serviços pesado</t>
  </si>
  <si>
    <t>Jogo de chave Allen Hexagonal- aço cromado.</t>
  </si>
  <si>
    <t>Jogo de chave torque tipo L  longa de aço vanádio.</t>
  </si>
  <si>
    <t>Serra para PVC e Metal</t>
  </si>
  <si>
    <t>Alicate prensa terminal</t>
  </si>
  <si>
    <t>conjunto</t>
  </si>
  <si>
    <t>jogo</t>
  </si>
  <si>
    <t>Jaqueta eletricista inverno - classe II</t>
  </si>
  <si>
    <t>Conjunto de chave catraca 6 a 28 mm.</t>
  </si>
  <si>
    <t>Escada de abrir em fibra de vidro - 6 degraus.</t>
  </si>
  <si>
    <t>Relógio Ponto.</t>
  </si>
  <si>
    <t>CALÇADO DE SEGURANÇA com isolamento</t>
  </si>
  <si>
    <t>Tapete Isolante</t>
  </si>
  <si>
    <t>Furadeira de Impacto</t>
  </si>
  <si>
    <t>Furadeira parafusadeira</t>
  </si>
  <si>
    <t>Jogo de serras copo</t>
  </si>
  <si>
    <t>Alicate catraca</t>
  </si>
  <si>
    <t>Identificador/Detector de circuitos elétrico</t>
  </si>
  <si>
    <t>Cinturão de segurança para trabalho em altura</t>
  </si>
  <si>
    <t>Capuz Eletricista risco IV</t>
  </si>
  <si>
    <t>Vestimenta de eletricista conta arco risco IV</t>
  </si>
  <si>
    <t>Par</t>
  </si>
  <si>
    <t>Luvas de Pelica para proteção das luvas</t>
  </si>
  <si>
    <t>Bota Impermeável em PVC</t>
  </si>
  <si>
    <t>Senge - CREA</t>
  </si>
  <si>
    <t>ACT SENGE-CREA</t>
  </si>
  <si>
    <t>Mês</t>
  </si>
  <si>
    <t>BOTA TIPO COTURNO</t>
  </si>
  <si>
    <t>SEGURO DE VIDA</t>
  </si>
  <si>
    <t>Preços oriundos da planilha 40466139 - Processo 24.0.000078625-6</t>
  </si>
  <si>
    <t>Data base para atualização: 08/07/2026</t>
  </si>
  <si>
    <t>26.0.000158828-0</t>
  </si>
  <si>
    <t>RS003326/2026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</si>
</sst>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7">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 numFmtId="208" formatCode="0\ &quot;horas/mês&quot;"/>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0"/>
      <color rgb="FF000000"/>
      <name val="Arial"/>
      <family val="2"/>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908">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208" fontId="0" fillId="0" borderId="0" xfId="0" applyNumberFormat="1" applyAlignment="1" applyProtection="1">
      <alignment horizontal="center" vertical="center"/>
      <protection locked="0"/>
    </xf>
    <xf numFmtId="0" fontId="0" fillId="0" borderId="0" xfId="0" applyAlignment="1" applyProtection="1">
      <alignment horizontal="center" vertical="center" wrapText="1"/>
      <protection locked="0"/>
    </xf>
    <xf numFmtId="44" fontId="0" fillId="0" borderId="0" xfId="0" applyNumberFormat="1" applyAlignment="1" applyProtection="1">
      <alignment horizontal="center" vertical="center" wrapText="1"/>
      <protection locked="0"/>
    </xf>
    <xf numFmtId="44" fontId="0" fillId="0" borderId="1" xfId="0" applyNumberFormat="1" applyBorder="1" applyAlignment="1" applyProtection="1">
      <alignment horizontal="center" vertical="center" wrapText="1"/>
      <protection locked="0"/>
    </xf>
    <xf numFmtId="208" fontId="1" fillId="0" borderId="0" xfId="2" applyNumberFormat="1" applyFont="1" applyBorder="1" applyAlignment="1" applyProtection="1">
      <alignment horizontal="center" vertical="center" wrapText="1"/>
      <protection locked="0"/>
    </xf>
    <xf numFmtId="1" fontId="1" fillId="0" borderId="0" xfId="2" applyNumberFormat="1" applyFont="1" applyBorder="1" applyAlignment="1" applyProtection="1">
      <alignment horizontal="center" vertical="center" wrapText="1"/>
      <protection locked="0"/>
    </xf>
    <xf numFmtId="44" fontId="1" fillId="0" borderId="0" xfId="2" applyFont="1" applyBorder="1" applyAlignment="1" applyProtection="1">
      <alignment horizontal="center" vertical="center" wrapText="1"/>
      <protection locked="0"/>
    </xf>
    <xf numFmtId="0" fontId="46" fillId="0" borderId="48" xfId="0" applyFont="1" applyBorder="1"/>
    <xf numFmtId="0" fontId="46" fillId="0" borderId="38" xfId="0" applyFont="1" applyBorder="1"/>
    <xf numFmtId="0" fontId="46" fillId="0" borderId="38" xfId="0" applyFont="1" applyBorder="1" applyProtection="1">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xf numFmtId="10" fontId="1" fillId="0" borderId="50" xfId="4" applyNumberFormat="1" applyFill="1" applyBorder="1" applyAlignment="1" applyProtection="1">
      <alignment horizontal="center" vertical="center"/>
      <protection locked="0"/>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00000000-0005-0000-0000-000036000000}"/>
    <cellStyle name="Moeda 11" xfId="49" xr:uid="{00000000-0005-0000-0000-000037000000}"/>
    <cellStyle name="Moeda 11 2" xfId="184" xr:uid="{00000000-0005-0000-0000-000038000000}"/>
    <cellStyle name="Moeda 12" xfId="166" xr:uid="{00000000-0005-0000-0000-000039000000}"/>
    <cellStyle name="Moeda 13" xfId="175" xr:uid="{00000000-0005-0000-0000-00003A000000}"/>
    <cellStyle name="Moeda 2" xfId="8" xr:uid="{00000000-0005-0000-0000-00003B000000}"/>
    <cellStyle name="Moeda 2 2" xfId="58" xr:uid="{00000000-0005-0000-0000-00003C000000}"/>
    <cellStyle name="Moeda 2 3" xfId="90" xr:uid="{00000000-0005-0000-0000-00003D000000}"/>
    <cellStyle name="Moeda 2 4" xfId="53" xr:uid="{00000000-0005-0000-0000-00003E000000}"/>
    <cellStyle name="Moeda 2 5" xfId="50" xr:uid="{00000000-0005-0000-0000-00003F000000}"/>
    <cellStyle name="Moeda 2 6" xfId="162" xr:uid="{00000000-0005-0000-0000-000040000000}"/>
    <cellStyle name="Moeda 2 6 2" xfId="222" xr:uid="{00000000-0005-0000-0000-000041000000}"/>
    <cellStyle name="Moeda 2 7" xfId="158" xr:uid="{00000000-0005-0000-0000-000042000000}"/>
    <cellStyle name="Moeda 2 7 2" xfId="219" xr:uid="{00000000-0005-0000-0000-000043000000}"/>
    <cellStyle name="Moeda 2 8" xfId="177" xr:uid="{00000000-0005-0000-0000-000044000000}"/>
    <cellStyle name="Moeda 3" xfId="25" xr:uid="{00000000-0005-0000-0000-000045000000}"/>
    <cellStyle name="Moeda 3 2" xfId="46" xr:uid="{00000000-0005-0000-0000-000046000000}"/>
    <cellStyle name="Moeda 3 2 2" xfId="101" xr:uid="{00000000-0005-0000-0000-000047000000}"/>
    <cellStyle name="Moeda 3 2 2 2" xfId="204" xr:uid="{00000000-0005-0000-0000-000048000000}"/>
    <cellStyle name="Moeda 3 2 3" xfId="57" xr:uid="{00000000-0005-0000-0000-000049000000}"/>
    <cellStyle name="Moeda 3 2 3 2" xfId="186" xr:uid="{00000000-0005-0000-0000-00004A000000}"/>
    <cellStyle name="Moeda 3 3" xfId="92" xr:uid="{00000000-0005-0000-0000-00004B000000}"/>
    <cellStyle name="Moeda 3 4" xfId="103" xr:uid="{00000000-0005-0000-0000-00004C000000}"/>
    <cellStyle name="Moeda 3 4 2" xfId="205" xr:uid="{00000000-0005-0000-0000-00004D000000}"/>
    <cellStyle name="Moeda 3 5" xfId="64" xr:uid="{00000000-0005-0000-0000-00004E000000}"/>
    <cellStyle name="Moeda 3 5 2" xfId="188" xr:uid="{00000000-0005-0000-0000-00004F000000}"/>
    <cellStyle name="Moeda 3 6" xfId="180" xr:uid="{00000000-0005-0000-0000-000050000000}"/>
    <cellStyle name="Moeda 4" xfId="17" xr:uid="{00000000-0005-0000-0000-000051000000}"/>
    <cellStyle name="Moeda 4 2" xfId="88" xr:uid="{00000000-0005-0000-0000-000052000000}"/>
    <cellStyle name="Moeda 4 3" xfId="65" xr:uid="{00000000-0005-0000-0000-000053000000}"/>
    <cellStyle name="Moeda 5" xfId="32" xr:uid="{00000000-0005-0000-0000-000054000000}"/>
    <cellStyle name="Moeda 5 2" xfId="66" xr:uid="{00000000-0005-0000-0000-000055000000}"/>
    <cellStyle name="Moeda 6" xfId="67" xr:uid="{00000000-0005-0000-0000-000056000000}"/>
    <cellStyle name="Moeda 7" xfId="52" xr:uid="{00000000-0005-0000-0000-000057000000}"/>
    <cellStyle name="Moeda 8" xfId="91" xr:uid="{00000000-0005-0000-0000-000058000000}"/>
    <cellStyle name="Moeda 8 2" xfId="114" xr:uid="{00000000-0005-0000-0000-000059000000}"/>
    <cellStyle name="Moeda 8 2 2" xfId="215" xr:uid="{00000000-0005-0000-0000-00005A000000}"/>
    <cellStyle name="Moeda 8 3" xfId="198" xr:uid="{00000000-0005-0000-0000-00005B000000}"/>
    <cellStyle name="Moeda 9" xfId="98" xr:uid="{00000000-0005-0000-0000-00005C000000}"/>
    <cellStyle name="Moeda 9 2" xfId="202" xr:uid="{00000000-0005-0000-0000-00005D000000}"/>
    <cellStyle name="Neutra 2" xfId="148" xr:uid="{00000000-0005-0000-0000-00005E000000}"/>
    <cellStyle name="Normal" xfId="0" builtinId="0"/>
    <cellStyle name="Normal 10" xfId="93" xr:uid="{00000000-0005-0000-0000-000060000000}"/>
    <cellStyle name="Normal 2" xfId="6" xr:uid="{00000000-0005-0000-0000-000061000000}"/>
    <cellStyle name="Normal 2 2" xfId="11" xr:uid="{00000000-0005-0000-0000-000062000000}"/>
    <cellStyle name="Normal 2 2 2" xfId="29" xr:uid="{00000000-0005-0000-0000-000063000000}"/>
    <cellStyle name="Normal 2 2 3" xfId="169" xr:uid="{00000000-0005-0000-0000-000064000000}"/>
    <cellStyle name="Normal 2 3" xfId="35" xr:uid="{00000000-0005-0000-0000-000065000000}"/>
    <cellStyle name="Normal 2 3 2" xfId="117" xr:uid="{00000000-0005-0000-0000-000066000000}"/>
    <cellStyle name="Normal 2 4" xfId="167" xr:uid="{00000000-0005-0000-0000-000067000000}"/>
    <cellStyle name="Normal 3" xfId="22" xr:uid="{00000000-0005-0000-0000-000068000000}"/>
    <cellStyle name="Normal 3 2" xfId="45" xr:uid="{00000000-0005-0000-0000-000069000000}"/>
    <cellStyle name="Normal 3 2 2" xfId="63" xr:uid="{00000000-0005-0000-0000-00006A000000}"/>
    <cellStyle name="Normal 3 3" xfId="68" xr:uid="{00000000-0005-0000-0000-00006B000000}"/>
    <cellStyle name="Normal 4" xfId="30" xr:uid="{00000000-0005-0000-0000-00006C000000}"/>
    <cellStyle name="Normal 4 2" xfId="69" xr:uid="{00000000-0005-0000-0000-00006D000000}"/>
    <cellStyle name="Normal 5" xfId="12" xr:uid="{00000000-0005-0000-0000-00006E000000}"/>
    <cellStyle name="Normal 5 2" xfId="42" xr:uid="{00000000-0005-0000-0000-00006F000000}"/>
    <cellStyle name="Normal 5 3" xfId="34" xr:uid="{00000000-0005-0000-0000-000070000000}"/>
    <cellStyle name="Normal 5 4" xfId="70" xr:uid="{00000000-0005-0000-0000-000071000000}"/>
    <cellStyle name="Normal 6" xfId="71" xr:uid="{00000000-0005-0000-0000-000072000000}"/>
    <cellStyle name="Normal 7" xfId="72" xr:uid="{00000000-0005-0000-0000-000073000000}"/>
    <cellStyle name="Normal 8" xfId="60" xr:uid="{00000000-0005-0000-0000-000074000000}"/>
    <cellStyle name="Normal 9" xfId="51" xr:uid="{00000000-0005-0000-0000-000075000000}"/>
    <cellStyle name="Normal 9 2" xfId="99" xr:uid="{00000000-0005-0000-0000-000076000000}"/>
    <cellStyle name="Nota 2" xfId="149" xr:uid="{00000000-0005-0000-0000-000077000000}"/>
    <cellStyle name="Porcentagem" xfId="3" builtinId="5"/>
    <cellStyle name="Porcentagem 2" xfId="9" xr:uid="{00000000-0005-0000-0000-000079000000}"/>
    <cellStyle name="Porcentagem 2 2" xfId="27" xr:uid="{00000000-0005-0000-0000-00007A000000}"/>
    <cellStyle name="Porcentagem 2 3" xfId="59" xr:uid="{00000000-0005-0000-0000-00007B000000}"/>
    <cellStyle name="Porcentagem 2 4" xfId="54" xr:uid="{00000000-0005-0000-0000-00007C000000}"/>
    <cellStyle name="Porcentagem 2 5" xfId="95" xr:uid="{00000000-0005-0000-0000-00007D000000}"/>
    <cellStyle name="Porcentagem 3" xfId="26" xr:uid="{00000000-0005-0000-0000-00007E000000}"/>
    <cellStyle name="Porcentagem 3 2" xfId="61" xr:uid="{00000000-0005-0000-0000-00007F000000}"/>
    <cellStyle name="Porcentagem 3 3" xfId="73" xr:uid="{00000000-0005-0000-0000-000080000000}"/>
    <cellStyle name="Porcentagem 4" xfId="16" xr:uid="{00000000-0005-0000-0000-000081000000}"/>
    <cellStyle name="Porcentagem 4 2" xfId="87" xr:uid="{00000000-0005-0000-0000-000082000000}"/>
    <cellStyle name="Porcentagem 4 3" xfId="74" xr:uid="{00000000-0005-0000-0000-000083000000}"/>
    <cellStyle name="Porcentagem 5" xfId="33" xr:uid="{00000000-0005-0000-0000-000084000000}"/>
    <cellStyle name="Porcentagem 5 2" xfId="56" xr:uid="{00000000-0005-0000-0000-000085000000}"/>
    <cellStyle name="Result" xfId="43" xr:uid="{00000000-0005-0000-0000-000086000000}"/>
    <cellStyle name="Result2" xfId="44" xr:uid="{00000000-0005-0000-0000-000087000000}"/>
    <cellStyle name="Saída 2" xfId="150" xr:uid="{00000000-0005-0000-0000-000088000000}"/>
    <cellStyle name="Separador de milhares 2" xfId="75" xr:uid="{00000000-0005-0000-0000-000089000000}"/>
    <cellStyle name="Separador de milhares 2 2" xfId="104" xr:uid="{00000000-0005-0000-0000-00008A000000}"/>
    <cellStyle name="Separador de milhares 2 2 2" xfId="170" xr:uid="{00000000-0005-0000-0000-00008B000000}"/>
    <cellStyle name="Separador de milhares 2 2 2 2" xfId="225" xr:uid="{00000000-0005-0000-0000-00008C000000}"/>
    <cellStyle name="Separador de milhares 2 3" xfId="168" xr:uid="{00000000-0005-0000-0000-00008D000000}"/>
    <cellStyle name="Separador de milhares 2 3 2" xfId="224" xr:uid="{00000000-0005-0000-0000-00008E000000}"/>
    <cellStyle name="Separador de milhares 3" xfId="48" xr:uid="{00000000-0005-0000-0000-00008F000000}"/>
    <cellStyle name="Separador de milhares 3 2" xfId="89" xr:uid="{00000000-0005-0000-0000-000090000000}"/>
    <cellStyle name="Separador de milhares 3 2 2" xfId="113" xr:uid="{00000000-0005-0000-0000-000091000000}"/>
    <cellStyle name="Separador de milhares 3 2 2 2" xfId="214" xr:uid="{00000000-0005-0000-0000-000092000000}"/>
    <cellStyle name="Separador de milhares 3 2 3" xfId="197" xr:uid="{00000000-0005-0000-0000-000093000000}"/>
    <cellStyle name="Separador de milhares 3 3" xfId="76" xr:uid="{00000000-0005-0000-0000-000094000000}"/>
    <cellStyle name="Separador de milhares 3 3 2" xfId="105" xr:uid="{00000000-0005-0000-0000-000095000000}"/>
    <cellStyle name="Separador de milhares 3 3 2 2" xfId="206" xr:uid="{00000000-0005-0000-0000-000096000000}"/>
    <cellStyle name="Separador de milhares 3 3 3" xfId="189" xr:uid="{00000000-0005-0000-0000-000097000000}"/>
    <cellStyle name="Separador de milhares 3 4" xfId="97" xr:uid="{00000000-0005-0000-0000-000098000000}"/>
    <cellStyle name="Separador de milhares 3 4 2" xfId="201" xr:uid="{00000000-0005-0000-0000-000099000000}"/>
    <cellStyle name="Separador de milhares 3 5" xfId="183" xr:uid="{00000000-0005-0000-0000-00009A000000}"/>
    <cellStyle name="Separador de milhares 4" xfId="77" xr:uid="{00000000-0005-0000-0000-00009B000000}"/>
    <cellStyle name="Separador de milhares 4 2" xfId="106" xr:uid="{00000000-0005-0000-0000-00009C000000}"/>
    <cellStyle name="Separador de milhares 4 2 2" xfId="207" xr:uid="{00000000-0005-0000-0000-00009D000000}"/>
    <cellStyle name="Separador de milhares 4 3" xfId="190" xr:uid="{00000000-0005-0000-0000-00009E000000}"/>
    <cellStyle name="Separador de milhares 5" xfId="78" xr:uid="{00000000-0005-0000-0000-00009F000000}"/>
    <cellStyle name="Separador de milhares 5 2" xfId="107" xr:uid="{00000000-0005-0000-0000-0000A0000000}"/>
    <cellStyle name="Separador de milhares 5 2 2" xfId="208" xr:uid="{00000000-0005-0000-0000-0000A1000000}"/>
    <cellStyle name="Separador de milhares 5 3" xfId="191" xr:uid="{00000000-0005-0000-0000-0000A2000000}"/>
    <cellStyle name="Texto de Aviso 2" xfId="151" xr:uid="{00000000-0005-0000-0000-0000A3000000}"/>
    <cellStyle name="Texto Explicativo 2" xfId="152" xr:uid="{00000000-0005-0000-0000-0000A4000000}"/>
    <cellStyle name="Título 1 1" xfId="79" xr:uid="{00000000-0005-0000-0000-0000A5000000}"/>
    <cellStyle name="Título 1 1 1" xfId="80" xr:uid="{00000000-0005-0000-0000-0000A6000000}"/>
    <cellStyle name="Título 2 2" xfId="153" xr:uid="{00000000-0005-0000-0000-0000A7000000}"/>
    <cellStyle name="Título 3 2" xfId="154" xr:uid="{00000000-0005-0000-0000-0000A8000000}"/>
    <cellStyle name="Título 4 2" xfId="155" xr:uid="{00000000-0005-0000-0000-0000A9000000}"/>
    <cellStyle name="Título 5" xfId="81" xr:uid="{00000000-0005-0000-0000-0000AA000000}"/>
    <cellStyle name="Total 2" xfId="156" xr:uid="{00000000-0005-0000-0000-0000AB000000}"/>
    <cellStyle name="Vírgula" xfId="1" builtinId="3"/>
    <cellStyle name="Vírgula 10" xfId="94" xr:uid="{00000000-0005-0000-0000-0000AD000000}"/>
    <cellStyle name="Vírgula 10 2" xfId="199" xr:uid="{00000000-0005-0000-0000-0000AE000000}"/>
    <cellStyle name="Vírgula 11" xfId="174" xr:uid="{00000000-0005-0000-0000-0000AF000000}"/>
    <cellStyle name="Vírgula 2" xfId="7" xr:uid="{00000000-0005-0000-0000-0000B0000000}"/>
    <cellStyle name="Vírgula 2 2" xfId="10" xr:uid="{00000000-0005-0000-0000-0000B1000000}"/>
    <cellStyle name="Vírgula 2 2 2" xfId="102" xr:uid="{00000000-0005-0000-0000-0000B2000000}"/>
    <cellStyle name="Vírgula 2 2 2 2" xfId="116" xr:uid="{00000000-0005-0000-0000-0000B3000000}"/>
    <cellStyle name="Vírgula 2 2 2 2 2" xfId="217" xr:uid="{00000000-0005-0000-0000-0000B4000000}"/>
    <cellStyle name="Vírgula 2 2 3" xfId="62" xr:uid="{00000000-0005-0000-0000-0000B5000000}"/>
    <cellStyle name="Vírgula 2 2 3 2" xfId="187" xr:uid="{00000000-0005-0000-0000-0000B6000000}"/>
    <cellStyle name="Vírgula 2 2 4" xfId="163" xr:uid="{00000000-0005-0000-0000-0000B7000000}"/>
    <cellStyle name="Vírgula 2 2 4 2" xfId="223" xr:uid="{00000000-0005-0000-0000-0000B8000000}"/>
    <cellStyle name="Vírgula 2 2 5" xfId="159" xr:uid="{00000000-0005-0000-0000-0000B9000000}"/>
    <cellStyle name="Vírgula 2 2 5 2" xfId="220" xr:uid="{00000000-0005-0000-0000-0000BA000000}"/>
    <cellStyle name="Vírgula 2 2 6" xfId="178" xr:uid="{00000000-0005-0000-0000-0000BB000000}"/>
    <cellStyle name="Vírgula 2 3" xfId="108" xr:uid="{00000000-0005-0000-0000-0000BC000000}"/>
    <cellStyle name="Vírgula 2 3 2" xfId="209" xr:uid="{00000000-0005-0000-0000-0000BD000000}"/>
    <cellStyle name="Vírgula 2 4" xfId="82" xr:uid="{00000000-0005-0000-0000-0000BE000000}"/>
    <cellStyle name="Vírgula 2 4 2" xfId="192" xr:uid="{00000000-0005-0000-0000-0000BF000000}"/>
    <cellStyle name="Vírgula 2 5" xfId="161" xr:uid="{00000000-0005-0000-0000-0000C0000000}"/>
    <cellStyle name="Vírgula 2 5 2" xfId="221" xr:uid="{00000000-0005-0000-0000-0000C1000000}"/>
    <cellStyle name="Vírgula 2 6" xfId="157" xr:uid="{00000000-0005-0000-0000-0000C2000000}"/>
    <cellStyle name="Vírgula 2 6 2" xfId="218" xr:uid="{00000000-0005-0000-0000-0000C3000000}"/>
    <cellStyle name="Vírgula 2 7" xfId="176" xr:uid="{00000000-0005-0000-0000-0000C4000000}"/>
    <cellStyle name="Vírgula 3" xfId="23" xr:uid="{00000000-0005-0000-0000-0000C5000000}"/>
    <cellStyle name="Vírgula 3 2" xfId="109" xr:uid="{00000000-0005-0000-0000-0000C6000000}"/>
    <cellStyle name="Vírgula 3 2 2" xfId="210" xr:uid="{00000000-0005-0000-0000-0000C7000000}"/>
    <cellStyle name="Vírgula 3 3" xfId="83" xr:uid="{00000000-0005-0000-0000-0000C8000000}"/>
    <cellStyle name="Vírgula 3 3 2" xfId="193" xr:uid="{00000000-0005-0000-0000-0000C9000000}"/>
    <cellStyle name="Vírgula 3 4" xfId="179" xr:uid="{00000000-0005-0000-0000-0000CA000000}"/>
    <cellStyle name="Vírgula 4" xfId="28" xr:uid="{00000000-0005-0000-0000-0000CB000000}"/>
    <cellStyle name="Vírgula 4 2" xfId="110" xr:uid="{00000000-0005-0000-0000-0000CC000000}"/>
    <cellStyle name="Vírgula 4 2 2" xfId="211" xr:uid="{00000000-0005-0000-0000-0000CD000000}"/>
    <cellStyle name="Vírgula 4 3" xfId="84" xr:uid="{00000000-0005-0000-0000-0000CE000000}"/>
    <cellStyle name="Vírgula 4 3 2" xfId="194" xr:uid="{00000000-0005-0000-0000-0000CF000000}"/>
    <cellStyle name="Vírgula 4 4" xfId="181" xr:uid="{00000000-0005-0000-0000-0000D0000000}"/>
    <cellStyle name="Vírgula 5" xfId="31" xr:uid="{00000000-0005-0000-0000-0000D1000000}"/>
    <cellStyle name="Vírgula 5 2" xfId="111" xr:uid="{00000000-0005-0000-0000-0000D2000000}"/>
    <cellStyle name="Vírgula 5 2 2" xfId="212" xr:uid="{00000000-0005-0000-0000-0000D3000000}"/>
    <cellStyle name="Vírgula 5 3" xfId="85" xr:uid="{00000000-0005-0000-0000-0000D4000000}"/>
    <cellStyle name="Vírgula 5 3 2" xfId="195" xr:uid="{00000000-0005-0000-0000-0000D5000000}"/>
    <cellStyle name="Vírgula 6" xfId="86" xr:uid="{00000000-0005-0000-0000-0000D6000000}"/>
    <cellStyle name="Vírgula 6 2" xfId="112" xr:uid="{00000000-0005-0000-0000-0000D7000000}"/>
    <cellStyle name="Vírgula 6 2 2" xfId="213" xr:uid="{00000000-0005-0000-0000-0000D8000000}"/>
    <cellStyle name="Vírgula 6 3" xfId="196" xr:uid="{00000000-0005-0000-0000-0000D9000000}"/>
    <cellStyle name="Vírgula 7" xfId="55" xr:uid="{00000000-0005-0000-0000-0000DA000000}"/>
    <cellStyle name="Vírgula 7 2" xfId="100" xr:uid="{00000000-0005-0000-0000-0000DB000000}"/>
    <cellStyle name="Vírgula 7 2 2" xfId="203" xr:uid="{00000000-0005-0000-0000-0000DC000000}"/>
    <cellStyle name="Vírgula 7 3" xfId="185" xr:uid="{00000000-0005-0000-0000-0000DD000000}"/>
    <cellStyle name="Vírgula 8" xfId="96" xr:uid="{00000000-0005-0000-0000-0000DE000000}"/>
    <cellStyle name="Vírgula 8 2" xfId="200" xr:uid="{00000000-0005-0000-0000-0000DF000000}"/>
    <cellStyle name="Vírgula 9" xfId="47" xr:uid="{00000000-0005-0000-0000-0000E0000000}"/>
    <cellStyle name="Vírgula 9 2" xfId="182" xr:uid="{00000000-0005-0000-0000-0000E1000000}"/>
  </cellStyles>
  <dxfs count="41">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8</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persons/person.xml><?xml version="1.0" encoding="utf-8"?>
<personList xmlns="http://schemas.microsoft.com/office/spreadsheetml/2018/threadedcomments" xmlns:x="http://schemas.openxmlformats.org/spreadsheetml/2006/main">
  <person displayName="Gabriela Lunardi de Almeida" id="{99200C7E-37C9-4F12-9D9B-59B969123FA9}" userId="S-1-5-21-2364268994-1396693534-3612540509-155572"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1:D44" totalsRowShown="0" headerRowDxfId="40" headerRowBorderDxfId="39" tableBorderDxfId="38" totalsRowBorderDxfId="37">
  <autoFilter ref="A1:D44" xr:uid="{00000000-0009-0000-0100-000001000000}"/>
  <tableColumns count="4">
    <tableColumn id="3" xr3:uid="{00000000-0010-0000-0000-000003000000}" name="Especificação do Objeto" dataDxfId="36"/>
    <tableColumn id="4" xr3:uid="{00000000-0010-0000-0000-000004000000}" name="Unidade" dataDxfId="35"/>
    <tableColumn id="6" xr3:uid="{00000000-0010-0000-0000-000006000000}" name="Valor Unit. (R$)" dataDxfId="34"/>
    <tableColumn id="2" xr3:uid="{00000000-0010-0000-0000-000002000000}" name="Taxa de depreciação anual" dataDxfId="33"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2" displayName="Tabela2" ref="A1:D22" totalsRowShown="0" headerRowDxfId="32" headerRowBorderDxfId="31">
  <autoFilter ref="A1:D22" xr:uid="{00000000-0009-0000-0100-000002000000}"/>
  <tableColumns count="4">
    <tableColumn id="1" xr3:uid="{00000000-0010-0000-0100-000001000000}" name="Especificação do Objeto" dataDxfId="30"/>
    <tableColumn id="2" xr3:uid="{00000000-0010-0000-0100-000002000000}" name="Unidade" dataDxfId="29"/>
    <tableColumn id="4" xr3:uid="{00000000-0010-0000-0100-000004000000}" name="Valor Unit. (R$)" dataDxfId="28"/>
    <tableColumn id="5" xr3:uid="{00000000-0010-0000-0100-000005000000}" name="Taxa de depreciação anual" dataDxfId="2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21" dT="2026-08-10T19:37:37.38" personId="{99200C7E-37C9-4F12-9D9B-59B969123FA9}" id="{260A64D7-CF45-41B8-94B7-1674A4F0652F}">
    <text>A elaboração do Termo de Referência para os postos de Eletrotécnico fundamenta-se no salário atual do padrão 07 - Referência A, acrescido de 50% referente à RTI (Regime de Tempo Integral), do Quadro Geral da Prefeitura Municipal de Porto Alegre, disponível no link - https://transparencia.portoalegre.rs.gov.br/pessoal/composicao-remuneracao/tabelas-referencia/quadro-geral</text>
  </threadedComment>
  <threadedComment ref="H21" dT="2026-08-10T19:37:44.64" personId="{99200C7E-37C9-4F12-9D9B-59B969123FA9}" id="{8EF91C9B-34AD-4A1F-8A28-8A5A1A8D297B}">
    <text>A elaboração do Termo de Referência para os postos de Eletrotécnico fundamenta-se no salário atual do padrão 07 - Referência A, acrescido de 50% referente à RTI (Regime de Tempo Integral), do Quadro Geral da Prefeitura Municipal de Porto Alegre, disponível no link - https://transparencia.portoalegre.rs.gov.br/pessoal/composicao-remuneracao/tabelas-referencia/quadro-geral</text>
  </threadedComment>
  <threadedComment ref="I21" dT="2026-08-10T19:38:15.44" personId="{99200C7E-37C9-4F12-9D9B-59B969123FA9}" id="{CB8E98E9-2927-42B6-86CE-99D3943EAB65}">
    <text>CLÁUSULA TERCEIRA - PISO SALARIAL
a) A parr do mês de janeiro de 2024, o piso salarial dos profissionais representados pelo sindicato acordante será
fixado no valor de R$12.708,00 (doze mil, setecentos e oito reais), conforme previsão de salário-mínimo nacional
para 2024, correspondendo ao valor mínimo de 9 (nove) salários-mínimos nacionais para uma jornada de 8 (oito)
horas diárias de serviço, em atendimento à Lei 4950/A/66.
b) A parr do mês de janeiro de 2025, o piso salarial dos profissionais será fixado conforme o salário-mínimo
nacional, correspondendo ao valor de 9(nove) salários-mínimos nacionais na posição inicial da tabela matriz da
respecva categoria profissional (letra A)</text>
  </threadedComment>
  <threadedComment ref="J21" dT="2026-08-10T19:38:21.51" personId="{99200C7E-37C9-4F12-9D9B-59B969123FA9}" id="{EA2939E1-B3DD-4605-B685-11B87F15542C}">
    <text>CLÁUSULA TERCEIRA - PISO SALARIAL
a) A parr do mês de janeiro de 2024, o piso salarial dos profissionais representados pelo sindicato acordante será
fixado no valor de R$12.708,00 (doze mil, setecentos e oito reais), conforme previsão de salário-mínimo nacional
para 2024, correspondendo ao valor mínimo de 9 (nove) salários-mínimos nacionais para uma jornada de 8 (oito)
horas diárias de serviço, em atendimento à Lei 4950/A/66.
b) A parr do mês de janeiro de 2025, o piso salarial dos profissionais será fixado conforme o salário-mínimo
nacional, correspondendo ao valor de 9(nove) salários-mínimos nacionais na posição inicial da tabela matriz da
respecva categoria profissional (letra A)</text>
  </threadedComment>
  <threadedComment ref="E109" dT="2026-08-10T19:42:46.04" personId="{99200C7E-37C9-4F12-9D9B-59B969123FA9}" id="{4FFEF955-0986-4BD8-9A6A-4D92B10E7C6C}">
    <text>CLÁUSULA DÉCIMA QUARTA - PRÊMIO ASSIDUIDADE</text>
  </threadedComment>
  <threadedComment ref="F109" dT="2026-08-10T19:42:51.15" personId="{99200C7E-37C9-4F12-9D9B-59B969123FA9}" id="{3C779A9C-1F36-4165-8511-01D69B64C257}">
    <text>CLÁUSULA DÉCIMA QUARTA - PRÊMIO ASSIDUIDADE</text>
  </threadedComment>
  <threadedComment ref="G109" dT="2026-08-10T19:42:56.81" personId="{99200C7E-37C9-4F12-9D9B-59B969123FA9}" id="{3EDEF3C3-A479-4CC4-8AE2-8E37ED461FD7}">
    <text>CLÁUSULA DÉCIMA QUARTA - PRÊMIO ASSIDUIDADE</text>
  </threadedComment>
  <threadedComment ref="H109" dT="2026-08-10T19:43:01.54" personId="{99200C7E-37C9-4F12-9D9B-59B969123FA9}" id="{F851C025-775B-4FC4-B9C6-A57AD598EE6E}">
    <text>CLÁUSULA DÉCIMA QUARTA - PRÊMIO ASSIDUIDADE</text>
  </threadedComment>
</ThreadedComments>
</file>

<file path=xl/threadedComments/threadedComment2.xml><?xml version="1.0" encoding="utf-8"?>
<ThreadedComments xmlns="http://schemas.microsoft.com/office/spreadsheetml/2018/threadedcomments" xmlns:x="http://schemas.openxmlformats.org/spreadsheetml/2006/main">
  <threadedComment ref="D58" dT="2026-08-10T19:47:30.35" personId="{99200C7E-37C9-4F12-9D9B-59B969123FA9}" id="{E3F930D2-9AFA-4F72-AB49-7B4E848EBCAC}">
    <text>Conforme item 4.5.1 do TR</text>
  </threadedComment>
  <threadedComment ref="D59" dT="2026-08-10T19:48:08.96" personId="{99200C7E-37C9-4F12-9D9B-59B969123FA9}" id="{9DF18E63-5E07-4F6A-89FD-7DA78D1F876C}">
    <text>Conforme item 4.5.2. do TR</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ctrlProp" Target="../ctrlProps/ctrlProp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4.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vmlDrawing" Target="../drawings/vmlDrawing1.vml"/><Relationship Id="rId2" Type="http://schemas.openxmlformats.org/officeDocument/2006/relationships/hyperlink" Target="http://www3.mte.gov.br/sistemas/mediador/ConsultarInstColetivo" TargetMode="External"/><Relationship Id="rId16" Type="http://schemas.openxmlformats.org/officeDocument/2006/relationships/drawing" Target="../drawings/drawing1.xml"/><Relationship Id="rId20" Type="http://schemas.openxmlformats.org/officeDocument/2006/relationships/ctrlProp" Target="../ctrlProps/ctrlProp3.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microsoft.com/office/2017/10/relationships/threadedComment" Target="../threadedComments/threadedComment1.xml"/><Relationship Id="rId5" Type="http://schemas.openxmlformats.org/officeDocument/2006/relationships/hyperlink" Target="http://www3.mte.gov.br/sistemas/mediador/ConsultarInstColetivo" TargetMode="External"/><Relationship Id="rId15" Type="http://schemas.openxmlformats.org/officeDocument/2006/relationships/printerSettings" Target="../printerSettings/printerSettings1.bin"/><Relationship Id="rId23" Type="http://schemas.openxmlformats.org/officeDocument/2006/relationships/comments" Target="../comments1.xml"/><Relationship Id="rId10" Type="http://schemas.openxmlformats.org/officeDocument/2006/relationships/hyperlink" Target="http://www3.mte.gov.br/sistemas/mediador/ConsultarInstColetivo" TargetMode="External"/><Relationship Id="rId19" Type="http://schemas.openxmlformats.org/officeDocument/2006/relationships/ctrlProp" Target="../ctrlProps/ctrlProp2.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6.bin"/><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tabSelected="1" zoomScaleNormal="100" workbookViewId="0">
      <selection activeCell="D9" sqref="D9:E9"/>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6" width="17.140625" style="1" customWidth="1"/>
    <col min="7" max="8" width="17.140625" style="1" hidden="1" customWidth="1"/>
    <col min="9" max="9" width="17.140625" style="1" customWidth="1"/>
    <col min="10" max="10" width="20" style="1" customWidth="1"/>
    <col min="11" max="11" width="8.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5" width="9.140625" style="1" hidden="1" customWidth="1"/>
    <col min="26" max="27" width="9.140625" style="1" customWidth="1"/>
    <col min="28" max="28" width="12.140625" style="1" customWidth="1"/>
    <col min="29" max="29" width="9.140625" style="1" customWidth="1"/>
    <col min="30"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43" t="str">
        <f>CONCATENATE("PREFEITURA MUNICIPAL DE PORTO ALEGRE
",D5,"
FORMAÇÃO DE PREÇOS DE REFERÊNCIA - CESSÃO DE MÃO DE OBRA")</f>
        <v>PREFEITURA MUNICIPAL DE PORTO ALEGRE
SECRETARIA MUNICIPAL DA SAÚDE (SMS)
FORMAÇÃO DE PREÇOS DE REFERÊNCIA - CESSÃO DE MÃO DE OBRA</v>
      </c>
      <c r="B2" s="844"/>
      <c r="C2" s="844"/>
      <c r="D2" s="844"/>
      <c r="E2" s="844"/>
      <c r="F2" s="844"/>
      <c r="G2" s="844"/>
      <c r="H2" s="844"/>
      <c r="I2" s="845"/>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47" t="s">
        <v>607</v>
      </c>
      <c r="E5" s="847"/>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48"/>
      <c r="E6" s="848"/>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48" t="s">
        <v>808</v>
      </c>
      <c r="E7" s="848"/>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47" t="s">
        <v>738</v>
      </c>
      <c r="E8" s="847"/>
      <c r="F8" s="1"/>
      <c r="G8" s="70"/>
      <c r="H8" s="69"/>
      <c r="I8" s="69"/>
      <c r="J8" s="69"/>
      <c r="K8" s="69"/>
      <c r="L8" s="69"/>
      <c r="M8" s="69"/>
      <c r="N8" s="69"/>
      <c r="O8" s="69"/>
      <c r="P8" s="69"/>
      <c r="Q8" s="69"/>
      <c r="R8" s="69"/>
      <c r="S8" s="69"/>
      <c r="T8" s="69"/>
      <c r="U8" s="69"/>
      <c r="V8" s="69"/>
      <c r="W8" s="69"/>
      <c r="X8" s="69"/>
    </row>
    <row r="9" spans="1:24" customFormat="1">
      <c r="B9" s="116" t="s">
        <v>7</v>
      </c>
      <c r="C9" s="117" t="s">
        <v>458</v>
      </c>
      <c r="D9" s="846" t="s">
        <v>739</v>
      </c>
      <c r="E9" s="846"/>
      <c r="F9" s="1"/>
    </row>
    <row r="10" spans="1:24" customFormat="1">
      <c r="A10" s="1"/>
      <c r="B10" s="115" t="s">
        <v>6</v>
      </c>
      <c r="C10" s="9" t="s">
        <v>459</v>
      </c>
      <c r="D10" s="857">
        <v>46316</v>
      </c>
      <c r="E10" s="857"/>
      <c r="F10" s="1"/>
      <c r="G10" s="1"/>
    </row>
    <row r="11" spans="1:24" customFormat="1">
      <c r="A11" s="1"/>
      <c r="B11" s="115" t="s">
        <v>5</v>
      </c>
      <c r="C11" s="117" t="s">
        <v>443</v>
      </c>
      <c r="D11" s="858" t="s">
        <v>803</v>
      </c>
      <c r="E11" s="858"/>
      <c r="F11" s="1"/>
      <c r="G11" s="1"/>
    </row>
    <row r="12" spans="1:24" customFormat="1">
      <c r="B12" s="116" t="s">
        <v>4</v>
      </c>
      <c r="C12" s="117" t="s">
        <v>400</v>
      </c>
      <c r="D12" s="864">
        <v>12</v>
      </c>
      <c r="E12" s="864"/>
      <c r="F12" s="1"/>
      <c r="G12" s="1"/>
    </row>
    <row r="13" spans="1:24">
      <c r="B13" s="115" t="s">
        <v>113</v>
      </c>
      <c r="C13" s="117" t="s">
        <v>71</v>
      </c>
      <c r="D13" s="858" t="s">
        <v>59</v>
      </c>
      <c r="E13" s="858"/>
    </row>
    <row r="14" spans="1:24">
      <c r="B14" s="116" t="s">
        <v>140</v>
      </c>
      <c r="C14" s="117" t="s">
        <v>267</v>
      </c>
      <c r="D14" s="865"/>
      <c r="E14" s="865"/>
    </row>
    <row r="15" spans="1:24">
      <c r="B15" s="116" t="s">
        <v>229</v>
      </c>
      <c r="C15" s="117" t="s">
        <v>316</v>
      </c>
      <c r="D15" s="866">
        <v>1621</v>
      </c>
      <c r="E15" s="867"/>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574</v>
      </c>
      <c r="D17" s="126"/>
      <c r="E17" s="389" t="s">
        <v>402</v>
      </c>
      <c r="F17" s="389" t="s">
        <v>403</v>
      </c>
      <c r="G17" s="389" t="s">
        <v>404</v>
      </c>
      <c r="H17" s="389" t="s">
        <v>405</v>
      </c>
      <c r="I17" s="389" t="s">
        <v>405</v>
      </c>
      <c r="J17" s="389" t="s">
        <v>406</v>
      </c>
      <c r="K17" s="389" t="s">
        <v>451</v>
      </c>
      <c r="L17" s="389" t="s">
        <v>452</v>
      </c>
      <c r="M17" s="389" t="s">
        <v>453</v>
      </c>
      <c r="N17" s="389" t="s">
        <v>454</v>
      </c>
      <c r="O17" s="389" t="s">
        <v>564</v>
      </c>
      <c r="P17" s="389" t="s">
        <v>565</v>
      </c>
      <c r="Q17" s="389" t="s">
        <v>566</v>
      </c>
      <c r="R17" s="389" t="s">
        <v>567</v>
      </c>
      <c r="S17" s="389" t="s">
        <v>568</v>
      </c>
      <c r="T17" s="389" t="s">
        <v>569</v>
      </c>
      <c r="U17" s="389" t="s">
        <v>570</v>
      </c>
      <c r="V17" s="389" t="s">
        <v>572</v>
      </c>
      <c r="W17" s="697" t="s">
        <v>573</v>
      </c>
      <c r="X17" s="389" t="s">
        <v>571</v>
      </c>
    </row>
    <row r="18" spans="1:24" s="64" customFormat="1" ht="45">
      <c r="A18" s="104"/>
      <c r="B18" s="114" t="s">
        <v>2</v>
      </c>
      <c r="C18" s="122" t="s">
        <v>270</v>
      </c>
      <c r="D18" s="119"/>
      <c r="E18" s="107" t="s">
        <v>740</v>
      </c>
      <c r="F18" s="107" t="s">
        <v>740</v>
      </c>
      <c r="G18" s="107"/>
      <c r="H18" s="107"/>
      <c r="I18" s="107" t="s">
        <v>751</v>
      </c>
      <c r="J18" s="107" t="s">
        <v>741</v>
      </c>
      <c r="K18" s="107"/>
      <c r="L18" s="107"/>
      <c r="M18" s="107"/>
      <c r="N18" s="107"/>
      <c r="O18" s="107"/>
      <c r="P18" s="107"/>
      <c r="Q18" s="107"/>
      <c r="R18" s="107"/>
      <c r="S18" s="107"/>
      <c r="T18" s="107"/>
      <c r="U18" s="107"/>
      <c r="V18" s="107"/>
      <c r="W18" s="107"/>
      <c r="X18" s="107"/>
    </row>
    <row r="19" spans="1:24" s="291" customFormat="1">
      <c r="A19" s="702"/>
      <c r="B19" s="703" t="s">
        <v>1</v>
      </c>
      <c r="C19" s="704" t="s">
        <v>579</v>
      </c>
      <c r="D19" s="705"/>
      <c r="E19" s="107" t="s">
        <v>742</v>
      </c>
      <c r="F19" s="107" t="s">
        <v>745</v>
      </c>
      <c r="G19" s="107"/>
      <c r="H19" s="107"/>
      <c r="I19" s="107" t="s">
        <v>746</v>
      </c>
      <c r="J19" s="107" t="s">
        <v>746</v>
      </c>
      <c r="K19" s="107"/>
      <c r="L19" s="107"/>
      <c r="M19" s="107"/>
      <c r="N19" s="107"/>
      <c r="O19" s="107"/>
      <c r="P19" s="107"/>
      <c r="Q19" s="107"/>
      <c r="R19" s="107"/>
      <c r="S19" s="107"/>
      <c r="T19" s="107"/>
      <c r="U19" s="107"/>
      <c r="V19" s="107"/>
      <c r="W19" s="107"/>
      <c r="X19" s="107"/>
    </row>
    <row r="20" spans="1:24">
      <c r="A20" s="105"/>
      <c r="B20" s="116" t="s">
        <v>0</v>
      </c>
      <c r="C20" s="123" t="s">
        <v>79</v>
      </c>
      <c r="D20" s="120"/>
      <c r="E20" s="108" t="s">
        <v>743</v>
      </c>
      <c r="F20" s="108" t="s">
        <v>743</v>
      </c>
      <c r="G20" s="108"/>
      <c r="H20" s="108"/>
      <c r="I20" s="108" t="s">
        <v>747</v>
      </c>
      <c r="J20" s="108" t="s">
        <v>747</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v>2510.1999999999998</v>
      </c>
      <c r="F21" s="109">
        <v>2510.1999999999998</v>
      </c>
      <c r="G21" s="109"/>
      <c r="H21" s="109"/>
      <c r="I21" s="109">
        <f>9*D15</f>
        <v>14589</v>
      </c>
      <c r="J21" s="109">
        <f>9*D15</f>
        <v>14589</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462</v>
      </c>
      <c r="D22" s="120"/>
      <c r="E22" s="110">
        <v>220</v>
      </c>
      <c r="F22" s="110">
        <v>220</v>
      </c>
      <c r="G22" s="110"/>
      <c r="H22" s="110"/>
      <c r="I22" s="110">
        <v>220</v>
      </c>
      <c r="J22" s="110">
        <v>220</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
        <v>744</v>
      </c>
      <c r="F23" s="496" t="s">
        <v>744</v>
      </c>
      <c r="G23" s="496"/>
      <c r="H23" s="496"/>
      <c r="I23" s="496" t="s">
        <v>801</v>
      </c>
      <c r="J23" s="496" t="s">
        <v>801</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v>46174</v>
      </c>
      <c r="F24" s="111">
        <v>46175</v>
      </c>
      <c r="G24" s="111"/>
      <c r="H24" s="111"/>
      <c r="I24" s="111">
        <v>45292</v>
      </c>
      <c r="J24" s="111">
        <v>45292</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
        <v>809</v>
      </c>
      <c r="F25" s="490" t="s">
        <v>809</v>
      </c>
      <c r="G25" s="490"/>
      <c r="H25" s="490"/>
      <c r="I25" s="490" t="s">
        <v>802</v>
      </c>
      <c r="J25" s="490" t="s">
        <v>802</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463</v>
      </c>
      <c r="D26" s="121"/>
      <c r="E26" s="112" t="s">
        <v>45</v>
      </c>
      <c r="F26" s="112" t="s">
        <v>46</v>
      </c>
      <c r="G26" s="112"/>
      <c r="H26" s="112"/>
      <c r="I26" s="112" t="s">
        <v>476</v>
      </c>
      <c r="J26" s="112" t="s">
        <v>476</v>
      </c>
      <c r="K26" s="112"/>
      <c r="L26" s="112"/>
      <c r="M26" s="112"/>
      <c r="N26" s="112"/>
      <c r="O26" s="112"/>
      <c r="P26" s="112"/>
      <c r="Q26" s="112"/>
      <c r="R26" s="112"/>
      <c r="S26" s="112"/>
      <c r="T26" s="112"/>
      <c r="U26" s="112"/>
      <c r="V26" s="112"/>
      <c r="W26" s="112"/>
      <c r="X26" s="112"/>
    </row>
    <row r="27" spans="1:24">
      <c r="A27" s="106"/>
      <c r="B27" s="115" t="s">
        <v>140</v>
      </c>
      <c r="C27" s="123" t="s">
        <v>486</v>
      </c>
      <c r="D27" s="120"/>
      <c r="E27" s="108">
        <v>3</v>
      </c>
      <c r="F27" s="108">
        <v>3</v>
      </c>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457</v>
      </c>
      <c r="D28" s="120"/>
      <c r="E28" s="108">
        <f>IFERROR(VLOOKUP(E26,'Apoio - Regime de Trabalho'!$A:$I,2,FALSE),"")</f>
        <v>2</v>
      </c>
      <c r="F28" s="108">
        <f>IFERROR(VLOOKUP(F26,'Apoio - Regime de Trabalho'!$A:$I,2,FALSE),"")</f>
        <v>2</v>
      </c>
      <c r="G28" s="108"/>
      <c r="H28" s="108"/>
      <c r="I28" s="108">
        <f>IFERROR(VLOOKUP(I26,'Apoio - Regime de Trabalho'!$A:$I,2,FALSE),"")</f>
        <v>1</v>
      </c>
      <c r="J28" s="108">
        <f>IFERROR(VLOOKUP(J26,'Apoio - Regime de Trabalho'!$A:$I,2,FALSE),"")</f>
        <v>1</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487</v>
      </c>
      <c r="D29" s="120"/>
      <c r="E29" s="108">
        <f t="shared" ref="E29:N29" si="0">IFERROR(IF(E18="","",E28*E27),"")</f>
        <v>6</v>
      </c>
      <c r="F29" s="108">
        <f t="shared" si="0"/>
        <v>6</v>
      </c>
      <c r="G29" s="108" t="str">
        <f t="shared" si="0"/>
        <v/>
      </c>
      <c r="H29" s="108" t="str">
        <f t="shared" si="0"/>
        <v/>
      </c>
      <c r="I29" s="108">
        <f t="shared" si="0"/>
        <v>0</v>
      </c>
      <c r="J29" s="108">
        <f t="shared" si="0"/>
        <v>0</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2510.1999999999998</v>
      </c>
      <c r="F32" s="99">
        <f>IFERROR(F21*VLOOKUP(F26,'Apoio - Regime de Trabalho'!$A:$I,8,FALSE)/(F22),"")</f>
        <v>2510.1999999999998</v>
      </c>
      <c r="G32" s="99" t="str">
        <f>IFERROR(G21*VLOOKUP(G26,'Apoio - Regime de Trabalho'!$A:$I,8,FALSE)/(G22),"")</f>
        <v/>
      </c>
      <c r="H32" s="99" t="str">
        <f>IFERROR(H21*VLOOKUP(H26,'Apoio - Regime de Trabalho'!$A:$I,8,FALSE)/(H22),"")</f>
        <v/>
      </c>
      <c r="I32" s="99">
        <f>IFERROR(I21*VLOOKUP(I26,'Apoio - Regime de Trabalho'!$A:$I,8,FALSE)/(I22),"")</f>
        <v>14589</v>
      </c>
      <c r="J32" s="99">
        <f>IFERROR(J21*VLOOKUP(J26,'Apoio - Regime de Trabalho'!$A:$I,8,FALSE)/(J22),"")</f>
        <v>14589</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49"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50"/>
      <c r="C34" s="234" t="s">
        <v>105</v>
      </c>
      <c r="D34" s="142"/>
      <c r="E34" s="245">
        <v>0.3</v>
      </c>
      <c r="F34" s="245">
        <v>0.3</v>
      </c>
      <c r="G34" s="245">
        <v>0.3</v>
      </c>
      <c r="H34" s="245">
        <v>0.3</v>
      </c>
      <c r="I34" s="245">
        <v>0.3</v>
      </c>
      <c r="J34" s="245">
        <v>0.3</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51"/>
      <c r="C35" s="228"/>
      <c r="D35" s="94" t="s">
        <v>41</v>
      </c>
      <c r="E35" s="101">
        <f>IFERROR((E32)*E34,"")</f>
        <v>753.06</v>
      </c>
      <c r="F35" s="101">
        <f t="shared" ref="F35:H35" si="2">IFERROR((F32)*F34,"")</f>
        <v>753.06</v>
      </c>
      <c r="G35" s="101" t="str">
        <f t="shared" si="2"/>
        <v/>
      </c>
      <c r="H35" s="101" t="str">
        <f t="shared" si="2"/>
        <v/>
      </c>
      <c r="I35" s="101">
        <f t="shared" ref="I35:N35" si="3">IFERROR((I32)*I34,"")</f>
        <v>4376.7</v>
      </c>
      <c r="J35" s="101">
        <f t="shared" si="3"/>
        <v>4376.7</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52"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52"/>
      <c r="C37" s="102" t="s">
        <v>90</v>
      </c>
      <c r="D37" s="92"/>
      <c r="E37" s="246" t="str">
        <f>IFERROR(VLOOKUP(E$18,'Apoio - Posto'!$A:$AA,14,FALSE),"")</f>
        <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52"/>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53"/>
      <c r="C39" s="97"/>
      <c r="D39" s="94" t="s">
        <v>41</v>
      </c>
      <c r="E39" s="101">
        <f t="shared" ref="E39:N39" si="5">IF(E21="","",IFERROR(IF(E37="Salário Base",E$32,IF(E37="Salário Mínimo",$D$15,0))*E38,""))</f>
        <v>0</v>
      </c>
      <c r="F39" s="101">
        <f t="shared" si="5"/>
        <v>0</v>
      </c>
      <c r="G39" s="101" t="str">
        <f t="shared" si="5"/>
        <v/>
      </c>
      <c r="H39" s="101" t="str">
        <f t="shared" si="5"/>
        <v/>
      </c>
      <c r="I39" s="101">
        <f t="shared" si="5"/>
        <v>0</v>
      </c>
      <c r="J39" s="101">
        <f t="shared" si="5"/>
        <v>0</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49"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50"/>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51"/>
      <c r="C42" s="97"/>
      <c r="D42" s="94" t="s">
        <v>41</v>
      </c>
      <c r="E42" s="101">
        <f>IFERROR(E41*E$32,"")</f>
        <v>0</v>
      </c>
      <c r="F42" s="101">
        <f t="shared" ref="F42:H42" si="7">IFERROR(F41*F$32,"")</f>
        <v>0</v>
      </c>
      <c r="G42" s="101" t="str">
        <f t="shared" si="7"/>
        <v/>
      </c>
      <c r="H42" s="101" t="str">
        <f t="shared" si="7"/>
        <v/>
      </c>
      <c r="I42" s="101">
        <f t="shared" ref="I42:N42" si="8">IFERROR(I41*I$32,"")</f>
        <v>0</v>
      </c>
      <c r="J42" s="101">
        <f t="shared" si="8"/>
        <v>0</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52"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52"/>
      <c r="C44" s="102" t="s">
        <v>85</v>
      </c>
      <c r="D44" s="139"/>
      <c r="E44" s="145" t="str">
        <f t="shared" ref="E44:N44" si="10">IF(AND(E20=5173,E26="12x36 Noturno"),8,"")</f>
        <v/>
      </c>
      <c r="F44" s="145">
        <v>7</v>
      </c>
      <c r="G44" s="145" t="str">
        <f t="shared" si="10"/>
        <v/>
      </c>
      <c r="H44" s="145">
        <v>7</v>
      </c>
      <c r="I44" s="145" t="str">
        <f t="shared" si="10"/>
        <v/>
      </c>
      <c r="J44" s="145" t="str">
        <f>IF(AND(J20=5173,J26="12x36 Noturno"),8,"")</f>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52"/>
      <c r="C45" s="103" t="s">
        <v>141</v>
      </c>
      <c r="D45" s="140"/>
      <c r="E45" s="146" t="str">
        <f>IF(E44="","",VLOOKUP(E26,'Apoio - Regime de Trabalho'!$A:$I,7,FALSE))</f>
        <v/>
      </c>
      <c r="F45" s="146">
        <f>IF(F44="","",VLOOKUP(F26,'Apoio - Regime de Trabalho'!$A:$I,7,FALSE))</f>
        <v>15</v>
      </c>
      <c r="G45" s="146" t="str">
        <f>IF(G44="","",VLOOKUP(G26,'Apoio - Regime de Trabalho'!$A:$I,7,FALSE))</f>
        <v/>
      </c>
      <c r="H45" s="146" t="e">
        <f>IF(H44="","",VLOOKUP(H26,'Apoio - Regime de Trabalho'!$A:$I,7,FALSE))</f>
        <v>#N/A</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53"/>
      <c r="C46" s="88"/>
      <c r="D46" s="94" t="s">
        <v>41</v>
      </c>
      <c r="E46" s="147" t="str">
        <f>IFERROR(SUM(E$32,E$35,E$39)/(VLOOKUP(E$26,'Apoio - Regime de Trabalho'!$A:$I,8,FALSE))*20%*E$44*E$45,"")</f>
        <v/>
      </c>
      <c r="F46" s="147">
        <f>IFERROR(SUM(F$32,F$35,F$39)/(VLOOKUP(F$26,'Apoio - Regime de Trabalho'!$A:$I,8,FALSE))*20%*F$44*F$45,"")</f>
        <v>311.49299999999994</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54"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55"/>
      <c r="C48" s="136" t="s">
        <v>19</v>
      </c>
      <c r="D48" s="142"/>
      <c r="E48" s="149" t="str">
        <f>IF(E44="","",E45*E44*('Apoio - Notas Explicativas'!$D$11/'Apoio - Notas Explicativas'!$D$12-1)
*IF(AND(E20=5173,E26="12x36 Noturno"),0,1))</f>
        <v/>
      </c>
      <c r="F48" s="149">
        <f>IF(F44="","",F45*F44*('Apoio - Notas Explicativas'!$D$11/'Apoio - Notas Explicativas'!$D$12-1)
*IF(AND(F20=5173,F26="12x36 Noturno"),0,1))</f>
        <v>14.999999999999993</v>
      </c>
      <c r="G48" s="149" t="str">
        <f>IF(G44="","",G45*G44*('Apoio - Notas Explicativas'!$D$11/'Apoio - Notas Explicativas'!$D$12-1)
*IF(AND(G20=5173,G26="12x36 Noturno"),0,1))</f>
        <v/>
      </c>
      <c r="H48" s="149" t="e">
        <f>IF(H44="","",H45*H44*('Apoio - Notas Explicativas'!$D$11/'Apoio - Notas Explicativas'!$D$12-1)
*IF(AND(H20=5173,H26="12x36 Noturno"),0,1))</f>
        <v>#N/A</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56"/>
      <c r="C49" s="100"/>
      <c r="D49" s="94" t="s">
        <v>41</v>
      </c>
      <c r="E49" s="101" t="str">
        <f>IFERROR(E48*(SUM(E$32,E$35,E$39)/(VLOOKUP(E$26,'Apoio - Regime de Trabalho'!$A:$I,8,FALSE))*120%),"")</f>
        <v/>
      </c>
      <c r="F49" s="101">
        <f>IFERROR(F48*(SUM(F$32,F$35,F$39)/(VLOOKUP(F$26,'Apoio - Regime de Trabalho'!$A:$I,8,FALSE))*120%),"")</f>
        <v>266.99399999999986</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62"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52"/>
      <c r="C51" s="102" t="s">
        <v>91</v>
      </c>
      <c r="D51" s="158"/>
      <c r="E51" s="159"/>
      <c r="F51" s="159"/>
      <c r="G51" s="159"/>
      <c r="H51" s="159"/>
      <c r="I51" s="159"/>
      <c r="J51" s="159"/>
      <c r="K51" s="159"/>
      <c r="L51" s="159"/>
      <c r="M51" s="159"/>
      <c r="N51" s="159"/>
      <c r="O51" s="159"/>
      <c r="P51" s="159"/>
      <c r="Q51" s="159"/>
      <c r="R51" s="159"/>
      <c r="S51" s="159"/>
      <c r="T51" s="159"/>
      <c r="U51" s="159"/>
      <c r="V51" s="159"/>
      <c r="W51" s="159"/>
      <c r="X51" s="159"/>
    </row>
    <row r="52" spans="1:24">
      <c r="A52" s="86"/>
      <c r="B52" s="852"/>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853"/>
      <c r="C53" s="88"/>
      <c r="D53" s="94" t="s">
        <v>41</v>
      </c>
      <c r="E53" s="96">
        <f>IFERROR(SUM(E$32,E$35,E$39,E$46)/(VLOOKUP(E$26,'Apoio - Regime de Trabalho'!$A:$I,8,FALSE))*(1+E$51)*E$52,"")</f>
        <v>0</v>
      </c>
      <c r="F53" s="96">
        <f>IFERROR(SUM(F$32,F$35,F$39,F$46)/(VLOOKUP(F$26,'Apoio - Regime de Trabalho'!$A:$I,8,FALSE))*(1+F$51)*F$52,"")</f>
        <v>0</v>
      </c>
      <c r="G53" s="96" t="str">
        <f>IFERROR(SUM(G$32,G$35,G$39,G$46)/(VLOOKUP(G$26,'Apoio - Regime de Trabalho'!$A:$I,8,FALSE))*(1+G$51)*G$52,"")</f>
        <v/>
      </c>
      <c r="H53" s="96" t="str">
        <f>IFERROR(SUM(H$32,H$35,H$39,H$46)/(VLOOKUP(H$26,'Apoio - Regime de Trabalho'!$A:$I,8,FALSE))*(1+H$51)*H$52,"")</f>
        <v/>
      </c>
      <c r="I53" s="96">
        <f>IFERROR(SUM(I$32,I$35,I$39,I$46)/(VLOOKUP(I$26,'Apoio - Regime de Trabalho'!$A:$I,8,FALSE))*(1+I$51)*I$52,"")</f>
        <v>0</v>
      </c>
      <c r="J53" s="96">
        <f>IFERROR(SUM(J$32,J$35,J$39,J$46)/(VLOOKUP(J$26,'Apoio - Regime de Trabalho'!$A:$I,8,FALSE))*(1+J$51)*J$52,"")</f>
        <v>0</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54"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55"/>
      <c r="C55" s="136" t="s">
        <v>84</v>
      </c>
      <c r="D55" s="142"/>
      <c r="E55" s="419">
        <f>IF(E18="","",IFERROR(SUM(E$46,E49)*20%,""))</f>
        <v>0</v>
      </c>
      <c r="F55" s="419">
        <f t="shared" ref="F55:N55" si="12">IF(F18="","",IFERROR(SUM(F$46,F49)*20%,""))</f>
        <v>115.69739999999997</v>
      </c>
      <c r="G55" s="419" t="str">
        <f t="shared" si="12"/>
        <v/>
      </c>
      <c r="H55" s="419" t="str">
        <f t="shared" si="12"/>
        <v/>
      </c>
      <c r="I55" s="419">
        <f t="shared" si="12"/>
        <v>0</v>
      </c>
      <c r="J55" s="419">
        <f t="shared" si="12"/>
        <v>0</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55"/>
      <c r="C56" s="162" t="s">
        <v>83</v>
      </c>
      <c r="D56" s="144" t="s">
        <v>323</v>
      </c>
      <c r="E56" s="420">
        <f t="shared" ref="E56:N56" si="14">IFERROR(IF(E18="","",IF(D56="Não",0,E53*20%)),"")</f>
        <v>0</v>
      </c>
      <c r="F56" s="420">
        <f t="shared" si="14"/>
        <v>0</v>
      </c>
      <c r="G56" s="420" t="str">
        <f t="shared" si="14"/>
        <v/>
      </c>
      <c r="H56" s="420" t="str">
        <f t="shared" si="14"/>
        <v/>
      </c>
      <c r="I56" s="420">
        <f t="shared" si="14"/>
        <v>0</v>
      </c>
      <c r="J56" s="420">
        <f t="shared" si="14"/>
        <v>0</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55"/>
      <c r="C57" s="162" t="s">
        <v>138</v>
      </c>
      <c r="D57" s="144"/>
      <c r="E57" s="420" t="str">
        <f t="shared" ref="E57:N57" si="25">IF(E21="","",IFERROR(E$59*20%,""))</f>
        <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56"/>
      <c r="C58" s="100"/>
      <c r="D58" s="94" t="s">
        <v>41</v>
      </c>
      <c r="E58" s="207" t="str">
        <f>IF(SUM(E55:E57)=0,"",SUM(E55:E57))</f>
        <v/>
      </c>
      <c r="F58" s="207">
        <f t="shared" ref="F58:H58" si="27">IF(SUM(F55:F57)=0,"",SUM(F55:F57))</f>
        <v>115.69739999999997</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t="str">
        <f>IFERROR(IFERROR(VLOOKUP(E$18,'Apoio - Posto'!$A:$AA,12,FALSE),"")*VLOOKUP(E26,'Apoio - Regime de Trabalho'!$A:$I,7,FALSE),"")</f>
        <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3263.2599999999998</v>
      </c>
      <c r="F61" s="156">
        <f t="shared" si="30"/>
        <v>3957.4443999999994</v>
      </c>
      <c r="G61" s="156" t="str">
        <f t="shared" si="30"/>
        <v/>
      </c>
      <c r="H61" s="154" t="str">
        <f t="shared" si="30"/>
        <v/>
      </c>
      <c r="I61" s="154">
        <f t="shared" si="30"/>
        <v>18965.7</v>
      </c>
      <c r="J61" s="154">
        <f t="shared" si="30"/>
        <v>18965.7</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271.82955799999996</v>
      </c>
      <c r="F66" s="99">
        <f t="shared" ref="F66:U68" si="32">IFERROR($D66*F$61,"")</f>
        <v>329.65511851999997</v>
      </c>
      <c r="G66" s="99" t="str">
        <f t="shared" si="32"/>
        <v/>
      </c>
      <c r="H66" s="99" t="str">
        <f t="shared" si="32"/>
        <v/>
      </c>
      <c r="I66" s="99">
        <f t="shared" si="32"/>
        <v>1579.8428100000001</v>
      </c>
      <c r="J66" s="99">
        <f t="shared" si="32"/>
        <v>1579.8428100000001</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362.54818599999999</v>
      </c>
      <c r="F67" s="99">
        <f t="shared" si="32"/>
        <v>439.67207283999994</v>
      </c>
      <c r="G67" s="99" t="str">
        <f t="shared" si="32"/>
        <v/>
      </c>
      <c r="H67" s="99" t="str">
        <f t="shared" si="32"/>
        <v/>
      </c>
      <c r="I67" s="99">
        <f t="shared" si="32"/>
        <v>2107.0892699999999</v>
      </c>
      <c r="J67" s="99">
        <f t="shared" si="32"/>
        <v>2107.0892699999999</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233.64941599999997</v>
      </c>
      <c r="F68" s="99">
        <f t="shared" si="32"/>
        <v>283.35301903999994</v>
      </c>
      <c r="G68" s="99" t="str">
        <f t="shared" si="32"/>
        <v/>
      </c>
      <c r="H68" s="99" t="str">
        <f t="shared" si="32"/>
        <v/>
      </c>
      <c r="I68" s="99">
        <f t="shared" si="32"/>
        <v>1357.9441199999999</v>
      </c>
      <c r="J68" s="99">
        <f t="shared" si="32"/>
        <v>1357.9441199999999</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868.02715999999987</v>
      </c>
      <c r="F69" s="176">
        <f t="shared" ref="F69:H69" si="34">IF(SUM(F66:F68)=0,"",SUM(F66:F68))</f>
        <v>1052.6802103999999</v>
      </c>
      <c r="G69" s="174" t="str">
        <f t="shared" si="34"/>
        <v/>
      </c>
      <c r="H69" s="176" t="str">
        <f t="shared" si="34"/>
        <v/>
      </c>
      <c r="I69" s="176">
        <f t="shared" ref="I69:N69" si="35">IF(SUM(I66:I68)=0,"",SUM(I66:I68))</f>
        <v>5044.8761999999997</v>
      </c>
      <c r="J69" s="176">
        <f t="shared" si="35"/>
        <v>5044.8761999999997</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652.65200000000004</v>
      </c>
      <c r="F72" s="137">
        <f t="shared" si="37"/>
        <v>791.48887999999988</v>
      </c>
      <c r="G72" s="137" t="str">
        <f t="shared" si="37"/>
        <v/>
      </c>
      <c r="H72" s="99" t="str">
        <f t="shared" si="37"/>
        <v/>
      </c>
      <c r="I72" s="99">
        <f t="shared" si="37"/>
        <v>3793.1400000000003</v>
      </c>
      <c r="J72" s="99">
        <f t="shared" si="37"/>
        <v>3793.1400000000003</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48.948899999999995</v>
      </c>
      <c r="F73" s="137">
        <f t="shared" si="37"/>
        <v>59.361665999999985</v>
      </c>
      <c r="G73" s="137" t="str">
        <f t="shared" si="37"/>
        <v/>
      </c>
      <c r="H73" s="99" t="str">
        <f t="shared" si="37"/>
        <v/>
      </c>
      <c r="I73" s="99">
        <f t="shared" si="37"/>
        <v>284.4855</v>
      </c>
      <c r="J73" s="99">
        <f t="shared" si="37"/>
        <v>284.4855</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32.632599999999996</v>
      </c>
      <c r="F74" s="137">
        <f t="shared" si="37"/>
        <v>39.574443999999993</v>
      </c>
      <c r="G74" s="137" t="str">
        <f t="shared" si="37"/>
        <v/>
      </c>
      <c r="H74" s="99" t="str">
        <f t="shared" si="37"/>
        <v/>
      </c>
      <c r="I74" s="99">
        <f t="shared" si="37"/>
        <v>189.65700000000001</v>
      </c>
      <c r="J74" s="99">
        <f t="shared" si="37"/>
        <v>189.65700000000001</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6.5265199999999997</v>
      </c>
      <c r="F75" s="137">
        <f t="shared" si="37"/>
        <v>7.9148887999999991</v>
      </c>
      <c r="G75" s="137" t="str">
        <f t="shared" si="37"/>
        <v/>
      </c>
      <c r="H75" s="99" t="str">
        <f t="shared" si="37"/>
        <v/>
      </c>
      <c r="I75" s="99">
        <f t="shared" si="37"/>
        <v>37.931400000000004</v>
      </c>
      <c r="J75" s="99">
        <f t="shared" si="37"/>
        <v>37.931400000000004</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81.581500000000005</v>
      </c>
      <c r="F76" s="137">
        <f t="shared" si="37"/>
        <v>98.936109999999985</v>
      </c>
      <c r="G76" s="137" t="str">
        <f t="shared" si="37"/>
        <v/>
      </c>
      <c r="H76" s="99" t="str">
        <f t="shared" si="37"/>
        <v/>
      </c>
      <c r="I76" s="99">
        <f t="shared" si="37"/>
        <v>474.14250000000004</v>
      </c>
      <c r="J76" s="99">
        <f t="shared" si="37"/>
        <v>474.14250000000004</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261.06079999999997</v>
      </c>
      <c r="F77" s="137">
        <f t="shared" si="37"/>
        <v>316.59555199999994</v>
      </c>
      <c r="G77" s="137" t="str">
        <f t="shared" si="37"/>
        <v/>
      </c>
      <c r="H77" s="99" t="str">
        <f t="shared" si="37"/>
        <v/>
      </c>
      <c r="I77" s="99">
        <f t="shared" si="37"/>
        <v>1517.2560000000001</v>
      </c>
      <c r="J77" s="99">
        <f t="shared" si="37"/>
        <v>1517.2560000000001</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59"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60"/>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63"/>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61"/>
      <c r="C81" s="391"/>
      <c r="D81" s="659">
        <f>D80*D79</f>
        <v>0.03</v>
      </c>
      <c r="E81" s="169">
        <f>IFERROR($D81*E$61,"")</f>
        <v>97.897799999999989</v>
      </c>
      <c r="F81" s="169">
        <f t="shared" ref="F81:U82" si="39">IFERROR($D81*F$61,"")</f>
        <v>118.72333199999997</v>
      </c>
      <c r="G81" s="169" t="str">
        <f t="shared" si="39"/>
        <v/>
      </c>
      <c r="H81" s="169" t="str">
        <f t="shared" si="39"/>
        <v/>
      </c>
      <c r="I81" s="169">
        <f t="shared" si="39"/>
        <v>568.971</v>
      </c>
      <c r="J81" s="169">
        <f t="shared" si="39"/>
        <v>568.971</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19.579560000000001</v>
      </c>
      <c r="F82" s="137">
        <f t="shared" si="39"/>
        <v>23.744666399999996</v>
      </c>
      <c r="G82" s="137" t="str">
        <f t="shared" si="39"/>
        <v/>
      </c>
      <c r="H82" s="137" t="str">
        <f t="shared" si="39"/>
        <v/>
      </c>
      <c r="I82" s="137">
        <f t="shared" si="39"/>
        <v>113.7942</v>
      </c>
      <c r="J82" s="137">
        <f t="shared" si="39"/>
        <v>113.7942</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1200.87968</v>
      </c>
      <c r="F83" s="176">
        <f t="shared" ref="F83:H83" si="41">IF((SUM(F72:F77,F81,F82))=0,"",(SUM(F72:F77,F81,F82)))</f>
        <v>1456.3395391999998</v>
      </c>
      <c r="G83" s="176" t="str">
        <f t="shared" si="41"/>
        <v/>
      </c>
      <c r="H83" s="176" t="str">
        <f t="shared" si="41"/>
        <v/>
      </c>
      <c r="I83" s="176">
        <f t="shared" ref="I83:N83" si="42">IF((SUM(I72:I77,I81,I82))=0,"",(SUM(I72:I77,I81,I82)))</f>
        <v>6979.3776000000016</v>
      </c>
      <c r="J83" s="176">
        <f t="shared" si="42"/>
        <v>6979.3776000000016</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59"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60"/>
      <c r="C87" s="662" t="s">
        <v>87</v>
      </c>
      <c r="D87" s="663"/>
      <c r="E87" s="416">
        <f>IF(E18="","",5.3)</f>
        <v>5.3</v>
      </c>
      <c r="F87" s="416">
        <f t="shared" ref="F87:X87" si="44">IF(F18="","",5.3)</f>
        <v>5.3</v>
      </c>
      <c r="G87" s="416" t="str">
        <f t="shared" si="44"/>
        <v/>
      </c>
      <c r="H87" s="416" t="str">
        <f t="shared" si="44"/>
        <v/>
      </c>
      <c r="I87" s="416">
        <f t="shared" si="44"/>
        <v>5.3</v>
      </c>
      <c r="J87" s="416">
        <f t="shared" si="44"/>
        <v>5.3</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60"/>
      <c r="C88" s="664" t="s">
        <v>108</v>
      </c>
      <c r="D88" s="665"/>
      <c r="E88" s="198">
        <f t="shared" ref="E88:N88" si="45">IF(E18="","",2)</f>
        <v>2</v>
      </c>
      <c r="F88" s="198">
        <f t="shared" si="45"/>
        <v>2</v>
      </c>
      <c r="G88" s="198" t="str">
        <f t="shared" si="45"/>
        <v/>
      </c>
      <c r="H88" s="198" t="str">
        <f t="shared" si="45"/>
        <v/>
      </c>
      <c r="I88" s="198">
        <f t="shared" si="45"/>
        <v>2</v>
      </c>
      <c r="J88" s="198">
        <f t="shared" si="45"/>
        <v>2</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60"/>
      <c r="C89" s="664" t="s">
        <v>88</v>
      </c>
      <c r="D89" s="666"/>
      <c r="E89" s="199">
        <f>IFERROR(IF(E18="","",VLOOKUP(E26,'Apoio - Regime de Trabalho'!$A:$G,7,FALSE)),"")</f>
        <v>15</v>
      </c>
      <c r="F89" s="199">
        <f>IFERROR(IF(F18="","",VLOOKUP(F26,'Apoio - Regime de Trabalho'!$A:$G,7,FALSE)),"")</f>
        <v>15</v>
      </c>
      <c r="G89" s="199" t="str">
        <f>IFERROR(IF(G18="","",VLOOKUP(G26,'Apoio - Regime de Trabalho'!$A:$G,7,FALSE)),"")</f>
        <v/>
      </c>
      <c r="H89" s="199" t="str">
        <f>IFERROR(IF(H18="","",VLOOKUP(H26,'Apoio - Regime de Trabalho'!$A:$G,7,FALSE)),"")</f>
        <v/>
      </c>
      <c r="I89" s="199">
        <v>22</v>
      </c>
      <c r="J89" s="199">
        <v>22</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60"/>
      <c r="C90" s="664" t="s">
        <v>22</v>
      </c>
      <c r="D90" s="665"/>
      <c r="E90" s="200">
        <f>IF(E18="","",IFERROR(VLOOKUP(E$18,'Apoio - Posto'!$A:$AA,16,FALSE),6%))</f>
        <v>0.06</v>
      </c>
      <c r="F90" s="200">
        <f>IF(F18="","",IFERROR(VLOOKUP(F$18,'Apoio - Posto'!$A:$AA,16,FALSE),6%))</f>
        <v>0.06</v>
      </c>
      <c r="G90" s="200" t="str">
        <f>IF(G18="","",IFERROR(VLOOKUP(G$18,'Apoio - Posto'!$A:$AA,16,FALSE),6%))</f>
        <v/>
      </c>
      <c r="H90" s="200" t="str">
        <f>IF(H18="","",IFERROR(VLOOKUP(H$18,'Apoio - Posto'!$A:$AA,16,FALSE),6%))</f>
        <v/>
      </c>
      <c r="I90" s="200">
        <v>0.03</v>
      </c>
      <c r="J90" s="200">
        <v>0.03</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61"/>
      <c r="C91" s="219"/>
      <c r="D91" s="667" t="s">
        <v>41</v>
      </c>
      <c r="E91" s="147">
        <f>IFERROR(MAX((E87*E88*E89)-(E$90*E$32),0),"")</f>
        <v>8.3880000000000052</v>
      </c>
      <c r="F91" s="147">
        <f t="shared" ref="F91:N91" si="47">IFERROR(MAX((F87*F88*F89)-(F$90*F$32),0),"")</f>
        <v>8.3880000000000052</v>
      </c>
      <c r="G91" s="147" t="str">
        <f>IFERROR(MAX((G87*G88*G89)-(G$90*G$32),0),"")</f>
        <v/>
      </c>
      <c r="H91" s="147" t="str">
        <f t="shared" si="47"/>
        <v/>
      </c>
      <c r="I91" s="147">
        <f t="shared" si="47"/>
        <v>0</v>
      </c>
      <c r="J91" s="147">
        <f t="shared" si="47"/>
        <v>0</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59"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60"/>
      <c r="C93" s="670" t="s">
        <v>24</v>
      </c>
      <c r="D93" s="671"/>
      <c r="E93" s="202">
        <v>27.15</v>
      </c>
      <c r="F93" s="202">
        <v>27.15</v>
      </c>
      <c r="G93" s="202">
        <v>27.15</v>
      </c>
      <c r="H93" s="202">
        <v>27.15</v>
      </c>
      <c r="I93" s="202">
        <v>73.81</v>
      </c>
      <c r="J93" s="202">
        <v>73.81</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60"/>
      <c r="C94" s="672" t="s">
        <v>276</v>
      </c>
      <c r="D94" s="673"/>
      <c r="E94" s="204">
        <f>IFERROR(IF(E18="","",VLOOKUP(E26,'Apoio - Regime de Trabalho'!$A:$G,7,FALSE)),"")</f>
        <v>15</v>
      </c>
      <c r="F94" s="204">
        <f>IFERROR(IF(F18="","",VLOOKUP(F26,'Apoio - Regime de Trabalho'!$A:$G,7,FALSE)),"")</f>
        <v>15</v>
      </c>
      <c r="G94" s="204" t="str">
        <f>IFERROR(IF(G18="","",VLOOKUP(G26,'Apoio - Regime de Trabalho'!$A:$G,7,FALSE)),"")</f>
        <v/>
      </c>
      <c r="H94" s="204" t="str">
        <f>IFERROR(IF(H18="","",VLOOKUP(H26,'Apoio - Regime de Trabalho'!$A:$G,7,FALSE)),"")</f>
        <v/>
      </c>
      <c r="I94" s="204">
        <f>IFERROR(IF(I18="","",VLOOKUP(I26,'Apoio - Regime de Trabalho'!$A:$G,7,FALSE)),"")</f>
        <v>22</v>
      </c>
      <c r="J94" s="204">
        <f>IFERROR(IF(J18="","",VLOOKUP(J26,'Apoio - Regime de Trabalho'!$A:$G,7,FALSE)),"")</f>
        <v>22</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60"/>
      <c r="C95" s="672" t="s">
        <v>273</v>
      </c>
      <c r="D95" s="673"/>
      <c r="E95" s="205">
        <v>0.19</v>
      </c>
      <c r="F95" s="205">
        <v>0.19</v>
      </c>
      <c r="G95" s="205" t="str">
        <f>IFERROR(VLOOKUP(G$18,'Apoio - Posto'!$A:$AA,17,FALSE),"")</f>
        <v/>
      </c>
      <c r="H95" s="205" t="str">
        <f>IFERROR(VLOOKUP(H$18,'Apoio - Posto'!$A:$AA,17,FALSE),"")</f>
        <v/>
      </c>
      <c r="I95" s="907">
        <v>6.1600000000000001E-4</v>
      </c>
      <c r="J95" s="907">
        <v>6.1600000000000001E-4</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61"/>
      <c r="C96" s="219"/>
      <c r="D96" s="667" t="s">
        <v>41</v>
      </c>
      <c r="E96" s="101">
        <f>IFERROR((E93*E94)-(E$93*E$94*E$95),"")</f>
        <v>329.8725</v>
      </c>
      <c r="F96" s="101">
        <f t="shared" ref="F96:J96" si="49">IFERROR((F93*F94)-(F$93*F$94*F$95),"")</f>
        <v>329.8725</v>
      </c>
      <c r="G96" s="101" t="str">
        <f t="shared" si="49"/>
        <v/>
      </c>
      <c r="H96" s="101" t="str">
        <f t="shared" si="49"/>
        <v/>
      </c>
      <c r="I96" s="101">
        <f t="shared" si="49"/>
        <v>1622.8197268800002</v>
      </c>
      <c r="J96" s="101">
        <f t="shared" si="49"/>
        <v>1622.8197268800002</v>
      </c>
      <c r="K96" s="101" t="str">
        <f t="shared" ref="I96:N96" si="50">IFERROR((K93*K94)-(K$93*K$94*K$95),"")</f>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59"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60"/>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60"/>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61"/>
      <c r="C100" s="219"/>
      <c r="D100" s="667" t="s">
        <v>41</v>
      </c>
      <c r="E100" s="248">
        <f t="shared" ref="E100:N100" si="52">IF(E21="","",IFERROR((E$98)-(E$99*E$98),""))</f>
        <v>0</v>
      </c>
      <c r="F100" s="248">
        <f t="shared" si="52"/>
        <v>0</v>
      </c>
      <c r="G100" s="248" t="str">
        <f t="shared" si="52"/>
        <v/>
      </c>
      <c r="H100" s="248" t="str">
        <f t="shared" si="52"/>
        <v/>
      </c>
      <c r="I100" s="248">
        <f t="shared" si="52"/>
        <v>0</v>
      </c>
      <c r="J100" s="248">
        <f t="shared" si="52"/>
        <v>0</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v>25.52</v>
      </c>
      <c r="F101" s="384">
        <v>25.52</v>
      </c>
      <c r="G101" s="384">
        <v>25.52</v>
      </c>
      <c r="H101" s="384">
        <v>25.52</v>
      </c>
      <c r="I101" s="384">
        <v>25.52</v>
      </c>
      <c r="J101" s="384">
        <v>25.52</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859"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60"/>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60"/>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61"/>
      <c r="C106" s="219"/>
      <c r="D106" s="667" t="s">
        <v>41</v>
      </c>
      <c r="E106" s="207">
        <f t="shared" ref="E106:N106" si="54">IF(E21="","",IFERROR((E104)-(E$105*E$104),""))</f>
        <v>0</v>
      </c>
      <c r="F106" s="207">
        <f t="shared" si="54"/>
        <v>0</v>
      </c>
      <c r="G106" s="207" t="str">
        <f t="shared" si="54"/>
        <v/>
      </c>
      <c r="H106" s="207" t="str">
        <f t="shared" si="54"/>
        <v/>
      </c>
      <c r="I106" s="207">
        <f t="shared" si="54"/>
        <v>0</v>
      </c>
      <c r="J106" s="207">
        <f t="shared" si="54"/>
        <v>0</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t="str">
        <f>IFERROR(VLOOKUP(E$18,'Apoio - Posto'!$A:$AA,18,FALSE),"")</f>
        <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859"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60"/>
      <c r="C109" s="670" t="s">
        <v>272</v>
      </c>
      <c r="D109" s="680"/>
      <c r="E109" s="418">
        <v>272.69</v>
      </c>
      <c r="F109" s="418">
        <v>272.69</v>
      </c>
      <c r="G109" s="418">
        <v>259.7</v>
      </c>
      <c r="H109" s="418">
        <v>259.7</v>
      </c>
      <c r="I109" s="418" t="str">
        <f t="shared" ref="I109:X109" si="56">IF(I23="SINDIVIGILANTES",80,
   IF(I23="SINDASSEIO",
      IF(OR(IFERROR(VALUE(LEFT(I26,FIND("h",I26)-1)),0)&gt;30,
            ISNUMBER(FIND("12x36",I26))),
         80,
         40),      ""))</f>
        <v/>
      </c>
      <c r="J109" s="418" t="str">
        <f>IF(J23="SINDIVIGILANTES",80,
   IF(J23="SINDASSEIO",
      IF(OR(IFERROR(VALUE(LEFT(J26,FIND("h",J26)-1)),0)&gt;30,
            ISNUMBER(FIND("12x36",J26))),
         80,
         40),      ""))</f>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60"/>
      <c r="C110" s="672" t="s">
        <v>273</v>
      </c>
      <c r="D110" s="673"/>
      <c r="E110" s="642">
        <v>0.1</v>
      </c>
      <c r="F110" s="642">
        <v>0.1</v>
      </c>
      <c r="G110" s="642">
        <v>0.15</v>
      </c>
      <c r="H110" s="642">
        <v>0.15</v>
      </c>
      <c r="I110" s="642"/>
      <c r="J110" s="642"/>
      <c r="K110" s="642"/>
      <c r="L110" s="642"/>
      <c r="M110" s="642"/>
      <c r="N110" s="642"/>
      <c r="O110" s="642"/>
      <c r="P110" s="642"/>
      <c r="Q110" s="642"/>
      <c r="R110" s="642"/>
      <c r="S110" s="642"/>
      <c r="T110" s="642"/>
      <c r="U110" s="642"/>
      <c r="V110" s="642"/>
      <c r="W110" s="642"/>
      <c r="X110" s="642"/>
    </row>
    <row r="111" spans="1:24">
      <c r="A111" s="74"/>
      <c r="B111" s="860"/>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60"/>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61"/>
      <c r="C113" s="97"/>
      <c r="D113" s="682" t="s">
        <v>41</v>
      </c>
      <c r="E113" s="209">
        <f>IF(COUNTA(E109,E111)=0,"",IFERROR(E109*(1-E110),0)+IFERROR(E111*(1-E112),0))</f>
        <v>245.42099999999999</v>
      </c>
      <c r="F113" s="209">
        <f t="shared" ref="F113:X113" si="57">IF(COUNTA(F109,F111)=0,"",IFERROR(F109*(1-F110),0)+IFERROR(F111*(1-F112),0))</f>
        <v>245.42099999999999</v>
      </c>
      <c r="G113" s="209">
        <f t="shared" si="57"/>
        <v>220.74499999999998</v>
      </c>
      <c r="H113" s="209">
        <f t="shared" si="57"/>
        <v>220.74499999999998</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609.2014999999999</v>
      </c>
      <c r="F114" s="192">
        <f t="shared" si="58"/>
        <v>609.2014999999999</v>
      </c>
      <c r="G114" s="192" t="str">
        <f t="shared" si="58"/>
        <v/>
      </c>
      <c r="H114" s="192" t="str">
        <f t="shared" si="58"/>
        <v/>
      </c>
      <c r="I114" s="192">
        <f t="shared" si="58"/>
        <v>1648.3397268800002</v>
      </c>
      <c r="J114" s="192">
        <f t="shared" si="58"/>
        <v>1648.3397268800002</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2678.1083399999998</v>
      </c>
      <c r="F116" s="155">
        <f t="shared" si="59"/>
        <v>3118.2212495999993</v>
      </c>
      <c r="G116" s="452" t="str">
        <f t="shared" si="59"/>
        <v/>
      </c>
      <c r="H116" s="155" t="str">
        <f t="shared" si="59"/>
        <v/>
      </c>
      <c r="I116" s="155">
        <f t="shared" si="59"/>
        <v>13672.593526880002</v>
      </c>
      <c r="J116" s="155">
        <f t="shared" si="59"/>
        <v>13672.593526880002</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13.705691999999997</v>
      </c>
      <c r="F119" s="99">
        <f t="shared" si="60"/>
        <v>16.621266479999996</v>
      </c>
      <c r="G119" s="99" t="str">
        <f t="shared" si="60"/>
        <v/>
      </c>
      <c r="H119" s="99" t="str">
        <f t="shared" si="60"/>
        <v/>
      </c>
      <c r="I119" s="99">
        <f t="shared" si="60"/>
        <v>79.655940000000001</v>
      </c>
      <c r="J119" s="99">
        <f t="shared" si="60"/>
        <v>79.655940000000001</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0.97897799999999979</v>
      </c>
      <c r="F120" s="99">
        <f t="shared" si="60"/>
        <v>1.1872333199999998</v>
      </c>
      <c r="G120" s="99" t="str">
        <f t="shared" si="60"/>
        <v/>
      </c>
      <c r="H120" s="99" t="str">
        <f t="shared" si="60"/>
        <v/>
      </c>
      <c r="I120" s="99">
        <f t="shared" si="60"/>
        <v>5.6897099999999998</v>
      </c>
      <c r="J120" s="99">
        <f t="shared" si="60"/>
        <v>5.6897099999999998</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551</v>
      </c>
      <c r="D121" s="406">
        <f>INDEX('Apoio - Notas Explicativas'!Q:Q,MATCH(C121,'Apoio - Notas Explicativas'!C:C,0))</f>
        <v>1E-4</v>
      </c>
      <c r="E121" s="99">
        <f t="shared" si="60"/>
        <v>0.326326</v>
      </c>
      <c r="F121" s="99">
        <f t="shared" si="60"/>
        <v>0.39574443999999998</v>
      </c>
      <c r="G121" s="99" t="str">
        <f t="shared" si="60"/>
        <v/>
      </c>
      <c r="H121" s="99" t="str">
        <f t="shared" si="60"/>
        <v/>
      </c>
      <c r="I121" s="99">
        <f t="shared" si="60"/>
        <v>1.8965700000000001</v>
      </c>
      <c r="J121" s="99">
        <f t="shared" si="60"/>
        <v>1.8965700000000001</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62.654591999999987</v>
      </c>
      <c r="F122" s="99">
        <f t="shared" si="60"/>
        <v>75.982932479999988</v>
      </c>
      <c r="G122" s="99" t="str">
        <f t="shared" si="60"/>
        <v/>
      </c>
      <c r="H122" s="99" t="str">
        <f t="shared" si="60"/>
        <v/>
      </c>
      <c r="I122" s="99">
        <f t="shared" si="60"/>
        <v>364.14143999999999</v>
      </c>
      <c r="J122" s="99">
        <f t="shared" si="60"/>
        <v>364.14143999999999</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23.169146000000001</v>
      </c>
      <c r="F123" s="99">
        <f t="shared" si="60"/>
        <v>28.097855239999998</v>
      </c>
      <c r="G123" s="99" t="str">
        <f t="shared" si="60"/>
        <v/>
      </c>
      <c r="H123" s="99" t="str">
        <f t="shared" si="60"/>
        <v/>
      </c>
      <c r="I123" s="99">
        <f t="shared" si="60"/>
        <v>134.65647000000001</v>
      </c>
      <c r="J123" s="99">
        <f t="shared" si="60"/>
        <v>134.65647000000001</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130.53039999999999</v>
      </c>
      <c r="F124" s="99">
        <f t="shared" si="60"/>
        <v>158.29777599999997</v>
      </c>
      <c r="G124" s="99" t="str">
        <f t="shared" si="60"/>
        <v/>
      </c>
      <c r="H124" s="99" t="str">
        <f t="shared" si="60"/>
        <v/>
      </c>
      <c r="I124" s="99">
        <f t="shared" si="60"/>
        <v>758.62800000000004</v>
      </c>
      <c r="J124" s="99">
        <f t="shared" si="60"/>
        <v>758.62800000000004</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231.36513399999995</v>
      </c>
      <c r="F125" s="155">
        <f t="shared" ref="F125:H125" si="62">IF(SUM(F119:F124)=0,"",SUM(F119:F124))</f>
        <v>280.58280795999997</v>
      </c>
      <c r="G125" s="155" t="str">
        <f t="shared" si="62"/>
        <v/>
      </c>
      <c r="H125" s="155" t="str">
        <f t="shared" si="62"/>
        <v/>
      </c>
      <c r="I125" s="155">
        <f t="shared" ref="I125:N125" si="63">IF(SUM(I119:I124)=0,"",SUM(I119:I124))</f>
        <v>1344.66813</v>
      </c>
      <c r="J125" s="155">
        <f t="shared" si="63"/>
        <v>1344.66813</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8"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8" s="13" customFormat="1">
      <c r="A130" s="78"/>
      <c r="B130" s="87" t="s">
        <v>2</v>
      </c>
      <c r="C130" s="88" t="s">
        <v>35</v>
      </c>
      <c r="D130" s="406">
        <f>INDEX('Apoio - Notas Explicativas'!$Q:$Q,MATCH(C130,'Apoio - Notas Explicativas'!$C:$C,0))</f>
        <v>1.6199999999999999E-2</v>
      </c>
      <c r="E130" s="99">
        <f t="shared" ref="E130:X130" si="65">IF(E21="","",IFERROR($D130*SUM(E$61),""))</f>
        <v>52.864811999999993</v>
      </c>
      <c r="F130" s="137">
        <f t="shared" si="65"/>
        <v>64.110599279999988</v>
      </c>
      <c r="G130" s="137" t="str">
        <f t="shared" si="65"/>
        <v/>
      </c>
      <c r="H130" s="137" t="str">
        <f t="shared" si="65"/>
        <v/>
      </c>
      <c r="I130" s="137">
        <f t="shared" si="65"/>
        <v>307.24434000000002</v>
      </c>
      <c r="J130" s="137">
        <f t="shared" si="65"/>
        <v>307.24434000000002</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8" s="13" customFormat="1">
      <c r="A131" s="78"/>
      <c r="B131" s="87" t="s">
        <v>1</v>
      </c>
      <c r="C131" s="88" t="s">
        <v>187</v>
      </c>
      <c r="D131" s="406">
        <f>INDEX('Apoio - Notas Explicativas'!$Q:$Q,MATCH(C131,'Apoio - Notas Explicativas'!$C:$C,0))</f>
        <v>1.37E-2</v>
      </c>
      <c r="E131" s="99">
        <f t="shared" ref="E131:X131" si="66">IFERROR($D131*(E61+E66+E67),"")</f>
        <v>53.397637092799997</v>
      </c>
      <c r="F131" s="137">
        <f t="shared" si="66"/>
        <v>64.756770801631987</v>
      </c>
      <c r="G131" s="137" t="str">
        <f t="shared" si="66"/>
        <v/>
      </c>
      <c r="H131" s="137" t="str">
        <f t="shared" si="66"/>
        <v/>
      </c>
      <c r="I131" s="137">
        <f t="shared" si="66"/>
        <v>310.34105949600001</v>
      </c>
      <c r="J131" s="137">
        <f t="shared" si="66"/>
        <v>310.34105949600001</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8" s="13" customFormat="1">
      <c r="A132" s="78"/>
      <c r="B132" s="87" t="s">
        <v>0</v>
      </c>
      <c r="C132" s="88" t="s">
        <v>36</v>
      </c>
      <c r="D132" s="406">
        <f>INDEX('Apoio - Notas Explicativas'!$Q:$Q,MATCH(C132,'Apoio - Notas Explicativas'!$C:$C,0))</f>
        <v>2.0000000000000001E-4</v>
      </c>
      <c r="E132" s="99">
        <f t="shared" ref="E132:X132" si="67">IFERROR($D132*(E61+E66+E67),"")</f>
        <v>0.77952754879999997</v>
      </c>
      <c r="F132" s="137">
        <f t="shared" si="67"/>
        <v>0.94535431827199978</v>
      </c>
      <c r="G132" s="137" t="str">
        <f t="shared" si="67"/>
        <v/>
      </c>
      <c r="H132" s="137" t="str">
        <f t="shared" si="67"/>
        <v/>
      </c>
      <c r="I132" s="137">
        <f t="shared" si="67"/>
        <v>4.5305264159999998</v>
      </c>
      <c r="J132" s="137">
        <f t="shared" si="67"/>
        <v>4.5305264159999998</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8" s="13" customFormat="1">
      <c r="A133" s="78"/>
      <c r="B133" s="87" t="s">
        <v>3</v>
      </c>
      <c r="C133" s="88" t="s">
        <v>37</v>
      </c>
      <c r="D133" s="406">
        <f>INDEX('Apoio - Notas Explicativas'!$Q:$Q,MATCH(C133,'Apoio - Notas Explicativas'!$C:$C,0))</f>
        <v>8.0999999999999996E-3</v>
      </c>
      <c r="E133" s="99">
        <f t="shared" ref="E133:X133" si="68">IFERROR($D133*(E61+E66+E67),"")</f>
        <v>31.570865726399994</v>
      </c>
      <c r="F133" s="137">
        <f t="shared" si="68"/>
        <v>38.286849890015986</v>
      </c>
      <c r="G133" s="137" t="str">
        <f t="shared" si="68"/>
        <v/>
      </c>
      <c r="H133" s="137" t="str">
        <f t="shared" si="68"/>
        <v/>
      </c>
      <c r="I133" s="137">
        <f t="shared" si="68"/>
        <v>183.48631984799999</v>
      </c>
      <c r="J133" s="137">
        <f t="shared" si="68"/>
        <v>183.48631984799999</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8" s="13" customFormat="1">
      <c r="A134" s="78"/>
      <c r="B134" s="87" t="s">
        <v>7</v>
      </c>
      <c r="C134" s="88" t="s">
        <v>188</v>
      </c>
      <c r="D134" s="406">
        <f>INDEX('Apoio - Notas Explicativas'!$Q:$Q,MATCH(C134,'Apoio - Notas Explicativas'!$C:$C,0))</f>
        <v>2.9999999999999997E-4</v>
      </c>
      <c r="E134" s="99">
        <f t="shared" ref="E134:X134" si="69">IFERROR($D134*(E61+E66+E67),"")</f>
        <v>1.1692913231999997</v>
      </c>
      <c r="F134" s="137">
        <f t="shared" si="69"/>
        <v>1.4180314774079994</v>
      </c>
      <c r="G134" s="137" t="str">
        <f t="shared" si="69"/>
        <v/>
      </c>
      <c r="H134" s="137" t="str">
        <f t="shared" si="69"/>
        <v/>
      </c>
      <c r="I134" s="137">
        <f t="shared" si="69"/>
        <v>6.7957896239999993</v>
      </c>
      <c r="J134" s="137">
        <f t="shared" si="69"/>
        <v>6.7957896239999993</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c r="AB134" s="795"/>
    </row>
    <row r="135" spans="1:28" s="13" customFormat="1">
      <c r="A135" s="78"/>
      <c r="B135" s="87" t="s">
        <v>6</v>
      </c>
      <c r="C135" s="88" t="s">
        <v>38</v>
      </c>
      <c r="D135" s="406">
        <f>INDEX('Apoio - Notas Explicativas'!$Q:$Q,MATCH(C135,'Apoio - Notas Explicativas'!$C:$C,0))</f>
        <v>6.9999999999999999E-4</v>
      </c>
      <c r="E135" s="99">
        <f t="shared" ref="E135:X135" si="70">IFERROR((E$61+E67)*$D$135,"")</f>
        <v>2.5380657301999996</v>
      </c>
      <c r="F135" s="137">
        <f t="shared" si="70"/>
        <v>3.0779815309879992</v>
      </c>
      <c r="G135" s="137" t="str">
        <f t="shared" si="70"/>
        <v/>
      </c>
      <c r="H135" s="137" t="str">
        <f t="shared" si="70"/>
        <v/>
      </c>
      <c r="I135" s="137">
        <f t="shared" si="70"/>
        <v>14.750952489000001</v>
      </c>
      <c r="J135" s="137">
        <f t="shared" si="70"/>
        <v>14.750952489000001</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8" s="13" customFormat="1">
      <c r="A136" s="78"/>
      <c r="B136" s="87" t="s">
        <v>5</v>
      </c>
      <c r="C136" s="88" t="s">
        <v>92</v>
      </c>
      <c r="D136" s="406">
        <f>SUM(D130:D135)*SUM(D81:D82,D72:D77)</f>
        <v>1.4425600000000002E-2</v>
      </c>
      <c r="E136" s="99">
        <f t="shared" ref="E136:X136" si="71">IF(E18="","",SUM(E130:E135)*SUM($D$72:$D$77,$D$81:$D$82))</f>
        <v>52.373833387075209</v>
      </c>
      <c r="F136" s="137">
        <f t="shared" si="71"/>
        <v>63.515176125780293</v>
      </c>
      <c r="G136" s="137" t="str">
        <f t="shared" si="71"/>
        <v/>
      </c>
      <c r="H136" s="137" t="str">
        <f t="shared" si="71"/>
        <v/>
      </c>
      <c r="I136" s="137">
        <f t="shared" si="71"/>
        <v>304.39082753726416</v>
      </c>
      <c r="J136" s="137">
        <f t="shared" si="71"/>
        <v>304.39082753726416</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8" s="13" customFormat="1">
      <c r="A137" s="78"/>
      <c r="B137" s="87" t="s">
        <v>4</v>
      </c>
      <c r="C137" s="88" t="s">
        <v>89</v>
      </c>
      <c r="D137" s="413">
        <f>INDEX('Apoio - Notas Explicativas'!$Q:$Q,MATCH(C137,'Apoio - Notas Explicativas'!$C:$C,0))</f>
        <v>37.96</v>
      </c>
      <c r="E137" s="99">
        <f t="shared" ref="E137:X137" si="72">IFERROR(((E114-SUM(E91,E96))/(30*12))*$D$137,"")</f>
        <v>28.569223222222217</v>
      </c>
      <c r="F137" s="137">
        <f t="shared" si="72"/>
        <v>28.569223222222217</v>
      </c>
      <c r="G137" s="137" t="str">
        <f t="shared" si="72"/>
        <v/>
      </c>
      <c r="H137" s="137" t="str">
        <f t="shared" si="72"/>
        <v/>
      </c>
      <c r="I137" s="137">
        <f t="shared" si="72"/>
        <v>2.6909422222222203</v>
      </c>
      <c r="J137" s="137">
        <f t="shared" si="72"/>
        <v>2.6909422222222203</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8" s="13" customFormat="1">
      <c r="A138" s="78"/>
      <c r="B138" s="87" t="s">
        <v>113</v>
      </c>
      <c r="C138" s="88" t="s">
        <v>39</v>
      </c>
      <c r="D138" s="413">
        <f>INDEX('Apoio - Notas Explicativas'!$Q:$Q,MATCH(C138,'Apoio - Notas Explicativas'!$C:$C,0))</f>
        <v>37.96</v>
      </c>
      <c r="E138" s="99">
        <f>IFERROR(((((E$125/12)*$D$138))/30),"")</f>
        <v>24.396168018444442</v>
      </c>
      <c r="F138" s="137">
        <f t="shared" ref="F138:X138" si="73">IFERROR(((((F$125/12)*$D$138))/30),"")</f>
        <v>29.585898306004438</v>
      </c>
      <c r="G138" s="137" t="str">
        <f t="shared" si="73"/>
        <v/>
      </c>
      <c r="H138" s="137" t="str">
        <f t="shared" si="73"/>
        <v/>
      </c>
      <c r="I138" s="137">
        <f t="shared" si="73"/>
        <v>141.78778392999999</v>
      </c>
      <c r="J138" s="137">
        <f t="shared" si="73"/>
        <v>141.78778392999999</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8" s="5" customFormat="1">
      <c r="A139" s="76"/>
      <c r="B139" s="171"/>
      <c r="C139" s="172" t="s">
        <v>120</v>
      </c>
      <c r="D139" s="175"/>
      <c r="E139" s="176">
        <f>IF(SUM(E130:E138)=0,"",SUM(E130:E138))</f>
        <v>247.65942404914182</v>
      </c>
      <c r="F139" s="174">
        <f t="shared" ref="F139:H139" si="74">IF(SUM(F130:F138)=0,"",SUM(F130:F138))</f>
        <v>294.26588495232289</v>
      </c>
      <c r="G139" s="176" t="str">
        <f t="shared" si="74"/>
        <v/>
      </c>
      <c r="H139" s="174" t="str">
        <f t="shared" si="74"/>
        <v/>
      </c>
      <c r="I139" s="174">
        <f t="shared" ref="I139:N139" si="75">IF(SUM(I130:I138)=0,"",SUM(I130:I138))</f>
        <v>1276.0185415624865</v>
      </c>
      <c r="J139" s="174">
        <f t="shared" si="75"/>
        <v>1276.0185415624865</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8" customFormat="1"/>
    <row r="141" spans="1:28"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8" s="13" customFormat="1">
      <c r="A142" s="79"/>
      <c r="B142" s="859"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8" s="13" customFormat="1">
      <c r="A143" s="79"/>
      <c r="B143" s="860"/>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8" s="13" customFormat="1">
      <c r="A144" s="79"/>
      <c r="B144" s="860"/>
      <c r="C144" s="136" t="s">
        <v>692</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61"/>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247.65942404914182</v>
      </c>
      <c r="F148" s="155">
        <f t="shared" ref="F148:H148" si="81">IF(F146="",F139,SUM(F146,F139))</f>
        <v>294.26588495232289</v>
      </c>
      <c r="G148" s="154" t="str">
        <f t="shared" si="81"/>
        <v/>
      </c>
      <c r="H148" s="452" t="str">
        <f t="shared" si="81"/>
        <v/>
      </c>
      <c r="I148" s="452">
        <f t="shared" ref="I148:N148" si="82">IF(I146="",I139,SUM(I146,I139))</f>
        <v>1276.0185415624865</v>
      </c>
      <c r="J148" s="452">
        <f t="shared" si="82"/>
        <v>1276.0185415624865</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488</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374.49</v>
      </c>
      <c r="F151" s="99">
        <f>IF(F18="","",ROUND(IF($D$151&lt;&gt;"",$D$151*SUM(F61,F116,F125,F148),IFERROR('Mat Individual e Uniformes'!K4/Proposta!$J$6,"")),2))</f>
        <v>374.49</v>
      </c>
      <c r="G151" s="99" t="str">
        <f>IF(G18="","",ROUND(IF($D$151&lt;&gt;"",$D$151*SUM(G61,G116,G125,G148),IFERROR('Mat Individual e Uniformes'!L4/Proposta!$J$6,"")),2))</f>
        <v/>
      </c>
      <c r="H151" s="99" t="str">
        <f>IF(H18="","",ROUND(IF($D$151&lt;&gt;"",$D$151*SUM(H61,H116,H125,H148),IFERROR('Mat Individual e Uniformes'!M4/Proposta!$J$6,"")),2))</f>
        <v/>
      </c>
      <c r="I151" s="99">
        <f>IF(I18="","",ROUND(IF($D$151&lt;&gt;"",$D$151*SUM(I61,I116,I125,I148),IFERROR('Mat Individual e Uniformes'!N4/Proposta!$J$6,"")),2))</f>
        <v>0</v>
      </c>
      <c r="J151" s="99">
        <f>IF(J18="","",ROUND(IF($D$151&lt;&gt;"",$D$151*SUM(J61,J116,J125,J148),IFERROR('Mat Individual e Uniformes'!O4/Proposta!$J$6,"")),2))</f>
        <v>0</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f>IFERROR(
        IF(OR(F18="",$D$152="Não"),       "",
        IF($D$152="Sim",                  'Mat Coletivo e Equipamentos'!$I$4/SUM($E$29:$XX$29),
        ROUND(IF($D$152&lt;&gt;"",$D$152*SUM(F61,F116,F125,F148,F151),
0),2))),0)</f>
        <v>0</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f>IFERROR(
        IF(OR(I18="",$D$152="Não"),       "",
        IF($D$152="Sim",                  'Mat Coletivo e Equipamentos'!$I$4/SUM($E$29:$XX$29),
        ROUND(IF($D$152&lt;&gt;"",$D$152*SUM(I61,I116,I125,I148,I151),
0),2))),0)</f>
        <v>0</v>
      </c>
      <c r="J152" s="99">
        <f>IFERROR(
        IF(OR(J18="",$D$152="Não"),       "",
        IF($D$152="Sim",                  'Mat Coletivo e Equipamentos'!$I$4/SUM($E$29:$XX$29),
        ROUND(IF($D$152&lt;&gt;"",$D$152*SUM(J61,J116,J125,J148,J151),
0),2))),0)</f>
        <v>0</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374.49</v>
      </c>
      <c r="F153" s="155">
        <f>IF(F18="","",SUM(F151:F152))</f>
        <v>374.49</v>
      </c>
      <c r="G153" s="155" t="str">
        <f>IF(G18="","",SUM(G151:G152))</f>
        <v/>
      </c>
      <c r="H153" s="155" t="str">
        <f>IF(H18="","",SUM(H151:H152))</f>
        <v/>
      </c>
      <c r="I153" s="155">
        <f>IF(I18="","",SUM(I151:I152))</f>
        <v>0</v>
      </c>
      <c r="J153" s="155">
        <f t="shared" ref="J153:X153" si="84">IF(J18="","",SUM(J151:J151))</f>
        <v>0</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339.74</v>
      </c>
      <c r="F158" s="99">
        <f t="shared" si="85"/>
        <v>401.25</v>
      </c>
      <c r="G158" s="99" t="str">
        <f t="shared" si="85"/>
        <v/>
      </c>
      <c r="H158" s="99" t="str">
        <f t="shared" si="85"/>
        <v/>
      </c>
      <c r="I158" s="99">
        <f t="shared" si="85"/>
        <v>1762.95</v>
      </c>
      <c r="J158" s="99">
        <f t="shared" si="85"/>
        <v>1762.95</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713.46</v>
      </c>
      <c r="F159" s="99">
        <f t="shared" si="86"/>
        <v>842.63</v>
      </c>
      <c r="G159" s="99" t="str">
        <f t="shared" si="86"/>
        <v/>
      </c>
      <c r="H159" s="99" t="str">
        <f t="shared" si="86"/>
        <v/>
      </c>
      <c r="I159" s="99">
        <f t="shared" si="86"/>
        <v>3702.19</v>
      </c>
      <c r="J159" s="99">
        <f t="shared" si="86"/>
        <v>3702.19</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1053.2</v>
      </c>
      <c r="F160" s="176">
        <f t="shared" si="87"/>
        <v>1243.8800000000001</v>
      </c>
      <c r="G160" s="176" t="str">
        <f t="shared" si="87"/>
        <v/>
      </c>
      <c r="H160" s="176" t="str">
        <f t="shared" si="87"/>
        <v/>
      </c>
      <c r="I160" s="176">
        <f t="shared" si="87"/>
        <v>5465.14</v>
      </c>
      <c r="J160" s="176">
        <f t="shared" si="87"/>
        <v>5465.14</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257.74</v>
      </c>
      <c r="F163" s="99">
        <f t="shared" si="88"/>
        <v>304.39999999999998</v>
      </c>
      <c r="G163" s="99" t="str">
        <f t="shared" si="88"/>
        <v/>
      </c>
      <c r="H163" s="99" t="str">
        <f t="shared" si="88"/>
        <v/>
      </c>
      <c r="I163" s="99">
        <f t="shared" si="88"/>
        <v>1337.41</v>
      </c>
      <c r="J163" s="99">
        <f t="shared" si="88"/>
        <v>1337.41</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55.84</v>
      </c>
      <c r="F164" s="99">
        <f t="shared" si="89"/>
        <v>65.95</v>
      </c>
      <c r="G164" s="99" t="str">
        <f t="shared" si="89"/>
        <v/>
      </c>
      <c r="H164" s="99" t="str">
        <f t="shared" si="89"/>
        <v/>
      </c>
      <c r="I164" s="99">
        <f t="shared" si="89"/>
        <v>289.77</v>
      </c>
      <c r="J164" s="99">
        <f t="shared" si="89"/>
        <v>289.77</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62"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52"/>
      <c r="C166" s="136" t="s">
        <v>353</v>
      </c>
      <c r="D166" s="181"/>
      <c r="E166" s="388">
        <f>IF(E18="","",
IF($D$13="Simples",INDEX('Apoio - Notas Explicativas'!$Q:$Q,MATCH($C$165,'Apoio - Notas Explicativas'!$C:$C,0)),
IFERROR(VLOOKUP(E$18,'Apoio - Posto'!$A:$AA,20,FALSE),
INDEX('Apoio - Notas Explicativas'!$Q:$Q,MATCH($C$165,'Apoio - Notas Explicativas'!$C:$C,0))
)))</f>
        <v>0.05</v>
      </c>
      <c r="F166" s="388">
        <f>IF(F18="","",
IF($D$13="Simples",INDEX('Apoio - Notas Explicativas'!$Q:$Q,MATCH($C$165,'Apoio - Notas Explicativas'!$C:$C,0)),
IFERROR(VLOOKUP(F$18,'Apoio - Posto'!$A:$AA,20,FALSE),
INDEX('Apoio - Notas Explicativas'!$Q:$Q,MATCH($C$165,'Apoio - Notas Explicativas'!$C:$C,0))
)))</f>
        <v>0.05</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f>IF(I18="","",
IF($D$13="Simples",INDEX('Apoio - Notas Explicativas'!$Q:$Q,MATCH($C$165,'Apoio - Notas Explicativas'!$C:$C,0)),
IFERROR(VLOOKUP(I$18,'Apoio - Posto'!$A:$AA,20,FALSE),
INDEX('Apoio - Notas Explicativas'!$Q:$Q,MATCH($C$165,'Apoio - Notas Explicativas'!$C:$C,0))
)))</f>
        <v>0.05</v>
      </c>
      <c r="J166" s="388">
        <f>IF(J18="","",
IF($D$13="Simples",INDEX('Apoio - Notas Explicativas'!$Q:$Q,MATCH($C$165,'Apoio - Notas Explicativas'!$C:$C,0)),
IFERROR(VLOOKUP(J$18,'Apoio - Posto'!$A:$AA,20,FALSE),
INDEX('Apoio - Notas Explicativas'!$Q:$Q,MATCH($C$165,'Apoio - Notas Explicativas'!$C:$C,0))
)))</f>
        <v>0.05</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53"/>
      <c r="C167" s="88"/>
      <c r="D167" s="415" t="s">
        <v>41</v>
      </c>
      <c r="E167" s="147">
        <f t="shared" ref="E167:X167" si="90">IF(E21="","",IFERROR(ROUND(SUM(E$160,E$61,E$116,E$125,E$148,E$153)*E166/(1-SUM($D$163:$D$168,E166)),2),""))</f>
        <v>429.56</v>
      </c>
      <c r="F167" s="147">
        <f t="shared" si="90"/>
        <v>507.33</v>
      </c>
      <c r="G167" s="147" t="str">
        <f t="shared" si="90"/>
        <v/>
      </c>
      <c r="H167" s="147" t="str">
        <f t="shared" si="90"/>
        <v/>
      </c>
      <c r="I167" s="147">
        <f t="shared" si="90"/>
        <v>2229.02</v>
      </c>
      <c r="J167" s="147">
        <f t="shared" si="90"/>
        <v>2229.02</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f t="shared" si="91"/>
        <v>0</v>
      </c>
      <c r="G168" s="99" t="str">
        <f t="shared" si="91"/>
        <v/>
      </c>
      <c r="H168" s="99" t="str">
        <f t="shared" si="91"/>
        <v/>
      </c>
      <c r="I168" s="99">
        <f t="shared" si="91"/>
        <v>0</v>
      </c>
      <c r="J168" s="99">
        <f t="shared" si="91"/>
        <v>0</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743.1400000000001</v>
      </c>
      <c r="F169" s="192">
        <f t="shared" si="92"/>
        <v>877.68</v>
      </c>
      <c r="G169" s="192" t="str">
        <f t="shared" si="92"/>
        <v/>
      </c>
      <c r="H169" s="192" t="str">
        <f t="shared" si="92"/>
        <v/>
      </c>
      <c r="I169" s="192">
        <f t="shared" si="92"/>
        <v>3856.2</v>
      </c>
      <c r="J169" s="192">
        <f t="shared" si="92"/>
        <v>3856.2</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1796.3400000000001</v>
      </c>
      <c r="F171" s="155">
        <f t="shared" si="93"/>
        <v>2121.56</v>
      </c>
      <c r="G171" s="155" t="str">
        <f t="shared" si="93"/>
        <v/>
      </c>
      <c r="H171" s="155" t="str">
        <f t="shared" si="93"/>
        <v/>
      </c>
      <c r="I171" s="155">
        <f t="shared" si="93"/>
        <v>9321.34</v>
      </c>
      <c r="J171" s="155">
        <f t="shared" si="93"/>
        <v>9321.34</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437</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47.73</v>
      </c>
      <c r="F176" s="99">
        <f>IFERROR(IF(F18="","",ROUND(F178/SUM(F52,INDEX('Apoio - Regime de Trabalho'!$I:$I,MATCH(F26,'Apoio - Regime de Trabalho'!$A:$A,0))),2)),"")</f>
        <v>56.37</v>
      </c>
      <c r="G176" s="99" t="str">
        <f>IFERROR(IF(G18="","",ROUND(G178/SUM(G52,INDEX('Apoio - Regime de Trabalho'!$I:$I,MATCH(G26,'Apoio - Regime de Trabalho'!$A:$A,0))),2)),"")</f>
        <v/>
      </c>
      <c r="H176" s="99" t="str">
        <f>IFERROR(IF(H18="","",ROUND(H178/SUM(H52,INDEX('Apoio - Regime de Trabalho'!$I:$I,MATCH(H26,'Apoio - Regime de Trabalho'!$A:$A,0))),2)),"")</f>
        <v/>
      </c>
      <c r="I176" s="99">
        <f>IFERROR(IF(I18="","",ROUND(I178/SUM(I52,INDEX('Apoio - Regime de Trabalho'!$I:$I,MATCH(I26,'Apoio - Regime de Trabalho'!$A:$A,0))),2)),"")</f>
        <v>232.19</v>
      </c>
      <c r="J176" s="99">
        <f>IFERROR(IF(J18="","",ROUND(J178/SUM(J52,INDEX('Apoio - Regime de Trabalho'!$I:$I,MATCH(J26,'Apoio - Regime de Trabalho'!$A:$A,0))),2)),"")</f>
        <v>232.19</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572.75</v>
      </c>
      <c r="F177" s="99">
        <f>IF(F18="","",ROUND(SUM(F61,F116,F125,F148,F153,F171)/INDEX('Apoio - Regime de Trabalho'!$G:$G,MATCH(F26,'Apoio - Regime de Trabalho'!$A:$A,0)),2))</f>
        <v>676.44</v>
      </c>
      <c r="G177" s="99" t="str">
        <f>IF(G18="","",ROUND(SUM(G61,G116,G125,G148,G153,G171)/INDEX('Apoio - Regime de Trabalho'!$G:$G,MATCH(G26,'Apoio - Regime de Trabalho'!$A:$A,0)),2))</f>
        <v/>
      </c>
      <c r="H177" s="99" t="str">
        <f>IF(H18="","",ROUND(SUM(H61,H116,H125,H148,H153,H171)/INDEX('Apoio - Regime de Trabalho'!$G:$G,MATCH(H26,'Apoio - Regime de Trabalho'!$A:$A,0)),2))</f>
        <v/>
      </c>
      <c r="I177" s="99">
        <f>IF(I18="","",ROUND(SUM(I61,I116,I125,I148,I153,I171)/INDEX('Apoio - Regime de Trabalho'!$G:$G,MATCH(I26,'Apoio - Regime de Trabalho'!$A:$A,0)),2))</f>
        <v>2026.38</v>
      </c>
      <c r="J177" s="99">
        <f>IF(J18="","",ROUND(SUM(J61,J116,J125,J148,J153,J171)/INDEX('Apoio - Regime de Trabalho'!$G:$G,MATCH(J26,'Apoio - Regime de Trabalho'!$A:$A,0)),2))</f>
        <v>2026.38</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440</v>
      </c>
      <c r="D178" s="177"/>
      <c r="E178" s="99">
        <f t="shared" ref="E178:X178" si="94">IF(E18="","",ROUND(SUM(E61,E116,E125,E148,E153,E171),2))</f>
        <v>8591.2199999999993</v>
      </c>
      <c r="F178" s="99">
        <f t="shared" si="94"/>
        <v>10146.56</v>
      </c>
      <c r="G178" s="99" t="str">
        <f t="shared" si="94"/>
        <v/>
      </c>
      <c r="H178" s="99" t="str">
        <f t="shared" si="94"/>
        <v/>
      </c>
      <c r="I178" s="99">
        <f t="shared" si="94"/>
        <v>44580.32</v>
      </c>
      <c r="J178" s="99">
        <f t="shared" si="94"/>
        <v>44580.32</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439</v>
      </c>
      <c r="D179" s="177"/>
      <c r="E179" s="99">
        <f t="shared" ref="E179:X179" si="95">IFERROR(ROUND(E178*E28,2),"")</f>
        <v>17182.439999999999</v>
      </c>
      <c r="F179" s="99">
        <f t="shared" si="95"/>
        <v>20293.12</v>
      </c>
      <c r="G179" s="99" t="str">
        <f t="shared" si="95"/>
        <v/>
      </c>
      <c r="H179" s="99" t="str">
        <f t="shared" si="95"/>
        <v/>
      </c>
      <c r="I179" s="99">
        <f t="shared" si="95"/>
        <v>44580.32</v>
      </c>
      <c r="J179" s="99">
        <f t="shared" si="95"/>
        <v>44580.32</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467</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38522.340000000004</v>
      </c>
      <c r="F182" s="99">
        <f t="shared" si="96"/>
        <v>45903.06</v>
      </c>
      <c r="G182" s="99" t="str">
        <f t="shared" si="96"/>
        <v/>
      </c>
      <c r="H182" s="99" t="str">
        <f t="shared" si="96"/>
        <v/>
      </c>
      <c r="I182" s="99">
        <f t="shared" si="96"/>
        <v>0</v>
      </c>
      <c r="J182" s="99">
        <f t="shared" si="96"/>
        <v>0</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434</v>
      </c>
      <c r="D183" s="177"/>
      <c r="E183" s="99">
        <f t="shared" ref="E183:X183" si="97">IFERROR(ROUND(E153*E29,2),"")</f>
        <v>2246.94</v>
      </c>
      <c r="F183" s="99">
        <f t="shared" si="97"/>
        <v>2246.94</v>
      </c>
      <c r="G183" s="99" t="str">
        <f t="shared" si="97"/>
        <v/>
      </c>
      <c r="H183" s="99" t="str">
        <f t="shared" si="97"/>
        <v/>
      </c>
      <c r="I183" s="99">
        <f t="shared" si="97"/>
        <v>0</v>
      </c>
      <c r="J183" s="99">
        <f t="shared" si="97"/>
        <v>0</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10778.04</v>
      </c>
      <c r="F184" s="99">
        <f t="shared" si="98"/>
        <v>12729.36</v>
      </c>
      <c r="G184" s="99" t="str">
        <f t="shared" si="98"/>
        <v/>
      </c>
      <c r="H184" s="99" t="str">
        <f t="shared" si="98"/>
        <v/>
      </c>
      <c r="I184" s="99">
        <f t="shared" si="98"/>
        <v>0</v>
      </c>
      <c r="J184" s="99">
        <f t="shared" si="98"/>
        <v>0</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466</v>
      </c>
      <c r="D185" s="177"/>
      <c r="E185" s="99">
        <f>IFERROR(ROUND((E182+E183+E184),2),"")</f>
        <v>51547.32</v>
      </c>
      <c r="F185" s="99">
        <f t="shared" ref="F185:H185" si="99">IFERROR(ROUND((F182+F183+F184),2),"")</f>
        <v>60879.360000000001</v>
      </c>
      <c r="G185" s="99" t="str">
        <f t="shared" si="99"/>
        <v/>
      </c>
      <c r="H185" s="99" t="str">
        <f t="shared" si="99"/>
        <v/>
      </c>
      <c r="I185" s="99">
        <f t="shared" ref="I185:N185" si="100">IFERROR(ROUND((I182+I183+I184),2),"")</f>
        <v>0</v>
      </c>
      <c r="J185" s="99">
        <f t="shared" si="100"/>
        <v>0</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438</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462268.08</v>
      </c>
      <c r="F188" s="99">
        <f t="shared" ref="F188:N188" si="102">IFERROR(ROUND(F182*$D$12,2),"")</f>
        <v>550836.72</v>
      </c>
      <c r="G188" s="99" t="str">
        <f t="shared" si="102"/>
        <v/>
      </c>
      <c r="H188" s="99" t="str">
        <f t="shared" si="102"/>
        <v/>
      </c>
      <c r="I188" s="99">
        <f t="shared" si="102"/>
        <v>0</v>
      </c>
      <c r="J188" s="99">
        <f t="shared" si="102"/>
        <v>0</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434</v>
      </c>
      <c r="D189" s="177"/>
      <c r="E189" s="99">
        <f>IFERROR(ROUND(E183*$D$12,2),"")</f>
        <v>26963.279999999999</v>
      </c>
      <c r="F189" s="99">
        <f t="shared" ref="F189:N189" si="104">IFERROR(ROUND(F183*$D$12,2),"")</f>
        <v>26963.279999999999</v>
      </c>
      <c r="G189" s="99" t="str">
        <f t="shared" si="104"/>
        <v/>
      </c>
      <c r="H189" s="99" t="str">
        <f t="shared" si="104"/>
        <v/>
      </c>
      <c r="I189" s="99">
        <f t="shared" si="104"/>
        <v>0</v>
      </c>
      <c r="J189" s="99">
        <f t="shared" si="104"/>
        <v>0</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129336.48</v>
      </c>
      <c r="F190" s="99">
        <f t="shared" ref="F190:N190" si="106">IFERROR(ROUND(F184*$D$12,2),"")</f>
        <v>152752.32000000001</v>
      </c>
      <c r="G190" s="99" t="str">
        <f t="shared" si="106"/>
        <v/>
      </c>
      <c r="H190" s="99" t="str">
        <f t="shared" si="106"/>
        <v/>
      </c>
      <c r="I190" s="99">
        <f t="shared" si="106"/>
        <v>0</v>
      </c>
      <c r="J190" s="99">
        <f t="shared" si="106"/>
        <v>0</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435</v>
      </c>
      <c r="D191" s="177"/>
      <c r="E191" s="99">
        <f>IFERROR(ROUND(E185*$D$12,2),"")</f>
        <v>618567.84</v>
      </c>
      <c r="F191" s="99">
        <f t="shared" ref="F191:N191" si="108">IFERROR(ROUND(F185*$D$12,2),"")</f>
        <v>730552.31999999995</v>
      </c>
      <c r="G191" s="99" t="str">
        <f t="shared" si="108"/>
        <v/>
      </c>
      <c r="H191" s="99" t="str">
        <f t="shared" si="108"/>
        <v/>
      </c>
      <c r="I191" s="99">
        <f t="shared" si="108"/>
        <v>0</v>
      </c>
      <c r="J191" s="99">
        <f t="shared" si="108"/>
        <v>0</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34:X34 E37:X38 E41:X41 E44:X45 E59:X60 E87:X90 E98:X99 E104:X105 E143:X144 E93:X95 E18:X27">
    <cfRule type="expression" dxfId="26" priority="7">
      <formula>$H$5=1</formula>
    </cfRule>
  </conditionalFormatting>
  <conditionalFormatting sqref="D9:D10 D13:D15 E34:X34 E37:X38 E41:X41 E44:X45 E59:X60 D79:D80 E88:X90 E98:X99 E104:X105 D130:D138 E143:X144 E93:X95 E20:X25">
    <cfRule type="expression" dxfId="25" priority="8">
      <formula>$H$5=2</formula>
    </cfRule>
  </conditionalFormatting>
  <conditionalFormatting sqref="D15 E21:X21 E87:X87 E98:X98 E101:X102 E104:X104 E107:X107 E93:X93 E24:X25">
    <cfRule type="expression" dxfId="24" priority="6">
      <formula>$H$5=4</formula>
    </cfRule>
  </conditionalFormatting>
  <conditionalFormatting sqref="E51:X52">
    <cfRule type="expression" dxfId="23" priority="4">
      <formula>$H$5=1</formula>
    </cfRule>
    <cfRule type="expression" dxfId="22" priority="5">
      <formula>$H$5=2</formula>
    </cfRule>
  </conditionalFormatting>
  <conditionalFormatting sqref="E109:X109">
    <cfRule type="expression" dxfId="21" priority="1">
      <formula>$H$5=4</formula>
    </cfRule>
  </conditionalFormatting>
  <conditionalFormatting sqref="E166:X166">
    <cfRule type="expression" dxfId="20" priority="2">
      <formula>$H$5=1</formula>
    </cfRule>
    <cfRule type="expression" dxfId="19"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00000000-0002-0000-0000-00000C000000}">
      <formula1>"Indenização,Rendição"</formula1>
    </dataValidation>
    <dataValidation allowBlank="1" sqref="A19:XFD19" xr:uid="{00000000-0002-0000-0000-00000D000000}"/>
    <dataValidation type="list" allowBlank="1" sqref="D152" xr:uid="{00000000-0002-0000-0000-00000E000000}">
      <formula1>"Sim,Não"</formula1>
    </dataValidation>
  </dataValidations>
  <hyperlinks>
    <hyperlink ref="C151" location="'Mat Individual e Uniformes func'!A1" display="Material Individual e Uniformes" xr:uid="{00000000-0004-0000-0000-000000000000}"/>
    <hyperlink ref="K25" r:id="rId1" display="http://www3.mte.gov.br/sistemas/mediador/ConsultarInstColetivo" xr:uid="{00000000-0004-0000-0000-000002000000}"/>
    <hyperlink ref="L25" r:id="rId2" display="http://www3.mte.gov.br/sistemas/mediador/ConsultarInstColetivo" xr:uid="{00000000-0004-0000-0000-000003000000}"/>
    <hyperlink ref="M25" r:id="rId3" display="http://www3.mte.gov.br/sistemas/mediador/ConsultarInstColetivo" xr:uid="{00000000-0004-0000-0000-000004000000}"/>
    <hyperlink ref="N25" r:id="rId4" display="http://www3.mte.gov.br/sistemas/mediador/ConsultarInstColetivo" xr:uid="{00000000-0004-0000-0000-000005000000}"/>
    <hyperlink ref="C152" location="'Mat Coletivo e Equipamentos'!A1" display="Material Coletivo e Equipamentos" xr:uid="{00000000-0004-0000-0000-000006000000}"/>
    <hyperlink ref="O25" r:id="rId5" display="http://www3.mte.gov.br/sistemas/mediador/ConsultarInstColetivo" xr:uid="{00000000-0004-0000-0000-000007000000}"/>
    <hyperlink ref="P25" r:id="rId6" display="http://www3.mte.gov.br/sistemas/mediador/ConsultarInstColetivo" xr:uid="{00000000-0004-0000-0000-000008000000}"/>
    <hyperlink ref="Q25" r:id="rId7" display="http://www3.mte.gov.br/sistemas/mediador/ConsultarInstColetivo" xr:uid="{00000000-0004-0000-0000-000009000000}"/>
    <hyperlink ref="R25" r:id="rId8" display="http://www3.mte.gov.br/sistemas/mediador/ConsultarInstColetivo" xr:uid="{00000000-0004-0000-0000-00000A000000}"/>
    <hyperlink ref="S25" r:id="rId9" display="http://www3.mte.gov.br/sistemas/mediador/ConsultarInstColetivo" xr:uid="{00000000-0004-0000-0000-00000B000000}"/>
    <hyperlink ref="T25" r:id="rId10" display="http://www3.mte.gov.br/sistemas/mediador/ConsultarInstColetivo" xr:uid="{00000000-0004-0000-0000-00000C000000}"/>
    <hyperlink ref="U25" r:id="rId11" display="http://www3.mte.gov.br/sistemas/mediador/ConsultarInstColetivo" xr:uid="{00000000-0004-0000-0000-00000D000000}"/>
    <hyperlink ref="V25" r:id="rId12" display="http://www3.mte.gov.br/sistemas/mediador/ConsultarInstColetivo" xr:uid="{00000000-0004-0000-0000-00000E000000}"/>
    <hyperlink ref="W25" r:id="rId13" display="http://www3.mte.gov.br/sistemas/mediador/ConsultarInstColetivo" xr:uid="{00000000-0004-0000-0000-00000F000000}"/>
    <hyperlink ref="X25" r:id="rId14" display="http://www3.mte.gov.br/sistemas/mediador/ConsultarInstColetivo" xr:uid="{00000000-0004-0000-0000-000010000000}"/>
  </hyperlinks>
  <pageMargins left="0.51181102362204722" right="0.51181102362204722" top="0.78740157480314965" bottom="0.78740157480314965" header="0.31496062992125984" footer="0.31496062992125984"/>
  <pageSetup paperSize="9" fitToHeight="20" orientation="portrait" r:id="rId15"/>
  <headerFooter>
    <oddFooter>&amp;R&amp;P/&amp;N</oddFooter>
  </headerFooter>
  <drawing r:id="rId16"/>
  <legacyDrawing r:id="rId17"/>
  <mc:AlternateContent xmlns:mc="http://schemas.openxmlformats.org/markup-compatibility/2006">
    <mc:Choice Requires="x14">
      <controls>
        <mc:AlternateContent xmlns:mc="http://schemas.openxmlformats.org/markup-compatibility/2006">
          <mc:Choice Requires="x14">
            <control shapeId="30721" r:id="rId18" name="Group Box 1">
              <controlPr defaultSize="0" autoFill="0" autoPict="0">
                <anchor>
                  <from>
                    <xdr:col>5</xdr:col>
                    <xdr:colOff>323850</xdr:colOff>
                    <xdr:row>3</xdr:row>
                    <xdr:rowOff>0</xdr:rowOff>
                  </from>
                  <to>
                    <xdr:col>8</xdr:col>
                    <xdr:colOff>1095375</xdr:colOff>
                    <xdr:row>10</xdr:row>
                    <xdr:rowOff>114300</xdr:rowOff>
                  </to>
                </anchor>
              </controlPr>
            </control>
          </mc:Choice>
        </mc:AlternateContent>
        <mc:AlternateContent xmlns:mc="http://schemas.openxmlformats.org/markup-compatibility/2006">
          <mc:Choice Requires="x14">
            <control shapeId="30722" r:id="rId19" name="Option Button 2">
              <controlPr defaultSize="0" autoFill="0" autoLine="0" autoPict="0" altText="Formação de Preços">
                <anchor>
                  <from>
                    <xdr:col>5</xdr:col>
                    <xdr:colOff>476250</xdr:colOff>
                    <xdr:row>4</xdr:row>
                    <xdr:rowOff>9525</xdr:rowOff>
                  </from>
                  <to>
                    <xdr:col>8</xdr:col>
                    <xdr:colOff>542925</xdr:colOff>
                    <xdr:row>5</xdr:row>
                    <xdr:rowOff>85725</xdr:rowOff>
                  </to>
                </anchor>
              </controlPr>
            </control>
          </mc:Choice>
        </mc:AlternateContent>
        <mc:AlternateContent xmlns:mc="http://schemas.openxmlformats.org/markup-compatibility/2006">
          <mc:Choice Requires="x14">
            <control shapeId="30723" r:id="rId20" name="Option Button 3">
              <controlPr defaultSize="0" autoFill="0" autoLine="0" autoPict="0">
                <anchor moveWithCells="1">
                  <from>
                    <xdr:col>5</xdr:col>
                    <xdr:colOff>476250</xdr:colOff>
                    <xdr:row>5</xdr:row>
                    <xdr:rowOff>114300</xdr:rowOff>
                  </from>
                  <to>
                    <xdr:col>8</xdr:col>
                    <xdr:colOff>542925</xdr:colOff>
                    <xdr:row>7</xdr:row>
                    <xdr:rowOff>19050</xdr:rowOff>
                  </to>
                </anchor>
              </controlPr>
            </control>
          </mc:Choice>
        </mc:AlternateContent>
        <mc:AlternateContent xmlns:mc="http://schemas.openxmlformats.org/markup-compatibility/2006">
          <mc:Choice Requires="x14">
            <control shapeId="30724" r:id="rId21" name="Option Button 4">
              <controlPr defaultSize="0" autoFill="0" autoLine="0" autoPict="0">
                <anchor moveWithCells="1">
                  <from>
                    <xdr:col>5</xdr:col>
                    <xdr:colOff>476250</xdr:colOff>
                    <xdr:row>8</xdr:row>
                    <xdr:rowOff>171450</xdr:rowOff>
                  </from>
                  <to>
                    <xdr:col>8</xdr:col>
                    <xdr:colOff>542925</xdr:colOff>
                    <xdr:row>10</xdr:row>
                    <xdr:rowOff>66675</xdr:rowOff>
                  </to>
                </anchor>
              </controlPr>
            </control>
          </mc:Choice>
        </mc:AlternateContent>
        <mc:AlternateContent xmlns:mc="http://schemas.openxmlformats.org/markup-compatibility/2006">
          <mc:Choice Requires="x14">
            <control shapeId="30725" r:id="rId22" name="Option Button 5">
              <controlPr defaultSize="0" autoFill="0" autoLine="0" autoPict="0" altText="Formação de Preços">
                <anchor>
                  <from>
                    <xdr:col>5</xdr:col>
                    <xdr:colOff>476250</xdr:colOff>
                    <xdr:row>7</xdr:row>
                    <xdr:rowOff>47625</xdr:rowOff>
                  </from>
                  <to>
                    <xdr:col>8</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F000000}">
          <x14:formula1>
            <xm:f>'Apoio - Posto'!$B:$B</xm:f>
          </x14:formula1>
          <xm:sqref>E20:X20</xm:sqref>
        </x14:dataValidation>
        <x14:dataValidation type="list" allowBlank="1" xr:uid="{00000000-0002-0000-0000-000010000000}">
          <x14:formula1>
            <xm:f>'Apoio - Posto'!$A:$A</xm:f>
          </x14:formula1>
          <xm:sqref>E18:X18</xm:sqref>
        </x14:dataValidation>
        <x14:dataValidation type="list" xr:uid="{00000000-0002-0000-0000-000011000000}">
          <x14:formula1>
            <xm:f>'Apoio - Posto'!$C:$C</xm:f>
          </x14:formula1>
          <xm:sqref>E23:X23</xm:sqref>
        </x14:dataValidation>
        <x14:dataValidation type="list" allowBlank="1" xr:uid="{00000000-0002-0000-0000-000012000000}">
          <x14:formula1>
            <xm:f>'Apoio - Dados'!$A:$A</xm:f>
          </x14:formula1>
          <xm:sqref>D5:E5</xm:sqref>
        </x14:dataValidation>
        <x14:dataValidation type="list" allowBlank="1" showInputMessage="1" showErrorMessage="1" xr:uid="{00000000-0002-0000-0000-000013000000}">
          <x14:formula1>
            <xm:f>'Apoio - Notas Explicativas'!$H$15:$K$15</xm:f>
          </x14:formula1>
          <xm:sqref>D13</xm:sqref>
        </x14:dataValidation>
        <x14:dataValidation type="list" allowBlank="1" showInputMessage="1" showErrorMessage="1" xr:uid="{00000000-0002-0000-0000-000014000000}">
          <x14:formula1>
            <xm:f>'Apoio - Posto'!#REF!</xm:f>
          </x14:formula1>
          <xm:sqref>G10:G11</xm:sqref>
        </x14:dataValidation>
        <x14:dataValidation type="list" allowBlank="1" showInputMessage="1" showErrorMessage="1" xr:uid="{00000000-0002-0000-0000-000015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42"/>
  <sheetViews>
    <sheetView showGridLines="0" topLeftCell="A4" zoomScale="90" zoomScaleNormal="90" workbookViewId="0">
      <selection activeCell="D13" sqref="D13"/>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3" width="12.7109375" style="42" bestFit="1" customWidth="1"/>
    <col min="14" max="14" width="12.28515625" style="42" customWidth="1"/>
    <col min="15" max="19" width="10.5703125" style="42" hidden="1" customWidth="1"/>
    <col min="20" max="29" width="0" style="42" hidden="1" customWidth="1"/>
    <col min="30" max="16384" width="9.140625" style="42"/>
  </cols>
  <sheetData>
    <row r="1" spans="2:29" ht="9.75" customHeight="1"/>
    <row r="2" spans="2:29">
      <c r="B2" s="871" t="s">
        <v>352</v>
      </c>
      <c r="C2" s="872"/>
      <c r="D2" s="872"/>
      <c r="E2" s="872"/>
      <c r="F2" s="872"/>
      <c r="G2" s="873"/>
      <c r="H2" s="717"/>
      <c r="J2" s="874" t="s">
        <v>401</v>
      </c>
      <c r="K2" s="875"/>
      <c r="L2" s="875"/>
      <c r="M2" s="875"/>
      <c r="N2" s="875"/>
      <c r="O2" s="875"/>
      <c r="P2" s="875"/>
      <c r="Q2" s="875"/>
      <c r="R2" s="875"/>
      <c r="S2" s="875"/>
      <c r="T2" s="875"/>
      <c r="U2" s="875"/>
      <c r="V2" s="875"/>
      <c r="W2" s="875"/>
      <c r="X2" s="875"/>
      <c r="Y2" s="875"/>
      <c r="Z2" s="875"/>
      <c r="AA2" s="875"/>
      <c r="AB2" s="875"/>
      <c r="AC2" s="876"/>
    </row>
    <row r="3" spans="2:29" ht="45">
      <c r="B3" s="641" t="s">
        <v>184</v>
      </c>
      <c r="C3" s="641" t="s">
        <v>40</v>
      </c>
      <c r="D3" s="641" t="s">
        <v>491</v>
      </c>
      <c r="E3" s="641" t="s">
        <v>490</v>
      </c>
      <c r="F3" s="641" t="s">
        <v>41</v>
      </c>
      <c r="G3" s="641" t="s">
        <v>483</v>
      </c>
      <c r="H3" s="641" t="s">
        <v>484</v>
      </c>
      <c r="J3" s="641" t="str">
        <f xml:space="preserve">
IF(IFERROR(SUM(Produtividade!$L$196:$L$221)&gt;0,FALSE()),Produtividade!E17,'Mão de Obra'!E17)</f>
        <v>Posto A</v>
      </c>
      <c r="K3" s="641" t="str">
        <f xml:space="preserve">
IF(IFERROR(SUM(Produtividade!$L$196:$L$221)&gt;0,FALSE()),Produtividade!F17,'Mão de Obra'!F17)</f>
        <v>Posto B</v>
      </c>
      <c r="L3" s="641" t="str">
        <f xml:space="preserve">
IF(IFERROR(SUM(Produtividade!$L$196:$L$221)&gt;0,FALSE()),Produtividade!G17,'Mão de Obra'!G17)</f>
        <v>Posto C</v>
      </c>
      <c r="M3" s="641" t="str">
        <f xml:space="preserve">
IF(IFERROR(SUM(Produtividade!$L$196:$L$221)&gt;0,FALSE()),Produtividade!H17,'Mão de Obra'!H17)</f>
        <v>Posto D</v>
      </c>
      <c r="N3" s="641" t="str">
        <f xml:space="preserve">
IF(IFERROR(SUM(Produtividade!$L$196:$L$221)&gt;0,FALSE()),Produtividade!I17,'Mão de Obra'!I17)</f>
        <v>Posto D</v>
      </c>
      <c r="O3" s="641" t="str">
        <f xml:space="preserve">
IF(IFERROR(SUM(Produtividade!$L$196:$L$221)&gt;0,FALSE()),Produtividade!J17,'Mão de Obra'!J17)</f>
        <v>Posto E</v>
      </c>
      <c r="P3" s="641" t="str">
        <f xml:space="preserve">
IF(IFERROR(SUM(Produtividade!$L$196:$L$221)&gt;0,FALSE()),Produtividade!K17,'Mão de Obra'!K17)</f>
        <v>Posto G</v>
      </c>
      <c r="Q3" s="641" t="str">
        <f xml:space="preserve">
IF(IFERROR(SUM(Produtividade!$L$196:$L$221)&gt;0,FALSE()),Produtividade!L17,'Mão de Obra'!L17)</f>
        <v>Posto H</v>
      </c>
      <c r="R3" s="641" t="str">
        <f xml:space="preserve">
IF(IFERROR(SUM(Produtividade!$L$196:$L$221)&gt;0,FALSE()),Produtividade!M17,'Mão de Obra'!M17)</f>
        <v>Posto I</v>
      </c>
      <c r="S3" s="641" t="str">
        <f xml:space="preserve">
IF(IFERROR(SUM(Produtividade!$L$196:$L$221)&gt;0,FALSE()),Produtividade!N17,'Mão de Obra'!N17)</f>
        <v>Posto J</v>
      </c>
      <c r="T3" s="641" t="str">
        <f xml:space="preserve">
IF(IFERROR(SUM(Produtividade!$L$196:$L$221)&gt;0,FALSE()),Produtividade!O17,'Mão de Obra'!O17)</f>
        <v>Posto K</v>
      </c>
      <c r="U3" s="641" t="str">
        <f xml:space="preserve">
IF(IFERROR(SUM(Produtividade!$L$196:$L$221)&gt;0,FALSE()),Produtividade!P17,'Mão de Obra'!P17)</f>
        <v>Posto L</v>
      </c>
      <c r="V3" s="641" t="str">
        <f xml:space="preserve">
IF(IFERROR(SUM(Produtividade!$L$196:$L$221)&gt;0,FALSE()),Produtividade!Q17,'Mão de Obra'!Q17)</f>
        <v>Posto M</v>
      </c>
      <c r="W3" s="641" t="str">
        <f xml:space="preserve">
IF(IFERROR(SUM(Produtividade!$L$196:$L$221)&gt;0,FALSE()),Produtividade!R17,'Mão de Obra'!R17)</f>
        <v>Posto N</v>
      </c>
      <c r="X3" s="641" t="str">
        <f xml:space="preserve">
IF(IFERROR(SUM(Produtividade!$L$196:$L$221)&gt;0,FALSE()),Produtividade!S17,'Mão de Obra'!S17)</f>
        <v>Posto O</v>
      </c>
      <c r="Y3" s="641" t="str">
        <f xml:space="preserve">
IF(IFERROR(SUM(Produtividade!$L$196:$L$221)&gt;0,FALSE()),Produtividade!T17,'Mão de Obra'!T17)</f>
        <v>Posto P</v>
      </c>
      <c r="Z3" s="641" t="str">
        <f xml:space="preserve">
IF(IFERROR(SUM(Produtividade!$L$196:$L$221)&gt;0,FALSE()),Produtividade!U17,'Mão de Obra'!U17)</f>
        <v>Posto Q</v>
      </c>
      <c r="AA3" s="641" t="str">
        <f xml:space="preserve">
IF(IFERROR(SUM(Produtividade!$L$196:$L$221)&gt;0,FALSE()),Produtividade!V17,'Mão de Obra'!V17)</f>
        <v>Posto R</v>
      </c>
      <c r="AB3" s="641" t="str">
        <f xml:space="preserve">
IF(IFERROR(SUM(Produtividade!$L$196:$L$221)&gt;0,FALSE()),Produtividade!W17,'Mão de Obra'!W17)</f>
        <v>Posto S</v>
      </c>
      <c r="AC3" s="641" t="str">
        <f xml:space="preserve">
IF(IFERROR(SUM(Produtividade!$L$196:$L$221)&gt;0,FALSE()),Produtividade!X17,'Mão de Obra'!X17)</f>
        <v>Posto T</v>
      </c>
    </row>
    <row r="4" spans="2:29">
      <c r="F4" s="868" t="s">
        <v>550</v>
      </c>
      <c r="G4" s="869"/>
      <c r="H4" s="870"/>
      <c r="J4" s="718">
        <f>IFERROR(ROUND(SUMPRODUCT(J6:J1000,$H$6:$H$1000),2),"")</f>
        <v>4493.84</v>
      </c>
      <c r="K4" s="718">
        <f>IFERROR(ROUND(SUMPRODUCT(K6:K1000,$H$6:$H$1000),2),"")</f>
        <v>4493.84</v>
      </c>
      <c r="L4" s="718">
        <f>IFERROR(ROUND(SUMPRODUCT(L6:L1000,$H$6:$H$1000),2),"")</f>
        <v>4493.84</v>
      </c>
      <c r="M4" s="718">
        <f>IFERROR(ROUND(SUMPRODUCT(M6:M1000,$H$6:$H$1000),2),"")</f>
        <v>4493.84</v>
      </c>
      <c r="N4" s="718">
        <f>IFERROR(ROUND(SUMPRODUCT(N6:N1000,$H$6:$H$1000),2),"")</f>
        <v>0</v>
      </c>
      <c r="O4" s="718">
        <f>IFERROR(ROUND(SUMPRODUCT(O6:O1000,$H$6:$H$1000),2),"")</f>
        <v>0</v>
      </c>
      <c r="P4" s="718">
        <f>IFERROR(ROUND(SUMPRODUCT(P6:P1000,$H$6:$H$1000),2),"")</f>
        <v>0</v>
      </c>
      <c r="Q4" s="718">
        <f>IFERROR(ROUND(SUMPRODUCT(Q6:Q1000,$H$6:$H$1000),2),"")</f>
        <v>0</v>
      </c>
      <c r="R4" s="718">
        <f>IFERROR(ROUND(SUMPRODUCT(R6:R1000,$H$6:$H$1000),2),"")</f>
        <v>0</v>
      </c>
      <c r="S4" s="718">
        <f>IFERROR(ROUND(SUMPRODUCT(S6:S1000,$H$6:$H$1000),2),"")</f>
        <v>0</v>
      </c>
      <c r="T4" s="718">
        <f>IFERROR(ROUND(SUMPRODUCT(T6:T1000,$H$6:$H$1000),2),"")</f>
        <v>0</v>
      </c>
      <c r="U4" s="718">
        <f>IFERROR(ROUND(SUMPRODUCT(U6:U1000,$H$6:$H$1000),2),"")</f>
        <v>0</v>
      </c>
      <c r="V4" s="718">
        <f>IFERROR(ROUND(SUMPRODUCT(V6:V1000,$H$6:$H$1000),2),"")</f>
        <v>0</v>
      </c>
      <c r="W4" s="718">
        <f>IFERROR(ROUND(SUMPRODUCT(W6:W1000,$H$6:$H$1000),2),"")</f>
        <v>0</v>
      </c>
      <c r="X4" s="718">
        <f>IFERROR(ROUND(SUMPRODUCT(X6:X1000,$H$6:$H$1000),2),"")</f>
        <v>0</v>
      </c>
      <c r="Y4" s="718">
        <f>IFERROR(ROUND(SUMPRODUCT(Y6:Y1000,$H$6:$H$1000),2),"")</f>
        <v>0</v>
      </c>
      <c r="Z4" s="718">
        <f>IFERROR(ROUND(SUMPRODUCT(Z6:Z1000,$H$6:$H$1000),2),"")</f>
        <v>0</v>
      </c>
      <c r="AA4" s="718">
        <f>IFERROR(ROUND(SUMPRODUCT(AA6:AA1000,$H$6:$H$1000),2),"")</f>
        <v>0</v>
      </c>
      <c r="AB4" s="718">
        <f>IFERROR(ROUND(SUMPRODUCT(AB6:AB1000,$H$6:$H$1000),2),"")</f>
        <v>0</v>
      </c>
      <c r="AC4" s="718">
        <f>IFERROR(ROUND(SUMPRODUCT(AC6:AC1000,$H$6:$H$1000),2),"")</f>
        <v>0</v>
      </c>
    </row>
    <row r="5" spans="2:29">
      <c r="C5" s="42"/>
      <c r="E5" s="42"/>
    </row>
    <row r="6" spans="2:29">
      <c r="B6" s="249">
        <v>1</v>
      </c>
      <c r="C6" s="250"/>
      <c r="D6" s="251" t="s">
        <v>699</v>
      </c>
      <c r="E6" s="249" t="str">
        <f>IFERROR(VLOOKUP($D6,'Apoio - Uniforme e EPIs'!$A:$D,2,FALSE),"")</f>
        <v>par</v>
      </c>
      <c r="F6" s="716">
        <f>IFERROR(VLOOKUP($D6,'Apoio - Uniforme e EPIs'!$A:$D,3,FALSE),"")</f>
        <v>93.89</v>
      </c>
      <c r="G6" s="719" t="str">
        <f>IFERROR(IF(VLOOKUP($D6,'Apoio - Uniforme e EPIs'!$A:$D,4,FALSE)=0,"",VLOOKUP($D6,'Apoio - Uniforme e EPIs'!$A:$D,4,FALSE)),"")</f>
        <v/>
      </c>
      <c r="H6" s="252">
        <f>IFERROR(IF(ISNUMBER(G6),G6*'Mão de Obra'!$D$12/12,1)*F6,"")</f>
        <v>93.89</v>
      </c>
      <c r="J6" s="249">
        <v>1</v>
      </c>
      <c r="K6" s="249">
        <v>1</v>
      </c>
      <c r="L6" s="249">
        <v>1</v>
      </c>
      <c r="M6" s="249">
        <v>1</v>
      </c>
      <c r="N6" s="249"/>
      <c r="O6" s="249"/>
      <c r="P6" s="249"/>
      <c r="Q6" s="249"/>
      <c r="R6" s="249"/>
      <c r="S6" s="249"/>
      <c r="T6" s="249"/>
      <c r="U6" s="249"/>
      <c r="V6" s="249"/>
      <c r="W6" s="249"/>
      <c r="X6" s="249"/>
      <c r="Y6" s="249"/>
      <c r="Z6" s="249"/>
      <c r="AA6" s="249"/>
      <c r="AB6" s="249"/>
      <c r="AC6" s="249"/>
    </row>
    <row r="7" spans="2:29">
      <c r="B7" s="249">
        <v>2</v>
      </c>
      <c r="C7" s="250"/>
      <c r="D7" s="251" t="s">
        <v>788</v>
      </c>
      <c r="E7" s="249" t="s">
        <v>698</v>
      </c>
      <c r="F7" s="716">
        <v>91.7</v>
      </c>
      <c r="G7" s="719" t="str">
        <f>IFERROR(IF(VLOOKUP($D7,'Apoio - Uniforme e EPIs'!$A:$D,4,FALSE)=0,"",VLOOKUP($D7,'Apoio - Uniforme e EPIs'!$A:$D,4,FALSE)),"")</f>
        <v/>
      </c>
      <c r="H7" s="252">
        <f>IFERROR(IF(ISNUMBER(G7),G7*'Mão de Obra'!$D$12/12,1)*F7,"")</f>
        <v>91.7</v>
      </c>
      <c r="J7" s="249">
        <v>1</v>
      </c>
      <c r="K7" s="249">
        <v>1</v>
      </c>
      <c r="L7" s="249">
        <v>1</v>
      </c>
      <c r="M7" s="249">
        <v>1</v>
      </c>
      <c r="N7" s="249"/>
      <c r="O7" s="249"/>
      <c r="P7" s="249"/>
      <c r="Q7" s="249"/>
      <c r="R7" s="249"/>
      <c r="S7" s="249"/>
      <c r="T7" s="249"/>
      <c r="U7" s="249"/>
      <c r="V7" s="249"/>
      <c r="W7" s="249"/>
      <c r="X7" s="249"/>
      <c r="Y7" s="249"/>
      <c r="Z7" s="249"/>
      <c r="AA7" s="249"/>
      <c r="AB7" s="249"/>
      <c r="AC7" s="249"/>
    </row>
    <row r="8" spans="2:29">
      <c r="B8" s="249">
        <v>3</v>
      </c>
      <c r="C8" s="250"/>
      <c r="D8" s="251" t="s">
        <v>755</v>
      </c>
      <c r="E8" s="249" t="s">
        <v>693</v>
      </c>
      <c r="F8" s="716">
        <v>17.559999999999999</v>
      </c>
      <c r="G8" s="719" t="str">
        <f>IFERROR(IF(VLOOKUP($D8,'Apoio - Uniforme e EPIs'!$A:$D,4,FALSE)=0,"",VLOOKUP($D8,'Apoio - Uniforme e EPIs'!$A:$D,4,FALSE)),"")</f>
        <v/>
      </c>
      <c r="H8" s="252">
        <f>IFERROR(IF(ISNUMBER(G8),G8*'Mão de Obra'!$D$12/12,1)*F8,"")</f>
        <v>17.559999999999999</v>
      </c>
      <c r="J8" s="249">
        <v>1</v>
      </c>
      <c r="K8" s="249">
        <v>1</v>
      </c>
      <c r="L8" s="249">
        <v>1</v>
      </c>
      <c r="M8" s="249">
        <v>1</v>
      </c>
      <c r="N8" s="249"/>
      <c r="O8" s="249"/>
      <c r="P8" s="249"/>
      <c r="Q8" s="249"/>
      <c r="R8" s="249"/>
      <c r="S8" s="249"/>
      <c r="T8" s="249"/>
      <c r="U8" s="249"/>
      <c r="V8" s="249"/>
      <c r="W8" s="249"/>
      <c r="X8" s="249"/>
      <c r="Y8" s="249"/>
      <c r="Z8" s="249"/>
      <c r="AA8" s="249"/>
      <c r="AB8" s="249"/>
      <c r="AC8" s="249"/>
    </row>
    <row r="9" spans="2:29">
      <c r="B9" s="249">
        <v>4</v>
      </c>
      <c r="C9" s="250"/>
      <c r="D9" s="251" t="s">
        <v>728</v>
      </c>
      <c r="E9" s="249" t="str">
        <f>IFERROR(VLOOKUP($D9,'Apoio - Uniforme e EPIs'!$A:$C,2,FALSE),"")</f>
        <v>peça</v>
      </c>
      <c r="F9" s="716">
        <f>IFERROR(VLOOKUP($D9,'Apoio - Uniforme e EPIs'!$A:$D,3,FALSE),"")</f>
        <v>11.61</v>
      </c>
      <c r="G9" s="719" t="str">
        <f>IFERROR(IF(VLOOKUP($D9,'Apoio - Uniforme e EPIs'!$A:$D,4,FALSE)=0,"",VLOOKUP($D9,'Apoio - Uniforme e EPIs'!$A:$D,4,FALSE)),"")</f>
        <v/>
      </c>
      <c r="H9" s="252">
        <f>IFERROR(IF(ISNUMBER(G9),G9*'Mão de Obra'!$D$12/12,1)*F9,"")</f>
        <v>11.61</v>
      </c>
      <c r="J9" s="249">
        <v>1</v>
      </c>
      <c r="K9" s="249">
        <v>1</v>
      </c>
      <c r="L9" s="249">
        <v>1</v>
      </c>
      <c r="M9" s="249">
        <v>1</v>
      </c>
      <c r="N9" s="249"/>
      <c r="O9" s="249"/>
      <c r="P9" s="249"/>
      <c r="Q9" s="249"/>
      <c r="R9" s="249"/>
      <c r="S9" s="249"/>
      <c r="T9" s="249"/>
      <c r="U9" s="249"/>
      <c r="V9" s="249"/>
      <c r="W9" s="249"/>
      <c r="X9" s="249"/>
      <c r="Y9" s="249"/>
      <c r="Z9" s="249"/>
      <c r="AA9" s="249"/>
      <c r="AB9" s="249"/>
      <c r="AC9" s="249"/>
    </row>
    <row r="10" spans="2:29">
      <c r="B10" s="249">
        <v>5</v>
      </c>
      <c r="C10" s="250"/>
      <c r="D10" s="251" t="s">
        <v>707</v>
      </c>
      <c r="E10" s="249" t="str">
        <f>IFERROR(VLOOKUP($D10,'Apoio - Uniforme e EPIs'!$A:$C,2,FALSE),"")</f>
        <v>par</v>
      </c>
      <c r="F10" s="716">
        <f>IFERROR(VLOOKUP($D10,'Apoio - Uniforme e EPIs'!$A:$D,3,FALSE),"")</f>
        <v>15.21</v>
      </c>
      <c r="G10" s="719" t="str">
        <f>IFERROR(IF(VLOOKUP($D10,'Apoio - Uniforme e EPIs'!$A:$D,4,FALSE)=0,"",VLOOKUP($D10,'Apoio - Uniforme e EPIs'!$A:$D,4,FALSE)),"")</f>
        <v/>
      </c>
      <c r="H10" s="252">
        <f>IFERROR(IF(ISNUMBER(G10),G10*'Mão de Obra'!$D$12/12,1)*F10,"")</f>
        <v>15.21</v>
      </c>
      <c r="J10" s="249">
        <v>1</v>
      </c>
      <c r="K10" s="249">
        <v>1</v>
      </c>
      <c r="L10" s="249">
        <v>1</v>
      </c>
      <c r="M10" s="249">
        <v>1</v>
      </c>
      <c r="N10" s="249"/>
      <c r="O10" s="249"/>
      <c r="P10" s="249"/>
      <c r="Q10" s="249"/>
      <c r="R10" s="249"/>
      <c r="S10" s="249"/>
      <c r="T10" s="249"/>
      <c r="U10" s="249"/>
      <c r="V10" s="249"/>
      <c r="W10" s="249"/>
      <c r="X10" s="249"/>
      <c r="Y10" s="249"/>
      <c r="Z10" s="249"/>
      <c r="AA10" s="249"/>
      <c r="AB10" s="249"/>
      <c r="AC10" s="249"/>
    </row>
    <row r="11" spans="2:29">
      <c r="B11" s="249">
        <v>6</v>
      </c>
      <c r="C11" s="250"/>
      <c r="D11" s="251" t="s">
        <v>707</v>
      </c>
      <c r="E11" s="249" t="str">
        <f>IFERROR(VLOOKUP($D11,'Apoio - Uniforme e EPIs'!$A:$C,2,FALSE),"")</f>
        <v>par</v>
      </c>
      <c r="F11" s="716">
        <f>IFERROR(VLOOKUP($D11,'Apoio - Uniforme e EPIs'!$A:$D,3,FALSE),"")</f>
        <v>15.21</v>
      </c>
      <c r="G11" s="719" t="str">
        <f>IFERROR(IF(VLOOKUP($D11,'Apoio - Uniforme e EPIs'!$A:$D,4,FALSE)=0,"",VLOOKUP($D11,'Apoio - Uniforme e EPIs'!$A:$D,4,FALSE)),"")</f>
        <v/>
      </c>
      <c r="H11" s="252">
        <f>IFERROR(IF(ISNUMBER(G11),G11*'Mão de Obra'!$D$12/12,1)*F11,"")</f>
        <v>15.21</v>
      </c>
      <c r="J11" s="249">
        <v>1</v>
      </c>
      <c r="K11" s="249">
        <v>1</v>
      </c>
      <c r="L11" s="249">
        <v>1</v>
      </c>
      <c r="M11" s="249">
        <v>1</v>
      </c>
      <c r="N11" s="249"/>
      <c r="O11" s="249"/>
      <c r="P11" s="249"/>
      <c r="Q11" s="249"/>
      <c r="R11" s="249"/>
      <c r="S11" s="249"/>
      <c r="T11" s="249"/>
      <c r="U11" s="249"/>
      <c r="V11" s="249"/>
      <c r="W11" s="249"/>
      <c r="X11" s="249"/>
      <c r="Y11" s="249"/>
      <c r="Z11" s="249"/>
      <c r="AA11" s="249"/>
      <c r="AB11" s="249"/>
      <c r="AC11" s="249"/>
    </row>
    <row r="12" spans="2:29">
      <c r="B12" s="249">
        <v>7</v>
      </c>
      <c r="C12" s="250"/>
      <c r="D12" s="251" t="s">
        <v>756</v>
      </c>
      <c r="E12" s="249" t="s">
        <v>698</v>
      </c>
      <c r="F12" s="716">
        <v>277.68</v>
      </c>
      <c r="G12" s="719" t="str">
        <f>IFERROR(IF(VLOOKUP($D12,'Apoio - Uniforme e EPIs'!$A:$D,4,FALSE)=0,"",VLOOKUP($D12,'Apoio - Uniforme e EPIs'!$A:$D,4,FALSE)),"")</f>
        <v/>
      </c>
      <c r="H12" s="252">
        <f>IFERROR(IF(ISNUMBER(G12),G12*'Mão de Obra'!$D$12/12,1)*F12,"")</f>
        <v>277.68</v>
      </c>
      <c r="J12" s="249">
        <v>1</v>
      </c>
      <c r="K12" s="249">
        <v>1</v>
      </c>
      <c r="L12" s="249">
        <v>1</v>
      </c>
      <c r="M12" s="249">
        <v>1</v>
      </c>
      <c r="N12" s="249"/>
      <c r="O12" s="249"/>
      <c r="P12" s="249"/>
      <c r="Q12" s="249"/>
      <c r="R12" s="249"/>
      <c r="S12" s="249"/>
      <c r="T12" s="249"/>
      <c r="U12" s="249"/>
      <c r="V12" s="249"/>
      <c r="W12" s="249"/>
      <c r="X12" s="249"/>
      <c r="Y12" s="249"/>
      <c r="Z12" s="249"/>
      <c r="AA12" s="249"/>
      <c r="AB12" s="249"/>
      <c r="AC12" s="249"/>
    </row>
    <row r="13" spans="2:29">
      <c r="B13" s="249">
        <v>8</v>
      </c>
      <c r="C13" s="250"/>
      <c r="D13" s="251" t="s">
        <v>757</v>
      </c>
      <c r="E13" s="249" t="s">
        <v>698</v>
      </c>
      <c r="F13" s="716">
        <v>497.13</v>
      </c>
      <c r="G13" s="719" t="str">
        <f>IFERROR(IF(VLOOKUP($D13,'Apoio - Uniforme e EPIs'!$A:$D,4,FALSE)=0,"",VLOOKUP($D13,'Apoio - Uniforme e EPIs'!$A:$D,4,FALSE)),"")</f>
        <v/>
      </c>
      <c r="H13" s="252">
        <f>IFERROR(IF(ISNUMBER(G13),G13*'Mão de Obra'!$D$12/12,1)*F13,"")</f>
        <v>497.13</v>
      </c>
      <c r="J13" s="249">
        <v>1</v>
      </c>
      <c r="K13" s="249">
        <v>1</v>
      </c>
      <c r="L13" s="249">
        <v>1</v>
      </c>
      <c r="M13" s="249">
        <v>1</v>
      </c>
      <c r="N13" s="249"/>
      <c r="O13" s="249"/>
      <c r="P13" s="249"/>
      <c r="Q13" s="249"/>
      <c r="R13" s="249"/>
      <c r="S13" s="249"/>
      <c r="T13" s="249"/>
      <c r="U13" s="249"/>
      <c r="V13" s="249"/>
      <c r="W13" s="249"/>
      <c r="X13" s="249"/>
      <c r="Y13" s="249"/>
      <c r="Z13" s="249"/>
      <c r="AA13" s="249"/>
      <c r="AB13" s="249"/>
      <c r="AC13" s="249"/>
    </row>
    <row r="14" spans="2:29">
      <c r="B14" s="249">
        <v>9</v>
      </c>
      <c r="C14" s="250"/>
      <c r="D14" s="251" t="s">
        <v>758</v>
      </c>
      <c r="E14" s="249" t="s">
        <v>698</v>
      </c>
      <c r="F14" s="716">
        <v>35.130000000000003</v>
      </c>
      <c r="G14" s="719" t="str">
        <f>IFERROR(IF(VLOOKUP($D14,'Apoio - Uniforme e EPIs'!$A:$D,4,FALSE)=0,"",VLOOKUP($D14,'Apoio - Uniforme e EPIs'!$A:$D,4,FALSE)),"")</f>
        <v/>
      </c>
      <c r="H14" s="252">
        <f>IFERROR(IF(ISNUMBER(G14),G14*'Mão de Obra'!$D$12/12,1)*F14,"")</f>
        <v>35.130000000000003</v>
      </c>
      <c r="J14" s="249">
        <v>1</v>
      </c>
      <c r="K14" s="249">
        <v>1</v>
      </c>
      <c r="L14" s="249">
        <v>1</v>
      </c>
      <c r="M14" s="249">
        <v>1</v>
      </c>
      <c r="N14" s="249"/>
      <c r="O14" s="249"/>
      <c r="P14" s="249"/>
      <c r="Q14" s="249"/>
      <c r="R14" s="249"/>
      <c r="S14" s="249"/>
      <c r="T14" s="249"/>
      <c r="U14" s="249"/>
      <c r="V14" s="249"/>
      <c r="W14" s="249"/>
      <c r="X14" s="249"/>
      <c r="Y14" s="249"/>
      <c r="Z14" s="249"/>
      <c r="AA14" s="249"/>
      <c r="AB14" s="249"/>
      <c r="AC14" s="249"/>
    </row>
    <row r="15" spans="2:29">
      <c r="B15" s="249">
        <v>10</v>
      </c>
      <c r="C15" s="250"/>
      <c r="D15" s="251" t="s">
        <v>679</v>
      </c>
      <c r="E15" s="249" t="str">
        <f>IFERROR(VLOOKUP($D15,'Apoio - Uniforme e EPIs'!$A:$C,2,FALSE),"")</f>
        <v>peça</v>
      </c>
      <c r="F15" s="716">
        <f>IFERROR(VLOOKUP($D15,'Apoio - Uniforme e EPIs'!$A:$D,3,FALSE),"")</f>
        <v>3.22</v>
      </c>
      <c r="G15" s="719" t="str">
        <f>IFERROR(IF(VLOOKUP($D15,'Apoio - Uniforme e EPIs'!$A:$D,4,FALSE)=0,"",VLOOKUP($D15,'Apoio - Uniforme e EPIs'!$A:$D,4,FALSE)),"")</f>
        <v/>
      </c>
      <c r="H15" s="252">
        <f>IFERROR(IF(ISNUMBER(G15),G15*'Mão de Obra'!$D$12/12,1)*F15,"")</f>
        <v>3.22</v>
      </c>
      <c r="J15" s="249">
        <v>1</v>
      </c>
      <c r="K15" s="249">
        <v>1</v>
      </c>
      <c r="L15" s="249">
        <v>1</v>
      </c>
      <c r="M15" s="249">
        <v>1</v>
      </c>
      <c r="N15" s="249"/>
      <c r="O15" s="249"/>
      <c r="P15" s="249"/>
      <c r="Q15" s="249"/>
      <c r="R15" s="249"/>
      <c r="S15" s="249"/>
      <c r="T15" s="249"/>
      <c r="U15" s="249"/>
      <c r="V15" s="249"/>
      <c r="W15" s="249"/>
      <c r="X15" s="249"/>
      <c r="Y15" s="249"/>
      <c r="Z15" s="249"/>
      <c r="AA15" s="249"/>
      <c r="AB15" s="249"/>
      <c r="AC15" s="249"/>
    </row>
    <row r="16" spans="2:29">
      <c r="B16" s="249">
        <v>11</v>
      </c>
      <c r="C16" s="250"/>
      <c r="D16" s="251" t="s">
        <v>666</v>
      </c>
      <c r="E16" s="249" t="str">
        <f>IFERROR(VLOOKUP($D16,'Apoio - Uniforme e EPIs'!$A:$C,2,FALSE),"")</f>
        <v>peça</v>
      </c>
      <c r="F16" s="716">
        <f>IFERROR(VLOOKUP($D16,'Apoio - Uniforme e EPIs'!$A:$D,3,FALSE),"")</f>
        <v>23.03</v>
      </c>
      <c r="G16" s="719" t="str">
        <f>IFERROR(IF(VLOOKUP($D16,'Apoio - Uniforme e EPIs'!$A:$D,4,FALSE)=0,"",VLOOKUP($D16,'Apoio - Uniforme e EPIs'!$A:$D,4,FALSE)),"")</f>
        <v/>
      </c>
      <c r="H16" s="252">
        <f>IFERROR(IF(ISNUMBER(G16),G16*'Mão de Obra'!$D$12/12,1)*F16,"")</f>
        <v>23.03</v>
      </c>
      <c r="J16" s="249">
        <v>2</v>
      </c>
      <c r="K16" s="249">
        <v>2</v>
      </c>
      <c r="L16" s="249">
        <v>2</v>
      </c>
      <c r="M16" s="249">
        <v>2</v>
      </c>
      <c r="N16" s="249"/>
      <c r="O16" s="249"/>
      <c r="P16" s="249"/>
      <c r="Q16" s="249"/>
      <c r="R16" s="249"/>
      <c r="S16" s="249"/>
      <c r="T16" s="249"/>
      <c r="U16" s="249"/>
      <c r="V16" s="249"/>
      <c r="W16" s="249"/>
      <c r="X16" s="249"/>
      <c r="Y16" s="249"/>
      <c r="Z16" s="249"/>
      <c r="AA16" s="249"/>
      <c r="AB16" s="249"/>
      <c r="AC16" s="249"/>
    </row>
    <row r="17" spans="2:29">
      <c r="B17" s="249">
        <v>12</v>
      </c>
      <c r="C17" s="250"/>
      <c r="D17" s="251" t="s">
        <v>667</v>
      </c>
      <c r="E17" s="249" t="str">
        <f>IFERROR(VLOOKUP($D17,'Apoio - Uniforme e EPIs'!$A:$C,2,FALSE),"")</f>
        <v>peça</v>
      </c>
      <c r="F17" s="716">
        <f>IFERROR(VLOOKUP($D17,'Apoio - Uniforme e EPIs'!$A:$D,3,FALSE),"")</f>
        <v>30.53</v>
      </c>
      <c r="G17" s="719" t="str">
        <f>IFERROR(IF(VLOOKUP($D17,'Apoio - Uniforme e EPIs'!$A:$D,4,FALSE)=0,"",VLOOKUP($D17,'Apoio - Uniforme e EPIs'!$A:$D,4,FALSE)),"")</f>
        <v/>
      </c>
      <c r="H17" s="252">
        <f>IFERROR(IF(ISNUMBER(G17),G17*'Mão de Obra'!$D$12/12,1)*F17,"")</f>
        <v>30.53</v>
      </c>
      <c r="J17" s="249">
        <v>2</v>
      </c>
      <c r="K17" s="249">
        <v>2</v>
      </c>
      <c r="L17" s="249">
        <v>2</v>
      </c>
      <c r="M17" s="249">
        <v>2</v>
      </c>
      <c r="N17" s="249"/>
      <c r="O17" s="249"/>
      <c r="P17" s="249"/>
      <c r="Q17" s="249"/>
      <c r="R17" s="249"/>
      <c r="S17" s="249"/>
      <c r="T17" s="249"/>
      <c r="U17" s="249"/>
      <c r="V17" s="249"/>
      <c r="W17" s="249"/>
      <c r="X17" s="249"/>
      <c r="Y17" s="249"/>
      <c r="Z17" s="249"/>
      <c r="AA17" s="249"/>
      <c r="AB17" s="249"/>
      <c r="AC17" s="249"/>
    </row>
    <row r="18" spans="2:29">
      <c r="B18" s="249">
        <v>13</v>
      </c>
      <c r="C18" s="250"/>
      <c r="D18" s="251" t="s">
        <v>784</v>
      </c>
      <c r="E18" s="249" t="s">
        <v>693</v>
      </c>
      <c r="F18" s="716">
        <v>404.52</v>
      </c>
      <c r="G18" s="719" t="str">
        <f>IFERROR(IF(VLOOKUP($D18,'Apoio - Uniforme e EPIs'!$A:$D,4,FALSE)=0,"",VLOOKUP($D18,'Apoio - Uniforme e EPIs'!$A:$D,4,FALSE)),"")</f>
        <v/>
      </c>
      <c r="H18" s="252">
        <f>IFERROR(IF(ISNUMBER(G18),G18*'Mão de Obra'!$D$12/12,1)*F18,"")</f>
        <v>404.52</v>
      </c>
      <c r="J18" s="249">
        <v>1</v>
      </c>
      <c r="K18" s="249">
        <v>1</v>
      </c>
      <c r="L18" s="249">
        <v>1</v>
      </c>
      <c r="M18" s="249">
        <v>1</v>
      </c>
      <c r="N18" s="249"/>
      <c r="O18" s="249"/>
      <c r="P18" s="249"/>
      <c r="Q18" s="249"/>
      <c r="R18" s="249"/>
      <c r="S18" s="249"/>
      <c r="T18" s="249"/>
      <c r="U18" s="249"/>
      <c r="V18" s="249"/>
      <c r="W18" s="249"/>
      <c r="X18" s="249"/>
      <c r="Y18" s="249"/>
      <c r="Z18" s="249"/>
      <c r="AA18" s="249"/>
      <c r="AB18" s="249"/>
      <c r="AC18" s="249"/>
    </row>
    <row r="19" spans="2:29">
      <c r="B19" s="249">
        <v>14</v>
      </c>
      <c r="C19" s="250"/>
      <c r="D19" s="251" t="s">
        <v>759</v>
      </c>
      <c r="E19" s="249" t="s">
        <v>693</v>
      </c>
      <c r="F19" s="716">
        <v>302.08999999999997</v>
      </c>
      <c r="G19" s="719" t="str">
        <f>IFERROR(IF(VLOOKUP($D19,'Apoio - Uniforme e EPIs'!$A:$D,4,FALSE)=0,"",VLOOKUP($D19,'Apoio - Uniforme e EPIs'!$A:$D,4,FALSE)),"")</f>
        <v/>
      </c>
      <c r="H19" s="252">
        <f>IFERROR(IF(ISNUMBER(G19),G19*'Mão de Obra'!$D$12/12,1)*F19,"")</f>
        <v>302.08999999999997</v>
      </c>
      <c r="J19" s="249">
        <v>2</v>
      </c>
      <c r="K19" s="249">
        <v>2</v>
      </c>
      <c r="L19" s="249">
        <v>2</v>
      </c>
      <c r="M19" s="249">
        <v>2</v>
      </c>
      <c r="N19" s="249"/>
      <c r="O19" s="249"/>
      <c r="P19" s="249"/>
      <c r="Q19" s="249"/>
      <c r="R19" s="249"/>
      <c r="S19" s="249"/>
      <c r="T19" s="249"/>
      <c r="U19" s="249"/>
      <c r="V19" s="249"/>
      <c r="W19" s="249"/>
      <c r="X19" s="249"/>
      <c r="Y19" s="249"/>
      <c r="Z19" s="249"/>
      <c r="AA19" s="249"/>
      <c r="AB19" s="249"/>
      <c r="AC19" s="249"/>
    </row>
    <row r="20" spans="2:29">
      <c r="B20" s="249">
        <v>15</v>
      </c>
      <c r="C20" s="250"/>
      <c r="D20" s="251" t="s">
        <v>760</v>
      </c>
      <c r="E20" s="249" t="s">
        <v>693</v>
      </c>
      <c r="F20" s="716">
        <v>43.57</v>
      </c>
      <c r="G20" s="719" t="str">
        <f>IFERROR(IF(VLOOKUP($D20,'Apoio - Uniforme e EPIs'!$A:$D,4,FALSE)=0,"",VLOOKUP($D20,'Apoio - Uniforme e EPIs'!$A:$D,4,FALSE)),"")</f>
        <v/>
      </c>
      <c r="H20" s="252">
        <f>IFERROR(IF(ISNUMBER(G20),G20*'Mão de Obra'!$D$12/12,1)*F20,"")</f>
        <v>43.57</v>
      </c>
      <c r="J20" s="249">
        <v>1</v>
      </c>
      <c r="K20" s="249">
        <v>1</v>
      </c>
      <c r="L20" s="249">
        <v>1</v>
      </c>
      <c r="M20" s="249">
        <v>1</v>
      </c>
      <c r="N20" s="249"/>
      <c r="O20" s="249"/>
      <c r="P20" s="249"/>
      <c r="Q20" s="249"/>
      <c r="R20" s="249"/>
      <c r="S20" s="249"/>
      <c r="T20" s="249"/>
      <c r="U20" s="249"/>
      <c r="V20" s="249"/>
      <c r="W20" s="249"/>
      <c r="X20" s="249"/>
      <c r="Y20" s="249"/>
      <c r="Z20" s="249"/>
      <c r="AA20" s="249"/>
      <c r="AB20" s="249"/>
      <c r="AC20" s="249"/>
    </row>
    <row r="21" spans="2:29">
      <c r="B21" s="249">
        <v>16</v>
      </c>
      <c r="C21" s="250"/>
      <c r="D21" s="251" t="s">
        <v>761</v>
      </c>
      <c r="E21" s="249" t="s">
        <v>693</v>
      </c>
      <c r="F21" s="716">
        <v>33.17</v>
      </c>
      <c r="G21" s="719" t="str">
        <f>IFERROR(IF(VLOOKUP($D21,'Apoio - Uniforme e EPIs'!$A:$D,4,FALSE)=0,"",VLOOKUP($D21,'Apoio - Uniforme e EPIs'!$A:$D,4,FALSE)),"")</f>
        <v/>
      </c>
      <c r="H21" s="252">
        <f>IFERROR(IF(ISNUMBER(G21),G21*'Mão de Obra'!$D$12/12,1)*F21,"")</f>
        <v>33.17</v>
      </c>
      <c r="J21" s="249">
        <v>1</v>
      </c>
      <c r="K21" s="249">
        <v>1</v>
      </c>
      <c r="L21" s="249">
        <v>1</v>
      </c>
      <c r="M21" s="249">
        <v>1</v>
      </c>
      <c r="N21" s="249"/>
      <c r="O21" s="249"/>
      <c r="P21" s="249"/>
      <c r="Q21" s="249"/>
      <c r="R21" s="249"/>
      <c r="S21" s="249"/>
      <c r="T21" s="249"/>
      <c r="U21" s="249"/>
      <c r="V21" s="249"/>
      <c r="W21" s="249"/>
      <c r="X21" s="249"/>
      <c r="Y21" s="249"/>
      <c r="Z21" s="249"/>
      <c r="AA21" s="249"/>
      <c r="AB21" s="249"/>
      <c r="AC21" s="249"/>
    </row>
    <row r="22" spans="2:29">
      <c r="B22" s="249">
        <v>17</v>
      </c>
      <c r="C22" s="250"/>
      <c r="D22" s="251" t="s">
        <v>763</v>
      </c>
      <c r="E22" s="249" t="s">
        <v>693</v>
      </c>
      <c r="F22" s="716">
        <v>38.54</v>
      </c>
      <c r="G22" s="719" t="str">
        <f>IFERROR(IF(VLOOKUP($D22,'Apoio - Uniforme e EPIs'!$A:$D,4,FALSE)=0,"",VLOOKUP($D22,'Apoio - Uniforme e EPIs'!$A:$D,4,FALSE)),"")</f>
        <v/>
      </c>
      <c r="H22" s="252">
        <f>IFERROR(IF(ISNUMBER(G22),G22*'Mão de Obra'!$D$12/12,1)*F22,"")</f>
        <v>38.54</v>
      </c>
      <c r="J22" s="249">
        <v>1</v>
      </c>
      <c r="K22" s="249">
        <v>1</v>
      </c>
      <c r="L22" s="249">
        <v>1</v>
      </c>
      <c r="M22" s="249">
        <v>1</v>
      </c>
      <c r="N22" s="249"/>
      <c r="O22" s="249"/>
      <c r="P22" s="249"/>
      <c r="Q22" s="249"/>
      <c r="R22" s="249"/>
      <c r="S22" s="249"/>
      <c r="T22" s="249"/>
      <c r="U22" s="249"/>
      <c r="V22" s="249"/>
      <c r="W22" s="249"/>
      <c r="X22" s="249"/>
      <c r="Y22" s="249"/>
      <c r="Z22" s="249"/>
      <c r="AA22" s="249"/>
      <c r="AB22" s="249"/>
      <c r="AC22" s="249"/>
    </row>
    <row r="23" spans="2:29">
      <c r="B23" s="249">
        <v>18</v>
      </c>
      <c r="C23" s="250"/>
      <c r="D23" s="251" t="s">
        <v>781</v>
      </c>
      <c r="E23" s="249" t="s">
        <v>693</v>
      </c>
      <c r="F23" s="716">
        <v>139.41999999999999</v>
      </c>
      <c r="G23" s="719" t="str">
        <f>IFERROR(IF(VLOOKUP($D23,'Apoio - Uniforme e EPIs'!$A:$D,4,FALSE)=0,"",VLOOKUP($D23,'Apoio - Uniforme e EPIs'!$A:$D,4,FALSE)),"")</f>
        <v/>
      </c>
      <c r="H23" s="252">
        <f>IFERROR(IF(ISNUMBER(G23),G23*'Mão de Obra'!$D$12/12,1)*F23,"")</f>
        <v>139.41999999999999</v>
      </c>
      <c r="J23" s="249">
        <v>1</v>
      </c>
      <c r="K23" s="249">
        <v>1</v>
      </c>
      <c r="L23" s="249">
        <v>1</v>
      </c>
      <c r="M23" s="249">
        <v>1</v>
      </c>
      <c r="N23" s="249"/>
      <c r="O23" s="249"/>
      <c r="P23" s="249"/>
      <c r="Q23" s="249"/>
      <c r="R23" s="249"/>
      <c r="S23" s="249"/>
      <c r="T23" s="249"/>
      <c r="U23" s="249"/>
      <c r="V23" s="249"/>
      <c r="W23" s="249"/>
      <c r="X23" s="249"/>
      <c r="Y23" s="249"/>
      <c r="Z23" s="249"/>
      <c r="AA23" s="249"/>
      <c r="AB23" s="249"/>
      <c r="AC23" s="249"/>
    </row>
    <row r="24" spans="2:29">
      <c r="B24" s="249">
        <v>19</v>
      </c>
      <c r="C24" s="250"/>
      <c r="D24" s="251" t="s">
        <v>762</v>
      </c>
      <c r="E24" s="249" t="s">
        <v>693</v>
      </c>
      <c r="F24" s="716">
        <v>377.88</v>
      </c>
      <c r="G24" s="719" t="str">
        <f>IFERROR(IF(VLOOKUP($D24,'Apoio - Uniforme e EPIs'!$A:$D,4,FALSE)=0,"",VLOOKUP($D24,'Apoio - Uniforme e EPIs'!$A:$D,4,FALSE)),"")</f>
        <v/>
      </c>
      <c r="H24" s="252">
        <f>IFERROR(IF(ISNUMBER(G24),G24*'Mão de Obra'!$D$12/12,1)*F24,"")</f>
        <v>377.88</v>
      </c>
      <c r="J24" s="249">
        <v>1</v>
      </c>
      <c r="K24" s="249">
        <v>1</v>
      </c>
      <c r="L24" s="249">
        <v>1</v>
      </c>
      <c r="M24" s="249">
        <v>1</v>
      </c>
      <c r="N24" s="249"/>
      <c r="O24" s="249"/>
      <c r="P24" s="249"/>
      <c r="Q24" s="249"/>
      <c r="R24" s="249"/>
      <c r="S24" s="249"/>
      <c r="T24" s="249"/>
      <c r="U24" s="249"/>
      <c r="V24" s="249"/>
      <c r="W24" s="249"/>
      <c r="X24" s="249"/>
      <c r="Y24" s="249"/>
      <c r="Z24" s="249"/>
      <c r="AA24" s="249"/>
      <c r="AB24" s="249"/>
      <c r="AC24" s="249"/>
    </row>
    <row r="25" spans="2:29">
      <c r="B25" s="249">
        <v>20</v>
      </c>
      <c r="C25" s="250"/>
      <c r="D25" s="804" t="s">
        <v>764</v>
      </c>
      <c r="E25" s="249" t="s">
        <v>693</v>
      </c>
      <c r="F25" s="716">
        <v>134.47999999999999</v>
      </c>
      <c r="G25" s="719" t="str">
        <f>IFERROR(IF(VLOOKUP($D25,'Apoio - Uniforme e EPIs'!$A:$D,4,FALSE)=0,"",VLOOKUP($D25,'Apoio - Uniforme e EPIs'!$A:$D,4,FALSE)),"")</f>
        <v/>
      </c>
      <c r="H25" s="252">
        <f>IFERROR(IF(ISNUMBER(G25),G25*'Mão de Obra'!$D$12/12,1)*F25,"")</f>
        <v>134.47999999999999</v>
      </c>
      <c r="J25" s="249">
        <v>1</v>
      </c>
      <c r="K25" s="249">
        <v>1</v>
      </c>
      <c r="L25" s="249">
        <v>1</v>
      </c>
      <c r="M25" s="249">
        <v>1</v>
      </c>
      <c r="N25" s="249"/>
      <c r="O25" s="249"/>
      <c r="P25" s="249"/>
      <c r="Q25" s="249"/>
      <c r="R25" s="249"/>
      <c r="S25" s="249"/>
      <c r="T25" s="249"/>
      <c r="U25" s="249"/>
      <c r="V25" s="249"/>
      <c r="W25" s="249"/>
      <c r="X25" s="249"/>
      <c r="Y25" s="249"/>
      <c r="Z25" s="249"/>
      <c r="AA25" s="249"/>
      <c r="AB25" s="249"/>
      <c r="AC25" s="249"/>
    </row>
    <row r="26" spans="2:29">
      <c r="B26" s="249">
        <v>21</v>
      </c>
      <c r="C26" s="250"/>
      <c r="D26" s="803" t="s">
        <v>765</v>
      </c>
      <c r="E26" s="249" t="s">
        <v>693</v>
      </c>
      <c r="F26" s="716">
        <v>95.96</v>
      </c>
      <c r="G26" s="719" t="str">
        <f>IFERROR(IF(VLOOKUP($D26,'Apoio - Uniforme e EPIs'!$A:$D,4,FALSE)=0,"",VLOOKUP($D26,'Apoio - Uniforme e EPIs'!$A:$D,4,FALSE)),"")</f>
        <v/>
      </c>
      <c r="H26" s="252">
        <f>IFERROR(IF(ISNUMBER(G26),G26*'Mão de Obra'!$D$12/12,1)*F26,"")</f>
        <v>95.96</v>
      </c>
      <c r="J26" s="249">
        <v>1</v>
      </c>
      <c r="K26" s="249">
        <v>1</v>
      </c>
      <c r="L26" s="249">
        <v>1</v>
      </c>
      <c r="M26" s="249">
        <v>1</v>
      </c>
      <c r="N26" s="249"/>
    </row>
    <row r="27" spans="2:29">
      <c r="B27" s="249">
        <v>22</v>
      </c>
      <c r="C27" s="250"/>
      <c r="D27" s="804" t="s">
        <v>766</v>
      </c>
      <c r="E27" s="249" t="s">
        <v>693</v>
      </c>
      <c r="F27" s="716">
        <v>28.09</v>
      </c>
      <c r="G27" s="719" t="str">
        <f>IFERROR(IF(VLOOKUP($D27,'Apoio - Uniforme e EPIs'!$A:$D,4,FALSE)=0,"",VLOOKUP($D27,'Apoio - Uniforme e EPIs'!$A:$D,4,FALSE)),"")</f>
        <v/>
      </c>
      <c r="H27" s="252">
        <f>IFERROR(IF(ISNUMBER(G27),G27*'Mão de Obra'!$D$12/12,1)*F27,"")</f>
        <v>28.09</v>
      </c>
      <c r="J27" s="249">
        <v>1</v>
      </c>
      <c r="K27" s="249">
        <v>1</v>
      </c>
      <c r="L27" s="249">
        <v>1</v>
      </c>
      <c r="M27" s="249">
        <v>1</v>
      </c>
      <c r="N27" s="249"/>
    </row>
    <row r="28" spans="2:29">
      <c r="B28" s="249">
        <v>23</v>
      </c>
      <c r="C28" s="250"/>
      <c r="D28" s="804" t="s">
        <v>767</v>
      </c>
      <c r="E28" s="249" t="s">
        <v>693</v>
      </c>
      <c r="F28" s="716">
        <v>6.36</v>
      </c>
      <c r="G28" s="719" t="str">
        <f>IFERROR(IF(VLOOKUP($D28,'Apoio - Uniforme e EPIs'!$A:$D,4,FALSE)=0,"",VLOOKUP($D28,'Apoio - Uniforme e EPIs'!$A:$D,4,FALSE)),"")</f>
        <v/>
      </c>
      <c r="H28" s="252">
        <f>IFERROR(IF(ISNUMBER(G28),G28*'Mão de Obra'!$D$12/12,1)*F28,"")</f>
        <v>6.36</v>
      </c>
      <c r="J28" s="249">
        <v>1</v>
      </c>
      <c r="K28" s="249">
        <v>1</v>
      </c>
      <c r="L28" s="249">
        <v>1</v>
      </c>
      <c r="M28" s="249">
        <v>1</v>
      </c>
      <c r="N28" s="249"/>
    </row>
    <row r="29" spans="2:29">
      <c r="B29" s="249">
        <v>24</v>
      </c>
      <c r="C29" s="250"/>
      <c r="D29" s="804" t="s">
        <v>768</v>
      </c>
      <c r="E29" s="249" t="s">
        <v>782</v>
      </c>
      <c r="F29" s="716">
        <v>36.83</v>
      </c>
      <c r="G29" s="719" t="str">
        <f>IFERROR(IF(VLOOKUP($D29,'Apoio - Uniforme e EPIs'!$A:$D,4,FALSE)=0,"",VLOOKUP($D29,'Apoio - Uniforme e EPIs'!$A:$D,4,FALSE)),"")</f>
        <v/>
      </c>
      <c r="H29" s="252">
        <f>IFERROR(IF(ISNUMBER(G29),G29*'Mão de Obra'!$D$12/12,1)*F29,"")</f>
        <v>36.83</v>
      </c>
      <c r="J29" s="249">
        <v>1</v>
      </c>
      <c r="K29" s="249">
        <v>1</v>
      </c>
      <c r="L29" s="249">
        <v>1</v>
      </c>
      <c r="M29" s="249">
        <v>1</v>
      </c>
      <c r="N29" s="249"/>
    </row>
    <row r="30" spans="2:29">
      <c r="B30" s="249">
        <v>25</v>
      </c>
      <c r="C30" s="250"/>
      <c r="D30" s="804" t="s">
        <v>769</v>
      </c>
      <c r="E30" s="249" t="s">
        <v>782</v>
      </c>
      <c r="F30" s="716">
        <v>47.14</v>
      </c>
      <c r="G30" s="719" t="str">
        <f>IFERROR(IF(VLOOKUP($D30,'Apoio - Uniforme e EPIs'!$A:$D,4,FALSE)=0,"",VLOOKUP($D30,'Apoio - Uniforme e EPIs'!$A:$D,4,FALSE)),"")</f>
        <v/>
      </c>
      <c r="H30" s="252">
        <f>IFERROR(IF(ISNUMBER(G30),G30*'Mão de Obra'!$D$12/12,1)*F30,"")</f>
        <v>47.14</v>
      </c>
      <c r="J30" s="249">
        <v>1</v>
      </c>
      <c r="K30" s="249">
        <v>1</v>
      </c>
      <c r="L30" s="249">
        <v>1</v>
      </c>
      <c r="M30" s="249">
        <v>1</v>
      </c>
      <c r="N30" s="249"/>
    </row>
    <row r="31" spans="2:29">
      <c r="B31" s="249">
        <v>26</v>
      </c>
      <c r="C31" s="250"/>
      <c r="D31" s="804" t="s">
        <v>770</v>
      </c>
      <c r="E31" s="249" t="s">
        <v>693</v>
      </c>
      <c r="F31" s="716">
        <v>29.51</v>
      </c>
      <c r="G31" s="719" t="str">
        <f>IFERROR(IF(VLOOKUP($D31,'Apoio - Uniforme e EPIs'!$A:$D,4,FALSE)=0,"",VLOOKUP($D31,'Apoio - Uniforme e EPIs'!$A:$D,4,FALSE)),"")</f>
        <v/>
      </c>
      <c r="H31" s="252">
        <f>IFERROR(IF(ISNUMBER(G31),G31*'Mão de Obra'!$D$12/12,1)*F31,"")</f>
        <v>29.51</v>
      </c>
      <c r="J31" s="249">
        <v>1</v>
      </c>
      <c r="K31" s="249">
        <v>1</v>
      </c>
      <c r="L31" s="249">
        <v>1</v>
      </c>
      <c r="M31" s="249">
        <v>1</v>
      </c>
      <c r="N31" s="249"/>
    </row>
    <row r="32" spans="2:29">
      <c r="B32" s="249">
        <v>27</v>
      </c>
      <c r="C32" s="250"/>
      <c r="D32" s="804" t="s">
        <v>771</v>
      </c>
      <c r="E32" s="249" t="s">
        <v>693</v>
      </c>
      <c r="F32" s="716">
        <v>1.1299999999999999</v>
      </c>
      <c r="G32" s="719" t="str">
        <f>IFERROR(IF(VLOOKUP($D32,'Apoio - Uniforme e EPIs'!$A:$D,4,FALSE)=0,"",VLOOKUP($D32,'Apoio - Uniforme e EPIs'!$A:$D,4,FALSE)),"")</f>
        <v/>
      </c>
      <c r="H32" s="252">
        <f>IFERROR(IF(ISNUMBER(G32),G32*'Mão de Obra'!$D$12/12,1)*F32,"")</f>
        <v>1.1299999999999999</v>
      </c>
      <c r="J32" s="249">
        <v>1</v>
      </c>
      <c r="K32" s="249">
        <v>1</v>
      </c>
      <c r="L32" s="249">
        <v>1</v>
      </c>
      <c r="M32" s="249">
        <v>1</v>
      </c>
      <c r="N32" s="249"/>
    </row>
    <row r="33" spans="2:14">
      <c r="B33" s="249">
        <v>28</v>
      </c>
      <c r="C33" s="250"/>
      <c r="D33" s="804" t="s">
        <v>772</v>
      </c>
      <c r="E33" s="249" t="s">
        <v>783</v>
      </c>
      <c r="F33" s="716">
        <v>710.27</v>
      </c>
      <c r="G33" s="719" t="str">
        <f>IFERROR(IF(VLOOKUP($D33,'Apoio - Uniforme e EPIs'!$A:$D,4,FALSE)=0,"",VLOOKUP($D33,'Apoio - Uniforme e EPIs'!$A:$D,4,FALSE)),"")</f>
        <v/>
      </c>
      <c r="H33" s="252">
        <f>IFERROR(IF(ISNUMBER(G33),G33*'Mão de Obra'!$D$12/12,1)*F33,"")</f>
        <v>710.27</v>
      </c>
      <c r="J33" s="249">
        <v>1</v>
      </c>
      <c r="K33" s="249">
        <v>1</v>
      </c>
      <c r="L33" s="249">
        <v>1</v>
      </c>
      <c r="M33" s="249">
        <v>1</v>
      </c>
      <c r="N33" s="249"/>
    </row>
    <row r="34" spans="2:14" hidden="1">
      <c r="B34" s="249">
        <v>29</v>
      </c>
      <c r="C34" s="250"/>
      <c r="D34" s="804" t="s">
        <v>773</v>
      </c>
      <c r="E34" s="249" t="s">
        <v>693</v>
      </c>
      <c r="F34" s="716" t="str">
        <f>IFERROR(VLOOKUP($D34,'Apoio - Uniforme e EPIs'!$A:$D,3,FALSE),"")</f>
        <v/>
      </c>
      <c r="G34" s="719" t="str">
        <f>IFERROR(IF(VLOOKUP($D34,'Apoio - Uniforme e EPIs'!$A:$D,4,FALSE)=0,"",VLOOKUP($D34,'Apoio - Uniforme e EPIs'!$A:$D,4,FALSE)),"")</f>
        <v/>
      </c>
      <c r="H34" s="252" t="str">
        <f>IFERROR(IF(ISNUMBER(G34),G34*'Mão de Obra'!$D$12/12,1)*F34,"")</f>
        <v/>
      </c>
      <c r="J34" s="249">
        <v>1</v>
      </c>
      <c r="K34" s="249">
        <v>1</v>
      </c>
      <c r="L34" s="249">
        <v>1</v>
      </c>
      <c r="M34" s="249">
        <v>1</v>
      </c>
      <c r="N34" s="249"/>
    </row>
    <row r="35" spans="2:14">
      <c r="B35" s="249">
        <v>29</v>
      </c>
      <c r="C35" s="250"/>
      <c r="D35" s="804" t="s">
        <v>774</v>
      </c>
      <c r="E35" s="249" t="s">
        <v>693</v>
      </c>
      <c r="F35" s="716">
        <v>12.61</v>
      </c>
      <c r="G35" s="719" t="str">
        <f>IFERROR(IF(VLOOKUP($D35,'Apoio - Uniforme e EPIs'!$A:$D,4,FALSE)=0,"",VLOOKUP($D35,'Apoio - Uniforme e EPIs'!$A:$D,4,FALSE)),"")</f>
        <v/>
      </c>
      <c r="H35" s="252">
        <f>IFERROR(IF(ISNUMBER(G35),G35*'Mão de Obra'!$D$12/12,1)*F35,"")</f>
        <v>12.61</v>
      </c>
      <c r="J35" s="249">
        <v>1</v>
      </c>
      <c r="K35" s="249">
        <v>1</v>
      </c>
      <c r="L35" s="249">
        <v>1</v>
      </c>
      <c r="M35" s="249">
        <v>1</v>
      </c>
      <c r="N35" s="249"/>
    </row>
    <row r="36" spans="2:14">
      <c r="B36" s="249">
        <v>30</v>
      </c>
      <c r="C36" s="250"/>
      <c r="D36" s="804" t="s">
        <v>775</v>
      </c>
      <c r="E36" s="249" t="s">
        <v>693</v>
      </c>
      <c r="F36" s="716">
        <v>70.91</v>
      </c>
      <c r="G36" s="719" t="str">
        <f>IFERROR(IF(VLOOKUP($D36,'Apoio - Uniforme e EPIs'!$A:$D,4,FALSE)=0,"",VLOOKUP($D36,'Apoio - Uniforme e EPIs'!$A:$D,4,FALSE)),"")</f>
        <v/>
      </c>
      <c r="H36" s="252">
        <f>IFERROR(IF(ISNUMBER(G36),G36*'Mão de Obra'!$D$12/12,1)*F36,"")</f>
        <v>70.91</v>
      </c>
      <c r="J36" s="249">
        <v>1</v>
      </c>
      <c r="K36" s="249">
        <v>1</v>
      </c>
      <c r="L36" s="249">
        <v>1</v>
      </c>
      <c r="M36" s="249">
        <v>1</v>
      </c>
      <c r="N36" s="249"/>
    </row>
    <row r="37" spans="2:14">
      <c r="B37" s="249">
        <v>31</v>
      </c>
      <c r="C37" s="250"/>
      <c r="D37" s="804" t="s">
        <v>776</v>
      </c>
      <c r="E37" s="249" t="s">
        <v>693</v>
      </c>
      <c r="F37" s="716">
        <v>99.88</v>
      </c>
      <c r="G37" s="719" t="str">
        <f>IFERROR(IF(VLOOKUP($D37,'Apoio - Uniforme e EPIs'!$A:$D,4,FALSE)=0,"",VLOOKUP($D37,'Apoio - Uniforme e EPIs'!$A:$D,4,FALSE)),"")</f>
        <v/>
      </c>
      <c r="H37" s="252">
        <f>IFERROR(IF(ISNUMBER(G37),G37*'Mão de Obra'!$D$12/12,1)*F37,"")</f>
        <v>99.88</v>
      </c>
      <c r="J37" s="249">
        <v>1</v>
      </c>
      <c r="K37" s="249">
        <v>1</v>
      </c>
      <c r="L37" s="249">
        <v>1</v>
      </c>
      <c r="M37" s="249">
        <v>1</v>
      </c>
      <c r="N37" s="249"/>
    </row>
    <row r="38" spans="2:14">
      <c r="B38" s="249">
        <v>32</v>
      </c>
      <c r="C38" s="250"/>
      <c r="D38" s="804" t="s">
        <v>777</v>
      </c>
      <c r="E38" s="249" t="s">
        <v>693</v>
      </c>
      <c r="F38" s="716">
        <v>117.55</v>
      </c>
      <c r="G38" s="719" t="str">
        <f>IFERROR(IF(VLOOKUP($D38,'Apoio - Uniforme e EPIs'!$A:$D,4,FALSE)=0,"",VLOOKUP($D38,'Apoio - Uniforme e EPIs'!$A:$D,4,FALSE)),"")</f>
        <v/>
      </c>
      <c r="H38" s="252">
        <f>IFERROR(IF(ISNUMBER(G38),G38*'Mão de Obra'!$D$12/12,1)*F38,"")</f>
        <v>117.55</v>
      </c>
      <c r="J38" s="249">
        <v>1</v>
      </c>
      <c r="K38" s="249">
        <v>1</v>
      </c>
      <c r="L38" s="249">
        <v>1</v>
      </c>
      <c r="M38" s="249">
        <v>1</v>
      </c>
      <c r="N38" s="249"/>
    </row>
    <row r="39" spans="2:14">
      <c r="B39" s="249">
        <v>33</v>
      </c>
      <c r="C39" s="250"/>
      <c r="D39" s="804" t="s">
        <v>778</v>
      </c>
      <c r="E39" s="249" t="s">
        <v>783</v>
      </c>
      <c r="F39" s="716">
        <v>45.25</v>
      </c>
      <c r="G39" s="719" t="str">
        <f>IFERROR(IF(VLOOKUP($D39,'Apoio - Uniforme e EPIs'!$A:$D,4,FALSE)=0,"",VLOOKUP($D39,'Apoio - Uniforme e EPIs'!$A:$D,4,FALSE)),"")</f>
        <v/>
      </c>
      <c r="H39" s="252">
        <f>IFERROR(IF(ISNUMBER(G39),G39*'Mão de Obra'!$D$12/12,1)*F39,"")</f>
        <v>45.25</v>
      </c>
      <c r="J39" s="249">
        <v>1</v>
      </c>
      <c r="K39" s="249">
        <v>1</v>
      </c>
      <c r="L39" s="249">
        <v>1</v>
      </c>
      <c r="M39" s="249">
        <v>1</v>
      </c>
      <c r="N39" s="249"/>
    </row>
    <row r="40" spans="2:14">
      <c r="B40" s="249">
        <v>34</v>
      </c>
      <c r="C40" s="250"/>
      <c r="D40" s="804" t="s">
        <v>779</v>
      </c>
      <c r="E40" s="249" t="s">
        <v>783</v>
      </c>
      <c r="F40" s="716">
        <v>84.86</v>
      </c>
      <c r="G40" s="719" t="str">
        <f>IFERROR(IF(VLOOKUP($D40,'Apoio - Uniforme e EPIs'!$A:$D,4,FALSE)=0,"",VLOOKUP($D40,'Apoio - Uniforme e EPIs'!$A:$D,4,FALSE)),"")</f>
        <v/>
      </c>
      <c r="H40" s="252">
        <f>IFERROR(IF(ISNUMBER(G40),G40*'Mão de Obra'!$D$12/12,1)*F40,"")</f>
        <v>84.86</v>
      </c>
      <c r="J40" s="249">
        <v>1</v>
      </c>
      <c r="K40" s="249">
        <v>1</v>
      </c>
      <c r="L40" s="249">
        <v>1</v>
      </c>
      <c r="M40" s="249">
        <v>1</v>
      </c>
      <c r="N40" s="249"/>
    </row>
    <row r="41" spans="2:14">
      <c r="B41" s="249">
        <v>35</v>
      </c>
      <c r="C41" s="250"/>
      <c r="D41" s="804" t="s">
        <v>780</v>
      </c>
      <c r="E41" s="249" t="s">
        <v>693</v>
      </c>
      <c r="F41" s="716">
        <v>64.91</v>
      </c>
      <c r="G41" s="719" t="str">
        <f>IFERROR(IF(VLOOKUP($D41,'Apoio - Uniforme e EPIs'!$A:$D,4,FALSE)=0,"",VLOOKUP($D41,'Apoio - Uniforme e EPIs'!$A:$D,4,FALSE)),"")</f>
        <v/>
      </c>
      <c r="H41" s="252">
        <f>IFERROR(IF(ISNUMBER(G41),G41*'Mão de Obra'!$D$12/12,1)*F41,"")</f>
        <v>64.91</v>
      </c>
      <c r="J41" s="249">
        <v>1</v>
      </c>
      <c r="K41" s="249">
        <v>1</v>
      </c>
      <c r="L41" s="249">
        <v>1</v>
      </c>
      <c r="M41" s="249">
        <v>1</v>
      </c>
      <c r="N41" s="249"/>
    </row>
    <row r="42" spans="2:14">
      <c r="B42" s="249">
        <v>36</v>
      </c>
      <c r="C42" s="250"/>
      <c r="D42" s="805" t="s">
        <v>800</v>
      </c>
      <c r="E42" s="249" t="s">
        <v>798</v>
      </c>
      <c r="F42" s="716">
        <v>50.68</v>
      </c>
      <c r="G42" s="719" t="str">
        <f>IFERROR(IF(VLOOKUP($D42,'Apoio - Uniforme e EPIs'!$A:$D,4,FALSE)=0,"",VLOOKUP($D42,'Apoio - Uniforme e EPIs'!$A:$D,4,FALSE)),"")</f>
        <v/>
      </c>
      <c r="H42" s="252">
        <f>IFERROR(IF(ISNUMBER(G42),G42*'Mão de Obra'!$D$12/12,1)*F42,"")</f>
        <v>50.68</v>
      </c>
      <c r="J42" s="249">
        <v>2</v>
      </c>
      <c r="K42" s="249">
        <v>2</v>
      </c>
      <c r="L42" s="249">
        <v>2</v>
      </c>
      <c r="M42" s="249">
        <v>2</v>
      </c>
      <c r="N42" s="249"/>
    </row>
  </sheetData>
  <sheetProtection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100-000000000000}">
          <x14:formula1>
            <xm:f>'Apoio - Uniforme e EPIs'!$A:$A</xm:f>
          </x14:formula1>
          <xm:sqref>D6:D24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dimension ref="A1:G44"/>
  <sheetViews>
    <sheetView workbookViewId="0">
      <selection activeCell="G17" sqref="G1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657</v>
      </c>
      <c r="B1" s="735" t="s">
        <v>490</v>
      </c>
      <c r="C1" s="736" t="s">
        <v>658</v>
      </c>
      <c r="D1" s="750" t="s">
        <v>483</v>
      </c>
    </row>
    <row r="2" spans="1:7" ht="15.75" thickBot="1">
      <c r="A2" s="728"/>
      <c r="B2" s="729"/>
      <c r="C2" s="720"/>
      <c r="D2" s="752"/>
      <c r="G2" s="746" t="s">
        <v>806</v>
      </c>
    </row>
    <row r="3" spans="1:7">
      <c r="A3" s="728" t="s">
        <v>659</v>
      </c>
      <c r="B3" s="729" t="s">
        <v>693</v>
      </c>
      <c r="C3" s="720">
        <v>9.58</v>
      </c>
      <c r="D3" s="752"/>
      <c r="G3" s="745" t="s">
        <v>807</v>
      </c>
    </row>
    <row r="4" spans="1:7">
      <c r="A4" s="728" t="s">
        <v>694</v>
      </c>
      <c r="B4" s="729" t="s">
        <v>693</v>
      </c>
      <c r="C4" s="720">
        <v>21.56</v>
      </c>
      <c r="D4" s="752"/>
    </row>
    <row r="5" spans="1:7">
      <c r="A5" s="728" t="s">
        <v>695</v>
      </c>
      <c r="B5" s="729" t="s">
        <v>693</v>
      </c>
      <c r="C5" s="720">
        <v>27.44</v>
      </c>
      <c r="D5" s="752"/>
    </row>
    <row r="6" spans="1:7">
      <c r="A6" s="728" t="s">
        <v>696</v>
      </c>
      <c r="B6" s="729" t="s">
        <v>693</v>
      </c>
      <c r="C6" s="720">
        <v>11.41</v>
      </c>
      <c r="D6" s="752"/>
    </row>
    <row r="7" spans="1:7">
      <c r="A7" s="728" t="s">
        <v>660</v>
      </c>
      <c r="B7" s="729" t="s">
        <v>693</v>
      </c>
      <c r="C7" s="720">
        <v>318.64999999999998</v>
      </c>
      <c r="D7" s="752"/>
    </row>
    <row r="8" spans="1:7">
      <c r="A8" s="728" t="s">
        <v>661</v>
      </c>
      <c r="B8" s="729" t="s">
        <v>693</v>
      </c>
      <c r="C8" s="720">
        <v>168.23</v>
      </c>
      <c r="D8" s="752"/>
    </row>
    <row r="9" spans="1:7">
      <c r="A9" s="728" t="s">
        <v>662</v>
      </c>
      <c r="B9" s="729" t="s">
        <v>693</v>
      </c>
      <c r="C9" s="720">
        <v>61.32</v>
      </c>
      <c r="D9" s="752"/>
    </row>
    <row r="10" spans="1:7">
      <c r="A10" s="728" t="s">
        <v>697</v>
      </c>
      <c r="B10" s="729" t="s">
        <v>698</v>
      </c>
      <c r="C10" s="720">
        <v>50.68</v>
      </c>
      <c r="D10" s="752"/>
    </row>
    <row r="11" spans="1:7">
      <c r="A11" s="728" t="s">
        <v>699</v>
      </c>
      <c r="B11" s="729" t="s">
        <v>698</v>
      </c>
      <c r="C11" s="720">
        <v>93.89</v>
      </c>
      <c r="D11" s="752"/>
    </row>
    <row r="12" spans="1:7">
      <c r="A12" s="728" t="s">
        <v>804</v>
      </c>
      <c r="B12" s="729" t="s">
        <v>698</v>
      </c>
      <c r="C12" s="720">
        <v>253.79</v>
      </c>
      <c r="D12" s="752"/>
    </row>
    <row r="13" spans="1:7">
      <c r="A13" s="728" t="s">
        <v>700</v>
      </c>
      <c r="B13" s="729" t="s">
        <v>698</v>
      </c>
      <c r="C13" s="720">
        <v>69.239999999999995</v>
      </c>
      <c r="D13" s="752"/>
    </row>
    <row r="14" spans="1:7">
      <c r="A14" s="728" t="s">
        <v>701</v>
      </c>
      <c r="B14" s="729" t="s">
        <v>693</v>
      </c>
      <c r="C14" s="720">
        <v>109.78</v>
      </c>
      <c r="D14" s="752"/>
    </row>
    <row r="15" spans="1:7">
      <c r="A15" s="728" t="s">
        <v>702</v>
      </c>
      <c r="B15" s="729" t="s">
        <v>693</v>
      </c>
      <c r="C15" s="720">
        <v>183.64</v>
      </c>
      <c r="D15" s="752"/>
    </row>
    <row r="16" spans="1:7">
      <c r="A16" s="728" t="s">
        <v>663</v>
      </c>
      <c r="B16" s="729" t="s">
        <v>693</v>
      </c>
      <c r="C16" s="720">
        <v>72.040000000000006</v>
      </c>
      <c r="D16" s="752"/>
    </row>
    <row r="17" spans="1:4">
      <c r="A17" s="728" t="s">
        <v>664</v>
      </c>
      <c r="B17" s="729" t="s">
        <v>693</v>
      </c>
      <c r="C17" s="720">
        <v>89.42</v>
      </c>
      <c r="D17" s="752"/>
    </row>
    <row r="18" spans="1:4">
      <c r="A18" s="728" t="s">
        <v>665</v>
      </c>
      <c r="B18" s="729" t="s">
        <v>693</v>
      </c>
      <c r="C18" s="720">
        <v>106.13</v>
      </c>
      <c r="D18" s="752"/>
    </row>
    <row r="19" spans="1:4">
      <c r="A19" s="728" t="s">
        <v>666</v>
      </c>
      <c r="B19" s="729" t="s">
        <v>693</v>
      </c>
      <c r="C19" s="720">
        <v>23.03</v>
      </c>
      <c r="D19" s="752"/>
    </row>
    <row r="20" spans="1:4">
      <c r="A20" s="728" t="s">
        <v>667</v>
      </c>
      <c r="B20" s="729" t="s">
        <v>693</v>
      </c>
      <c r="C20" s="720">
        <v>30.53</v>
      </c>
      <c r="D20" s="752"/>
    </row>
    <row r="21" spans="1:4">
      <c r="A21" s="728" t="s">
        <v>668</v>
      </c>
      <c r="B21" s="729" t="s">
        <v>693</v>
      </c>
      <c r="C21" s="720">
        <v>22.99</v>
      </c>
      <c r="D21" s="752"/>
    </row>
    <row r="22" spans="1:4">
      <c r="A22" s="728" t="s">
        <v>669</v>
      </c>
      <c r="B22" s="729" t="s">
        <v>693</v>
      </c>
      <c r="C22" s="720">
        <v>556.39</v>
      </c>
      <c r="D22" s="752"/>
    </row>
    <row r="23" spans="1:4">
      <c r="A23" s="728" t="s">
        <v>691</v>
      </c>
      <c r="B23" s="729" t="s">
        <v>693</v>
      </c>
      <c r="C23" s="720">
        <v>170.33</v>
      </c>
      <c r="D23" s="752"/>
    </row>
    <row r="24" spans="1:4">
      <c r="A24" s="728" t="s">
        <v>703</v>
      </c>
      <c r="B24" s="729" t="s">
        <v>693</v>
      </c>
      <c r="C24" s="720">
        <v>44.51</v>
      </c>
      <c r="D24" s="752"/>
    </row>
    <row r="25" spans="1:4">
      <c r="A25" s="728" t="s">
        <v>686</v>
      </c>
      <c r="B25" s="729" t="s">
        <v>711</v>
      </c>
      <c r="C25" s="720">
        <v>6.15</v>
      </c>
      <c r="D25" s="752"/>
    </row>
    <row r="26" spans="1:4">
      <c r="A26" s="728" t="s">
        <v>728</v>
      </c>
      <c r="B26" s="729" t="s">
        <v>693</v>
      </c>
      <c r="C26" s="720">
        <v>11.61</v>
      </c>
      <c r="D26" s="752"/>
    </row>
    <row r="27" spans="1:4">
      <c r="A27" s="728" t="s">
        <v>671</v>
      </c>
      <c r="B27" s="729" t="s">
        <v>693</v>
      </c>
      <c r="C27" s="720">
        <v>40.96</v>
      </c>
      <c r="D27" s="752"/>
    </row>
    <row r="28" spans="1:4">
      <c r="A28" s="728" t="s">
        <v>704</v>
      </c>
      <c r="B28" s="729" t="s">
        <v>693</v>
      </c>
      <c r="C28" s="720">
        <v>70.89</v>
      </c>
      <c r="D28" s="752"/>
    </row>
    <row r="29" spans="1:4">
      <c r="A29" s="728" t="s">
        <v>705</v>
      </c>
      <c r="B29" s="729" t="s">
        <v>693</v>
      </c>
      <c r="C29" s="720">
        <v>73.989999999999995</v>
      </c>
      <c r="D29" s="752"/>
    </row>
    <row r="30" spans="1:4">
      <c r="A30" s="728" t="s">
        <v>706</v>
      </c>
      <c r="B30" s="729" t="s">
        <v>693</v>
      </c>
      <c r="C30" s="720">
        <v>149.80000000000001</v>
      </c>
      <c r="D30" s="752"/>
    </row>
    <row r="31" spans="1:4">
      <c r="A31" s="728" t="s">
        <v>672</v>
      </c>
      <c r="B31" s="729" t="s">
        <v>693</v>
      </c>
      <c r="C31" s="720">
        <v>126.11</v>
      </c>
      <c r="D31" s="752"/>
    </row>
    <row r="32" spans="1:4">
      <c r="A32" s="728" t="s">
        <v>673</v>
      </c>
      <c r="B32" s="729" t="s">
        <v>698</v>
      </c>
      <c r="C32" s="720">
        <v>14.39</v>
      </c>
      <c r="D32" s="752"/>
    </row>
    <row r="33" spans="1:4">
      <c r="A33" s="728" t="s">
        <v>707</v>
      </c>
      <c r="B33" s="729" t="s">
        <v>698</v>
      </c>
      <c r="C33" s="720">
        <v>15.21</v>
      </c>
      <c r="D33" s="752"/>
    </row>
    <row r="34" spans="1:4">
      <c r="A34" s="728" t="s">
        <v>674</v>
      </c>
      <c r="B34" s="729" t="s">
        <v>698</v>
      </c>
      <c r="C34" s="720">
        <v>0.1472</v>
      </c>
      <c r="D34" s="752"/>
    </row>
    <row r="35" spans="1:4">
      <c r="A35" s="728" t="s">
        <v>675</v>
      </c>
      <c r="B35" s="729" t="s">
        <v>698</v>
      </c>
      <c r="C35" s="720">
        <v>49.34</v>
      </c>
      <c r="D35" s="752"/>
    </row>
    <row r="36" spans="1:4">
      <c r="A36" s="728" t="s">
        <v>676</v>
      </c>
      <c r="B36" s="729" t="s">
        <v>698</v>
      </c>
      <c r="C36" s="720">
        <v>54.97</v>
      </c>
      <c r="D36" s="752"/>
    </row>
    <row r="37" spans="1:4">
      <c r="A37" s="728" t="s">
        <v>677</v>
      </c>
      <c r="B37" s="729" t="s">
        <v>693</v>
      </c>
      <c r="C37" s="720">
        <v>0.108</v>
      </c>
      <c r="D37" s="752"/>
    </row>
    <row r="38" spans="1:4">
      <c r="A38" s="728" t="s">
        <v>678</v>
      </c>
      <c r="B38" s="729" t="s">
        <v>698</v>
      </c>
      <c r="C38" s="720">
        <v>0.89070000000000005</v>
      </c>
      <c r="D38" s="752"/>
    </row>
    <row r="39" spans="1:4">
      <c r="A39" s="728" t="s">
        <v>708</v>
      </c>
      <c r="B39" s="729" t="s">
        <v>698</v>
      </c>
      <c r="C39" s="720">
        <v>17.86</v>
      </c>
      <c r="D39" s="752"/>
    </row>
    <row r="40" spans="1:4">
      <c r="A40" s="728" t="s">
        <v>679</v>
      </c>
      <c r="B40" s="729" t="s">
        <v>693</v>
      </c>
      <c r="C40" s="720">
        <v>3.22</v>
      </c>
      <c r="D40" s="752"/>
    </row>
    <row r="41" spans="1:4">
      <c r="A41" s="728" t="s">
        <v>680</v>
      </c>
      <c r="B41" s="729" t="s">
        <v>709</v>
      </c>
      <c r="C41" s="720">
        <v>11.71</v>
      </c>
      <c r="D41" s="752"/>
    </row>
    <row r="42" spans="1:4">
      <c r="A42" s="728" t="s">
        <v>805</v>
      </c>
      <c r="B42" s="729" t="s">
        <v>711</v>
      </c>
      <c r="C42" s="720">
        <v>47.21</v>
      </c>
      <c r="D42" s="752"/>
    </row>
    <row r="43" spans="1:4">
      <c r="A43" s="728" t="s">
        <v>681</v>
      </c>
      <c r="B43" s="729" t="s">
        <v>693</v>
      </c>
      <c r="C43" s="720">
        <v>7.9600000000000004E-2</v>
      </c>
      <c r="D43" s="752"/>
    </row>
    <row r="44" spans="1:4">
      <c r="A44" s="728" t="s">
        <v>710</v>
      </c>
      <c r="B44" s="729" t="s">
        <v>693</v>
      </c>
      <c r="C44" s="720">
        <v>13.48</v>
      </c>
      <c r="D44" s="752"/>
    </row>
  </sheetData>
  <sheetProtection algorithmName="SHA-512" hashValue="stVDOp8RhoptiXU6sX839v6ZKf33CrGnkHGG9pNwpN/bJ2hkRvv3FUBMQzHn2UbhQ11zVCuNv5cRjMTKfKoh3A==" saltValue="/dFgEu6gvGy1REQZrOxjz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7"/>
  <dimension ref="B1:J221"/>
  <sheetViews>
    <sheetView showGridLines="0" zoomScale="90" zoomScaleNormal="90" workbookViewId="0">
      <selection activeCell="L6" sqref="L6"/>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77" t="s">
        <v>482</v>
      </c>
      <c r="C2" s="878"/>
      <c r="D2" s="878"/>
      <c r="E2" s="878"/>
      <c r="F2" s="878"/>
      <c r="G2" s="878"/>
      <c r="H2" s="878"/>
      <c r="I2" s="878"/>
      <c r="J2" s="879"/>
    </row>
    <row r="3" spans="2:10" ht="45">
      <c r="B3" s="253" t="s">
        <v>184</v>
      </c>
      <c r="C3" s="253" t="s">
        <v>40</v>
      </c>
      <c r="D3" s="253" t="s">
        <v>491</v>
      </c>
      <c r="E3" s="405" t="s">
        <v>490</v>
      </c>
      <c r="F3" s="253" t="s">
        <v>310</v>
      </c>
      <c r="G3" s="405" t="s">
        <v>41</v>
      </c>
      <c r="H3" s="641" t="s">
        <v>483</v>
      </c>
      <c r="I3" s="254" t="s">
        <v>492</v>
      </c>
      <c r="J3" s="254" t="s">
        <v>730</v>
      </c>
    </row>
    <row r="4" spans="2:10">
      <c r="C4"/>
      <c r="G4"/>
      <c r="I4" s="298">
        <f>SUM(I5:I251)</f>
        <v>2402.8199999999997</v>
      </c>
      <c r="J4" s="298">
        <f>SUM(J5:J251)</f>
        <v>2658.7000000000003</v>
      </c>
    </row>
    <row r="5" spans="2:10" ht="3.75" customHeight="1">
      <c r="C5"/>
      <c r="G5"/>
      <c r="I5" s="773"/>
      <c r="J5" s="773"/>
    </row>
    <row r="6" spans="2:10">
      <c r="B6" s="250">
        <v>1</v>
      </c>
      <c r="C6" s="250"/>
      <c r="D6" s="804" t="s">
        <v>785</v>
      </c>
      <c r="E6" s="250" t="s">
        <v>782</v>
      </c>
      <c r="F6" s="250">
        <v>4</v>
      </c>
      <c r="G6" s="743">
        <v>632.09</v>
      </c>
      <c r="H6" s="742">
        <v>0.2</v>
      </c>
      <c r="I6" s="774">
        <f>IFERROR(ROUND((IF(ISNUMBER(H6),H6*'Mão de Obra'!$D$12/12,1)*G6*F6)/'Mão de Obra'!$D$12,2),"")</f>
        <v>42.14</v>
      </c>
      <c r="J6" s="774">
        <f>IFERROR(ROUND(I6*(1+
SUM(
IFERROR(SUMPRODUCT('Mão de Obra'!$E$169:$II$169,'Mão de Obra'!$E$29:$II$29),0),
IFERROR(SUMPRODUCT(Produtividade!$E$171:$II$171,Produtividade!$E$29:$II$29),0),
IFERROR(SUMPRODUCT(Veículos!$E$81:$II$81,Veículos!$E$4:$II$4),0)
)
/
Proposta!$J$68),2),"")</f>
        <v>46.63</v>
      </c>
    </row>
    <row r="7" spans="2:10">
      <c r="B7" s="250">
        <v>2</v>
      </c>
      <c r="C7" s="250"/>
      <c r="D7" s="804" t="s">
        <v>786</v>
      </c>
      <c r="E7" s="250" t="s">
        <v>682</v>
      </c>
      <c r="F7" s="449">
        <v>4</v>
      </c>
      <c r="G7" s="743">
        <v>746.84</v>
      </c>
      <c r="H7" s="742">
        <v>0.2</v>
      </c>
      <c r="I7" s="774">
        <f>IFERROR(ROUND((IF(ISNUMBER(H7),H7*'Mão de Obra'!$D$12/12,1)*G7*F7)/'Mão de Obra'!$D$12,2),"")</f>
        <v>49.79</v>
      </c>
      <c r="J7" s="774">
        <f>IFERROR(ROUND(I7*(1+
SUM(
IFERROR(SUMPRODUCT('Mão de Obra'!$E$169:$II$169,'Mão de Obra'!$E$29:$II$29),0),
IFERROR(SUMPRODUCT(Produtividade!$E$171:$II$171,Produtividade!$E$29:$II$29),0),
IFERROR(SUMPRODUCT(Veículos!$E$81:$II$81,Veículos!$E$4:$II$4),0)
)
/
Proposta!$J$68),2),"")</f>
        <v>55.09</v>
      </c>
    </row>
    <row r="8" spans="2:10">
      <c r="B8" s="250">
        <v>3</v>
      </c>
      <c r="C8" s="250"/>
      <c r="D8" s="803" t="s">
        <v>787</v>
      </c>
      <c r="E8" s="250" t="s">
        <v>682</v>
      </c>
      <c r="F8" s="449">
        <v>4</v>
      </c>
      <c r="G8" s="743">
        <v>2063.48</v>
      </c>
      <c r="H8" s="742">
        <v>0.2</v>
      </c>
      <c r="I8" s="774">
        <f>IFERROR(ROUND((IF(ISNUMBER(H8),H8*'Mão de Obra'!$D$12/12,1)*G8*F8)/'Mão de Obra'!$D$12,2),"")</f>
        <v>137.57</v>
      </c>
      <c r="J8" s="774">
        <f>IFERROR(ROUND(I8*(1+
SUM(
IFERROR(SUMPRODUCT('Mão de Obra'!$E$169:$II$169,'Mão de Obra'!$E$29:$II$29),0),
IFERROR(SUMPRODUCT(Produtividade!$E$171:$II$171,Produtividade!$E$29:$II$29),0),
IFERROR(SUMPRODUCT(Veículos!$E$81:$II$81,Veículos!$E$4:$II$4),0)
)
/
Proposta!$J$68),2),"")</f>
        <v>152.22</v>
      </c>
    </row>
    <row r="9" spans="2:10">
      <c r="B9" s="250">
        <v>4</v>
      </c>
      <c r="C9" s="250"/>
      <c r="D9" s="386" t="s">
        <v>789</v>
      </c>
      <c r="E9" s="250" t="s">
        <v>682</v>
      </c>
      <c r="F9" s="449">
        <v>4</v>
      </c>
      <c r="G9" s="743">
        <v>592.66</v>
      </c>
      <c r="H9" s="742">
        <v>0.2</v>
      </c>
      <c r="I9" s="774">
        <f>IFERROR(ROUND((IF(ISNUMBER(H9),H9*'Mão de Obra'!$D$12/12,1)*G9*F9)/'Mão de Obra'!$D$12,2),"")</f>
        <v>39.51</v>
      </c>
      <c r="J9" s="774">
        <f>IFERROR(ROUND(I9*(1+
SUM(
IFERROR(SUMPRODUCT('Mão de Obra'!$E$169:$II$169,'Mão de Obra'!$E$29:$II$29),0),
IFERROR(SUMPRODUCT(Produtividade!$E$171:$II$171,Produtividade!$E$29:$II$29),0),
IFERROR(SUMPRODUCT(Veículos!$E$81:$II$81,Veículos!$E$4:$II$4),0)
)
/
Proposta!$J$68),2),"")</f>
        <v>43.72</v>
      </c>
    </row>
    <row r="10" spans="2:10">
      <c r="B10" s="250">
        <v>5</v>
      </c>
      <c r="C10" s="250"/>
      <c r="D10" s="386" t="s">
        <v>790</v>
      </c>
      <c r="E10" s="250" t="s">
        <v>682</v>
      </c>
      <c r="F10" s="449">
        <v>2</v>
      </c>
      <c r="G10" s="743">
        <v>454.17</v>
      </c>
      <c r="H10" s="742">
        <v>0.2</v>
      </c>
      <c r="I10" s="774">
        <f>IFERROR(ROUND((IF(ISNUMBER(H10),H10*'Mão de Obra'!$D$12/12,1)*G10*F10)/'Mão de Obra'!$D$12,2),"")</f>
        <v>15.14</v>
      </c>
      <c r="J10" s="774">
        <f>IFERROR(ROUND(I10*(1+
SUM(
IFERROR(SUMPRODUCT('Mão de Obra'!$E$169:$II$169,'Mão de Obra'!$E$29:$II$29),0),
IFERROR(SUMPRODUCT(Produtividade!$E$171:$II$171,Produtividade!$E$29:$II$29),0),
IFERROR(SUMPRODUCT(Veículos!$E$81:$II$81,Veículos!$E$4:$II$4),0)
)
/
Proposta!$J$68),2),"")</f>
        <v>16.75</v>
      </c>
    </row>
    <row r="11" spans="2:10">
      <c r="B11" s="250">
        <v>6</v>
      </c>
      <c r="C11" s="250"/>
      <c r="D11" s="386" t="s">
        <v>791</v>
      </c>
      <c r="E11" s="250" t="s">
        <v>682</v>
      </c>
      <c r="F11" s="449">
        <v>5</v>
      </c>
      <c r="G11" s="743">
        <v>386</v>
      </c>
      <c r="H11" s="742">
        <v>0.2</v>
      </c>
      <c r="I11" s="774">
        <f>IFERROR(ROUND((IF(ISNUMBER(H11),H11*'Mão de Obra'!$D$12/12,1)*G11*F11)/'Mão de Obra'!$D$12,2),"")</f>
        <v>32.17</v>
      </c>
      <c r="J11" s="774">
        <f>IFERROR(ROUND(I11*(1+
SUM(
IFERROR(SUMPRODUCT('Mão de Obra'!$E$169:$II$169,'Mão de Obra'!$E$29:$II$29),0),
IFERROR(SUMPRODUCT(Produtividade!$E$171:$II$171,Produtividade!$E$29:$II$29),0),
IFERROR(SUMPRODUCT(Veículos!$E$81:$II$81,Veículos!$E$4:$II$4),0)
)
/
Proposta!$J$68),2),"")</f>
        <v>35.6</v>
      </c>
    </row>
    <row r="12" spans="2:10">
      <c r="B12" s="250">
        <v>7</v>
      </c>
      <c r="C12" s="250"/>
      <c r="D12" s="386" t="s">
        <v>792</v>
      </c>
      <c r="E12" s="250" t="s">
        <v>782</v>
      </c>
      <c r="F12" s="449">
        <v>2</v>
      </c>
      <c r="G12" s="743">
        <v>497.15</v>
      </c>
      <c r="H12" s="742">
        <v>0.2</v>
      </c>
      <c r="I12" s="774">
        <f>IFERROR(ROUND((IF(ISNUMBER(H12),H12*'Mão de Obra'!$D$12/12,1)*G12*F12)/'Mão de Obra'!$D$12,2),"")</f>
        <v>16.57</v>
      </c>
      <c r="J12" s="774">
        <f>IFERROR(ROUND(I12*(1+
SUM(
IFERROR(SUMPRODUCT('Mão de Obra'!$E$169:$II$169,'Mão de Obra'!$E$29:$II$29),0),
IFERROR(SUMPRODUCT(Produtividade!$E$171:$II$171,Produtividade!$E$29:$II$29),0),
IFERROR(SUMPRODUCT(Veículos!$E$81:$II$81,Veículos!$E$4:$II$4),0)
)
/
Proposta!$J$68),2),"")</f>
        <v>18.329999999999998</v>
      </c>
    </row>
    <row r="13" spans="2:10">
      <c r="B13" s="250">
        <v>8</v>
      </c>
      <c r="C13" s="250"/>
      <c r="D13" s="386" t="s">
        <v>793</v>
      </c>
      <c r="E13" s="250" t="s">
        <v>682</v>
      </c>
      <c r="F13" s="449">
        <v>2</v>
      </c>
      <c r="G13" s="743">
        <v>99.88</v>
      </c>
      <c r="H13" s="742">
        <v>0.2</v>
      </c>
      <c r="I13" s="774">
        <f>IFERROR(ROUND((IF(ISNUMBER(H13),H13*'Mão de Obra'!$D$12/12,1)*G13*F13)/'Mão de Obra'!$D$12,2),"")</f>
        <v>3.33</v>
      </c>
      <c r="J13" s="774">
        <f>IFERROR(ROUND(I13*(1+
SUM(
IFERROR(SUMPRODUCT('Mão de Obra'!$E$169:$II$169,'Mão de Obra'!$E$29:$II$29),0),
IFERROR(SUMPRODUCT(Produtividade!$E$171:$II$171,Produtividade!$E$29:$II$29),0),
IFERROR(SUMPRODUCT(Veículos!$E$81:$II$81,Veículos!$E$4:$II$4),0)
)
/
Proposta!$J$68),2),"")</f>
        <v>3.68</v>
      </c>
    </row>
    <row r="14" spans="2:10">
      <c r="B14" s="250">
        <v>9</v>
      </c>
      <c r="C14" s="250"/>
      <c r="D14" s="386" t="s">
        <v>794</v>
      </c>
      <c r="E14" s="250" t="s">
        <v>682</v>
      </c>
      <c r="F14" s="449">
        <v>2</v>
      </c>
      <c r="G14" s="743">
        <v>1199</v>
      </c>
      <c r="H14" s="742">
        <v>0.2</v>
      </c>
      <c r="I14" s="774">
        <f>IFERROR(ROUND((IF(ISNUMBER(H14),H14*'Mão de Obra'!$D$12/12,1)*G14*F14)/'Mão de Obra'!$D$12,2),"")</f>
        <v>39.97</v>
      </c>
      <c r="J14" s="774">
        <f>IFERROR(ROUND(I14*(1+
SUM(
IFERROR(SUMPRODUCT('Mão de Obra'!$E$169:$II$169,'Mão de Obra'!$E$29:$II$29),0),
IFERROR(SUMPRODUCT(Produtividade!$E$171:$II$171,Produtividade!$E$29:$II$29),0),
IFERROR(SUMPRODUCT(Veículos!$E$81:$II$81,Veículos!$E$4:$II$4),0)
)
/
Proposta!$J$68),2),"")</f>
        <v>44.23</v>
      </c>
    </row>
    <row r="15" spans="2:10" hidden="1">
      <c r="B15" s="250"/>
      <c r="C15" s="250"/>
      <c r="D15" s="386"/>
      <c r="E15" s="250"/>
      <c r="F15" s="449">
        <v>4</v>
      </c>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IFERROR(SUMPRODUCT(Produtividade!$E$171:$II$171,Produtividade!$E$29:$II$29),0),
IFERROR(SUMPRODUCT(Veículos!$E$81:$II$81,Veículos!$E$4:$II$4),0)
)
/
Proposta!$J$68),2),"")</f>
        <v/>
      </c>
    </row>
    <row r="16" spans="2:10">
      <c r="B16" s="250">
        <v>10</v>
      </c>
      <c r="C16" s="250"/>
      <c r="D16" s="386" t="s">
        <v>796</v>
      </c>
      <c r="E16" s="250" t="s">
        <v>682</v>
      </c>
      <c r="F16" s="449">
        <v>4</v>
      </c>
      <c r="G16" s="743">
        <v>3401.29</v>
      </c>
      <c r="H16" s="742" t="str">
        <f>IFERROR(IF(VLOOKUP($D16,'Apoio - Mat Coletivo e Equip'!$A:$D,4,FALSE)=0,"",VLOOKUP($D16,'Apoio - Mat Coletivo e Equip'!$A:$D,4,FALSE)),"")</f>
        <v/>
      </c>
      <c r="I16" s="774">
        <f>IFERROR(ROUND((IF(ISNUMBER(H16),H16*'Mão de Obra'!$D$12/12,1)*G16*F16)/'Mão de Obra'!$D$12,2),"")</f>
        <v>1133.76</v>
      </c>
      <c r="J16" s="774">
        <f>IFERROR(ROUND(I16*(1+
SUM(
IFERROR(SUMPRODUCT('Mão de Obra'!$E$169:$II$169,'Mão de Obra'!$E$29:$II$29),0),
IFERROR(SUMPRODUCT(Produtividade!$E$171:$II$171,Produtividade!$E$29:$II$29),0),
IFERROR(SUMPRODUCT(Veículos!$E$81:$II$81,Veículos!$E$4:$II$4),0)
)
/
Proposta!$J$68),2),"")</f>
        <v>1254.49</v>
      </c>
    </row>
    <row r="17" spans="2:10">
      <c r="B17" s="250">
        <v>11</v>
      </c>
      <c r="C17" s="250"/>
      <c r="D17" s="386" t="s">
        <v>795</v>
      </c>
      <c r="E17" s="250" t="s">
        <v>682</v>
      </c>
      <c r="F17" s="449">
        <v>4</v>
      </c>
      <c r="G17" s="743">
        <v>197.16</v>
      </c>
      <c r="H17" s="742" t="str">
        <f>IFERROR(IF(VLOOKUP($D17,'Apoio - Mat Coletivo e Equip'!$A:$D,4,FALSE)=0,"",VLOOKUP($D17,'Apoio - Mat Coletivo e Equip'!$A:$D,4,FALSE)),"")</f>
        <v/>
      </c>
      <c r="I17" s="774">
        <f>IFERROR(ROUND((IF(ISNUMBER(H17),H17*'Mão de Obra'!$D$12/12,1)*G17*F17)/'Mão de Obra'!$D$12,2),"")</f>
        <v>65.72</v>
      </c>
      <c r="J17" s="774">
        <f>IFERROR(ROUND(I17*(1+
SUM(
IFERROR(SUMPRODUCT('Mão de Obra'!$E$169:$II$169,'Mão de Obra'!$E$29:$II$29),0),
IFERROR(SUMPRODUCT(Produtividade!$E$171:$II$171,Produtividade!$E$29:$II$29),0),
IFERROR(SUMPRODUCT(Veículos!$E$81:$II$81,Veículos!$E$4:$II$4),0)
)
/
Proposta!$J$68),2),"")</f>
        <v>72.72</v>
      </c>
    </row>
    <row r="18" spans="2:10">
      <c r="B18" s="250">
        <v>12</v>
      </c>
      <c r="C18" s="250"/>
      <c r="D18" s="386" t="s">
        <v>687</v>
      </c>
      <c r="E18" s="250" t="s">
        <v>798</v>
      </c>
      <c r="F18" s="449">
        <v>2</v>
      </c>
      <c r="G18" s="743">
        <v>76.92</v>
      </c>
      <c r="H18" s="742" t="str">
        <f>IFERROR(IF(VLOOKUP($D18,'Apoio - Mat Coletivo e Equip'!$A:$D,4,FALSE)=0,"",VLOOKUP($D18,'Apoio - Mat Coletivo e Equip'!$A:$D,4,FALSE)),"")</f>
        <v/>
      </c>
      <c r="I18" s="774">
        <f>IFERROR(ROUND((IF(ISNUMBER(H18),H18*'Mão de Obra'!$D$12/12,1)*G18*F18)/'Mão de Obra'!$D$12,2),"")</f>
        <v>12.82</v>
      </c>
      <c r="J18" s="774">
        <f>IFERROR(ROUND(I18*(1+
SUM(
IFERROR(SUMPRODUCT('Mão de Obra'!$E$169:$II$169,'Mão de Obra'!$E$29:$II$29),0),
IFERROR(SUMPRODUCT(Produtividade!$E$171:$II$171,Produtividade!$E$29:$II$29),0),
IFERROR(SUMPRODUCT(Veículos!$E$81:$II$81,Veículos!$E$4:$II$4),0)
)
/
Proposta!$J$68),2),"")</f>
        <v>14.19</v>
      </c>
    </row>
    <row r="19" spans="2:10">
      <c r="B19" s="250">
        <v>13</v>
      </c>
      <c r="C19" s="250"/>
      <c r="D19" s="386" t="s">
        <v>797</v>
      </c>
      <c r="E19" s="250" t="s">
        <v>682</v>
      </c>
      <c r="F19" s="449">
        <v>4</v>
      </c>
      <c r="G19" s="743">
        <v>2423.6799999999998</v>
      </c>
      <c r="H19" s="742" t="str">
        <f>IFERROR(IF(VLOOKUP($D19,'Apoio - Mat Coletivo e Equip'!$A:$D,4,FALSE)=0,"",VLOOKUP($D19,'Apoio - Mat Coletivo e Equip'!$A:$D,4,FALSE)),"")</f>
        <v/>
      </c>
      <c r="I19" s="774">
        <f>IFERROR(ROUND((IF(ISNUMBER(H19),H19*'Mão de Obra'!$D$12/12,1)*G19*F19)/'Mão de Obra'!$D$12,2),"")</f>
        <v>807.89</v>
      </c>
      <c r="J19" s="774">
        <f>IFERROR(ROUND(I19*(1+
SUM(
IFERROR(SUMPRODUCT('Mão de Obra'!$E$169:$II$169,'Mão de Obra'!$E$29:$II$29),0),
IFERROR(SUMPRODUCT(Produtividade!$E$171:$II$171,Produtividade!$E$29:$II$29),0),
IFERROR(SUMPRODUCT(Veículos!$E$81:$II$81,Veículos!$E$4:$II$4),0)
)
/
Proposta!$J$68),2),"")</f>
        <v>893.92</v>
      </c>
    </row>
    <row r="20" spans="2:10">
      <c r="B20" s="250">
        <v>14</v>
      </c>
      <c r="C20" s="250"/>
      <c r="D20" s="386" t="s">
        <v>799</v>
      </c>
      <c r="E20" s="250" t="s">
        <v>798</v>
      </c>
      <c r="F20" s="449">
        <v>2</v>
      </c>
      <c r="G20" s="743">
        <v>38.619999999999997</v>
      </c>
      <c r="H20" s="742" t="str">
        <f>IFERROR(IF(VLOOKUP($D20,'Apoio - Mat Coletivo e Equip'!$A:$D,4,FALSE)=0,"",VLOOKUP($D20,'Apoio - Mat Coletivo e Equip'!$A:$D,4,FALSE)),"")</f>
        <v/>
      </c>
      <c r="I20" s="774">
        <f>IFERROR(ROUND((IF(ISNUMBER(H20),H20*'Mão de Obra'!$D$12/12,1)*G20*F20)/'Mão de Obra'!$D$12,2),"")</f>
        <v>6.44</v>
      </c>
      <c r="J20" s="774">
        <f>IFERROR(ROUND(I20*(1+
SUM(
IFERROR(SUMPRODUCT('Mão de Obra'!$E$169:$II$169,'Mão de Obra'!$E$29:$II$29),0),
IFERROR(SUMPRODUCT(Produtividade!$E$171:$II$171,Produtividade!$E$29:$II$29),0),
IFERROR(SUMPRODUCT(Veículos!$E$81:$II$81,Veículos!$E$4:$II$4),0)
)
/
Proposta!$J$68),2),"")</f>
        <v>7.13</v>
      </c>
    </row>
    <row r="21" spans="2:10" hidden="1">
      <c r="B21" s="250">
        <v>16</v>
      </c>
      <c r="C21" s="250"/>
      <c r="D21" s="386"/>
      <c r="E21" s="250"/>
      <c r="F21" s="449"/>
      <c r="G21" s="743"/>
      <c r="H21" s="742" t="str">
        <f>IFERROR(IF(VLOOKUP($D21,'Apoio - Mat Coletivo e Equip'!$A:$D,4,FALSE)=0,"",VLOOKUP($D21,'Apoio - Mat Coletivo e Equip'!$A:$D,4,FALSE)),"")</f>
        <v/>
      </c>
      <c r="I21" s="774">
        <f>IFERROR(ROUND((IF(ISNUMBER(H21),H21*'Mão de Obra'!$D$12/12,1)*G21*F21)/'Mão de Obra'!$D$12,2),"")</f>
        <v>0</v>
      </c>
      <c r="J21" s="774">
        <f>IFERROR(ROUND(I21*(1+
SUM(
IFERROR(SUMPRODUCT('Mão de Obra'!$E$169:$II$169,'Mão de Obra'!$E$29:$II$29),0),
IFERROR(SUMPRODUCT(Produtividade!$E$171:$II$171,Produtividade!$E$29:$II$29),0),
IFERROR(SUMPRODUCT(Veículos!$E$81:$II$81,Veículos!$E$4:$II$4),0)
)
/
Proposta!$J$68),2),"")</f>
        <v>0</v>
      </c>
    </row>
    <row r="22" spans="2:10" hidden="1">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IFERROR(SUMPRODUCT(Produtividade!$E$171:$II$171,Produtividade!$E$29:$II$29),0),
IFERROR(SUMPRODUCT(Veículos!$E$81:$II$81,Veículos!$E$4:$II$4),0)
)
/
Proposta!$J$68),2),"")</f>
        <v/>
      </c>
    </row>
    <row r="23" spans="2:10" hidden="1">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IFERROR(SUMPRODUCT(Produtividade!$E$171:$II$171,Produtividade!$E$29:$II$29),0),
IFERROR(SUMPRODUCT(Veículos!$E$81:$II$81,Veículos!$E$4:$II$4),0)
)
/
Proposta!$J$68),2),"")</f>
        <v/>
      </c>
    </row>
    <row r="24" spans="2:10" hidden="1">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IFERROR(SUMPRODUCT(Produtividade!$E$171:$II$171,Produtividade!$E$29:$II$29),0),
IFERROR(SUMPRODUCT(Veículos!$E$81:$II$81,Veículos!$E$4:$II$4),0)
)
/
Proposta!$J$68),2),"")</f>
        <v/>
      </c>
    </row>
    <row r="25" spans="2:10" hidden="1">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IFERROR(SUMPRODUCT(Produtividade!$E$171:$II$171,Produtividade!$E$29:$II$29),0),
IFERROR(SUMPRODUCT(Veículos!$E$81:$II$81,Veículos!$E$4:$II$4),0)
)
/
Proposta!$J$68),2),"")</f>
        <v/>
      </c>
    </row>
    <row r="26" spans="2:10" hidden="1">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IFERROR(SUMPRODUCT(Produtividade!$E$171:$II$171,Produtividade!$E$29:$II$29),0),
IFERROR(SUMPRODUCT(Veículos!$E$81:$II$81,Veículos!$E$4:$II$4),0)
)
/
Proposta!$J$68),2),"")</f>
        <v/>
      </c>
    </row>
    <row r="27" spans="2:10" s="42" customFormat="1" hidden="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IFERROR(SUMPRODUCT(Produtividade!$E$171:$II$171,Produtividade!$E$29:$II$29),0),
IFERROR(SUMPRODUCT(Veículos!$E$81:$II$81,Veículos!$E$4:$II$4),0)
)
/
Proposta!$J$68),2),"")</f>
        <v/>
      </c>
    </row>
    <row r="28" spans="2:10" s="42" customFormat="1" hidden="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IFERROR(SUMPRODUCT(Produtividade!$E$171:$II$171,Produtividade!$E$29:$II$29),0),
IFERROR(SUMPRODUCT(Veículos!$E$81:$II$81,Veículos!$E$4:$II$4),0)
)
/
Proposta!$J$68),2),"")</f>
        <v/>
      </c>
    </row>
    <row r="29" spans="2:10" s="42" customFormat="1" hidden="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IFERROR(SUMPRODUCT(Produtividade!$E$171:$II$171,Produtividade!$E$29:$II$29),0),
IFERROR(SUMPRODUCT(Veículos!$E$81:$II$81,Veículos!$E$4:$II$4),0)
)
/
Proposta!$J$68),2),"")</f>
        <v/>
      </c>
    </row>
    <row r="30" spans="2:10" s="42" customFormat="1" hidden="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IFERROR(SUMPRODUCT(Produtividade!$E$171:$II$171,Produtividade!$E$29:$II$29),0),
IFERROR(SUMPRODUCT(Veículos!$E$81:$II$81,Veículos!$E$4:$II$4),0)
)
/
Proposta!$J$68),2),"")</f>
        <v/>
      </c>
    </row>
    <row r="31" spans="2:10" s="42" customFormat="1" hidden="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IFERROR(SUMPRODUCT(Produtividade!$E$171:$II$171,Produtividade!$E$29:$II$29),0),
IFERROR(SUMPRODUCT(Veículos!$E$81:$II$81,Veículos!$E$4:$II$4),0)
)
/
Proposta!$J$68),2),"")</f>
        <v/>
      </c>
    </row>
    <row r="32" spans="2:10" s="42" customFormat="1" hidden="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IFERROR(SUMPRODUCT(Produtividade!$E$171:$II$171,Produtividade!$E$29:$II$29),0),
IFERROR(SUMPRODUCT(Veículos!$E$81:$II$81,Veículos!$E$4:$II$4),0)
)
/
Proposta!$J$68),2),"")</f>
        <v/>
      </c>
    </row>
    <row r="33" spans="2:10" s="42" customFormat="1" hidden="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IFERROR(SUMPRODUCT(Produtividade!$E$171:$II$171,Produtividade!$E$29:$II$29),0),
IFERROR(SUMPRODUCT(Veículos!$E$81:$II$81,Veículos!$E$4:$II$4),0)
)
/
Proposta!$J$68),2),"")</f>
        <v/>
      </c>
    </row>
    <row r="34" spans="2:10" s="42" customFormat="1" hidden="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IFERROR(SUMPRODUCT(Produtividade!$E$171:$II$171,Produtividade!$E$29:$II$29),0),
IFERROR(SUMPRODUCT(Veículos!$E$81:$II$81,Veículos!$E$4:$II$4),0)
)
/
Proposta!$J$68),2),"")</f>
        <v/>
      </c>
    </row>
    <row r="35" spans="2:10" s="42" customFormat="1" hidden="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IFERROR(SUMPRODUCT(Produtividade!$E$171:$II$171,Produtividade!$E$29:$II$29),0),
IFERROR(SUMPRODUCT(Veículos!$E$81:$II$81,Veículos!$E$4:$II$4),0)
)
/
Proposta!$J$68),2),"")</f>
        <v/>
      </c>
    </row>
    <row r="36" spans="2:10" s="42" customFormat="1" hidden="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IFERROR(SUMPRODUCT(Produtividade!$E$171:$II$171,Produtividade!$E$29:$II$29),0),
IFERROR(SUMPRODUCT(Veículos!$E$81:$II$81,Veículos!$E$4:$II$4),0)
)
/
Proposta!$J$68),2),"")</f>
        <v/>
      </c>
    </row>
    <row r="37" spans="2:10" s="42" customFormat="1" hidden="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IFERROR(SUMPRODUCT(Produtividade!$E$171:$II$171,Produtividade!$E$29:$II$29),0),
IFERROR(SUMPRODUCT(Veículos!$E$81:$II$81,Veículos!$E$4:$II$4),0)
)
/
Proposta!$J$68),2),"")</f>
        <v/>
      </c>
    </row>
    <row r="38" spans="2:10" s="42" customFormat="1" hidden="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IFERROR(SUMPRODUCT(Produtividade!$E$171:$II$171,Produtividade!$E$29:$II$29),0),
IFERROR(SUMPRODUCT(Veículos!$E$81:$II$81,Veículos!$E$4:$II$4),0)
)
/
Proposta!$J$68),2),"")</f>
        <v/>
      </c>
    </row>
    <row r="39" spans="2:10" s="42" customFormat="1" hidden="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IFERROR(SUMPRODUCT(Produtividade!$E$171:$II$171,Produtividade!$E$29:$II$29),0),
IFERROR(SUMPRODUCT(Veículos!$E$81:$II$81,Veículos!$E$4:$II$4),0)
)
/
Proposta!$J$68),2),"")</f>
        <v/>
      </c>
    </row>
    <row r="40" spans="2:10" s="42" customFormat="1" hidden="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IFERROR(SUMPRODUCT(Produtividade!$E$171:$II$171,Produtividade!$E$29:$II$29),0),
IFERROR(SUMPRODUCT(Veículos!$E$81:$II$81,Veículos!$E$4:$II$4),0)
)
/
Proposta!$J$68),2),"")</f>
        <v/>
      </c>
    </row>
    <row r="41" spans="2:10" s="42" customFormat="1" hidden="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IFERROR(SUMPRODUCT(Produtividade!$E$171:$II$171,Produtividade!$E$29:$II$29),0),
IFERROR(SUMPRODUCT(Veículos!$E$81:$II$81,Veículos!$E$4:$II$4),0)
)
/
Proposta!$J$68),2),"")</f>
        <v/>
      </c>
    </row>
    <row r="42" spans="2:10" s="42" customFormat="1" hidden="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IFERROR(SUMPRODUCT(Produtividade!$E$171:$II$171,Produtividade!$E$29:$II$29),0),
IFERROR(SUMPRODUCT(Veículos!$E$81:$II$81,Veículos!$E$4:$II$4),0)
)
/
Proposta!$J$68),2),"")</f>
        <v/>
      </c>
    </row>
    <row r="43" spans="2:10" s="42" customFormat="1" hidden="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IFERROR(SUMPRODUCT(Produtividade!$E$171:$II$171,Produtividade!$E$29:$II$29),0),
IFERROR(SUMPRODUCT(Veículos!$E$81:$II$81,Veículos!$E$4:$II$4),0)
)
/
Proposta!$J$68),2),"")</f>
        <v/>
      </c>
    </row>
    <row r="44" spans="2:10" s="42" customFormat="1" hidden="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IFERROR(SUMPRODUCT(Produtividade!$E$171:$II$171,Produtividade!$E$29:$II$29),0),
IFERROR(SUMPRODUCT(Veículos!$E$81:$II$81,Veículos!$E$4:$II$4),0)
)
/
Proposta!$J$68),2),"")</f>
        <v/>
      </c>
    </row>
    <row r="45" spans="2:10" s="42" customFormat="1" hidden="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IFERROR(SUMPRODUCT(Produtividade!$E$171:$II$171,Produtividade!$E$29:$II$29),0),
IFERROR(SUMPRODUCT(Veículos!$E$81:$II$81,Veículos!$E$4:$II$4),0)
)
/
Proposta!$J$68),2),"")</f>
        <v/>
      </c>
    </row>
    <row r="46" spans="2:10" s="42" customFormat="1" hidden="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IFERROR(SUMPRODUCT(Produtividade!$E$171:$II$171,Produtividade!$E$29:$II$29),0),
IFERROR(SUMPRODUCT(Veículos!$E$81:$II$81,Veículos!$E$4:$II$4),0)
)
/
Proposta!$J$68),2),"")</f>
        <v/>
      </c>
    </row>
    <row r="47" spans="2:10" s="42" customFormat="1" hidden="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IFERROR(SUMPRODUCT(Produtividade!$E$171:$II$171,Produtividade!$E$29:$II$29),0),
IFERROR(SUMPRODUCT(Veículos!$E$81:$II$81,Veículos!$E$4:$II$4),0)
)
/
Proposta!$J$68),2),"")</f>
        <v/>
      </c>
    </row>
    <row r="48" spans="2:10" s="42" customFormat="1" hidden="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IFERROR(SUMPRODUCT(Produtividade!$E$171:$II$171,Produtividade!$E$29:$II$29),0),
IFERROR(SUMPRODUCT(Veículos!$E$81:$II$81,Veículos!$E$4:$II$4),0)
)
/
Proposta!$J$68),2),"")</f>
        <v/>
      </c>
    </row>
    <row r="49" spans="2:10" s="42" customFormat="1" hidden="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IFERROR(SUMPRODUCT(Produtividade!$E$171:$II$171,Produtividade!$E$29:$II$29),0),
IFERROR(SUMPRODUCT(Veículos!$E$81:$II$81,Veículos!$E$4:$II$4),0)
)
/
Proposta!$J$68),2),"")</f>
        <v/>
      </c>
    </row>
    <row r="50" spans="2:10" s="42" customFormat="1" hidden="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IFERROR(SUMPRODUCT(Produtividade!$E$171:$II$171,Produtividade!$E$29:$II$29),0),
IFERROR(SUMPRODUCT(Veículos!$E$81:$II$81,Veículos!$E$4:$II$4),0)
)
/
Proposta!$J$68),2),"")</f>
        <v/>
      </c>
    </row>
    <row r="51" spans="2:10" s="42" customFormat="1" hidden="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IFERROR(SUMPRODUCT(Produtividade!$E$171:$II$171,Produtividade!$E$29:$II$29),0),
IFERROR(SUMPRODUCT(Veículos!$E$81:$II$81,Veículos!$E$4:$II$4),0)
)
/
Proposta!$J$68),2),"")</f>
        <v/>
      </c>
    </row>
    <row r="52" spans="2:10" s="42" customFormat="1" hidden="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IFERROR(SUMPRODUCT(Produtividade!$E$171:$II$171,Produtividade!$E$29:$II$29),0),
IFERROR(SUMPRODUCT(Veículos!$E$81:$II$81,Veículos!$E$4:$II$4),0)
)
/
Proposta!$J$68),2),"")</f>
        <v/>
      </c>
    </row>
    <row r="53" spans="2:10" s="42" customFormat="1" hidden="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IFERROR(SUMPRODUCT(Produtividade!$E$171:$II$171,Produtividade!$E$29:$II$29),0),
IFERROR(SUMPRODUCT(Veículos!$E$81:$II$81,Veículos!$E$4:$II$4),0)
)
/
Proposta!$J$68),2),"")</f>
        <v/>
      </c>
    </row>
    <row r="54" spans="2:10" s="42" customFormat="1" hidden="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IFERROR(SUMPRODUCT(Produtividade!$E$171:$II$171,Produtividade!$E$29:$II$29),0),
IFERROR(SUMPRODUCT(Veículos!$E$81:$II$81,Veículos!$E$4:$II$4),0)
)
/
Proposta!$J$68),2),"")</f>
        <v/>
      </c>
    </row>
    <row r="55" spans="2:10" s="42" customFormat="1" hidden="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IFERROR(SUMPRODUCT(Produtividade!$E$171:$II$171,Produtividade!$E$29:$II$29),0),
IFERROR(SUMPRODUCT(Veículos!$E$81:$II$81,Veículos!$E$4:$II$4),0)
)
/
Proposta!$J$68),2),"")</f>
        <v/>
      </c>
    </row>
    <row r="56" spans="2:10" s="42" customFormat="1" hidden="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IFERROR(SUMPRODUCT(Produtividade!$E$171:$II$171,Produtividade!$E$29:$II$29),0),
IFERROR(SUMPRODUCT(Veículos!$E$81:$II$81,Veículos!$E$4:$II$4),0)
)
/
Proposta!$J$68),2),"")</f>
        <v/>
      </c>
    </row>
    <row r="57" spans="2:10" s="42" customFormat="1" hidden="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IFERROR(SUMPRODUCT(Produtividade!$E$171:$II$171,Produtividade!$E$29:$II$29),0),
IFERROR(SUMPRODUCT(Veículos!$E$81:$II$81,Veículos!$E$4:$II$4),0)
)
/
Proposta!$J$68),2),"")</f>
        <v/>
      </c>
    </row>
    <row r="58" spans="2:10" s="42" customFormat="1" hidden="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IFERROR(SUMPRODUCT(Produtividade!$E$171:$II$171,Produtividade!$E$29:$II$29),0),
IFERROR(SUMPRODUCT(Veículos!$E$81:$II$81,Veículos!$E$4:$II$4),0)
)
/
Proposta!$J$68),2),"")</f>
        <v/>
      </c>
    </row>
    <row r="59" spans="2:10" s="42" customFormat="1" hidden="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IFERROR(SUMPRODUCT(Produtividade!$E$171:$II$171,Produtividade!$E$29:$II$29),0),
IFERROR(SUMPRODUCT(Veículos!$E$81:$II$81,Veículos!$E$4:$II$4),0)
)
/
Proposta!$J$68),2),"")</f>
        <v/>
      </c>
    </row>
    <row r="60" spans="2:10" s="42" customFormat="1" hidden="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IFERROR(SUMPRODUCT(Produtividade!$E$171:$II$171,Produtividade!$E$29:$II$29),0),
IFERROR(SUMPRODUCT(Veículos!$E$81:$II$81,Veículos!$E$4:$II$4),0)
)
/
Proposta!$J$68),2),"")</f>
        <v/>
      </c>
    </row>
    <row r="61" spans="2:10" s="42" customFormat="1" hidden="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IFERROR(SUMPRODUCT(Produtividade!$E$171:$II$171,Produtividade!$E$29:$II$29),0),
IFERROR(SUMPRODUCT(Veículos!$E$81:$II$81,Veículos!$E$4:$II$4),0)
)
/
Proposta!$J$68),2),"")</f>
        <v/>
      </c>
    </row>
    <row r="62" spans="2:10" s="42" customFormat="1" hidden="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IFERROR(SUMPRODUCT(Produtividade!$E$171:$II$171,Produtividade!$E$29:$II$29),0),
IFERROR(SUMPRODUCT(Veículos!$E$81:$II$81,Veículos!$E$4:$II$4),0)
)
/
Proposta!$J$68),2),"")</f>
        <v/>
      </c>
    </row>
    <row r="63" spans="2:10" s="42" customFormat="1" hidden="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IFERROR(SUMPRODUCT(Produtividade!$E$171:$II$171,Produtividade!$E$29:$II$29),0),
IFERROR(SUMPRODUCT(Veículos!$E$81:$II$81,Veículos!$E$4:$II$4),0)
)
/
Proposta!$J$68),2),"")</f>
        <v/>
      </c>
    </row>
    <row r="64" spans="2:10" s="42" customFormat="1" hidden="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IFERROR(SUMPRODUCT(Produtividade!$E$171:$II$171,Produtividade!$E$29:$II$29),0),
IFERROR(SUMPRODUCT(Veículos!$E$81:$II$81,Veículos!$E$4:$II$4),0)
)
/
Proposta!$J$68),2),"")</f>
        <v/>
      </c>
    </row>
    <row r="65" spans="2:10" s="42" customFormat="1" hidden="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IFERROR(SUMPRODUCT(Produtividade!$E$171:$II$171,Produtividade!$E$29:$II$29),0),
IFERROR(SUMPRODUCT(Veículos!$E$81:$II$81,Veículos!$E$4:$II$4),0)
)
/
Proposta!$J$68),2),"")</f>
        <v/>
      </c>
    </row>
    <row r="66" spans="2:10" s="42" customFormat="1" hidden="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IFERROR(SUMPRODUCT(Produtividade!$E$171:$II$171,Produtividade!$E$29:$II$29),0),
IFERROR(SUMPRODUCT(Veículos!$E$81:$II$81,Veículos!$E$4:$II$4),0)
)
/
Proposta!$J$68),2),"")</f>
        <v/>
      </c>
    </row>
    <row r="67" spans="2:10" s="42" customFormat="1" hidden="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IFERROR(SUMPRODUCT(Produtividade!$E$171:$II$171,Produtividade!$E$29:$II$29),0),
IFERROR(SUMPRODUCT(Veículos!$E$81:$II$81,Veículos!$E$4:$II$4),0)
)
/
Proposta!$J$68),2),"")</f>
        <v/>
      </c>
    </row>
    <row r="68" spans="2:10" s="42" customFormat="1" hidden="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IFERROR(SUMPRODUCT(Produtividade!$E$171:$II$171,Produtividade!$E$29:$II$29),0),
IFERROR(SUMPRODUCT(Veículos!$E$81:$II$81,Veículos!$E$4:$II$4),0)
)
/
Proposta!$J$68),2),"")</f>
        <v/>
      </c>
    </row>
    <row r="69" spans="2:10" s="42" customFormat="1" hidden="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IFERROR(SUMPRODUCT(Produtividade!$E$171:$II$171,Produtividade!$E$29:$II$29),0),
IFERROR(SUMPRODUCT(Veículos!$E$81:$II$81,Veículos!$E$4:$II$4),0)
)
/
Proposta!$J$68),2),"")</f>
        <v/>
      </c>
    </row>
    <row r="70" spans="2:10" s="42" customFormat="1" hidden="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IFERROR(SUMPRODUCT(Produtividade!$E$171:$II$171,Produtividade!$E$29:$II$29),0),
IFERROR(SUMPRODUCT(Veículos!$E$81:$II$81,Veículos!$E$4:$II$4),0)
)
/
Proposta!$J$68),2),"")</f>
        <v/>
      </c>
    </row>
    <row r="71" spans="2:10" s="42" customFormat="1" hidden="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IFERROR(SUMPRODUCT(Produtividade!$E$171:$II$171,Produtividade!$E$29:$II$29),0),
IFERROR(SUMPRODUCT(Veículos!$E$81:$II$81,Veículos!$E$4:$II$4),0)
)
/
Proposta!$J$68),2),"")</f>
        <v/>
      </c>
    </row>
    <row r="72" spans="2:10" s="42" customFormat="1" hidden="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IFERROR(SUMPRODUCT(Produtividade!$E$171:$II$171,Produtividade!$E$29:$II$29),0),
IFERROR(SUMPRODUCT(Veículos!$E$81:$II$81,Veículos!$E$4:$II$4),0)
)
/
Proposta!$J$68),2),"")</f>
        <v/>
      </c>
    </row>
    <row r="73" spans="2:10" s="42" customFormat="1" hidden="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IFERROR(SUMPRODUCT(Produtividade!$E$171:$II$171,Produtividade!$E$29:$II$29),0),
IFERROR(SUMPRODUCT(Veículos!$E$81:$II$81,Veículos!$E$4:$II$4),0)
)
/
Proposta!$J$68),2),"")</f>
        <v/>
      </c>
    </row>
    <row r="74" spans="2:10" s="42" customFormat="1" hidden="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IFERROR(SUMPRODUCT(Produtividade!$E$171:$II$171,Produtividade!$E$29:$II$29),0),
IFERROR(SUMPRODUCT(Veículos!$E$81:$II$81,Veículos!$E$4:$II$4),0)
)
/
Proposta!$J$68),2),"")</f>
        <v/>
      </c>
    </row>
    <row r="75" spans="2:10" s="42" customFormat="1" hidden="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IFERROR(SUMPRODUCT(Produtividade!$E$171:$II$171,Produtividade!$E$29:$II$29),0),
IFERROR(SUMPRODUCT(Veículos!$E$81:$II$81,Veículos!$E$4:$II$4),0)
)
/
Proposta!$J$68),2),"")</f>
        <v/>
      </c>
    </row>
    <row r="76" spans="2:10" s="42" customFormat="1" hidden="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IFERROR(SUMPRODUCT(Produtividade!$E$171:$II$171,Produtividade!$E$29:$II$29),0),
IFERROR(SUMPRODUCT(Veículos!$E$81:$II$81,Veículos!$E$4:$II$4),0)
)
/
Proposta!$J$68),2),"")</f>
        <v/>
      </c>
    </row>
    <row r="77" spans="2:10" s="42" customFormat="1" hidden="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IFERROR(SUMPRODUCT(Produtividade!$E$171:$II$171,Produtividade!$E$29:$II$29),0),
IFERROR(SUMPRODUCT(Veículos!$E$81:$II$81,Veículos!$E$4:$II$4),0)
)
/
Proposta!$J$68),2),"")</f>
        <v/>
      </c>
    </row>
    <row r="78" spans="2:10" s="42" customFormat="1" hidden="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IFERROR(SUMPRODUCT(Produtividade!$E$171:$II$171,Produtividade!$E$29:$II$29),0),
IFERROR(SUMPRODUCT(Veículos!$E$81:$II$81,Veículos!$E$4:$II$4),0)
)
/
Proposta!$J$68),2),"")</f>
        <v/>
      </c>
    </row>
    <row r="79" spans="2:10" s="42" customFormat="1" hidden="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IFERROR(SUMPRODUCT(Produtividade!$E$171:$II$171,Produtividade!$E$29:$II$29),0),
IFERROR(SUMPRODUCT(Veículos!$E$81:$II$81,Veículos!$E$4:$II$4),0)
)
/
Proposta!$J$68),2),"")</f>
        <v/>
      </c>
    </row>
    <row r="80" spans="2:10" s="42" customFormat="1" hidden="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IFERROR(SUMPRODUCT(Produtividade!$E$171:$II$171,Produtividade!$E$29:$II$29),0),
IFERROR(SUMPRODUCT(Veículos!$E$81:$II$81,Veículos!$E$4:$II$4),0)
)
/
Proposta!$J$68),2),"")</f>
        <v/>
      </c>
    </row>
    <row r="81" spans="2:10" s="42" customFormat="1" hidden="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IFERROR(SUMPRODUCT(Produtividade!$E$171:$II$171,Produtividade!$E$29:$II$29),0),
IFERROR(SUMPRODUCT(Veículos!$E$81:$II$81,Veículos!$E$4:$II$4),0)
)
/
Proposta!$J$68),2),"")</f>
        <v/>
      </c>
    </row>
    <row r="82" spans="2:10" s="42" customFormat="1" hidden="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IFERROR(SUMPRODUCT(Produtividade!$E$171:$II$171,Produtividade!$E$29:$II$29),0),
IFERROR(SUMPRODUCT(Veículos!$E$81:$II$81,Veículos!$E$4:$II$4),0)
)
/
Proposta!$J$68),2),"")</f>
        <v/>
      </c>
    </row>
    <row r="83" spans="2:10" s="42" customFormat="1" hidden="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IFERROR(SUMPRODUCT(Produtividade!$E$171:$II$171,Produtividade!$E$29:$II$29),0),
IFERROR(SUMPRODUCT(Veículos!$E$81:$II$81,Veículos!$E$4:$II$4),0)
)
/
Proposta!$J$68),2),"")</f>
        <v/>
      </c>
    </row>
    <row r="84" spans="2:10" s="42" customFormat="1" hidden="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IFERROR(SUMPRODUCT(Produtividade!$E$171:$II$171,Produtividade!$E$29:$II$29),0),
IFERROR(SUMPRODUCT(Veículos!$E$81:$II$81,Veículos!$E$4:$II$4),0)
)
/
Proposta!$J$68),2),"")</f>
        <v/>
      </c>
    </row>
    <row r="85" spans="2:10" s="42" customFormat="1" hidden="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IFERROR(SUMPRODUCT(Produtividade!$E$171:$II$171,Produtividade!$E$29:$II$29),0),
IFERROR(SUMPRODUCT(Veículos!$E$81:$II$81,Veículos!$E$4:$II$4),0)
)
/
Proposta!$J$68),2),"")</f>
        <v/>
      </c>
    </row>
    <row r="86" spans="2:10" s="42" customFormat="1" hidden="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IFERROR(SUMPRODUCT(Produtividade!$E$171:$II$171,Produtividade!$E$29:$II$29),0),
IFERROR(SUMPRODUCT(Veículos!$E$81:$II$81,Veículos!$E$4:$II$4),0)
)
/
Proposta!$J$68),2),"")</f>
        <v/>
      </c>
    </row>
    <row r="87" spans="2:10" s="42" customFormat="1" hidden="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IFERROR(SUMPRODUCT(Produtividade!$E$171:$II$171,Produtividade!$E$29:$II$29),0),
IFERROR(SUMPRODUCT(Veículos!$E$81:$II$81,Veículos!$E$4:$II$4),0)
)
/
Proposta!$J$68),2),"")</f>
        <v/>
      </c>
    </row>
    <row r="88" spans="2:10" s="42" customFormat="1" hidden="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IFERROR(SUMPRODUCT(Produtividade!$E$171:$II$171,Produtividade!$E$29:$II$29),0),
IFERROR(SUMPRODUCT(Veículos!$E$81:$II$81,Veículos!$E$4:$II$4),0)
)
/
Proposta!$J$68),2),"")</f>
        <v/>
      </c>
    </row>
    <row r="89" spans="2:10" s="42" customFormat="1" hidden="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IFERROR(SUMPRODUCT(Produtividade!$E$171:$II$171,Produtividade!$E$29:$II$29),0),
IFERROR(SUMPRODUCT(Veículos!$E$81:$II$81,Veículos!$E$4:$II$4),0)
)
/
Proposta!$J$68),2),"")</f>
        <v/>
      </c>
    </row>
    <row r="90" spans="2:10" s="42" customFormat="1" hidden="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IFERROR(SUMPRODUCT(Produtividade!$E$171:$II$171,Produtividade!$E$29:$II$29),0),
IFERROR(SUMPRODUCT(Veículos!$E$81:$II$81,Veículos!$E$4:$II$4),0)
)
/
Proposta!$J$68),2),"")</f>
        <v/>
      </c>
    </row>
    <row r="91" spans="2:10" s="42" customFormat="1" hidden="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IFERROR(SUMPRODUCT(Produtividade!$E$171:$II$171,Produtividade!$E$29:$II$29),0),
IFERROR(SUMPRODUCT(Veículos!$E$81:$II$81,Veículos!$E$4:$II$4),0)
)
/
Proposta!$J$68),2),"")</f>
        <v/>
      </c>
    </row>
    <row r="92" spans="2:10" s="42" customFormat="1" hidden="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IFERROR(SUMPRODUCT(Produtividade!$E$171:$II$171,Produtividade!$E$29:$II$29),0),
IFERROR(SUMPRODUCT(Veículos!$E$81:$II$81,Veículos!$E$4:$II$4),0)
)
/
Proposta!$J$68),2),"")</f>
        <v/>
      </c>
    </row>
    <row r="93" spans="2:10" s="42" customFormat="1" hidden="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IFERROR(SUMPRODUCT(Produtividade!$E$171:$II$171,Produtividade!$E$29:$II$29),0),
IFERROR(SUMPRODUCT(Veículos!$E$81:$II$81,Veículos!$E$4:$II$4),0)
)
/
Proposta!$J$68),2),"")</f>
        <v/>
      </c>
    </row>
    <row r="94" spans="2:10" s="42" customFormat="1" hidden="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IFERROR(SUMPRODUCT(Produtividade!$E$171:$II$171,Produtividade!$E$29:$II$29),0),
IFERROR(SUMPRODUCT(Veículos!$E$81:$II$81,Veículos!$E$4:$II$4),0)
)
/
Proposta!$J$68),2),"")</f>
        <v/>
      </c>
    </row>
    <row r="95" spans="2:10" s="42" customFormat="1" hidden="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IFERROR(SUMPRODUCT(Produtividade!$E$171:$II$171,Produtividade!$E$29:$II$29),0),
IFERROR(SUMPRODUCT(Veículos!$E$81:$II$81,Veículos!$E$4:$II$4),0)
)
/
Proposta!$J$68),2),"")</f>
        <v/>
      </c>
    </row>
    <row r="96" spans="2:10" s="42" customFormat="1" hidden="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IFERROR(SUMPRODUCT(Produtividade!$E$171:$II$171,Produtividade!$E$29:$II$29),0),
IFERROR(SUMPRODUCT(Veículos!$E$81:$II$81,Veículos!$E$4:$II$4),0)
)
/
Proposta!$J$68),2),"")</f>
        <v/>
      </c>
    </row>
    <row r="97" spans="2:10" s="42" customFormat="1" hidden="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IFERROR(SUMPRODUCT(Produtividade!$E$171:$II$171,Produtividade!$E$29:$II$29),0),
IFERROR(SUMPRODUCT(Veículos!$E$81:$II$81,Veículos!$E$4:$II$4),0)
)
/
Proposta!$J$68),2),"")</f>
        <v/>
      </c>
    </row>
    <row r="98" spans="2:10" s="42" customFormat="1" hidden="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IFERROR(SUMPRODUCT(Produtividade!$E$171:$II$171,Produtividade!$E$29:$II$29),0),
IFERROR(SUMPRODUCT(Veículos!$E$81:$II$81,Veículos!$E$4:$II$4),0)
)
/
Proposta!$J$68),2),"")</f>
        <v/>
      </c>
    </row>
    <row r="99" spans="2:10" s="42" customFormat="1" hidden="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IFERROR(SUMPRODUCT(Produtividade!$E$171:$II$171,Produtividade!$E$29:$II$29),0),
IFERROR(SUMPRODUCT(Veículos!$E$81:$II$81,Veículos!$E$4:$II$4),0)
)
/
Proposta!$J$68),2),"")</f>
        <v/>
      </c>
    </row>
    <row r="100" spans="2:10" s="42" customFormat="1" hidden="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IFERROR(SUMPRODUCT(Produtividade!$E$171:$II$171,Produtividade!$E$29:$II$29),0),
IFERROR(SUMPRODUCT(Veículos!$E$81:$II$81,Veículos!$E$4:$II$4),0)
)
/
Proposta!$J$68),2),"")</f>
        <v/>
      </c>
    </row>
    <row r="101" spans="2:10" s="42" customFormat="1" hidden="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IFERROR(SUMPRODUCT(Produtividade!$E$171:$II$171,Produtividade!$E$29:$II$29),0),
IFERROR(SUMPRODUCT(Veículos!$E$81:$II$81,Veículos!$E$4:$II$4),0)
)
/
Proposta!$J$68),2),"")</f>
        <v/>
      </c>
    </row>
    <row r="102" spans="2:10" s="42" customFormat="1" hidden="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IFERROR(SUMPRODUCT(Produtividade!$E$171:$II$171,Produtividade!$E$29:$II$29),0),
IFERROR(SUMPRODUCT(Veículos!$E$81:$II$81,Veículos!$E$4:$II$4),0)
)
/
Proposta!$J$68),2),"")</f>
        <v/>
      </c>
    </row>
    <row r="103" spans="2:10" s="42" customFormat="1" hidden="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IFERROR(SUMPRODUCT(Produtividade!$E$171:$II$171,Produtividade!$E$29:$II$29),0),
IFERROR(SUMPRODUCT(Veículos!$E$81:$II$81,Veículos!$E$4:$II$4),0)
)
/
Proposta!$J$68),2),"")</f>
        <v/>
      </c>
    </row>
    <row r="104" spans="2:10" s="42" customFormat="1" hidden="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IFERROR(SUMPRODUCT(Produtividade!$E$171:$II$171,Produtividade!$E$29:$II$29),0),
IFERROR(SUMPRODUCT(Veículos!$E$81:$II$81,Veículos!$E$4:$II$4),0)
)
/
Proposta!$J$68),2),"")</f>
        <v/>
      </c>
    </row>
    <row r="105" spans="2:10" s="42" customFormat="1" hidden="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IFERROR(SUMPRODUCT(Produtividade!$E$171:$II$171,Produtividade!$E$29:$II$29),0),
IFERROR(SUMPRODUCT(Veículos!$E$81:$II$81,Veículos!$E$4:$II$4),0)
)
/
Proposta!$J$68),2),"")</f>
        <v/>
      </c>
    </row>
    <row r="106" spans="2:10" s="42" customFormat="1" hidden="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IFERROR(SUMPRODUCT(Produtividade!$E$171:$II$171,Produtividade!$E$29:$II$29),0),
IFERROR(SUMPRODUCT(Veículos!$E$81:$II$81,Veículos!$E$4:$II$4),0)
)
/
Proposta!$J$68),2),"")</f>
        <v/>
      </c>
    </row>
    <row r="107" spans="2:10" s="42" customFormat="1" hidden="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IFERROR(SUMPRODUCT(Produtividade!$E$171:$II$171,Produtividade!$E$29:$II$29),0),
IFERROR(SUMPRODUCT(Veículos!$E$81:$II$81,Veículos!$E$4:$II$4),0)
)
/
Proposta!$J$68),2),"")</f>
        <v/>
      </c>
    </row>
    <row r="108" spans="2:10" s="42" customFormat="1" hidden="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IFERROR(SUMPRODUCT(Produtividade!$E$171:$II$171,Produtividade!$E$29:$II$29),0),
IFERROR(SUMPRODUCT(Veículos!$E$81:$II$81,Veículos!$E$4:$II$4),0)
)
/
Proposta!$J$68),2),"")</f>
        <v/>
      </c>
    </row>
    <row r="109" spans="2:10" s="42" customFormat="1" hidden="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IFERROR(SUMPRODUCT(Produtividade!$E$171:$II$171,Produtividade!$E$29:$II$29),0),
IFERROR(SUMPRODUCT(Veículos!$E$81:$II$81,Veículos!$E$4:$II$4),0)
)
/
Proposta!$J$68),2),"")</f>
        <v/>
      </c>
    </row>
    <row r="110" spans="2:10" s="42" customFormat="1" hidden="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IFERROR(SUMPRODUCT(Produtividade!$E$171:$II$171,Produtividade!$E$29:$II$29),0),
IFERROR(SUMPRODUCT(Veículos!$E$81:$II$81,Veículos!$E$4:$II$4),0)
)
/
Proposta!$J$68),2),"")</f>
        <v/>
      </c>
    </row>
    <row r="111" spans="2:10" s="42" customFormat="1" hidden="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IFERROR(SUMPRODUCT(Produtividade!$E$171:$II$171,Produtividade!$E$29:$II$29),0),
IFERROR(SUMPRODUCT(Veículos!$E$81:$II$81,Veículos!$E$4:$II$4),0)
)
/
Proposta!$J$68),2),"")</f>
        <v/>
      </c>
    </row>
    <row r="112" spans="2:10" s="42" customFormat="1" hidden="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IFERROR(SUMPRODUCT(Produtividade!$E$171:$II$171,Produtividade!$E$29:$II$29),0),
IFERROR(SUMPRODUCT(Veículos!$E$81:$II$81,Veículos!$E$4:$II$4),0)
)
/
Proposta!$J$68),2),"")</f>
        <v/>
      </c>
    </row>
    <row r="113" spans="2:10" s="42" customFormat="1" hidden="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IFERROR(SUMPRODUCT(Produtividade!$E$171:$II$171,Produtividade!$E$29:$II$29),0),
IFERROR(SUMPRODUCT(Veículos!$E$81:$II$81,Veículos!$E$4:$II$4),0)
)
/
Proposta!$J$68),2),"")</f>
        <v/>
      </c>
    </row>
    <row r="114" spans="2:10" s="42" customFormat="1" hidden="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IFERROR(SUMPRODUCT(Produtividade!$E$171:$II$171,Produtividade!$E$29:$II$29),0),
IFERROR(SUMPRODUCT(Veículos!$E$81:$II$81,Veículos!$E$4:$II$4),0)
)
/
Proposta!$J$68),2),"")</f>
        <v/>
      </c>
    </row>
    <row r="115" spans="2:10" s="42" customFormat="1" hidden="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IFERROR(SUMPRODUCT(Produtividade!$E$171:$II$171,Produtividade!$E$29:$II$29),0),
IFERROR(SUMPRODUCT(Veículos!$E$81:$II$81,Veículos!$E$4:$II$4),0)
)
/
Proposta!$J$68),2),"")</f>
        <v/>
      </c>
    </row>
    <row r="116" spans="2:10" s="42" customFormat="1" hidden="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IFERROR(SUMPRODUCT(Produtividade!$E$171:$II$171,Produtividade!$E$29:$II$29),0),
IFERROR(SUMPRODUCT(Veículos!$E$81:$II$81,Veículos!$E$4:$II$4),0)
)
/
Proposta!$J$68),2),"")</f>
        <v/>
      </c>
    </row>
    <row r="117" spans="2:10" s="42" customFormat="1" hidden="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IFERROR(SUMPRODUCT(Produtividade!$E$171:$II$171,Produtividade!$E$29:$II$29),0),
IFERROR(SUMPRODUCT(Veículos!$E$81:$II$81,Veículos!$E$4:$II$4),0)
)
/
Proposta!$J$68),2),"")</f>
        <v/>
      </c>
    </row>
    <row r="118" spans="2:10" s="42" customFormat="1" hidden="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IFERROR(SUMPRODUCT(Produtividade!$E$171:$II$171,Produtividade!$E$29:$II$29),0),
IFERROR(SUMPRODUCT(Veículos!$E$81:$II$81,Veículos!$E$4:$II$4),0)
)
/
Proposta!$J$68),2),"")</f>
        <v/>
      </c>
    </row>
    <row r="119" spans="2:10" s="42" customFormat="1" hidden="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IFERROR(SUMPRODUCT(Produtividade!$E$171:$II$171,Produtividade!$E$29:$II$29),0),
IFERROR(SUMPRODUCT(Veículos!$E$81:$II$81,Veículos!$E$4:$II$4),0)
)
/
Proposta!$J$68),2),"")</f>
        <v/>
      </c>
    </row>
    <row r="120" spans="2:10" s="42" customFormat="1" hidden="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IFERROR(SUMPRODUCT(Produtividade!$E$171:$II$171,Produtividade!$E$29:$II$29),0),
IFERROR(SUMPRODUCT(Veículos!$E$81:$II$81,Veículos!$E$4:$II$4),0)
)
/
Proposta!$J$68),2),"")</f>
        <v/>
      </c>
    </row>
    <row r="121" spans="2:10" s="42" customFormat="1" hidden="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IFERROR(SUMPRODUCT(Produtividade!$E$171:$II$171,Produtividade!$E$29:$II$29),0),
IFERROR(SUMPRODUCT(Veículos!$E$81:$II$81,Veículos!$E$4:$II$4),0)
)
/
Proposta!$J$68),2),"")</f>
        <v/>
      </c>
    </row>
    <row r="122" spans="2:10" s="42" customFormat="1" hidden="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IFERROR(SUMPRODUCT(Produtividade!$E$171:$II$171,Produtividade!$E$29:$II$29),0),
IFERROR(SUMPRODUCT(Veículos!$E$81:$II$81,Veículos!$E$4:$II$4),0)
)
/
Proposta!$J$68),2),"")</f>
        <v/>
      </c>
    </row>
    <row r="123" spans="2:10" s="42" customFormat="1" hidden="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IFERROR(SUMPRODUCT(Produtividade!$E$171:$II$171,Produtividade!$E$29:$II$29),0),
IFERROR(SUMPRODUCT(Veículos!$E$81:$II$81,Veículos!$E$4:$II$4),0)
)
/
Proposta!$J$68),2),"")</f>
        <v/>
      </c>
    </row>
    <row r="124" spans="2:10" s="42" customFormat="1" hidden="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IFERROR(SUMPRODUCT(Produtividade!$E$171:$II$171,Produtividade!$E$29:$II$29),0),
IFERROR(SUMPRODUCT(Veículos!$E$81:$II$81,Veículos!$E$4:$II$4),0)
)
/
Proposta!$J$68),2),"")</f>
        <v/>
      </c>
    </row>
    <row r="125" spans="2:10" s="42" customFormat="1" hidden="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IFERROR(SUMPRODUCT(Produtividade!$E$171:$II$171,Produtividade!$E$29:$II$29),0),
IFERROR(SUMPRODUCT(Veículos!$E$81:$II$81,Veículos!$E$4:$II$4),0)
)
/
Proposta!$J$68),2),"")</f>
        <v/>
      </c>
    </row>
    <row r="126" spans="2:10" s="42" customFormat="1" hidden="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IFERROR(SUMPRODUCT(Produtividade!$E$171:$II$171,Produtividade!$E$29:$II$29),0),
IFERROR(SUMPRODUCT(Veículos!$E$81:$II$81,Veículos!$E$4:$II$4),0)
)
/
Proposta!$J$68),2),"")</f>
        <v/>
      </c>
    </row>
    <row r="127" spans="2:10" s="42" customFormat="1" hidden="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IFERROR(SUMPRODUCT(Produtividade!$E$171:$II$171,Produtividade!$E$29:$II$29),0),
IFERROR(SUMPRODUCT(Veículos!$E$81:$II$81,Veículos!$E$4:$II$4),0)
)
/
Proposta!$J$68),2),"")</f>
        <v/>
      </c>
    </row>
    <row r="128" spans="2:10" s="42" customFormat="1" hidden="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IFERROR(SUMPRODUCT(Produtividade!$E$171:$II$171,Produtividade!$E$29:$II$29),0),
IFERROR(SUMPRODUCT(Veículos!$E$81:$II$81,Veículos!$E$4:$II$4),0)
)
/
Proposta!$J$68),2),"")</f>
        <v/>
      </c>
    </row>
    <row r="129" spans="2:10" s="42" customFormat="1" hidden="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IFERROR(SUMPRODUCT(Produtividade!$E$171:$II$171,Produtividade!$E$29:$II$29),0),
IFERROR(SUMPRODUCT(Veículos!$E$81:$II$81,Veículos!$E$4:$II$4),0)
)
/
Proposta!$J$68),2),"")</f>
        <v/>
      </c>
    </row>
    <row r="130" spans="2:10" s="42" customFormat="1" hidden="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IFERROR(SUMPRODUCT(Produtividade!$E$171:$II$171,Produtividade!$E$29:$II$29),0),
IFERROR(SUMPRODUCT(Veículos!$E$81:$II$81,Veículos!$E$4:$II$4),0)
)
/
Proposta!$J$68),2),"")</f>
        <v/>
      </c>
    </row>
    <row r="131" spans="2:10" s="42" customFormat="1" hidden="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IFERROR(SUMPRODUCT(Produtividade!$E$171:$II$171,Produtividade!$E$29:$II$29),0),
IFERROR(SUMPRODUCT(Veículos!$E$81:$II$81,Veículos!$E$4:$II$4),0)
)
/
Proposta!$J$68),2),"")</f>
        <v/>
      </c>
    </row>
    <row r="132" spans="2:10" s="42" customFormat="1" hidden="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IFERROR(SUMPRODUCT(Produtividade!$E$171:$II$171,Produtividade!$E$29:$II$29),0),
IFERROR(SUMPRODUCT(Veículos!$E$81:$II$81,Veículos!$E$4:$II$4),0)
)
/
Proposta!$J$68),2),"")</f>
        <v/>
      </c>
    </row>
    <row r="133" spans="2:10" s="42" customFormat="1" hidden="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IFERROR(SUMPRODUCT(Produtividade!$E$171:$II$171,Produtividade!$E$29:$II$29),0),
IFERROR(SUMPRODUCT(Veículos!$E$81:$II$81,Veículos!$E$4:$II$4),0)
)
/
Proposta!$J$68),2),"")</f>
        <v/>
      </c>
    </row>
    <row r="134" spans="2:10" s="42" customFormat="1" hidden="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IFERROR(SUMPRODUCT(Produtividade!$E$171:$II$171,Produtividade!$E$29:$II$29),0),
IFERROR(SUMPRODUCT(Veículos!$E$81:$II$81,Veículos!$E$4:$II$4),0)
)
/
Proposta!$J$68),2),"")</f>
        <v/>
      </c>
    </row>
    <row r="135" spans="2:10" s="42" customFormat="1" hidden="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IFERROR(SUMPRODUCT(Produtividade!$E$171:$II$171,Produtividade!$E$29:$II$29),0),
IFERROR(SUMPRODUCT(Veículos!$E$81:$II$81,Veículos!$E$4:$II$4),0)
)
/
Proposta!$J$68),2),"")</f>
        <v/>
      </c>
    </row>
    <row r="136" spans="2:10" s="42" customFormat="1" hidden="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IFERROR(SUMPRODUCT(Produtividade!$E$171:$II$171,Produtividade!$E$29:$II$29),0),
IFERROR(SUMPRODUCT(Veículos!$E$81:$II$81,Veículos!$E$4:$II$4),0)
)
/
Proposta!$J$68),2),"")</f>
        <v/>
      </c>
    </row>
    <row r="137" spans="2:10" s="42" customFormat="1" hidden="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IFERROR(SUMPRODUCT(Produtividade!$E$171:$II$171,Produtividade!$E$29:$II$29),0),
IFERROR(SUMPRODUCT(Veículos!$E$81:$II$81,Veículos!$E$4:$II$4),0)
)
/
Proposta!$J$68),2),"")</f>
        <v/>
      </c>
    </row>
    <row r="138" spans="2:10" s="42" customFormat="1" hidden="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IFERROR(SUMPRODUCT(Produtividade!$E$171:$II$171,Produtividade!$E$29:$II$29),0),
IFERROR(SUMPRODUCT(Veículos!$E$81:$II$81,Veículos!$E$4:$II$4),0)
)
/
Proposta!$J$68),2),"")</f>
        <v/>
      </c>
    </row>
    <row r="139" spans="2:10" s="42" customFormat="1" hidden="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IFERROR(SUMPRODUCT(Produtividade!$E$171:$II$171,Produtividade!$E$29:$II$29),0),
IFERROR(SUMPRODUCT(Veículos!$E$81:$II$81,Veículos!$E$4:$II$4),0)
)
/
Proposta!$J$68),2),"")</f>
        <v/>
      </c>
    </row>
    <row r="140" spans="2:10" s="42" customFormat="1" hidden="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IFERROR(SUMPRODUCT(Produtividade!$E$171:$II$171,Produtividade!$E$29:$II$29),0),
IFERROR(SUMPRODUCT(Veículos!$E$81:$II$81,Veículos!$E$4:$II$4),0)
)
/
Proposta!$J$68),2),"")</f>
        <v/>
      </c>
    </row>
    <row r="141" spans="2:10" s="42" customFormat="1" hidden="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IFERROR(SUMPRODUCT(Produtividade!$E$171:$II$171,Produtividade!$E$29:$II$29),0),
IFERROR(SUMPRODUCT(Veículos!$E$81:$II$81,Veículos!$E$4:$II$4),0)
)
/
Proposta!$J$68),2),"")</f>
        <v/>
      </c>
    </row>
    <row r="142" spans="2:10" s="42" customFormat="1" hidden="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IFERROR(SUMPRODUCT(Produtividade!$E$171:$II$171,Produtividade!$E$29:$II$29),0),
IFERROR(SUMPRODUCT(Veículos!$E$81:$II$81,Veículos!$E$4:$II$4),0)
)
/
Proposta!$J$68),2),"")</f>
        <v/>
      </c>
    </row>
    <row r="143" spans="2:10" s="42" customFormat="1" hidden="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IFERROR(SUMPRODUCT(Produtividade!$E$171:$II$171,Produtividade!$E$29:$II$29),0),
IFERROR(SUMPRODUCT(Veículos!$E$81:$II$81,Veículos!$E$4:$II$4),0)
)
/
Proposta!$J$68),2),"")</f>
        <v/>
      </c>
    </row>
    <row r="144" spans="2:10" s="42" customFormat="1" hidden="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IFERROR(SUMPRODUCT(Produtividade!$E$171:$II$171,Produtividade!$E$29:$II$29),0),
IFERROR(SUMPRODUCT(Veículos!$E$81:$II$81,Veículos!$E$4:$II$4),0)
)
/
Proposta!$J$68),2),"")</f>
        <v/>
      </c>
    </row>
    <row r="145" spans="2:10" hidden="1">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IFERROR(SUMPRODUCT(Produtividade!$E$171:$II$171,Produtividade!$E$29:$II$29),0),
IFERROR(SUMPRODUCT(Veículos!$E$81:$II$81,Veículos!$E$4:$II$4),0)
)
/
Proposta!$J$68),2),"")</f>
        <v/>
      </c>
    </row>
    <row r="146" spans="2:10" hidden="1">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IFERROR(SUMPRODUCT(Produtividade!$E$171:$II$171,Produtividade!$E$29:$II$29),0),
IFERROR(SUMPRODUCT(Veículos!$E$81:$II$81,Veículos!$E$4:$II$4),0)
)
/
Proposta!$J$68),2),"")</f>
        <v/>
      </c>
    </row>
    <row r="147" spans="2:10" hidden="1">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IFERROR(SUMPRODUCT(Produtividade!$E$171:$II$171,Produtividade!$E$29:$II$29),0),
IFERROR(SUMPRODUCT(Veículos!$E$81:$II$81,Veículos!$E$4:$II$4),0)
)
/
Proposta!$J$68),2),"")</f>
        <v/>
      </c>
    </row>
    <row r="148" spans="2:10" hidden="1">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IFERROR(SUMPRODUCT(Produtividade!$E$171:$II$171,Produtividade!$E$29:$II$29),0),
IFERROR(SUMPRODUCT(Veículos!$E$81:$II$81,Veículos!$E$4:$II$4),0)
)
/
Proposta!$J$68),2),"")</f>
        <v/>
      </c>
    </row>
    <row r="149" spans="2:10" hidden="1">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IFERROR(SUMPRODUCT(Produtividade!$E$171:$II$171,Produtividade!$E$29:$II$29),0),
IFERROR(SUMPRODUCT(Veículos!$E$81:$II$81,Veículos!$E$4:$II$4),0)
)
/
Proposta!$J$68),2),"")</f>
        <v/>
      </c>
    </row>
    <row r="150" spans="2:10" hidden="1">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IFERROR(SUMPRODUCT(Produtividade!$E$171:$II$171,Produtividade!$E$29:$II$29),0),
IFERROR(SUMPRODUCT(Veículos!$E$81:$II$81,Veículos!$E$4:$II$4),0)
)
/
Proposta!$J$68),2),"")</f>
        <v/>
      </c>
    </row>
    <row r="151" spans="2:10" hidden="1">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IFERROR(SUMPRODUCT(Produtividade!$E$171:$II$171,Produtividade!$E$29:$II$29),0),
IFERROR(SUMPRODUCT(Veículos!$E$81:$II$81,Veículos!$E$4:$II$4),0)
)
/
Proposta!$J$68),2),"")</f>
        <v/>
      </c>
    </row>
    <row r="152" spans="2:10" hidden="1">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IFERROR(SUMPRODUCT(Produtividade!$E$171:$II$171,Produtividade!$E$29:$II$29),0),
IFERROR(SUMPRODUCT(Veículos!$E$81:$II$81,Veículos!$E$4:$II$4),0)
)
/
Proposta!$J$68),2),"")</f>
        <v/>
      </c>
    </row>
    <row r="153" spans="2:10" hidden="1">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IFERROR(SUMPRODUCT(Produtividade!$E$171:$II$171,Produtividade!$E$29:$II$29),0),
IFERROR(SUMPRODUCT(Veículos!$E$81:$II$81,Veículos!$E$4:$II$4),0)
)
/
Proposta!$J$68),2),"")</f>
        <v/>
      </c>
    </row>
    <row r="154" spans="2:10" hidden="1">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IFERROR(SUMPRODUCT(Produtividade!$E$171:$II$171,Produtividade!$E$29:$II$29),0),
IFERROR(SUMPRODUCT(Veículos!$E$81:$II$81,Veículos!$E$4:$II$4),0)
)
/
Proposta!$J$68),2),"")</f>
        <v/>
      </c>
    </row>
    <row r="155" spans="2:10" hidden="1">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IFERROR(SUMPRODUCT(Produtividade!$E$171:$II$171,Produtividade!$E$29:$II$29),0),
IFERROR(SUMPRODUCT(Veículos!$E$81:$II$81,Veículos!$E$4:$II$4),0)
)
/
Proposta!$J$68),2),"")</f>
        <v/>
      </c>
    </row>
    <row r="156" spans="2:10" hidden="1">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IFERROR(SUMPRODUCT(Produtividade!$E$171:$II$171,Produtividade!$E$29:$II$29),0),
IFERROR(SUMPRODUCT(Veículos!$E$81:$II$81,Veículos!$E$4:$II$4),0)
)
/
Proposta!$J$68),2),"")</f>
        <v/>
      </c>
    </row>
    <row r="157" spans="2:10" hidden="1">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IFERROR(SUMPRODUCT(Produtividade!$E$171:$II$171,Produtividade!$E$29:$II$29),0),
IFERROR(SUMPRODUCT(Veículos!$E$81:$II$81,Veículos!$E$4:$II$4),0)
)
/
Proposta!$J$68),2),"")</f>
        <v/>
      </c>
    </row>
    <row r="158" spans="2:10" hidden="1">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IFERROR(SUMPRODUCT(Produtividade!$E$171:$II$171,Produtividade!$E$29:$II$29),0),
IFERROR(SUMPRODUCT(Veículos!$E$81:$II$81,Veículos!$E$4:$II$4),0)
)
/
Proposta!$J$68),2),"")</f>
        <v/>
      </c>
    </row>
    <row r="159" spans="2:10" hidden="1">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IFERROR(SUMPRODUCT(Produtividade!$E$171:$II$171,Produtividade!$E$29:$II$29),0),
IFERROR(SUMPRODUCT(Veículos!$E$81:$II$81,Veículos!$E$4:$II$4),0)
)
/
Proposta!$J$68),2),"")</f>
        <v/>
      </c>
    </row>
    <row r="160" spans="2:10" hidden="1">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IFERROR(SUMPRODUCT(Produtividade!$E$171:$II$171,Produtividade!$E$29:$II$29),0),
IFERROR(SUMPRODUCT(Veículos!$E$81:$II$81,Veículos!$E$4:$II$4),0)
)
/
Proposta!$J$68),2),"")</f>
        <v/>
      </c>
    </row>
    <row r="161" spans="2:10" hidden="1">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IFERROR(SUMPRODUCT(Produtividade!$E$171:$II$171,Produtividade!$E$29:$II$29),0),
IFERROR(SUMPRODUCT(Veículos!$E$81:$II$81,Veículos!$E$4:$II$4),0)
)
/
Proposta!$J$68),2),"")</f>
        <v/>
      </c>
    </row>
    <row r="162" spans="2:10" hidden="1">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IFERROR(SUMPRODUCT(Produtividade!$E$171:$II$171,Produtividade!$E$29:$II$29),0),
IFERROR(SUMPRODUCT(Veículos!$E$81:$II$81,Veículos!$E$4:$II$4),0)
)
/
Proposta!$J$68),2),"")</f>
        <v/>
      </c>
    </row>
    <row r="163" spans="2:10" hidden="1">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IFERROR(SUMPRODUCT(Produtividade!$E$171:$II$171,Produtividade!$E$29:$II$29),0),
IFERROR(SUMPRODUCT(Veículos!$E$81:$II$81,Veículos!$E$4:$II$4),0)
)
/
Proposta!$J$68),2),"")</f>
        <v/>
      </c>
    </row>
    <row r="164" spans="2:10" hidden="1">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IFERROR(SUMPRODUCT(Produtividade!$E$171:$II$171,Produtividade!$E$29:$II$29),0),
IFERROR(SUMPRODUCT(Veículos!$E$81:$II$81,Veículos!$E$4:$II$4),0)
)
/
Proposta!$J$68),2),"")</f>
        <v/>
      </c>
    </row>
    <row r="165" spans="2:10" hidden="1">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IFERROR(SUMPRODUCT(Produtividade!$E$171:$II$171,Produtividade!$E$29:$II$29),0),
IFERROR(SUMPRODUCT(Veículos!$E$81:$II$81,Veículos!$E$4:$II$4),0)
)
/
Proposta!$J$68),2),"")</f>
        <v/>
      </c>
    </row>
    <row r="166" spans="2:10" hidden="1">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IFERROR(SUMPRODUCT(Produtividade!$E$171:$II$171,Produtividade!$E$29:$II$29),0),
IFERROR(SUMPRODUCT(Veículos!$E$81:$II$81,Veículos!$E$4:$II$4),0)
)
/
Proposta!$J$68),2),"")</f>
        <v/>
      </c>
    </row>
    <row r="167" spans="2:10" hidden="1">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IFERROR(SUMPRODUCT(Produtividade!$E$171:$II$171,Produtividade!$E$29:$II$29),0),
IFERROR(SUMPRODUCT(Veículos!$E$81:$II$81,Veículos!$E$4:$II$4),0)
)
/
Proposta!$J$68),2),"")</f>
        <v/>
      </c>
    </row>
    <row r="168" spans="2:10" hidden="1">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IFERROR(SUMPRODUCT(Produtividade!$E$171:$II$171,Produtividade!$E$29:$II$29),0),
IFERROR(SUMPRODUCT(Veículos!$E$81:$II$81,Veículos!$E$4:$II$4),0)
)
/
Proposta!$J$68),2),"")</f>
        <v/>
      </c>
    </row>
    <row r="169" spans="2:10" hidden="1">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IFERROR(SUMPRODUCT(Produtividade!$E$171:$II$171,Produtividade!$E$29:$II$29),0),
IFERROR(SUMPRODUCT(Veículos!$E$81:$II$81,Veículos!$E$4:$II$4),0)
)
/
Proposta!$J$68),2),"")</f>
        <v/>
      </c>
    </row>
    <row r="170" spans="2:10" hidden="1">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IFERROR(SUMPRODUCT(Produtividade!$E$171:$II$171,Produtividade!$E$29:$II$29),0),
IFERROR(SUMPRODUCT(Veículos!$E$81:$II$81,Veículos!$E$4:$II$4),0)
)
/
Proposta!$J$68),2),"")</f>
        <v/>
      </c>
    </row>
    <row r="171" spans="2:10" hidden="1">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IFERROR(SUMPRODUCT(Produtividade!$E$171:$II$171,Produtividade!$E$29:$II$29),0),
IFERROR(SUMPRODUCT(Veículos!$E$81:$II$81,Veículos!$E$4:$II$4),0)
)
/
Proposta!$J$68),2),"")</f>
        <v/>
      </c>
    </row>
    <row r="172" spans="2:10" hidden="1">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IFERROR(SUMPRODUCT(Produtividade!$E$171:$II$171,Produtividade!$E$29:$II$29),0),
IFERROR(SUMPRODUCT(Veículos!$E$81:$II$81,Veículos!$E$4:$II$4),0)
)
/
Proposta!$J$68),2),"")</f>
        <v/>
      </c>
    </row>
    <row r="173" spans="2:10" hidden="1">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IFERROR(SUMPRODUCT(Produtividade!$E$171:$II$171,Produtividade!$E$29:$II$29),0),
IFERROR(SUMPRODUCT(Veículos!$E$81:$II$81,Veículos!$E$4:$II$4),0)
)
/
Proposta!$J$68),2),"")</f>
        <v/>
      </c>
    </row>
    <row r="174" spans="2:10" hidden="1">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IFERROR(SUMPRODUCT(Produtividade!$E$171:$II$171,Produtividade!$E$29:$II$29),0),
IFERROR(SUMPRODUCT(Veículos!$E$81:$II$81,Veículos!$E$4:$II$4),0)
)
/
Proposta!$J$68),2),"")</f>
        <v/>
      </c>
    </row>
    <row r="175" spans="2:10" hidden="1">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IFERROR(SUMPRODUCT(Produtividade!$E$171:$II$171,Produtividade!$E$29:$II$29),0),
IFERROR(SUMPRODUCT(Veículos!$E$81:$II$81,Veículos!$E$4:$II$4),0)
)
/
Proposta!$J$68),2),"")</f>
        <v/>
      </c>
    </row>
    <row r="176" spans="2:10" hidden="1">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IFERROR(SUMPRODUCT(Produtividade!$E$171:$II$171,Produtividade!$E$29:$II$29),0),
IFERROR(SUMPRODUCT(Veículos!$E$81:$II$81,Veículos!$E$4:$II$4),0)
)
/
Proposta!$J$68),2),"")</f>
        <v/>
      </c>
    </row>
    <row r="177" spans="2:10" hidden="1">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IFERROR(SUMPRODUCT(Produtividade!$E$171:$II$171,Produtividade!$E$29:$II$29),0),
IFERROR(SUMPRODUCT(Veículos!$E$81:$II$81,Veículos!$E$4:$II$4),0)
)
/
Proposta!$J$68),2),"")</f>
        <v/>
      </c>
    </row>
    <row r="178" spans="2:10" hidden="1">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IFERROR(SUMPRODUCT(Produtividade!$E$171:$II$171,Produtividade!$E$29:$II$29),0),
IFERROR(SUMPRODUCT(Veículos!$E$81:$II$81,Veículos!$E$4:$II$4),0)
)
/
Proposta!$J$68),2),"")</f>
        <v/>
      </c>
    </row>
    <row r="179" spans="2:10" hidden="1">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IFERROR(SUMPRODUCT(Produtividade!$E$171:$II$171,Produtividade!$E$29:$II$29),0),
IFERROR(SUMPRODUCT(Veículos!$E$81:$II$81,Veículos!$E$4:$II$4),0)
)
/
Proposta!$J$68),2),"")</f>
        <v/>
      </c>
    </row>
    <row r="180" spans="2:10" hidden="1">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IFERROR(SUMPRODUCT(Produtividade!$E$171:$II$171,Produtividade!$E$29:$II$29),0),
IFERROR(SUMPRODUCT(Veículos!$E$81:$II$81,Veículos!$E$4:$II$4),0)
)
/
Proposta!$J$68),2),"")</f>
        <v/>
      </c>
    </row>
    <row r="181" spans="2:10" hidden="1">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IFERROR(SUMPRODUCT(Produtividade!$E$171:$II$171,Produtividade!$E$29:$II$29),0),
IFERROR(SUMPRODUCT(Veículos!$E$81:$II$81,Veículos!$E$4:$II$4),0)
)
/
Proposta!$J$68),2),"")</f>
        <v/>
      </c>
    </row>
    <row r="182" spans="2:10" hidden="1">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IFERROR(SUMPRODUCT(Produtividade!$E$171:$II$171,Produtividade!$E$29:$II$29),0),
IFERROR(SUMPRODUCT(Veículos!$E$81:$II$81,Veículos!$E$4:$II$4),0)
)
/
Proposta!$J$68),2),"")</f>
        <v/>
      </c>
    </row>
    <row r="183" spans="2:10" hidden="1">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IFERROR(SUMPRODUCT(Produtividade!$E$171:$II$171,Produtividade!$E$29:$II$29),0),
IFERROR(SUMPRODUCT(Veículos!$E$81:$II$81,Veículos!$E$4:$II$4),0)
)
/
Proposta!$J$68),2),"")</f>
        <v/>
      </c>
    </row>
    <row r="184" spans="2:10" hidden="1">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IFERROR(SUMPRODUCT(Produtividade!$E$171:$II$171,Produtividade!$E$29:$II$29),0),
IFERROR(SUMPRODUCT(Veículos!$E$81:$II$81,Veículos!$E$4:$II$4),0)
)
/
Proposta!$J$68),2),"")</f>
        <v/>
      </c>
    </row>
    <row r="185" spans="2:10" hidden="1">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IFERROR(SUMPRODUCT(Produtividade!$E$171:$II$171,Produtividade!$E$29:$II$29),0),
IFERROR(SUMPRODUCT(Veículos!$E$81:$II$81,Veículos!$E$4:$II$4),0)
)
/
Proposta!$J$68),2),"")</f>
        <v/>
      </c>
    </row>
    <row r="186" spans="2:10" hidden="1">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IFERROR(SUMPRODUCT(Produtividade!$E$171:$II$171,Produtividade!$E$29:$II$29),0),
IFERROR(SUMPRODUCT(Veículos!$E$81:$II$81,Veículos!$E$4:$II$4),0)
)
/
Proposta!$J$68),2),"")</f>
        <v/>
      </c>
    </row>
    <row r="187" spans="2:10" hidden="1">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IFERROR(SUMPRODUCT(Produtividade!$E$171:$II$171,Produtividade!$E$29:$II$29),0),
IFERROR(SUMPRODUCT(Veículos!$E$81:$II$81,Veículos!$E$4:$II$4),0)
)
/
Proposta!$J$68),2),"")</f>
        <v/>
      </c>
    </row>
    <row r="188" spans="2:10" hidden="1">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IFERROR(SUMPRODUCT(Produtividade!$E$171:$II$171,Produtividade!$E$29:$II$29),0),
IFERROR(SUMPRODUCT(Veículos!$E$81:$II$81,Veículos!$E$4:$II$4),0)
)
/
Proposta!$J$68),2),"")</f>
        <v/>
      </c>
    </row>
    <row r="189" spans="2:10" hidden="1">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IFERROR(SUMPRODUCT(Produtividade!$E$171:$II$171,Produtividade!$E$29:$II$29),0),
IFERROR(SUMPRODUCT(Veículos!$E$81:$II$81,Veículos!$E$4:$II$4),0)
)
/
Proposta!$J$68),2),"")</f>
        <v/>
      </c>
    </row>
    <row r="190" spans="2:10" hidden="1">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IFERROR(SUMPRODUCT(Produtividade!$E$171:$II$171,Produtividade!$E$29:$II$29),0),
IFERROR(SUMPRODUCT(Veículos!$E$81:$II$81,Veículos!$E$4:$II$4),0)
)
/
Proposta!$J$68),2),"")</f>
        <v/>
      </c>
    </row>
    <row r="191" spans="2:10" hidden="1">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IFERROR(SUMPRODUCT(Produtividade!$E$171:$II$171,Produtividade!$E$29:$II$29),0),
IFERROR(SUMPRODUCT(Veículos!$E$81:$II$81,Veículos!$E$4:$II$4),0)
)
/
Proposta!$J$68),2),"")</f>
        <v/>
      </c>
    </row>
    <row r="192" spans="2:10" hidden="1">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IFERROR(SUMPRODUCT(Produtividade!$E$171:$II$171,Produtividade!$E$29:$II$29),0),
IFERROR(SUMPRODUCT(Veículos!$E$81:$II$81,Veículos!$E$4:$II$4),0)
)
/
Proposta!$J$68),2),"")</f>
        <v/>
      </c>
    </row>
    <row r="193" spans="2:10" hidden="1">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IFERROR(SUMPRODUCT(Produtividade!$E$171:$II$171,Produtividade!$E$29:$II$29),0),
IFERROR(SUMPRODUCT(Veículos!$E$81:$II$81,Veículos!$E$4:$II$4),0)
)
/
Proposta!$J$68),2),"")</f>
        <v/>
      </c>
    </row>
    <row r="194" spans="2:10" hidden="1">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IFERROR(SUMPRODUCT(Produtividade!$E$171:$II$171,Produtividade!$E$29:$II$29),0),
IFERROR(SUMPRODUCT(Veículos!$E$81:$II$81,Veículos!$E$4:$II$4),0)
)
/
Proposta!$J$68),2),"")</f>
        <v/>
      </c>
    </row>
    <row r="195" spans="2:10" hidden="1">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IFERROR(SUMPRODUCT(Produtividade!$E$171:$II$171,Produtividade!$E$29:$II$29),0),
IFERROR(SUMPRODUCT(Veículos!$E$81:$II$81,Veículos!$E$4:$II$4),0)
)
/
Proposta!$J$68),2),"")</f>
        <v/>
      </c>
    </row>
    <row r="196" spans="2:10" hidden="1">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IFERROR(SUMPRODUCT(Produtividade!$E$171:$II$171,Produtividade!$E$29:$II$29),0),
IFERROR(SUMPRODUCT(Veículos!$E$81:$II$81,Veículos!$E$4:$II$4),0)
)
/
Proposta!$J$68),2),"")</f>
        <v/>
      </c>
    </row>
    <row r="197" spans="2:10" hidden="1">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IFERROR(SUMPRODUCT(Produtividade!$E$171:$II$171,Produtividade!$E$29:$II$29),0),
IFERROR(SUMPRODUCT(Veículos!$E$81:$II$81,Veículos!$E$4:$II$4),0)
)
/
Proposta!$J$68),2),"")</f>
        <v/>
      </c>
    </row>
    <row r="198" spans="2:10" hidden="1">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IFERROR(SUMPRODUCT(Produtividade!$E$171:$II$171,Produtividade!$E$29:$II$29),0),
IFERROR(SUMPRODUCT(Veículos!$E$81:$II$81,Veículos!$E$4:$II$4),0)
)
/
Proposta!$J$68),2),"")</f>
        <v/>
      </c>
    </row>
    <row r="199" spans="2:10" hidden="1">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IFERROR(SUMPRODUCT(Produtividade!$E$171:$II$171,Produtividade!$E$29:$II$29),0),
IFERROR(SUMPRODUCT(Veículos!$E$81:$II$81,Veículos!$E$4:$II$4),0)
)
/
Proposta!$J$68),2),"")</f>
        <v/>
      </c>
    </row>
    <row r="200" spans="2:10" hidden="1">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IFERROR(SUMPRODUCT(Produtividade!$E$171:$II$171,Produtividade!$E$29:$II$29),0),
IFERROR(SUMPRODUCT(Veículos!$E$81:$II$81,Veículos!$E$4:$II$4),0)
)
/
Proposta!$J$68),2),"")</f>
        <v/>
      </c>
    </row>
    <row r="201" spans="2:10" hidden="1">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IFERROR(SUMPRODUCT(Produtividade!$E$171:$II$171,Produtividade!$E$29:$II$29),0),
IFERROR(SUMPRODUCT(Veículos!$E$81:$II$81,Veículos!$E$4:$II$4),0)
)
/
Proposta!$J$68),2),"")</f>
        <v/>
      </c>
    </row>
    <row r="202" spans="2:10" hidden="1">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IFERROR(SUMPRODUCT(Produtividade!$E$171:$II$171,Produtividade!$E$29:$II$29),0),
IFERROR(SUMPRODUCT(Veículos!$E$81:$II$81,Veículos!$E$4:$II$4),0)
)
/
Proposta!$J$68),2),"")</f>
        <v/>
      </c>
    </row>
    <row r="203" spans="2:10" hidden="1">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IFERROR(SUMPRODUCT(Produtividade!$E$171:$II$171,Produtividade!$E$29:$II$29),0),
IFERROR(SUMPRODUCT(Veículos!$E$81:$II$81,Veículos!$E$4:$II$4),0)
)
/
Proposta!$J$68),2),"")</f>
        <v/>
      </c>
    </row>
    <row r="204" spans="2:10" hidden="1">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IFERROR(SUMPRODUCT(Produtividade!$E$171:$II$171,Produtividade!$E$29:$II$29),0),
IFERROR(SUMPRODUCT(Veículos!$E$81:$II$81,Veículos!$E$4:$II$4),0)
)
/
Proposta!$J$68),2),"")</f>
        <v/>
      </c>
    </row>
    <row r="205" spans="2:10" hidden="1">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IFERROR(SUMPRODUCT(Produtividade!$E$171:$II$171,Produtividade!$E$29:$II$29),0),
IFERROR(SUMPRODUCT(Veículos!$E$81:$II$81,Veículos!$E$4:$II$4),0)
)
/
Proposta!$J$68),2),"")</f>
        <v/>
      </c>
    </row>
    <row r="206" spans="2:10" hidden="1">
      <c r="G206" s="744"/>
    </row>
    <row r="207" spans="2:10" hidden="1">
      <c r="G207" s="744"/>
    </row>
    <row r="208" spans="2:10" hidden="1">
      <c r="G208" s="744"/>
    </row>
    <row r="209" spans="7:7" hidden="1">
      <c r="G209" s="744"/>
    </row>
    <row r="210" spans="7:7" hidden="1">
      <c r="G210" s="744"/>
    </row>
    <row r="211" spans="7:7" hidden="1">
      <c r="G211" s="744"/>
    </row>
    <row r="212" spans="7:7" hidden="1">
      <c r="G212" s="744"/>
    </row>
    <row r="213" spans="7:7" hidden="1">
      <c r="G213" s="744"/>
    </row>
    <row r="214" spans="7:7" hidden="1">
      <c r="G214" s="744"/>
    </row>
    <row r="215" spans="7:7" hidden="1">
      <c r="G215" s="744"/>
    </row>
    <row r="216" spans="7:7" hidden="1">
      <c r="G216" s="744"/>
    </row>
    <row r="217" spans="7:7" hidden="1">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300-000000000000}">
          <x14:formula1>
            <xm:f>'Apoio - Mat Coletivo e Equip'!$A:$A</xm:f>
          </x14:formula1>
          <xm:sqref>D9:D205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657</v>
      </c>
      <c r="B1" s="731" t="s">
        <v>490</v>
      </c>
      <c r="C1" s="732" t="s">
        <v>658</v>
      </c>
      <c r="D1" s="733" t="s">
        <v>483</v>
      </c>
    </row>
    <row r="2" spans="1:7" ht="31.5" customHeight="1" thickBot="1">
      <c r="A2" s="739"/>
      <c r="B2" s="739"/>
      <c r="C2" s="740"/>
      <c r="D2" s="741"/>
      <c r="G2" s="746" t="s">
        <v>718</v>
      </c>
    </row>
    <row r="3" spans="1:7">
      <c r="A3" s="723" t="s">
        <v>683</v>
      </c>
      <c r="B3" s="723" t="s">
        <v>682</v>
      </c>
      <c r="C3" s="725">
        <v>427.97</v>
      </c>
      <c r="D3" s="737"/>
      <c r="G3" s="745" t="s">
        <v>716</v>
      </c>
    </row>
    <row r="4" spans="1:7">
      <c r="A4" s="724" t="s">
        <v>684</v>
      </c>
      <c r="B4" s="724" t="s">
        <v>685</v>
      </c>
      <c r="C4" s="726">
        <v>101.78</v>
      </c>
      <c r="D4" s="738">
        <v>0.1</v>
      </c>
    </row>
    <row r="5" spans="1:7">
      <c r="A5" s="724" t="s">
        <v>714</v>
      </c>
      <c r="B5" s="724" t="s">
        <v>682</v>
      </c>
      <c r="C5" s="726">
        <v>213.08</v>
      </c>
      <c r="D5" s="738"/>
    </row>
    <row r="6" spans="1:7">
      <c r="A6" s="724" t="s">
        <v>670</v>
      </c>
      <c r="B6" s="724" t="s">
        <v>693</v>
      </c>
      <c r="C6" s="726">
        <v>1439.06</v>
      </c>
      <c r="D6" s="738">
        <v>0.2</v>
      </c>
    </row>
    <row r="7" spans="1:7">
      <c r="A7" s="724" t="s">
        <v>715</v>
      </c>
      <c r="B7" s="724" t="s">
        <v>682</v>
      </c>
      <c r="C7" s="726">
        <v>57.95</v>
      </c>
      <c r="D7" s="738"/>
    </row>
    <row r="8" spans="1:7">
      <c r="A8" s="724" t="s">
        <v>687</v>
      </c>
      <c r="B8" s="724" t="s">
        <v>682</v>
      </c>
      <c r="C8" s="726">
        <v>76.92</v>
      </c>
      <c r="D8" s="738"/>
    </row>
    <row r="9" spans="1:7">
      <c r="A9" s="724" t="s">
        <v>712</v>
      </c>
      <c r="B9" s="724" t="s">
        <v>682</v>
      </c>
      <c r="C9" s="726">
        <v>20.239999999999998</v>
      </c>
      <c r="D9" s="738"/>
    </row>
    <row r="10" spans="1:7">
      <c r="A10" s="724" t="s">
        <v>713</v>
      </c>
      <c r="B10" s="724" t="s">
        <v>682</v>
      </c>
      <c r="C10" s="726">
        <v>5.54</v>
      </c>
      <c r="D10" s="738"/>
    </row>
    <row r="11" spans="1:7">
      <c r="A11" s="724" t="s">
        <v>688</v>
      </c>
      <c r="B11" s="724" t="s">
        <v>682</v>
      </c>
      <c r="C11" s="726">
        <v>44.77</v>
      </c>
      <c r="D11" s="738"/>
    </row>
    <row r="12" spans="1:7">
      <c r="A12" s="724" t="s">
        <v>689</v>
      </c>
      <c r="B12" s="724" t="s">
        <v>711</v>
      </c>
      <c r="C12" s="726">
        <v>67.63</v>
      </c>
      <c r="D12" s="738"/>
    </row>
    <row r="13" spans="1:7">
      <c r="A13" s="724" t="s">
        <v>690</v>
      </c>
      <c r="B13" s="724" t="s">
        <v>682</v>
      </c>
      <c r="C13" s="726">
        <v>976.94</v>
      </c>
      <c r="D13" s="738">
        <v>0.2</v>
      </c>
    </row>
    <row r="14" spans="1:7">
      <c r="A14" s="724" t="s">
        <v>717</v>
      </c>
      <c r="B14" s="724" t="s">
        <v>682</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553</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80"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81"/>
      <c r="C9" s="331" t="s">
        <v>234</v>
      </c>
      <c r="D9" s="325"/>
      <c r="E9" s="424"/>
      <c r="F9" s="424"/>
      <c r="G9" s="424"/>
      <c r="H9" s="424"/>
      <c r="I9" s="424"/>
      <c r="J9" s="42"/>
      <c r="K9" s="42"/>
      <c r="L9" s="42"/>
      <c r="M9" s="42"/>
      <c r="N9" s="42"/>
      <c r="O9" s="42"/>
      <c r="P9" s="42"/>
      <c r="Q9" s="42"/>
      <c r="R9" s="42"/>
      <c r="S9" s="42"/>
      <c r="T9" s="42"/>
      <c r="U9" s="42"/>
      <c r="V9" s="42"/>
      <c r="W9" s="42"/>
      <c r="X9" s="42"/>
      <c r="Y9" s="42"/>
      <c r="Z9" s="42"/>
      <c r="AA9" s="42"/>
    </row>
    <row r="10" spans="1:27">
      <c r="B10" s="881"/>
      <c r="C10" s="332" t="s">
        <v>235</v>
      </c>
      <c r="D10" s="326"/>
      <c r="E10" s="425"/>
      <c r="F10" s="425"/>
      <c r="G10" s="425"/>
      <c r="H10" s="425"/>
      <c r="I10" s="425"/>
      <c r="J10" s="42"/>
      <c r="K10" s="42"/>
      <c r="L10" s="42"/>
      <c r="M10" s="42"/>
      <c r="N10" s="42"/>
      <c r="O10" s="42"/>
      <c r="P10" s="42"/>
      <c r="Q10" s="42"/>
      <c r="R10" s="42"/>
      <c r="S10" s="42"/>
      <c r="T10" s="42"/>
      <c r="U10" s="42"/>
      <c r="V10" s="42"/>
      <c r="W10" s="42"/>
      <c r="X10" s="42"/>
      <c r="Y10" s="42"/>
      <c r="Z10" s="42"/>
      <c r="AA10" s="42"/>
    </row>
    <row r="11" spans="1:27">
      <c r="B11" s="881"/>
      <c r="C11" s="332" t="s">
        <v>236</v>
      </c>
      <c r="D11" s="326"/>
      <c r="E11" s="426"/>
      <c r="F11" s="426"/>
      <c r="G11" s="426"/>
      <c r="H11" s="426"/>
      <c r="I11" s="426"/>
      <c r="J11" s="42"/>
      <c r="K11" s="42"/>
      <c r="L11" s="42"/>
      <c r="M11" s="42"/>
      <c r="N11" s="42"/>
      <c r="O11" s="42"/>
      <c r="P11" s="42"/>
      <c r="Q11" s="42"/>
      <c r="R11" s="42"/>
      <c r="S11" s="42"/>
      <c r="T11" s="42"/>
      <c r="U11" s="42"/>
      <c r="V11" s="42"/>
      <c r="W11" s="42"/>
      <c r="X11" s="42"/>
      <c r="Y11" s="42"/>
      <c r="Z11" s="42"/>
      <c r="AA11" s="42"/>
    </row>
    <row r="12" spans="1:27">
      <c r="B12" s="882"/>
      <c r="C12" s="306"/>
      <c r="D12" s="306" t="s">
        <v>41</v>
      </c>
      <c r="E12" s="365" t="str">
        <f>IFERROR(E5*E11/E9,"")</f>
        <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84"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63"/>
      <c r="C14" s="334" t="s">
        <v>248</v>
      </c>
      <c r="D14" s="328"/>
      <c r="E14" s="427"/>
      <c r="F14" s="427"/>
      <c r="G14" s="427"/>
      <c r="H14" s="427"/>
      <c r="I14" s="427"/>
      <c r="J14" s="42"/>
      <c r="K14" s="42"/>
      <c r="L14" s="42"/>
      <c r="M14" s="42"/>
      <c r="N14" s="42"/>
      <c r="O14" s="42"/>
      <c r="P14" s="42"/>
      <c r="Q14" s="42"/>
      <c r="R14" s="42"/>
      <c r="S14" s="42"/>
      <c r="T14" s="42"/>
      <c r="U14" s="42"/>
      <c r="V14" s="42"/>
      <c r="W14" s="42"/>
      <c r="X14" s="42"/>
      <c r="Y14" s="42"/>
      <c r="Z14" s="42"/>
      <c r="AA14" s="42"/>
    </row>
    <row r="15" spans="1:27">
      <c r="B15" s="863"/>
      <c r="C15" s="220" t="s">
        <v>562</v>
      </c>
      <c r="D15" s="329"/>
      <c r="E15" s="428"/>
      <c r="F15" s="428"/>
      <c r="G15" s="428"/>
      <c r="H15" s="428"/>
      <c r="I15" s="428"/>
      <c r="J15" s="42"/>
      <c r="K15" s="42"/>
      <c r="L15" s="42"/>
      <c r="M15" s="42"/>
      <c r="N15" s="42"/>
      <c r="O15" s="42"/>
      <c r="P15" s="42"/>
      <c r="Q15" s="42"/>
      <c r="R15" s="42"/>
      <c r="S15" s="42"/>
      <c r="T15" s="42"/>
      <c r="U15" s="42"/>
      <c r="V15" s="42"/>
      <c r="W15" s="42"/>
      <c r="X15" s="42"/>
      <c r="Y15" s="42"/>
      <c r="Z15" s="42"/>
      <c r="AA15" s="42"/>
    </row>
    <row r="16" spans="1:27">
      <c r="B16" s="863"/>
      <c r="C16" s="220" t="s">
        <v>16</v>
      </c>
      <c r="D16" s="330"/>
      <c r="E16" s="429"/>
      <c r="F16" s="429"/>
      <c r="G16" s="429"/>
      <c r="H16" s="429"/>
      <c r="I16" s="429"/>
      <c r="J16" s="42"/>
      <c r="K16" s="42"/>
      <c r="L16" s="42"/>
      <c r="M16" s="42"/>
      <c r="N16" s="42"/>
      <c r="O16" s="42"/>
      <c r="P16" s="42"/>
      <c r="Q16" s="42"/>
      <c r="R16" s="42"/>
      <c r="S16" s="42"/>
      <c r="T16" s="42"/>
      <c r="U16" s="42"/>
      <c r="V16" s="42"/>
      <c r="W16" s="42"/>
      <c r="X16" s="42"/>
      <c r="Y16" s="42"/>
      <c r="Z16" s="42"/>
      <c r="AA16" s="42"/>
    </row>
    <row r="17" spans="2:27">
      <c r="B17" s="883"/>
      <c r="C17" s="306"/>
      <c r="D17" s="306" t="s">
        <v>41</v>
      </c>
      <c r="E17" s="364" t="str">
        <f>IFERROR(IF(E3="","",E16*E14*E5/E15),"")</f>
        <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63"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63"/>
      <c r="C19" s="220" t="s">
        <v>562</v>
      </c>
      <c r="D19" s="640"/>
      <c r="E19" s="715"/>
      <c r="F19" s="715"/>
      <c r="G19" s="715"/>
      <c r="H19" s="715"/>
      <c r="I19" s="715"/>
      <c r="J19" s="42"/>
      <c r="K19" s="42"/>
      <c r="L19" s="42"/>
      <c r="M19" s="42"/>
      <c r="N19" s="42"/>
      <c r="O19" s="42"/>
      <c r="P19" s="42"/>
      <c r="Q19" s="42"/>
      <c r="R19" s="42"/>
      <c r="S19" s="42"/>
      <c r="T19" s="42"/>
      <c r="U19" s="42"/>
      <c r="V19" s="42"/>
      <c r="W19" s="42"/>
      <c r="X19" s="42"/>
      <c r="Y19" s="42"/>
      <c r="Z19" s="42"/>
      <c r="AA19" s="42"/>
    </row>
    <row r="20" spans="2:27">
      <c r="B20" s="863"/>
      <c r="C20" s="220" t="s">
        <v>337</v>
      </c>
      <c r="D20" s="330"/>
      <c r="E20" s="439"/>
      <c r="F20" s="439"/>
      <c r="G20" s="439"/>
      <c r="H20" s="439"/>
      <c r="I20" s="439"/>
      <c r="J20" s="42"/>
      <c r="K20" s="42"/>
      <c r="L20" s="42"/>
      <c r="M20" s="42"/>
      <c r="N20" s="42"/>
      <c r="O20" s="42"/>
      <c r="P20" s="42"/>
      <c r="Q20" s="42"/>
      <c r="R20" s="42"/>
      <c r="S20" s="42"/>
      <c r="T20" s="42"/>
      <c r="U20" s="42"/>
      <c r="V20" s="42"/>
      <c r="W20" s="42"/>
      <c r="X20" s="42"/>
      <c r="Y20" s="42"/>
      <c r="Z20" s="42"/>
      <c r="AA20" s="42"/>
    </row>
    <row r="21" spans="2:27">
      <c r="B21" s="883"/>
      <c r="C21" s="306"/>
      <c r="D21" s="306" t="s">
        <v>41</v>
      </c>
      <c r="E21" s="364" t="str">
        <f>IFERROR(IF(E3="","",E20*E5/E19),"")</f>
        <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85" t="s">
        <v>3</v>
      </c>
      <c r="C22" s="363" t="s">
        <v>563</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86"/>
      <c r="C23" s="321" t="s">
        <v>731</v>
      </c>
      <c r="D23" s="322"/>
      <c r="E23" s="430"/>
      <c r="F23" s="430"/>
      <c r="G23" s="430"/>
      <c r="H23" s="430"/>
      <c r="I23" s="430"/>
      <c r="J23" s="42"/>
      <c r="K23" s="42"/>
      <c r="L23" s="42"/>
      <c r="M23" s="42"/>
      <c r="N23" s="42"/>
      <c r="O23" s="42"/>
      <c r="P23" s="42"/>
      <c r="Q23" s="42"/>
      <c r="R23" s="42"/>
      <c r="S23" s="42"/>
      <c r="T23" s="42"/>
      <c r="U23" s="42"/>
      <c r="V23" s="42"/>
      <c r="W23" s="42"/>
      <c r="X23" s="42"/>
      <c r="Y23" s="42"/>
      <c r="Z23" s="42"/>
      <c r="AA23" s="42"/>
    </row>
    <row r="24" spans="2:27">
      <c r="B24" s="886"/>
      <c r="C24" s="323" t="s">
        <v>15</v>
      </c>
      <c r="D24" s="324"/>
      <c r="E24" s="431"/>
      <c r="F24" s="431"/>
      <c r="G24" s="431"/>
      <c r="H24" s="431"/>
      <c r="I24" s="431"/>
      <c r="J24" s="42"/>
      <c r="K24" s="42"/>
      <c r="L24" s="42"/>
      <c r="M24" s="42"/>
      <c r="N24" s="42"/>
      <c r="O24" s="42"/>
      <c r="P24" s="42"/>
      <c r="Q24" s="42"/>
      <c r="R24" s="42"/>
      <c r="S24" s="42"/>
      <c r="T24" s="42"/>
      <c r="U24" s="42"/>
      <c r="V24" s="42"/>
      <c r="W24" s="42"/>
      <c r="X24" s="42"/>
      <c r="Y24" s="42"/>
      <c r="Z24" s="42"/>
      <c r="AA24" s="42"/>
    </row>
    <row r="25" spans="2:27">
      <c r="B25" s="886"/>
      <c r="C25" s="220" t="s">
        <v>455</v>
      </c>
      <c r="D25" s="330"/>
      <c r="E25" s="428"/>
      <c r="F25" s="428"/>
      <c r="G25" s="428"/>
      <c r="H25" s="428"/>
      <c r="I25" s="428"/>
      <c r="J25" s="42"/>
      <c r="K25" s="42"/>
      <c r="L25" s="42"/>
      <c r="M25" s="42"/>
      <c r="N25" s="42"/>
      <c r="O25" s="42"/>
      <c r="P25" s="42"/>
      <c r="Q25" s="42"/>
      <c r="R25" s="42"/>
      <c r="S25" s="42"/>
      <c r="T25" s="42"/>
      <c r="U25" s="42"/>
      <c r="V25" s="42"/>
      <c r="W25" s="42"/>
      <c r="X25" s="42"/>
      <c r="Y25" s="42"/>
      <c r="Z25" s="42"/>
      <c r="AA25" s="42"/>
    </row>
    <row r="26" spans="2:27">
      <c r="B26" s="887"/>
      <c r="C26" s="306"/>
      <c r="D26" s="306" t="s">
        <v>41</v>
      </c>
      <c r="E26" s="364" t="str">
        <f>IFERROR((E23*E24*E5/E25),"")</f>
        <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85"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86"/>
      <c r="C28" s="331" t="s">
        <v>320</v>
      </c>
      <c r="D28" s="340"/>
      <c r="E28" s="432"/>
      <c r="F28" s="432"/>
      <c r="G28" s="432"/>
      <c r="H28" s="432"/>
      <c r="I28" s="432"/>
      <c r="J28" s="42"/>
      <c r="K28" s="42"/>
      <c r="L28" s="42"/>
      <c r="M28" s="42"/>
      <c r="N28" s="42"/>
      <c r="O28" s="42"/>
      <c r="P28" s="42"/>
      <c r="Q28" s="42"/>
      <c r="R28" s="42"/>
      <c r="S28" s="42"/>
      <c r="T28" s="42"/>
      <c r="U28" s="42"/>
      <c r="V28" s="42"/>
      <c r="W28" s="42"/>
      <c r="X28" s="42"/>
      <c r="Y28" s="42"/>
      <c r="Z28" s="42"/>
      <c r="AA28" s="42"/>
    </row>
    <row r="29" spans="2:27">
      <c r="B29" s="886"/>
      <c r="C29" s="638" t="s">
        <v>246</v>
      </c>
      <c r="D29" s="341"/>
      <c r="E29" s="433"/>
      <c r="F29" s="433"/>
      <c r="G29" s="433"/>
      <c r="H29" s="433"/>
      <c r="I29" s="433"/>
      <c r="J29" s="42"/>
      <c r="K29" s="42"/>
      <c r="L29" s="42"/>
      <c r="M29" s="42"/>
      <c r="N29" s="42"/>
      <c r="O29" s="42"/>
      <c r="P29" s="42"/>
      <c r="Q29" s="42"/>
      <c r="R29" s="42"/>
      <c r="S29" s="42"/>
      <c r="T29" s="42"/>
      <c r="U29" s="42"/>
      <c r="V29" s="42"/>
      <c r="W29" s="42"/>
      <c r="X29" s="42"/>
      <c r="Y29" s="42"/>
      <c r="Z29" s="42"/>
      <c r="AA29" s="42"/>
    </row>
    <row r="30" spans="2:27">
      <c r="B30" s="886"/>
      <c r="C30" s="639" t="s">
        <v>465</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86"/>
      <c r="C31" s="639" t="s">
        <v>465</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86"/>
      <c r="C32" s="338" t="s">
        <v>242</v>
      </c>
      <c r="D32" s="337"/>
      <c r="E32" s="425" t="str">
        <f>IF(E3="","",SUM(E29:E31))</f>
        <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87"/>
      <c r="C33" s="306"/>
      <c r="D33" s="306" t="s">
        <v>41</v>
      </c>
      <c r="E33" s="368" t="str">
        <f>IF(E3="","",E28*E32/12)</f>
        <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554</v>
      </c>
      <c r="D34" s="91"/>
      <c r="E34" s="369" t="str">
        <f>IF(E3="","",SUM(E12,E17,E21,E26,E33))</f>
        <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555</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652</v>
      </c>
      <c r="D37" s="442">
        <v>0.01</v>
      </c>
      <c r="E37" s="311" t="str">
        <f>IF(E3="","",E29*$D$37/12)</f>
        <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653</v>
      </c>
      <c r="D38" s="442">
        <v>0.02</v>
      </c>
      <c r="E38" s="311" t="str">
        <f>IF(E3="","",E32*$D$38/12)</f>
        <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88"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89"/>
      <c r="C40" s="321" t="s">
        <v>654</v>
      </c>
      <c r="D40" s="444"/>
      <c r="E40" s="455"/>
      <c r="F40" s="455"/>
      <c r="G40" s="455"/>
      <c r="H40" s="455"/>
      <c r="I40" s="455"/>
      <c r="J40" s="42"/>
      <c r="K40" s="42"/>
      <c r="L40" s="42"/>
      <c r="M40" s="42"/>
      <c r="N40" s="42"/>
      <c r="O40" s="42"/>
      <c r="P40" s="42"/>
      <c r="Q40" s="42"/>
      <c r="R40" s="42"/>
      <c r="S40" s="42"/>
      <c r="T40" s="42"/>
      <c r="U40" s="42"/>
      <c r="V40" s="42"/>
      <c r="W40" s="42"/>
      <c r="X40" s="42"/>
      <c r="Y40" s="42"/>
      <c r="Z40" s="42"/>
      <c r="AA40" s="42"/>
    </row>
    <row r="41" spans="1:27">
      <c r="B41" s="889"/>
      <c r="C41" s="338" t="s">
        <v>655</v>
      </c>
      <c r="D41" s="456"/>
      <c r="E41" s="425" t="str">
        <f>IF(E3="","",328.51)</f>
        <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90"/>
      <c r="C42" s="306"/>
      <c r="D42" s="306" t="s">
        <v>41</v>
      </c>
      <c r="E42" s="457" t="str">
        <f>IF(E$3="","",E40*E41/Proposta!$J$6)</f>
        <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88"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89"/>
      <c r="C44" s="321" t="s">
        <v>444</v>
      </c>
      <c r="D44" s="444"/>
      <c r="E44" s="455"/>
      <c r="F44" s="455"/>
      <c r="G44" s="455"/>
      <c r="H44" s="455"/>
      <c r="I44" s="455"/>
      <c r="J44" s="42"/>
      <c r="K44" s="42"/>
      <c r="L44" s="42"/>
      <c r="M44" s="42"/>
      <c r="N44" s="42"/>
      <c r="O44" s="42"/>
      <c r="P44" s="42"/>
      <c r="Q44" s="42"/>
      <c r="R44" s="42"/>
      <c r="S44" s="42"/>
      <c r="T44" s="42"/>
      <c r="U44" s="42"/>
      <c r="V44" s="42"/>
      <c r="W44" s="42"/>
      <c r="X44" s="42"/>
      <c r="Y44" s="42"/>
      <c r="Z44" s="42"/>
      <c r="AA44" s="42"/>
    </row>
    <row r="45" spans="1:27">
      <c r="B45" s="889"/>
      <c r="C45" s="338" t="s">
        <v>445</v>
      </c>
      <c r="D45" s="456"/>
      <c r="E45" s="425" t="str">
        <f>IF(E3="","",77.88)</f>
        <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90"/>
      <c r="C46" s="713"/>
      <c r="D46" s="306" t="s">
        <v>41</v>
      </c>
      <c r="E46" s="714" t="str">
        <f>IF(E$3="","",E44*E45/Proposta!$J$6)</f>
        <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88"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89"/>
      <c r="C48" s="321" t="s">
        <v>656</v>
      </c>
      <c r="D48" s="444"/>
      <c r="E48" s="455"/>
      <c r="F48" s="455"/>
      <c r="G48" s="455"/>
      <c r="H48" s="455"/>
      <c r="I48" s="455"/>
      <c r="J48" s="42"/>
      <c r="K48" s="42"/>
      <c r="L48" s="42"/>
      <c r="M48" s="42"/>
      <c r="N48" s="42"/>
      <c r="O48" s="42"/>
      <c r="P48" s="42"/>
      <c r="Q48" s="42"/>
      <c r="R48" s="42"/>
      <c r="S48" s="42"/>
      <c r="T48" s="42"/>
      <c r="U48" s="42"/>
      <c r="V48" s="42"/>
      <c r="W48" s="42"/>
      <c r="X48" s="42"/>
      <c r="Y48" s="42"/>
      <c r="Z48" s="42"/>
      <c r="AA48" s="42"/>
    </row>
    <row r="49" spans="1:27">
      <c r="B49" s="889"/>
      <c r="C49" s="338" t="s">
        <v>244</v>
      </c>
      <c r="D49" s="456"/>
      <c r="E49" s="425"/>
      <c r="F49" s="425"/>
      <c r="G49" s="425"/>
      <c r="H49" s="425"/>
      <c r="I49" s="425"/>
      <c r="J49" s="42"/>
      <c r="K49" s="42"/>
      <c r="L49" s="42"/>
      <c r="M49" s="42"/>
      <c r="N49" s="42"/>
      <c r="O49" s="42"/>
      <c r="P49" s="42"/>
      <c r="Q49" s="42"/>
      <c r="R49" s="42"/>
      <c r="S49" s="42"/>
      <c r="T49" s="42"/>
      <c r="U49" s="42"/>
      <c r="V49" s="42"/>
      <c r="W49" s="42"/>
      <c r="X49" s="42"/>
      <c r="Y49" s="42"/>
      <c r="Z49" s="42"/>
      <c r="AA49" s="42"/>
    </row>
    <row r="50" spans="1:27">
      <c r="B50" s="889"/>
      <c r="C50" s="338" t="s">
        <v>243</v>
      </c>
      <c r="D50" s="445"/>
      <c r="E50" s="425"/>
      <c r="F50" s="425"/>
      <c r="G50" s="425"/>
      <c r="H50" s="425"/>
      <c r="I50" s="425"/>
      <c r="J50" s="42"/>
      <c r="K50" s="42"/>
      <c r="L50" s="42"/>
      <c r="M50" s="42"/>
      <c r="N50" s="42"/>
      <c r="O50" s="42"/>
      <c r="P50" s="42"/>
      <c r="Q50" s="42"/>
      <c r="R50" s="42"/>
      <c r="S50" s="42"/>
      <c r="T50" s="42"/>
      <c r="U50" s="42"/>
      <c r="V50" s="42"/>
      <c r="W50" s="42"/>
      <c r="X50" s="42"/>
      <c r="Y50" s="42"/>
      <c r="Z50" s="42"/>
      <c r="AA50" s="42"/>
    </row>
    <row r="51" spans="1:27">
      <c r="B51" s="890"/>
      <c r="C51" s="306"/>
      <c r="D51" s="306" t="s">
        <v>41</v>
      </c>
      <c r="E51" s="368" t="str">
        <f>IF(E3="","",IFERROR(((E48*E49)/Proposta!$J$6)+E50,0))</f>
        <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556</v>
      </c>
      <c r="D52" s="91"/>
      <c r="E52" s="369" t="str">
        <f>IF(E3="","",SUM(E37,E42,E46,E38,E51))</f>
        <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557</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91"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92"/>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92"/>
      <c r="C57" s="338" t="s">
        <v>427</v>
      </c>
      <c r="D57" s="438">
        <v>0.4</v>
      </c>
      <c r="E57" s="425" t="str">
        <f>IF(E3="","",IFERROR(E32*$D$57,""))</f>
        <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93"/>
      <c r="C58" s="306"/>
      <c r="D58" s="458" t="s">
        <v>41</v>
      </c>
      <c r="E58" s="368" t="str">
        <f>IF(E3="","",IFERROR(E32*$D$55,""))</f>
        <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91"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92"/>
      <c r="C60" s="321" t="s">
        <v>460</v>
      </c>
      <c r="D60" s="494">
        <v>0.14249999999999999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92"/>
      <c r="C61" s="338" t="s">
        <v>464</v>
      </c>
      <c r="D61" s="438">
        <f>ROUND(POWER((100%+D60),1/12)-100%,4)</f>
        <v>1.12E-2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93"/>
      <c r="C62" s="306"/>
      <c r="D62" s="458" t="s">
        <v>41</v>
      </c>
      <c r="E62" s="368" t="str">
        <f>IF(E3="","",IFERROR(E32*$D$61,""))</f>
        <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558</v>
      </c>
      <c r="D63" s="91"/>
      <c r="E63" s="369" t="str">
        <f>IF(E3="","",SUM(E62,E58))</f>
        <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559</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560</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t="str">
        <f>IF(E3="","",IFERROR(ROUND($D68*E$92,2),""))</f>
        <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561</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62"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52"/>
      <c r="C76" s="338" t="s">
        <v>353</v>
      </c>
      <c r="D76" s="438"/>
      <c r="E76" s="461">
        <f>IF('Mão de Obra'!E23="","",IF('Mão de Obra'!E23="SINDIELV",5%,2.5%))</f>
        <v>2.5000000000000001E-2</v>
      </c>
      <c r="F76" s="461">
        <f>IF('Mão de Obra'!F23="","",IF('Mão de Obra'!F23="SINDIELV",5%,2.5%))</f>
        <v>2.5000000000000001E-2</v>
      </c>
      <c r="G76" s="461" t="str">
        <f>IF('Mão de Obra'!G23="","",IF('Mão de Obra'!G23="SINDIELV",5%,2.5%))</f>
        <v/>
      </c>
      <c r="H76" s="461" t="str">
        <f>IF('Mão de Obra'!H23="","",IF('Mão de Obra'!H23="SINDIELV",5%,2.5%))</f>
        <v/>
      </c>
      <c r="I76" s="461">
        <f>IF('Mão de Obra'!I23="","",IF('Mão de Obra'!I23="SINDIELV",5%,2.5%))</f>
        <v>2.5000000000000001E-2</v>
      </c>
      <c r="J76" s="42"/>
      <c r="K76" s="42"/>
      <c r="L76" s="42"/>
      <c r="M76" s="42"/>
      <c r="N76" s="42"/>
      <c r="O76" s="42"/>
      <c r="P76" s="42"/>
      <c r="Q76" s="42"/>
      <c r="R76" s="42"/>
      <c r="S76" s="42"/>
      <c r="T76" s="42"/>
      <c r="U76" s="42"/>
      <c r="V76" s="42"/>
      <c r="W76" s="42"/>
      <c r="X76" s="42"/>
      <c r="Y76" s="42"/>
      <c r="Z76" s="42"/>
      <c r="AA76" s="42"/>
    </row>
    <row r="77" spans="2:27">
      <c r="B77" s="853"/>
      <c r="C77" s="306"/>
      <c r="D77" s="458" t="s">
        <v>41</v>
      </c>
      <c r="E77" s="368" t="str">
        <f>IF(E$3="","",IFERROR(ROUND(SUM(E$92,E$70)*$E76/(1-SUM($D$73:$D$78,E$76)),2),""))</f>
        <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422</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447</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448</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62"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52"/>
      <c r="C88" s="338" t="s">
        <v>449</v>
      </c>
      <c r="D88" s="438"/>
      <c r="E88" s="460"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53"/>
      <c r="C89" s="306"/>
      <c r="D89" s="458" t="s">
        <v>41</v>
      </c>
      <c r="E89" s="459" t="str">
        <f>IFERROR(ROUND(SUM(E52,E63)*(1+E93/E92),2)/E88,"")</f>
        <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420</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421</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419</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421</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500-000000000000}">
      <formula1>"Etanol,Gasolina,Diesel,Elétrico"</formula1>
    </dataValidation>
    <dataValidation showInputMessage="1" sqref="D77 D58:D60 D89 D62" xr:uid="{00000000-0002-0000-05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43" t="str">
        <f>CONCATENATE("PREFEITURA MUNICIPAL DE PORTO ALEGRE
",D5,"
FORMAÇÃO DE PREÇOS DE REFERÊNCIA - CESSÃO DE MÃO DE OBRA")</f>
        <v>PREFEITURA MUNICIPAL DE PORTO ALEGRE
FORMAÇÃO DE PREÇOS DE REFERÊNCIA - CESSÃO DE MÃO DE OBRA</v>
      </c>
      <c r="B2" s="844"/>
      <c r="C2" s="844"/>
      <c r="D2" s="844"/>
      <c r="E2" s="844"/>
      <c r="F2" s="844"/>
      <c r="G2" s="844"/>
      <c r="H2" s="844"/>
      <c r="I2" s="845"/>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47"/>
      <c r="E5" s="847"/>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48"/>
      <c r="E6" s="848"/>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48"/>
      <c r="E7" s="848"/>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47"/>
      <c r="E8" s="847"/>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458</v>
      </c>
      <c r="D9" s="846"/>
      <c r="E9" s="846"/>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459</v>
      </c>
      <c r="D10" s="857"/>
      <c r="E10" s="857"/>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443</v>
      </c>
      <c r="D11" s="858"/>
      <c r="E11" s="858"/>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64">
        <f>'Mão de Obra'!D12</f>
        <v>12</v>
      </c>
      <c r="E12" s="864"/>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58" t="s">
        <v>59</v>
      </c>
      <c r="E13" s="858"/>
    </row>
    <row r="14" spans="1:53">
      <c r="B14" s="116" t="s">
        <v>140</v>
      </c>
      <c r="C14" s="117" t="s">
        <v>267</v>
      </c>
      <c r="D14" s="865"/>
      <c r="E14" s="865"/>
    </row>
    <row r="15" spans="1:53">
      <c r="B15" s="116" t="s">
        <v>229</v>
      </c>
      <c r="C15" s="117" t="s">
        <v>316</v>
      </c>
      <c r="D15" s="866">
        <f>'Mão de Obra'!D15:E15</f>
        <v>1621</v>
      </c>
      <c r="E15" s="867"/>
    </row>
    <row r="16" spans="1:53">
      <c r="A16" s="44"/>
      <c r="B16" s="301"/>
      <c r="C16" s="302"/>
      <c r="D16" s="303"/>
      <c r="E16" s="302"/>
      <c r="F16" s="125"/>
      <c r="G16" s="125"/>
      <c r="H16" s="125"/>
      <c r="I16" s="125"/>
    </row>
    <row r="17" spans="1:53" s="12" customFormat="1">
      <c r="A17" s="71"/>
      <c r="B17" s="89"/>
      <c r="C17" s="90" t="s">
        <v>574</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579</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462</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463</v>
      </c>
      <c r="D26" s="121"/>
      <c r="E26" s="112" t="s">
        <v>476</v>
      </c>
      <c r="F26" s="112" t="s">
        <v>476</v>
      </c>
      <c r="G26" s="112" t="s">
        <v>476</v>
      </c>
      <c r="H26" s="112" t="s">
        <v>476</v>
      </c>
      <c r="I26" s="112"/>
    </row>
    <row r="27" spans="1:53" hidden="1">
      <c r="A27" s="106"/>
      <c r="B27" s="115" t="s">
        <v>140</v>
      </c>
      <c r="C27" s="123" t="s">
        <v>486</v>
      </c>
      <c r="D27" s="120"/>
      <c r="E27" s="108">
        <f>8*SUM(K193:K212,K214:K216,K220:K221)/VLOOKUP(E26,'Apoio - Regime de Trabalho'!$A:$K,10,FALSE)</f>
        <v>0</v>
      </c>
      <c r="F27" s="108">
        <f>1/30*E27</f>
        <v>0</v>
      </c>
      <c r="G27" s="108">
        <f>8*SUM(K212:K213,K218:K219)/VLOOKUP(G26,'Apoio - Regime de Trabalho'!$A:$K,10,FALSE)</f>
        <v>0</v>
      </c>
      <c r="H27" s="108">
        <f>1/4*G27</f>
        <v>0</v>
      </c>
      <c r="I27" s="113"/>
    </row>
    <row r="28" spans="1:53" hidden="1">
      <c r="A28" s="105"/>
      <c r="B28" s="115" t="s">
        <v>229</v>
      </c>
      <c r="C28" s="123" t="s">
        <v>457</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487</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49" t="s">
        <v>1</v>
      </c>
      <c r="C33" s="226" t="s">
        <v>185</v>
      </c>
      <c r="D33" s="170"/>
      <c r="E33" s="244"/>
      <c r="F33" s="244"/>
      <c r="G33" s="244"/>
      <c r="H33" s="244"/>
      <c r="I33" s="244"/>
    </row>
    <row r="34" spans="1:9">
      <c r="A34" s="86"/>
      <c r="B34" s="850"/>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51"/>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52" t="s">
        <v>0</v>
      </c>
      <c r="C36" s="224" t="s">
        <v>186</v>
      </c>
      <c r="D36" s="225"/>
      <c r="E36" s="235"/>
      <c r="F36" s="235"/>
      <c r="G36" s="235"/>
      <c r="H36" s="235"/>
      <c r="I36" s="235"/>
    </row>
    <row r="37" spans="1:9">
      <c r="A37" s="86"/>
      <c r="B37" s="852"/>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52"/>
      <c r="C38" s="103" t="s">
        <v>91</v>
      </c>
      <c r="D38" s="93"/>
      <c r="E38" s="247">
        <v>0.4</v>
      </c>
      <c r="F38" s="247">
        <v>0.2</v>
      </c>
      <c r="G38" s="247"/>
      <c r="H38" s="247"/>
      <c r="I38" s="247" t="str">
        <f>IFERROR(VLOOKUP(I$18,'Apoio - Posto'!$A:$AA,13,FALSE),"")</f>
        <v/>
      </c>
    </row>
    <row r="39" spans="1:9">
      <c r="A39" s="86"/>
      <c r="B39" s="853"/>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49" t="s">
        <v>3</v>
      </c>
      <c r="C40" s="226" t="s">
        <v>81</v>
      </c>
      <c r="D40" s="141"/>
      <c r="E40" s="236"/>
      <c r="F40" s="236"/>
      <c r="G40" s="236"/>
      <c r="H40" s="236"/>
      <c r="I40" s="236"/>
    </row>
    <row r="41" spans="1:9">
      <c r="A41" s="231"/>
      <c r="B41" s="850"/>
      <c r="C41" s="232" t="s">
        <v>91</v>
      </c>
      <c r="D41" s="142"/>
      <c r="E41" s="233"/>
      <c r="F41" s="233">
        <v>0.2</v>
      </c>
      <c r="G41" s="233"/>
      <c r="H41" s="233">
        <v>0.2</v>
      </c>
      <c r="I41" s="233"/>
    </row>
    <row r="42" spans="1:9">
      <c r="A42" s="231"/>
      <c r="B42" s="851"/>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52" t="s">
        <v>7</v>
      </c>
      <c r="C43" s="230" t="s">
        <v>60</v>
      </c>
      <c r="D43" s="229"/>
      <c r="E43" s="237"/>
      <c r="F43" s="237"/>
      <c r="G43" s="237"/>
      <c r="H43" s="237"/>
      <c r="I43" s="237"/>
    </row>
    <row r="44" spans="1:9">
      <c r="A44" s="86"/>
      <c r="B44" s="852"/>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5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5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54" t="s">
        <v>6</v>
      </c>
      <c r="C47" s="135" t="s">
        <v>139</v>
      </c>
      <c r="D47" s="141"/>
      <c r="E47" s="238"/>
      <c r="F47" s="238"/>
      <c r="G47" s="238"/>
      <c r="H47" s="238"/>
      <c r="I47" s="238"/>
    </row>
    <row r="48" spans="1:9">
      <c r="A48" s="130"/>
      <c r="B48" s="85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5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62" t="s">
        <v>5</v>
      </c>
      <c r="C50" s="160" t="s">
        <v>149</v>
      </c>
      <c r="D50" s="141"/>
      <c r="E50" s="236"/>
      <c r="F50" s="236"/>
      <c r="G50" s="236"/>
      <c r="H50" s="236"/>
      <c r="I50" s="236"/>
    </row>
    <row r="51" spans="1:53">
      <c r="A51" s="86"/>
      <c r="B51" s="852"/>
      <c r="C51" s="102" t="s">
        <v>91</v>
      </c>
      <c r="D51" s="158"/>
      <c r="E51" s="159"/>
      <c r="F51" s="159"/>
      <c r="G51" s="159"/>
      <c r="H51" s="159"/>
      <c r="I51" s="159"/>
    </row>
    <row r="52" spans="1:53">
      <c r="A52" s="86"/>
      <c r="B52" s="852"/>
      <c r="C52" s="103" t="s">
        <v>20</v>
      </c>
      <c r="D52" s="143"/>
      <c r="E52" s="150"/>
      <c r="F52" s="150"/>
      <c r="G52" s="150"/>
      <c r="H52" s="150"/>
      <c r="I52" s="150"/>
    </row>
    <row r="53" spans="1:53">
      <c r="A53" s="86"/>
      <c r="B53" s="85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54" t="s">
        <v>4</v>
      </c>
      <c r="C54" s="135" t="s">
        <v>82</v>
      </c>
      <c r="D54" s="141"/>
      <c r="E54" s="239"/>
      <c r="F54" s="239"/>
      <c r="G54" s="239"/>
      <c r="H54" s="239"/>
      <c r="I54" s="239"/>
    </row>
    <row r="55" spans="1:53">
      <c r="A55" s="86"/>
      <c r="B55" s="855"/>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55"/>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55"/>
      <c r="C57" s="162" t="s">
        <v>138</v>
      </c>
      <c r="D57" s="144"/>
      <c r="E57" s="420">
        <f>IF(E21="","",IFERROR(E$59*20%,""))</f>
        <v>0</v>
      </c>
      <c r="F57" s="420">
        <f>IF(F21="","",IFERROR(F$59*20%,""))</f>
        <v>0</v>
      </c>
      <c r="G57" s="420">
        <f>IF(G21="","",IFERROR(G$59*20%,""))</f>
        <v>0</v>
      </c>
      <c r="H57" s="420">
        <f>IF(H21="","",IFERROR(H$59*20%,""))</f>
        <v>0</v>
      </c>
      <c r="I57" s="383" t="str">
        <f>IF(I21="","",IFERROR(ROUND(I$59*20%,2),""))</f>
        <v/>
      </c>
    </row>
    <row r="58" spans="1:53">
      <c r="A58" s="86"/>
      <c r="B58" s="856"/>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59" t="s">
        <v>5</v>
      </c>
      <c r="C78" s="655" t="str">
        <f>CONCATENATE("GILL/RAT (RAT ",D79," x FAP ",D80,")")</f>
        <v>GILL/RAT (RAT 0,03 x FAP 1)</v>
      </c>
      <c r="D78" s="656"/>
      <c r="E78" s="238"/>
      <c r="F78" s="421"/>
      <c r="G78" s="421"/>
      <c r="H78" s="238"/>
      <c r="I78" s="138"/>
    </row>
    <row r="79" spans="1:53">
      <c r="A79" s="74"/>
      <c r="B79" s="860"/>
      <c r="C79" s="657" t="s">
        <v>47</v>
      </c>
      <c r="D79" s="167">
        <f>VLOOKUP(C79,'Apoio - Notas Explicativas'!$C:$Q,14,FALSE)</f>
        <v>0.03</v>
      </c>
      <c r="E79" s="422"/>
      <c r="F79" s="422"/>
      <c r="G79" s="422"/>
      <c r="H79" s="454"/>
      <c r="I79" s="167"/>
    </row>
    <row r="80" spans="1:53">
      <c r="A80" s="74"/>
      <c r="B80" s="863"/>
      <c r="C80" s="658" t="s">
        <v>42</v>
      </c>
      <c r="D80" s="300">
        <f>VLOOKUP(C80,'Apoio - Notas Explicativas'!$C:$Q,14,FALSE)</f>
        <v>1</v>
      </c>
      <c r="E80" s="423"/>
      <c r="F80" s="423"/>
      <c r="G80" s="423"/>
      <c r="H80" s="423"/>
      <c r="I80" s="168"/>
    </row>
    <row r="81" spans="1:53">
      <c r="A81" s="74"/>
      <c r="B81" s="861"/>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59"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60"/>
      <c r="C87" s="164" t="s">
        <v>87</v>
      </c>
      <c r="D87" s="212"/>
      <c r="E87" s="416">
        <v>5.3</v>
      </c>
      <c r="F87" s="416">
        <v>5.3</v>
      </c>
      <c r="G87" s="416">
        <v>5.3</v>
      </c>
      <c r="H87" s="416">
        <v>5.3</v>
      </c>
      <c r="I87" s="196" t="str">
        <f>IF(I18="","",4.8)</f>
        <v/>
      </c>
    </row>
    <row r="88" spans="1:53">
      <c r="A88" s="74"/>
      <c r="B88" s="860"/>
      <c r="C88" s="103" t="s">
        <v>108</v>
      </c>
      <c r="D88" s="213"/>
      <c r="E88" s="198">
        <f>IF(E18="","",2)</f>
        <v>2</v>
      </c>
      <c r="F88" s="198">
        <f>IF(F18="","",2)</f>
        <v>2</v>
      </c>
      <c r="G88" s="198">
        <f>IF(G18="","",2)</f>
        <v>2</v>
      </c>
      <c r="H88" s="198">
        <f>IF(H18="","",2)</f>
        <v>2</v>
      </c>
      <c r="I88" s="198" t="str">
        <f>IF(I18="","",2)</f>
        <v/>
      </c>
    </row>
    <row r="89" spans="1:53">
      <c r="A89" s="74"/>
      <c r="B89" s="860"/>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60"/>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61"/>
      <c r="C91" s="219"/>
      <c r="D91" s="215" t="s">
        <v>41</v>
      </c>
      <c r="E91" s="147">
        <f>IFERROR(MAX((E87*E88*E89)-(E$90*E$32),0),"")</f>
        <v>127.2484</v>
      </c>
      <c r="F91" s="147">
        <f t="shared" ref="F91:H91" si="12">IFERROR(MAX((F87*F88*F89)-(F$90*F$32),0),"")</f>
        <v>127.2484</v>
      </c>
      <c r="G91" s="147">
        <f t="shared" si="12"/>
        <v>98.571399999999983</v>
      </c>
      <c r="H91" s="147">
        <f t="shared" si="12"/>
        <v>98.571399999999983</v>
      </c>
      <c r="I91" s="147" t="str">
        <f>IFERROR(ROUND((I87*I88*I89)-(I$90*I$32),2),"")</f>
        <v/>
      </c>
    </row>
    <row r="92" spans="1:53">
      <c r="A92" s="74"/>
      <c r="B92" s="859" t="s">
        <v>1</v>
      </c>
      <c r="C92" s="193" t="s">
        <v>23</v>
      </c>
      <c r="D92" s="216"/>
      <c r="E92" s="241"/>
      <c r="F92" s="241"/>
      <c r="G92" s="241"/>
      <c r="H92" s="241"/>
      <c r="I92" s="241"/>
    </row>
    <row r="93" spans="1:53">
      <c r="A93" s="74"/>
      <c r="B93" s="860"/>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60"/>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60"/>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61"/>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59" t="s">
        <v>0</v>
      </c>
      <c r="C97" s="160" t="s">
        <v>25</v>
      </c>
      <c r="D97" s="216"/>
      <c r="E97" s="242"/>
      <c r="F97" s="242"/>
      <c r="G97" s="242"/>
      <c r="H97" s="242"/>
      <c r="I97" s="242"/>
    </row>
    <row r="98" spans="1:54">
      <c r="A98" s="74"/>
      <c r="B98" s="860"/>
      <c r="C98" s="195" t="s">
        <v>26</v>
      </c>
      <c r="D98" s="217"/>
      <c r="E98" s="206"/>
      <c r="F98" s="206"/>
      <c r="G98" s="206"/>
      <c r="H98" s="206"/>
      <c r="I98" s="206"/>
    </row>
    <row r="99" spans="1:54">
      <c r="A99" s="74"/>
      <c r="B99" s="860"/>
      <c r="C99" s="197" t="s">
        <v>273</v>
      </c>
      <c r="D99" s="214"/>
      <c r="E99" s="95"/>
      <c r="F99" s="95"/>
      <c r="G99" s="95"/>
      <c r="H99" s="95"/>
      <c r="I99" s="95"/>
    </row>
    <row r="100" spans="1:54">
      <c r="A100" s="74"/>
      <c r="B100" s="861"/>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859" t="s">
        <v>6</v>
      </c>
      <c r="C103" s="193" t="s">
        <v>29</v>
      </c>
      <c r="D103" s="186"/>
      <c r="E103" s="241"/>
      <c r="F103" s="241"/>
      <c r="G103" s="241"/>
      <c r="H103" s="241"/>
      <c r="I103" s="241"/>
    </row>
    <row r="104" spans="1:54">
      <c r="A104" s="74"/>
      <c r="B104" s="860"/>
      <c r="C104" s="201" t="s">
        <v>26</v>
      </c>
      <c r="D104" s="218"/>
      <c r="E104" s="202"/>
      <c r="F104" s="202"/>
      <c r="G104" s="202"/>
      <c r="H104" s="202"/>
      <c r="I104" s="202"/>
    </row>
    <row r="105" spans="1:54">
      <c r="A105" s="74"/>
      <c r="B105" s="860"/>
      <c r="C105" s="203" t="s">
        <v>109</v>
      </c>
      <c r="D105" s="210"/>
      <c r="E105" s="205"/>
      <c r="F105" s="205"/>
      <c r="G105" s="205"/>
      <c r="H105" s="205"/>
      <c r="I105" s="205"/>
    </row>
    <row r="106" spans="1:54">
      <c r="A106" s="74"/>
      <c r="B106" s="861"/>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859" t="s">
        <v>4</v>
      </c>
      <c r="C108" s="695" t="s">
        <v>114</v>
      </c>
      <c r="D108" s="186"/>
      <c r="E108" s="238"/>
      <c r="F108" s="238"/>
      <c r="G108" s="238"/>
      <c r="H108" s="238"/>
      <c r="I108" s="238"/>
    </row>
    <row r="109" spans="1:54">
      <c r="A109" s="74"/>
      <c r="B109" s="860"/>
      <c r="C109" s="649" t="s">
        <v>272</v>
      </c>
      <c r="D109" s="650"/>
      <c r="E109" s="418">
        <f>IF(E23="SINDIVIGILANTES",80,
   IF(E23="SINDASSEIO",
      IF(OR(IFERROR(VALUE(LEFT(E26,FIND("h",E26)-1)),0)&gt;30,
            ISNUMBER(FIND("12x36",E26))),
         80,
         40),      ""))</f>
        <v>80</v>
      </c>
      <c r="F109" s="418">
        <f t="shared" ref="F109:I109" si="14">IF(F23="SINDIVIGILANTES",80,
   IF(F23="SINDASSEIO",
      IF(OR(IFERROR(VALUE(LEFT(F26,FIND("h",F26)-1)),0)&gt;30,
            ISNUMBER(FIND("12x36",F26))),
         80,
         40),      ""))</f>
        <v>80</v>
      </c>
      <c r="G109" s="418">
        <f t="shared" si="14"/>
        <v>80</v>
      </c>
      <c r="H109" s="418">
        <f t="shared" si="14"/>
        <v>80</v>
      </c>
      <c r="I109" s="418" t="str">
        <f t="shared" si="14"/>
        <v/>
      </c>
    </row>
    <row r="110" spans="1:54">
      <c r="A110" s="74"/>
      <c r="B110" s="863"/>
      <c r="C110" s="792" t="s">
        <v>273</v>
      </c>
      <c r="D110" s="652"/>
      <c r="E110" s="642"/>
      <c r="F110" s="642"/>
      <c r="G110" s="642"/>
      <c r="H110" s="642"/>
      <c r="I110" s="205"/>
    </row>
    <row r="111" spans="1:54">
      <c r="A111" s="74"/>
      <c r="B111" s="860"/>
      <c r="C111" s="792" t="s">
        <v>272</v>
      </c>
      <c r="D111" s="793"/>
      <c r="E111" s="794"/>
      <c r="F111" s="794"/>
      <c r="G111" s="794"/>
      <c r="H111" s="794"/>
      <c r="I111" s="794"/>
    </row>
    <row r="112" spans="1:54">
      <c r="A112" s="74"/>
      <c r="B112" s="860"/>
      <c r="C112" s="651" t="s">
        <v>273</v>
      </c>
      <c r="D112" s="652"/>
      <c r="E112" s="642"/>
      <c r="F112" s="642"/>
      <c r="G112" s="642"/>
      <c r="H112" s="642"/>
      <c r="I112" s="642"/>
    </row>
    <row r="113" spans="1:53">
      <c r="A113" s="74"/>
      <c r="B113" s="861"/>
      <c r="C113" s="97"/>
      <c r="D113" s="223" t="s">
        <v>41</v>
      </c>
      <c r="E113" s="209">
        <f>IF(E18="","",E111*(1-E112))</f>
        <v>0</v>
      </c>
      <c r="F113" s="209">
        <f>IF(F18="","",F111*(1-F112))</f>
        <v>0</v>
      </c>
      <c r="G113" s="209">
        <f>IF(G18="","",G111*(1-G112))</f>
        <v>0</v>
      </c>
      <c r="H113" s="209">
        <f>IF(H18="","",H111*(1-H112))</f>
        <v>0</v>
      </c>
      <c r="I113" s="209" t="str">
        <f>IF(I18="","",I111*(1-I112))</f>
        <v/>
      </c>
    </row>
    <row r="114" spans="1:53" s="5" customFormat="1">
      <c r="A114" s="76"/>
      <c r="B114" s="189"/>
      <c r="C114" s="190" t="s">
        <v>117</v>
      </c>
      <c r="D114" s="191"/>
      <c r="E114" s="192">
        <f>IF(E21="","",SUM(E91,E96,E100,E101,E102,E106,E107,E113))</f>
        <v>636.58140000000003</v>
      </c>
      <c r="F114" s="192">
        <f>IF(F21="","",SUM(F91,F96,F100,F101,F102,F106,F107,F113))</f>
        <v>636.58140000000003</v>
      </c>
      <c r="G114" s="192">
        <f>IF(G21="","",SUM(G91,G96,G100,G101,G102,G106,G107,G113))</f>
        <v>607.9043999999999</v>
      </c>
      <c r="H114" s="192">
        <f>IF(H21="","",SUM(H91,H96,H100,H101,H102,H106,H107,H113))</f>
        <v>607.9043999999999</v>
      </c>
      <c r="I114" s="192" t="str">
        <f>IF(I21="","",SUM(I91,I96,I100,I101,I102,I106,I107,I113))</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3"/>
      <c r="B116" s="157"/>
      <c r="C116" s="90" t="s">
        <v>115</v>
      </c>
      <c r="D116" s="153"/>
      <c r="E116" s="154">
        <f>IF(E21="","",IFERROR(SUM(E114,E83,E69),""))</f>
        <v>2203.958736</v>
      </c>
      <c r="F116" s="155">
        <f>IF(F21="","",IFERROR(SUM(F114,F83,F69),""))</f>
        <v>2203.958736</v>
      </c>
      <c r="G116" s="452">
        <f>IF(G21="","",IFERROR(SUM(G114,G83,G69),""))</f>
        <v>2457.2526019999996</v>
      </c>
      <c r="H116" s="155">
        <f>IF(H21="","",IFERROR(SUM(H114,H83,H69),""))</f>
        <v>2741.7677100000001</v>
      </c>
      <c r="I116" s="156" t="str">
        <f>IF(I21="","",IFERROR(SUM(I114,I83,I69),""))</f>
        <v/>
      </c>
      <c r="J116" s="293"/>
      <c r="K116" s="293"/>
      <c r="L116" s="293"/>
      <c r="M116" s="293"/>
      <c r="N116" s="293"/>
      <c r="O116" s="293"/>
      <c r="P116" s="293"/>
      <c r="Q116" s="293"/>
      <c r="R116" s="293"/>
      <c r="S116" s="293"/>
      <c r="T116" s="293"/>
      <c r="U116" s="293"/>
      <c r="V116" s="293"/>
      <c r="W116" s="293"/>
      <c r="X116" s="293"/>
      <c r="Y116" s="293"/>
      <c r="Z116" s="293"/>
      <c r="AA116" s="293"/>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row>
    <row r="117" spans="1:53" s="6" customFormat="1">
      <c r="B117" s="7"/>
      <c r="C117" s="7"/>
      <c r="D117" s="7"/>
      <c r="E117" s="8"/>
      <c r="F117" s="8"/>
      <c r="G117" s="8"/>
      <c r="H117" s="8"/>
      <c r="I117" s="8"/>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row>
    <row r="118" spans="1:53" s="6" customFormat="1">
      <c r="A118" s="74"/>
      <c r="B118" s="89"/>
      <c r="C118" s="90" t="s">
        <v>127</v>
      </c>
      <c r="D118" s="91"/>
      <c r="E118" s="369"/>
      <c r="F118" s="451"/>
      <c r="G118" s="369"/>
      <c r="H118" s="369"/>
      <c r="I118" s="369"/>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row>
    <row r="119" spans="1:53" s="13" customFormat="1">
      <c r="A119" s="77"/>
      <c r="B119" s="87" t="s">
        <v>2</v>
      </c>
      <c r="C119" s="88" t="s">
        <v>221</v>
      </c>
      <c r="D119" s="406">
        <f>INDEX('Apoio - Notas Explicativas'!Q:Q,MATCH(C119,'Apoio - Notas Explicativas'!C:C,0))</f>
        <v>4.1999999999999997E-3</v>
      </c>
      <c r="E119" s="99">
        <f t="shared" ref="E119:E124" si="15">IFERROR($D119*E$61,"")</f>
        <v>10.383256799999998</v>
      </c>
      <c r="F119" s="99">
        <f t="shared" ref="F119:H124" si="16">IFERROR($D119*F$61,"")</f>
        <v>10.3832568</v>
      </c>
      <c r="G119" s="99">
        <f t="shared" si="16"/>
        <v>12.251202599999999</v>
      </c>
      <c r="H119" s="99">
        <f t="shared" si="16"/>
        <v>14.136003000000001</v>
      </c>
      <c r="I119" s="137"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1</v>
      </c>
      <c r="C120" s="88" t="s">
        <v>31</v>
      </c>
      <c r="D120" s="406">
        <f>INDEX('Apoio - Notas Explicativas'!Q:Q,MATCH(C120,'Apoio - Notas Explicativas'!C:C,0))</f>
        <v>2.9999999999999997E-4</v>
      </c>
      <c r="E120" s="99">
        <f t="shared" si="15"/>
        <v>0.7416611999999998</v>
      </c>
      <c r="F120" s="99">
        <f t="shared" si="16"/>
        <v>0.74166120000000002</v>
      </c>
      <c r="G120" s="99">
        <f t="shared" si="16"/>
        <v>0.87508589999999986</v>
      </c>
      <c r="H120" s="99">
        <f t="shared" si="16"/>
        <v>1.0097144999999998</v>
      </c>
      <c r="I120" s="137"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0</v>
      </c>
      <c r="C121" s="88" t="s">
        <v>551</v>
      </c>
      <c r="D121" s="406">
        <f>INDEX('Apoio - Notas Explicativas'!Q:Q,MATCH(C121,'Apoio - Notas Explicativas'!C:C,0))</f>
        <v>1E-4</v>
      </c>
      <c r="E121" s="99">
        <f t="shared" si="15"/>
        <v>0.24722039999999998</v>
      </c>
      <c r="F121" s="99">
        <f t="shared" si="16"/>
        <v>0.24722040000000003</v>
      </c>
      <c r="G121" s="99">
        <f t="shared" si="16"/>
        <v>0.29169529999999999</v>
      </c>
      <c r="H121" s="99">
        <f t="shared" si="16"/>
        <v>0.33657150000000002</v>
      </c>
      <c r="I121" s="137"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3</v>
      </c>
      <c r="C122" s="88" t="s">
        <v>32</v>
      </c>
      <c r="D122" s="406">
        <f>INDEX('Apoio - Notas Explicativas'!Q:Q,MATCH(C122,'Apoio - Notas Explicativas'!C:C,0))</f>
        <v>1.9199999999999998E-2</v>
      </c>
      <c r="E122" s="99">
        <f t="shared" si="15"/>
        <v>47.466316799999987</v>
      </c>
      <c r="F122" s="99">
        <f t="shared" si="16"/>
        <v>47.466316800000001</v>
      </c>
      <c r="G122" s="99">
        <f t="shared" si="16"/>
        <v>56.005497599999991</v>
      </c>
      <c r="H122" s="99">
        <f t="shared" si="16"/>
        <v>64.62172799999999</v>
      </c>
      <c r="I122" s="137"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7"/>
      <c r="B123" s="87" t="s">
        <v>7</v>
      </c>
      <c r="C123" s="88" t="s">
        <v>33</v>
      </c>
      <c r="D123" s="406">
        <f>INDEX('Apoio - Notas Explicativas'!Q:Q,MATCH(C123,'Apoio - Notas Explicativas'!C:C,0))</f>
        <v>7.1000000000000004E-3</v>
      </c>
      <c r="E123" s="99">
        <f t="shared" si="15"/>
        <v>17.552648399999999</v>
      </c>
      <c r="F123" s="99">
        <f t="shared" si="16"/>
        <v>17.552648400000002</v>
      </c>
      <c r="G123" s="99">
        <f t="shared" si="16"/>
        <v>20.7103663</v>
      </c>
      <c r="H123" s="99">
        <f t="shared" si="16"/>
        <v>23.896576500000002</v>
      </c>
      <c r="I123" s="137"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7"/>
      <c r="B124" s="87" t="s">
        <v>6</v>
      </c>
      <c r="C124" s="88" t="s">
        <v>34</v>
      </c>
      <c r="D124" s="406">
        <f>INDEX('Apoio - Notas Explicativas'!Q:Q,MATCH(C124,'Apoio - Notas Explicativas'!C:C,0))</f>
        <v>0.04</v>
      </c>
      <c r="E124" s="99">
        <f t="shared" si="15"/>
        <v>98.888159999999985</v>
      </c>
      <c r="F124" s="99">
        <f t="shared" si="16"/>
        <v>98.888160000000013</v>
      </c>
      <c r="G124" s="99">
        <f t="shared" si="16"/>
        <v>116.67812000000001</v>
      </c>
      <c r="H124" s="99">
        <f t="shared" si="16"/>
        <v>134.62860000000001</v>
      </c>
      <c r="I124" s="137"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3"/>
      <c r="B125" s="157"/>
      <c r="C125" s="90" t="s">
        <v>116</v>
      </c>
      <c r="D125" s="153"/>
      <c r="E125" s="155">
        <f>IF(SUM(E119:E124)=0,"",SUM(E119:E124))</f>
        <v>175.27926359999998</v>
      </c>
      <c r="F125" s="155">
        <f t="shared" ref="F125:H125" si="18">IF(SUM(F119:F124)=0,"",SUM(F119:F124))</f>
        <v>175.27926360000004</v>
      </c>
      <c r="G125" s="155">
        <f t="shared" si="18"/>
        <v>206.8119677</v>
      </c>
      <c r="H125" s="155">
        <f t="shared" si="18"/>
        <v>238.62919349999999</v>
      </c>
      <c r="I125" s="156" t="str">
        <f>IF(SUM(I119:I124)=0,"",SUM(I119:I124))</f>
        <v/>
      </c>
      <c r="J125" s="293"/>
      <c r="K125" s="293"/>
      <c r="L125" s="293"/>
      <c r="M125" s="293"/>
      <c r="N125" s="293"/>
      <c r="O125" s="293"/>
      <c r="P125" s="293"/>
      <c r="Q125" s="293"/>
      <c r="R125" s="293"/>
      <c r="S125" s="293"/>
      <c r="T125" s="293"/>
      <c r="U125" s="293"/>
      <c r="V125" s="293"/>
      <c r="W125" s="293"/>
      <c r="X125" s="293"/>
      <c r="Y125" s="293"/>
      <c r="Z125" s="293"/>
      <c r="AA125" s="293"/>
      <c r="AB125" s="293"/>
      <c r="AC125" s="293"/>
      <c r="AD125" s="293"/>
      <c r="AE125" s="293"/>
      <c r="AF125" s="293"/>
      <c r="AG125" s="293"/>
      <c r="AH125" s="293"/>
      <c r="AI125" s="293"/>
      <c r="AJ125" s="293"/>
      <c r="AK125" s="293"/>
      <c r="AL125" s="293"/>
      <c r="AM125" s="293"/>
      <c r="AN125" s="293"/>
      <c r="AO125" s="293"/>
      <c r="AP125" s="293"/>
      <c r="AQ125" s="293"/>
      <c r="AR125" s="293"/>
      <c r="AS125" s="293"/>
      <c r="AT125" s="293"/>
      <c r="AU125" s="293"/>
      <c r="AV125" s="293"/>
      <c r="AW125" s="293"/>
      <c r="AX125" s="293"/>
      <c r="AY125" s="293"/>
      <c r="AZ125" s="293"/>
      <c r="BA125" s="293"/>
    </row>
    <row r="126" spans="1:53" s="18" customFormat="1">
      <c r="A126" s="17"/>
      <c r="D126" s="14"/>
      <c r="E126" s="19"/>
      <c r="F126" s="19"/>
      <c r="G126" s="19"/>
      <c r="H126" s="19"/>
      <c r="I126" s="19"/>
      <c r="J126" s="296"/>
      <c r="K126" s="296"/>
      <c r="L126" s="296"/>
      <c r="M126" s="296"/>
      <c r="N126" s="296"/>
      <c r="O126" s="296"/>
      <c r="P126" s="296"/>
      <c r="Q126" s="296"/>
      <c r="R126" s="296"/>
      <c r="S126" s="296"/>
      <c r="T126" s="296"/>
      <c r="U126" s="296"/>
      <c r="V126" s="296"/>
      <c r="W126" s="296"/>
      <c r="X126" s="296"/>
      <c r="Y126" s="296"/>
      <c r="Z126" s="296"/>
      <c r="AA126" s="296"/>
      <c r="AB126" s="296"/>
      <c r="AC126" s="296"/>
      <c r="AD126" s="296"/>
      <c r="AE126" s="296"/>
      <c r="AF126" s="296"/>
      <c r="AG126" s="296"/>
      <c r="AH126" s="296"/>
      <c r="AI126" s="296"/>
      <c r="AJ126" s="296"/>
      <c r="AK126" s="296"/>
      <c r="AL126" s="296"/>
      <c r="AM126" s="296"/>
      <c r="AN126" s="296"/>
      <c r="AO126" s="296"/>
      <c r="AP126" s="296"/>
      <c r="AQ126" s="296"/>
      <c r="AR126" s="296"/>
      <c r="AS126" s="296"/>
      <c r="AT126" s="296"/>
      <c r="AU126" s="296"/>
      <c r="AV126" s="296"/>
      <c r="AW126" s="296"/>
      <c r="AX126" s="296"/>
      <c r="AY126" s="296"/>
      <c r="AZ126" s="296"/>
      <c r="BA126" s="296"/>
    </row>
    <row r="127" spans="1:53" s="6" customFormat="1">
      <c r="A127" s="74"/>
      <c r="B127" s="89"/>
      <c r="C127" s="90" t="s">
        <v>128</v>
      </c>
      <c r="D127" s="91"/>
      <c r="E127" s="369"/>
      <c r="F127" s="369"/>
      <c r="G127" s="369"/>
      <c r="H127" s="369"/>
      <c r="I127" s="369"/>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5"/>
      <c r="B129" s="171"/>
      <c r="C129" s="172" t="s">
        <v>179</v>
      </c>
      <c r="D129" s="173"/>
      <c r="E129" s="176"/>
      <c r="F129" s="174"/>
      <c r="G129" s="174"/>
      <c r="H129" s="174"/>
      <c r="I129" s="174"/>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5"/>
      <c r="AF129" s="295"/>
      <c r="AG129" s="295"/>
      <c r="AH129" s="295"/>
      <c r="AI129" s="295"/>
      <c r="AJ129" s="295"/>
      <c r="AK129" s="295"/>
      <c r="AL129" s="295"/>
      <c r="AM129" s="295"/>
      <c r="AN129" s="295"/>
      <c r="AO129" s="295"/>
      <c r="AP129" s="295"/>
      <c r="AQ129" s="295"/>
      <c r="AR129" s="295"/>
      <c r="AS129" s="295"/>
      <c r="AT129" s="295"/>
      <c r="AU129" s="295"/>
      <c r="AV129" s="295"/>
      <c r="AW129" s="295"/>
      <c r="AX129" s="295"/>
      <c r="AY129" s="295"/>
      <c r="AZ129" s="295"/>
      <c r="BA129" s="295"/>
    </row>
    <row r="130" spans="1:53" s="13" customFormat="1">
      <c r="A130" s="78"/>
      <c r="B130" s="87" t="s">
        <v>2</v>
      </c>
      <c r="C130" s="88" t="s">
        <v>35</v>
      </c>
      <c r="D130" s="406">
        <f>INDEX('Apoio - Notas Explicativas'!$Q:$Q,MATCH(C130,'Apoio - Notas Explicativas'!$C:$C,0))</f>
        <v>1.6199999999999999E-2</v>
      </c>
      <c r="E130" s="99">
        <f>IF(E21="","",IFERROR($D130*SUM(E$61),""))</f>
        <v>40.049704799999994</v>
      </c>
      <c r="F130" s="137">
        <f>IF(F21="","",IFERROR($D130*SUM(F$61),""))</f>
        <v>40.049704800000001</v>
      </c>
      <c r="G130" s="137">
        <f>IF(G21="","",IFERROR($D130*SUM(G$61),""))</f>
        <v>47.2546386</v>
      </c>
      <c r="H130" s="137">
        <f>IF(H21="","",IFERROR($D130*SUM(H$61),""))</f>
        <v>54.524583</v>
      </c>
      <c r="I130" s="137"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1</v>
      </c>
      <c r="C131" s="88" t="s">
        <v>187</v>
      </c>
      <c r="D131" s="406">
        <f>INDEX('Apoio - Notas Explicativas'!$Q:$Q,MATCH(C131,'Apoio - Notas Explicativas'!$C:$C,0))</f>
        <v>1.37E-2</v>
      </c>
      <c r="E131" s="99">
        <f>IFERROR($D131*(E61+E66+E67),"")</f>
        <v>40.453366269119996</v>
      </c>
      <c r="F131" s="137">
        <f t="shared" ref="F131:H131" si="19">IFERROR($D131*(F61+F66+F67),"")</f>
        <v>40.453366269120004</v>
      </c>
      <c r="G131" s="137">
        <f t="shared" si="19"/>
        <v>47.730918685840003</v>
      </c>
      <c r="H131" s="137">
        <f t="shared" si="19"/>
        <v>55.074136945200003</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0</v>
      </c>
      <c r="C132" s="88" t="s">
        <v>36</v>
      </c>
      <c r="D132" s="406">
        <f>INDEX('Apoio - Notas Explicativas'!$Q:$Q,MATCH(C132,'Apoio - Notas Explicativas'!$C:$C,0))</f>
        <v>2.0000000000000001E-4</v>
      </c>
      <c r="E132" s="99">
        <f>IFERROR($D132*(E61+E66+E67),"")</f>
        <v>0.59056009152</v>
      </c>
      <c r="F132" s="137">
        <f t="shared" ref="F132:H132" si="20">IFERROR($D132*(F61+F66+F67),"")</f>
        <v>0.59056009152000011</v>
      </c>
      <c r="G132" s="137">
        <f t="shared" si="20"/>
        <v>0.69680173264000012</v>
      </c>
      <c r="H132" s="137">
        <f t="shared" si="20"/>
        <v>0.80400199920000004</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3</v>
      </c>
      <c r="C133" s="88" t="s">
        <v>37</v>
      </c>
      <c r="D133" s="406">
        <f>INDEX('Apoio - Notas Explicativas'!$Q:$Q,MATCH(C133,'Apoio - Notas Explicativas'!$C:$C,0))</f>
        <v>8.0999999999999996E-3</v>
      </c>
      <c r="E133" s="99">
        <f>IFERROR($D133*(E61+E66+E67),"")</f>
        <v>23.917683706559998</v>
      </c>
      <c r="F133" s="137">
        <f t="shared" ref="F133:H133" si="21">IFERROR($D133*(F61+F66+F67),"")</f>
        <v>23.917683706560002</v>
      </c>
      <c r="G133" s="137">
        <f t="shared" si="21"/>
        <v>28.220470171919999</v>
      </c>
      <c r="H133" s="137">
        <f t="shared" si="21"/>
        <v>32.562080967600004</v>
      </c>
      <c r="I133" s="137"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7</v>
      </c>
      <c r="C134" s="88" t="s">
        <v>188</v>
      </c>
      <c r="D134" s="406">
        <f>INDEX('Apoio - Notas Explicativas'!$Q:$Q,MATCH(C134,'Apoio - Notas Explicativas'!$C:$C,0))</f>
        <v>2.9999999999999997E-4</v>
      </c>
      <c r="E134" s="99">
        <f>IFERROR($D134*(E61+E66+E67),"")</f>
        <v>0.88584013727999988</v>
      </c>
      <c r="F134" s="137">
        <f t="shared" ref="F134:H134" si="22">IFERROR($D134*(F61+F66+F67),"")</f>
        <v>0.88584013728</v>
      </c>
      <c r="G134" s="137">
        <f t="shared" si="22"/>
        <v>1.04520259896</v>
      </c>
      <c r="H134" s="137">
        <f t="shared" si="22"/>
        <v>1.2060029988000001</v>
      </c>
      <c r="I134" s="137"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6</v>
      </c>
      <c r="C135" s="88" t="s">
        <v>38</v>
      </c>
      <c r="D135" s="406">
        <f>INDEX('Apoio - Notas Explicativas'!$Q:$Q,MATCH(C135,'Apoio - Notas Explicativas'!$C:$C,0))</f>
        <v>6.9999999999999999E-4</v>
      </c>
      <c r="E135" s="99">
        <f>IFERROR((E$61+E67)*$D$135,"")</f>
        <v>1.9228061050799998</v>
      </c>
      <c r="F135" s="137">
        <f t="shared" ref="F135:H135" si="23">IFERROR((F$61+F67)*$D$135,"")</f>
        <v>1.92280610508</v>
      </c>
      <c r="G135" s="137">
        <f t="shared" si="23"/>
        <v>2.2687185348100001</v>
      </c>
      <c r="H135" s="137">
        <f t="shared" si="23"/>
        <v>2.6177521555499998</v>
      </c>
      <c r="I135" s="137"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5</v>
      </c>
      <c r="C136" s="88" t="s">
        <v>92</v>
      </c>
      <c r="D136" s="406">
        <f>SUM(D130:D135)*SUM(D81:D82,D72:D77)</f>
        <v>1.4425600000000002E-2</v>
      </c>
      <c r="E136" s="99">
        <f>IF(E18="","",SUM(E130:E135)*SUM($D$72:$D$77,$D$81:$D$82))</f>
        <v>39.677745688318083</v>
      </c>
      <c r="F136" s="137">
        <f>IF(F18="","",SUM(F130:F135)*SUM($D$72:$D$77,$D$81:$D$82))</f>
        <v>39.677745688318097</v>
      </c>
      <c r="G136" s="137">
        <f>IF(G18="","",SUM(G130:G135)*SUM($D$72:$D$77,$D$81:$D$82))</f>
        <v>46.815764119294577</v>
      </c>
      <c r="H136" s="137">
        <f>IF(H18="","",SUM(H130:H135)*SUM($D$72:$D$77,$D$81:$D$82))</f>
        <v>54.018189368416813</v>
      </c>
      <c r="I136" s="137"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8"/>
      <c r="B137" s="87" t="s">
        <v>4</v>
      </c>
      <c r="C137" s="88" t="s">
        <v>89</v>
      </c>
      <c r="D137" s="413">
        <f>INDEX('Apoio - Notas Explicativas'!$Q:$Q,MATCH(C137,'Apoio - Notas Explicativas'!$C:$C,0))</f>
        <v>37.96</v>
      </c>
      <c r="E137" s="99">
        <f>IFERROR(((E114-SUM(E91,E96))/(30*12))*$D$137,"")</f>
        <v>2.6909422222222203</v>
      </c>
      <c r="F137" s="137">
        <f t="shared" ref="F137:H137" si="24">IFERROR(((F114-SUM(F91,F96))/(30*12))*$D$137,"")</f>
        <v>2.6909422222222203</v>
      </c>
      <c r="G137" s="137">
        <f t="shared" si="24"/>
        <v>2.6909422222222203</v>
      </c>
      <c r="H137" s="137">
        <f t="shared" si="24"/>
        <v>2.6909422222222203</v>
      </c>
      <c r="I137" s="137"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8"/>
      <c r="B138" s="87" t="s">
        <v>113</v>
      </c>
      <c r="C138" s="88" t="s">
        <v>39</v>
      </c>
      <c r="D138" s="413">
        <f>INDEX('Apoio - Notas Explicativas'!$Q:$Q,MATCH(C138,'Apoio - Notas Explicativas'!$C:$C,0))</f>
        <v>37.96</v>
      </c>
      <c r="E138" s="99">
        <f>IFERROR(((((E$125/12)*$D$138))/30),"")</f>
        <v>18.48222457293333</v>
      </c>
      <c r="F138" s="137">
        <f t="shared" ref="F138:H138" si="25">IFERROR(((((F$125/12)*$D$138))/30),"")</f>
        <v>18.482224572933337</v>
      </c>
      <c r="G138" s="137">
        <f t="shared" si="25"/>
        <v>21.807173038588889</v>
      </c>
      <c r="H138" s="137">
        <f t="shared" si="25"/>
        <v>25.162122736833336</v>
      </c>
      <c r="I138" s="137"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6"/>
      <c r="B139" s="171"/>
      <c r="C139" s="172" t="s">
        <v>120</v>
      </c>
      <c r="D139" s="175"/>
      <c r="E139" s="176">
        <f>IF(SUM(E130:E138)=0,"",SUM(E130:E138))</f>
        <v>168.6708735930336</v>
      </c>
      <c r="F139" s="174">
        <f t="shared" ref="F139:H139" si="26">IF(SUM(F130:F138)=0,"",SUM(F130:F138))</f>
        <v>168.67087359303366</v>
      </c>
      <c r="G139" s="176">
        <f t="shared" si="26"/>
        <v>198.5306297042757</v>
      </c>
      <c r="H139" s="174">
        <f t="shared" si="26"/>
        <v>228.65981239382236</v>
      </c>
      <c r="I139" s="174" t="str">
        <f>IF(SUM(I130:I138)=0,"",SUM(I130:I138))</f>
        <v/>
      </c>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c r="AK139" s="293"/>
      <c r="AL139" s="293"/>
      <c r="AM139" s="293"/>
      <c r="AN139" s="293"/>
      <c r="AO139" s="293"/>
      <c r="AP139" s="293"/>
      <c r="AQ139" s="293"/>
      <c r="AR139" s="293"/>
      <c r="AS139" s="293"/>
      <c r="AT139" s="293"/>
      <c r="AU139" s="293"/>
      <c r="AV139" s="293"/>
      <c r="AW139" s="293"/>
      <c r="AX139" s="293"/>
      <c r="AY139" s="293"/>
      <c r="AZ139" s="293"/>
      <c r="BA139" s="293"/>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5"/>
      <c r="B141" s="171"/>
      <c r="C141" s="172" t="s">
        <v>346</v>
      </c>
      <c r="D141" s="173"/>
      <c r="E141" s="176"/>
      <c r="F141" s="176"/>
      <c r="G141" s="176"/>
      <c r="H141" s="176"/>
      <c r="I141" s="176"/>
      <c r="J141" s="295"/>
      <c r="K141" s="295"/>
      <c r="L141" s="295"/>
      <c r="M141" s="295"/>
      <c r="N141" s="295"/>
      <c r="O141" s="295"/>
      <c r="P141" s="295"/>
      <c r="Q141" s="295"/>
      <c r="R141" s="295"/>
      <c r="S141" s="295"/>
      <c r="T141" s="295"/>
      <c r="U141" s="295"/>
      <c r="V141" s="295"/>
      <c r="W141" s="295"/>
      <c r="X141" s="295"/>
      <c r="Y141" s="295"/>
      <c r="Z141" s="295"/>
      <c r="AA141" s="295"/>
      <c r="AB141" s="295"/>
      <c r="AC141" s="295"/>
      <c r="AD141" s="295"/>
      <c r="AE141" s="295"/>
      <c r="AF141" s="295"/>
      <c r="AG141" s="295"/>
      <c r="AH141" s="295"/>
      <c r="AI141" s="295"/>
      <c r="AJ141" s="295"/>
      <c r="AK141" s="295"/>
      <c r="AL141" s="295"/>
      <c r="AM141" s="295"/>
      <c r="AN141" s="295"/>
      <c r="AO141" s="295"/>
      <c r="AP141" s="295"/>
      <c r="AQ141" s="295"/>
      <c r="AR141" s="295"/>
      <c r="AS141" s="295"/>
      <c r="AT141" s="295"/>
      <c r="AU141" s="295"/>
      <c r="AV141" s="295"/>
      <c r="AW141" s="295"/>
      <c r="AX141" s="295"/>
      <c r="AY141" s="295"/>
      <c r="AZ141" s="295"/>
      <c r="BA141" s="295"/>
    </row>
    <row r="142" spans="1:53" s="13" customFormat="1">
      <c r="A142" s="79"/>
      <c r="B142" s="859" t="s">
        <v>2</v>
      </c>
      <c r="C142" s="135" t="s">
        <v>311</v>
      </c>
      <c r="D142" s="186"/>
      <c r="E142" s="148"/>
      <c r="F142" s="148"/>
      <c r="G142" s="148"/>
      <c r="H142" s="148"/>
      <c r="I142" s="138"/>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9"/>
      <c r="B143" s="860"/>
      <c r="C143" s="136" t="s">
        <v>277</v>
      </c>
      <c r="D143" s="179"/>
      <c r="E143" s="180"/>
      <c r="F143" s="180"/>
      <c r="G143" s="180"/>
      <c r="H143" s="180"/>
      <c r="I143" s="181"/>
    </row>
    <row r="144" spans="1:53" s="24" customFormat="1">
      <c r="A144" s="79"/>
      <c r="B144" s="860"/>
      <c r="C144" s="136" t="s">
        <v>692</v>
      </c>
      <c r="D144" s="179"/>
      <c r="E144" s="180" t="str">
        <f>IF(E143="Indenização",60,
IF(E143="Rendição",60,""))</f>
        <v/>
      </c>
      <c r="F144" s="180" t="str">
        <f t="shared" ref="F144:I144" si="27">IF(F143="Indenização",60,
IF(F143="Rendição",60,""))</f>
        <v/>
      </c>
      <c r="G144" s="180" t="str">
        <f t="shared" si="27"/>
        <v/>
      </c>
      <c r="H144" s="180" t="str">
        <f t="shared" si="27"/>
        <v/>
      </c>
      <c r="I144" s="180" t="str">
        <f t="shared" si="27"/>
        <v/>
      </c>
    </row>
    <row r="145" spans="1:53" s="24" customFormat="1">
      <c r="A145" s="79"/>
      <c r="B145" s="861"/>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6"/>
      <c r="B146" s="171"/>
      <c r="C146" s="172" t="s">
        <v>121</v>
      </c>
      <c r="D146" s="175"/>
      <c r="E146" s="174" t="str">
        <f>E145</f>
        <v/>
      </c>
      <c r="F146" s="174" t="str">
        <f t="shared" ref="F146:H146" si="28">F145</f>
        <v/>
      </c>
      <c r="G146" s="174" t="str">
        <f t="shared" si="28"/>
        <v/>
      </c>
      <c r="H146" s="174" t="str">
        <f t="shared" si="28"/>
        <v/>
      </c>
      <c r="I146" s="174" t="str">
        <f>I145</f>
        <v/>
      </c>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3"/>
      <c r="B148" s="157"/>
      <c r="C148" s="90" t="s">
        <v>122</v>
      </c>
      <c r="D148" s="153"/>
      <c r="E148" s="155">
        <f>IF(E146="",E139,SUM(E146,E139))</f>
        <v>168.6708735930336</v>
      </c>
      <c r="F148" s="155">
        <f t="shared" ref="F148:H148" si="29">IF(F146="",F139,SUM(F146,F139))</f>
        <v>168.67087359303366</v>
      </c>
      <c r="G148" s="154">
        <f t="shared" si="29"/>
        <v>198.5306297042757</v>
      </c>
      <c r="H148" s="452">
        <f t="shared" si="29"/>
        <v>228.65981239382236</v>
      </c>
      <c r="I148" s="156" t="str">
        <f>IF(I146="",I139,SUM(I146,I139))</f>
        <v/>
      </c>
      <c r="J148" s="453"/>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c r="AK148" s="293"/>
      <c r="AL148" s="293"/>
      <c r="AM148" s="293"/>
      <c r="AN148" s="293"/>
      <c r="AO148" s="293"/>
      <c r="AP148" s="293"/>
      <c r="AQ148" s="293"/>
      <c r="AR148" s="293"/>
      <c r="AS148" s="293"/>
      <c r="AT148" s="293"/>
      <c r="AU148" s="293"/>
      <c r="AV148" s="293"/>
      <c r="AW148" s="293"/>
      <c r="AX148" s="293"/>
      <c r="AY148" s="293"/>
      <c r="AZ148" s="293"/>
      <c r="BA148" s="293"/>
    </row>
    <row r="149" spans="1:53" s="5" customFormat="1">
      <c r="B149" s="85"/>
      <c r="C149" s="15"/>
      <c r="D149" s="16"/>
      <c r="E149" s="15"/>
      <c r="F149" s="15"/>
      <c r="G149" s="15"/>
      <c r="H149" s="15"/>
      <c r="I149" s="15"/>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row>
    <row r="150" spans="1:53" s="6" customFormat="1">
      <c r="A150" s="74"/>
      <c r="B150" s="89"/>
      <c r="C150" s="90" t="s">
        <v>488</v>
      </c>
      <c r="D150" s="91"/>
      <c r="E150" s="369"/>
      <c r="F150" s="369"/>
      <c r="G150" s="369"/>
      <c r="H150" s="369"/>
      <c r="I150" s="369"/>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6" customFormat="1">
      <c r="A151" s="78"/>
      <c r="B151" s="87" t="s">
        <v>2</v>
      </c>
      <c r="C151" s="312" t="s">
        <v>224</v>
      </c>
      <c r="D151" s="406"/>
      <c r="E151" s="99">
        <f>IF(E18="","",ROUND(IF($D$151&lt;&gt;"",$D$151*SUM(E61,E116,E125,E148),IFERROR('Mat Individual e Uniformes'!J4/Proposta!$J$6,"")),2))</f>
        <v>374.49</v>
      </c>
      <c r="F151" s="99">
        <f>IF(F18="","",ROUND(IF($D$151&lt;&gt;"",$D$151*SUM(F61,F116,F125,F148),IFERROR('Mat Individual e Uniformes'!K4/Proposta!$J$6,"")),2))</f>
        <v>374.49</v>
      </c>
      <c r="G151" s="99">
        <f>IF(G18="","",ROUND(IF($D$151&lt;&gt;"",$D$151*SUM(G61,G116,G125,G148),IFERROR('Mat Individual e Uniformes'!L4/Proposta!$J$6,"")),2))</f>
        <v>374.49</v>
      </c>
      <c r="H151" s="99">
        <f>IF(H18="","",ROUND(IF($D$151&lt;&gt;"",$D$151*SUM(H61,H116,H125,H148),IFERROR('Mat Individual e Uniformes'!M4/Proposta!$J$6,"")),2))</f>
        <v>374.49</v>
      </c>
      <c r="I151" s="99" t="str">
        <f>IF(I18="","",IF($D$151&lt;&gt;"",$D$151*I182,IFERROR('Mat Individual e Uniformes'!N4,"")))</f>
        <v/>
      </c>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row>
    <row r="152" spans="1:53" s="6" customFormat="1">
      <c r="A152" s="78"/>
      <c r="B152" s="87" t="s">
        <v>1</v>
      </c>
      <c r="C152" s="312" t="s">
        <v>225</v>
      </c>
      <c r="D152" s="406">
        <f>12%/88%</f>
        <v>0.13636363636363635</v>
      </c>
      <c r="E152" s="99">
        <f>IFERROR(
        IF(OR(E18="",$D$152="Não"),       "",
        IF($D$152="Sim",                  'Mat Coletivo e Equipamentos'!$I$4/SUM($E$29:$XX$29),
        ROUND(IF($D$152&lt;&gt;"",$D$152*SUM(E61,E116,E125,E148,E151),
0),2))),0)</f>
        <v>735.63</v>
      </c>
      <c r="F152" s="99">
        <f>IFERROR(
        IF(OR(F18="",$D$152="Não"),       "",
        IF($D$152="Sim",                  'Mat Coletivo e Equipamentos'!$I$4/SUM($E$29:$XX$29),
        ROUND(IF($D$152&lt;&gt;"",$D$152*SUM(F61,F116,F125,F148,F151),
0),2))),0)</f>
        <v>735.63</v>
      </c>
      <c r="G152" s="99">
        <f>IFERROR(
        IF(OR(G18="",$D$152="Não"),       "",
        IF($D$152="Sim",                  'Mat Coletivo e Equipamentos'!$I$4/SUM($E$29:$XX$29),
        ROUND(IF($D$152&lt;&gt;"",$D$152*SUM(G61,G116,G125,G148,G151),
0),2))),0)</f>
        <v>839.19</v>
      </c>
      <c r="H152" s="99">
        <f>IFERROR(
        IF(OR(H18="",$D$152="Não"),       "",
        IF($D$152="Sim",                  'Mat Coletivo e Equipamentos'!$I$4/SUM($E$29:$XX$29),
        ROUND(IF($D$152&lt;&gt;"",$D$152*SUM(H61,H116,H125,H148,H151),
0),2))),0)</f>
        <v>947.63</v>
      </c>
      <c r="I152" s="99"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295"/>
      <c r="AF152" s="295"/>
      <c r="AG152" s="295"/>
      <c r="AH152" s="295"/>
      <c r="AI152" s="295"/>
      <c r="AJ152" s="295"/>
      <c r="AK152" s="295"/>
      <c r="AL152" s="295"/>
      <c r="AM152" s="295"/>
      <c r="AN152" s="295"/>
      <c r="AO152" s="295"/>
      <c r="AP152" s="295"/>
      <c r="AQ152" s="295"/>
      <c r="AR152" s="295"/>
      <c r="AS152" s="295"/>
      <c r="AT152" s="295"/>
      <c r="AU152" s="295"/>
      <c r="AV152" s="295"/>
      <c r="AW152" s="295"/>
      <c r="AX152" s="295"/>
      <c r="AY152" s="295"/>
      <c r="AZ152" s="295"/>
      <c r="BA152" s="295"/>
    </row>
    <row r="153" spans="1:53" s="5" customFormat="1">
      <c r="A153" s="73"/>
      <c r="B153" s="157"/>
      <c r="C153" s="90" t="s">
        <v>219</v>
      </c>
      <c r="D153" s="153"/>
      <c r="E153" s="155">
        <f>IF(E18="","",SUM(E151:E152))</f>
        <v>1110.1199999999999</v>
      </c>
      <c r="F153" s="155">
        <f>IF(F18="","",SUM(F151:F152))</f>
        <v>1110.1199999999999</v>
      </c>
      <c r="G153" s="155">
        <f>IF(G18="","",SUM(G151:G152))</f>
        <v>1213.68</v>
      </c>
      <c r="H153" s="155">
        <f>IF(H18="","",SUM(H151:H152))</f>
        <v>1322.12</v>
      </c>
      <c r="I153" s="155" t="str">
        <f>IF(I18="","",SUM(#REF!,#REF!))</f>
        <v/>
      </c>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c r="AK153" s="293"/>
      <c r="AL153" s="293"/>
      <c r="AM153" s="293"/>
      <c r="AN153" s="293"/>
      <c r="AO153" s="293"/>
      <c r="AP153" s="293"/>
      <c r="AQ153" s="293"/>
      <c r="AR153" s="293"/>
      <c r="AS153" s="293"/>
      <c r="AT153" s="293"/>
      <c r="AU153" s="293"/>
      <c r="AV153" s="293"/>
      <c r="AW153" s="293"/>
      <c r="AX153" s="293"/>
      <c r="AY153" s="293"/>
      <c r="AZ153" s="293"/>
      <c r="BA153" s="293"/>
    </row>
    <row r="154" spans="1:53">
      <c r="F154" s="9"/>
      <c r="G154" s="9"/>
      <c r="H154" s="9"/>
      <c r="I154" s="9"/>
    </row>
    <row r="155" spans="1:53" s="6" customFormat="1">
      <c r="A155" s="74"/>
      <c r="B155" s="89"/>
      <c r="C155" s="90" t="s">
        <v>226</v>
      </c>
      <c r="D155" s="91"/>
      <c r="E155" s="369"/>
      <c r="F155" s="369"/>
      <c r="G155" s="369"/>
      <c r="H155" s="369"/>
      <c r="I155" s="369"/>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5"/>
      <c r="B157" s="171"/>
      <c r="C157" s="172" t="s">
        <v>230</v>
      </c>
      <c r="D157" s="173"/>
      <c r="E157" s="176"/>
      <c r="F157" s="176"/>
      <c r="G157" s="176"/>
      <c r="H157" s="176"/>
      <c r="I157" s="176"/>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row>
    <row r="158" spans="1:53">
      <c r="A158" s="79"/>
      <c r="B158" s="87" t="s">
        <v>2</v>
      </c>
      <c r="C158" s="88" t="s">
        <v>227</v>
      </c>
      <c r="D158" s="406">
        <f>IFERROR(INDEX('Apoio - Notas Explicativas'!Q:Q,MATCH(C158,'Apoio - Notas Explicativas'!C:C,0)),"")</f>
        <v>0.05</v>
      </c>
      <c r="E158" s="99">
        <f>IF(E18="","",IFERROR(ROUND($D$158*SUM(E61,E116,E125,E148,E153),2),""))</f>
        <v>306.51</v>
      </c>
      <c r="F158" s="99">
        <f>IF(F18="","",IFERROR(ROUND($D$158*SUM(F61,F116,F125,F148,F153),2),""))</f>
        <v>306.51</v>
      </c>
      <c r="G158" s="99">
        <f>IF(G18="","",IFERROR(ROUND($D$158*SUM(G61,G116,G125,G148,G153),2),""))</f>
        <v>349.66</v>
      </c>
      <c r="H158" s="99">
        <f>IF(H18="","",IFERROR(ROUND($D$158*SUM(H61,H116,H125,H148,H153),2),""))</f>
        <v>394.84</v>
      </c>
      <c r="I158" s="99" t="str">
        <f>IF(I18="","",IFERROR($D$158*SUM(I61,I116,I125,I148,I153),""))</f>
        <v/>
      </c>
    </row>
    <row r="159" spans="1:53">
      <c r="A159" s="78"/>
      <c r="B159" s="87" t="s">
        <v>1</v>
      </c>
      <c r="C159" s="88" t="s">
        <v>228</v>
      </c>
      <c r="D159" s="406">
        <f>IFERROR(INDEX('Apoio - Notas Explicativas'!Q:Q,MATCH(C159,'Apoio - Notas Explicativas'!C:C,0)),"")</f>
        <v>0.1</v>
      </c>
      <c r="E159" s="99">
        <f>IF(E18="","",IFERROR(ROUND($D$159*SUM(E158,E61,E116,E125,E148,E153),2),""))</f>
        <v>643.66999999999996</v>
      </c>
      <c r="F159" s="99">
        <f>IF(F18="","",IFERROR(ROUND($D$159*SUM(F158,F61,F116,F125,F148,F153),2),""))</f>
        <v>643.66999999999996</v>
      </c>
      <c r="G159" s="99">
        <f>IF(G18="","",IFERROR(ROUND($D$159*SUM(G158,G61,G116,G125,G148,G153),2),""))</f>
        <v>734.29</v>
      </c>
      <c r="H159" s="99">
        <f>IF(H18="","",IFERROR(ROUND($D$159*SUM(H158,H61,H116,H125,H148,H153),2),""))</f>
        <v>829.17</v>
      </c>
      <c r="I159" s="99" t="str">
        <f>IF(I18="","",IFERROR($D$159*SUM(I158,I61,I116,I125,I148,I153),""))</f>
        <v/>
      </c>
    </row>
    <row r="160" spans="1:53" s="5" customFormat="1">
      <c r="A160" s="76"/>
      <c r="B160" s="171"/>
      <c r="C160" s="172" t="s">
        <v>231</v>
      </c>
      <c r="D160" s="175"/>
      <c r="E160" s="176">
        <f>IF(E18="","",SUM(E158:E159))</f>
        <v>950.18</v>
      </c>
      <c r="F160" s="176">
        <f>IF(F18="","",SUM(F158:F159))</f>
        <v>950.18</v>
      </c>
      <c r="G160" s="176">
        <f>IF(G18="","",SUM(G158:G159))</f>
        <v>1083.95</v>
      </c>
      <c r="H160" s="176">
        <f>IF(H18="","",SUM(H158:H159))</f>
        <v>1224.01</v>
      </c>
      <c r="I160" s="174" t="str">
        <f>IF(I18="","",SUM(I158:I159))</f>
        <v/>
      </c>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c r="AK160" s="293"/>
      <c r="AL160" s="293"/>
      <c r="AM160" s="293"/>
      <c r="AN160" s="293"/>
      <c r="AO160" s="293"/>
      <c r="AP160" s="293"/>
      <c r="AQ160" s="293"/>
      <c r="AR160" s="293"/>
      <c r="AS160" s="293"/>
      <c r="AT160" s="293"/>
      <c r="AU160" s="293"/>
      <c r="AV160" s="293"/>
      <c r="AW160" s="293"/>
      <c r="AX160" s="293"/>
      <c r="AY160" s="293"/>
      <c r="AZ160" s="293"/>
      <c r="BA160" s="293"/>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5"/>
      <c r="B162" s="171"/>
      <c r="C162" s="172" t="s">
        <v>309</v>
      </c>
      <c r="D162" s="173"/>
      <c r="E162" s="176"/>
      <c r="F162" s="176"/>
      <c r="G162" s="176"/>
      <c r="H162" s="176"/>
      <c r="I162" s="176"/>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295"/>
      <c r="AF162" s="295"/>
      <c r="AG162" s="295"/>
      <c r="AH162" s="295"/>
      <c r="AI162" s="295"/>
      <c r="AJ162" s="295"/>
      <c r="AK162" s="295"/>
      <c r="AL162" s="295"/>
      <c r="AM162" s="295"/>
      <c r="AN162" s="295"/>
      <c r="AO162" s="295"/>
      <c r="AP162" s="295"/>
      <c r="AQ162" s="295"/>
      <c r="AR162" s="295"/>
      <c r="AS162" s="295"/>
      <c r="AT162" s="295"/>
      <c r="AU162" s="295"/>
      <c r="AV162" s="295"/>
      <c r="AW162" s="295"/>
      <c r="AX162" s="295"/>
      <c r="AY162" s="295"/>
      <c r="AZ162" s="295"/>
      <c r="BA162" s="295"/>
    </row>
    <row r="163" spans="1:53">
      <c r="A163" s="78"/>
      <c r="B163" s="87" t="s">
        <v>2</v>
      </c>
      <c r="C163" s="88" t="s">
        <v>43</v>
      </c>
      <c r="D163" s="392">
        <f>IFERROR(INDEX('Apoio - Notas Explicativas'!Q:Q,MATCH(C163,'Apoio - Notas Explicativas'!C:C,0)),"")</f>
        <v>0.03</v>
      </c>
      <c r="E163" s="99">
        <f>IF(E18="","",IFERROR(ROUND(SUM(E$160,E$61,E$116,E$125,E$148,E$153)*$D163/(1-SUM($D$163:$D$168,E$166)),2),""))</f>
        <v>226.33</v>
      </c>
      <c r="F163" s="99">
        <f>IF(F18="","",IFERROR(ROUND(SUM(F$160,F$61,F$116,F$125,F$148,F$153)*$D163/(1-SUM($D$163:$D$168,F$166)),2),""))</f>
        <v>226.33</v>
      </c>
      <c r="G163" s="99">
        <f>IF(G18="","",IFERROR(ROUND(SUM(G$160,G$61,G$116,G$125,G$148,G$153)*$D163/(1-SUM($D$163:$D$168,G$166)),2),""))</f>
        <v>258.19</v>
      </c>
      <c r="H163" s="99">
        <f>IF(H18="","",IFERROR(ROUND(SUM(H$160,H$61,H$116,H$125,H$148,H$153)*$D163/(1-SUM($D$163:$D$168,H$166)),2),""))</f>
        <v>291.56</v>
      </c>
      <c r="I163" s="99" t="str">
        <f>IF(I18="","",IFERROR(SUM(I$160,I$61,I$116,I$125,I$148,I$153)*$D163/(1-SUM($D$163:$D$168,I$166)),""))</f>
        <v/>
      </c>
    </row>
    <row r="164" spans="1:53">
      <c r="A164" s="79"/>
      <c r="B164" s="87" t="s">
        <v>1</v>
      </c>
      <c r="C164" s="88" t="s">
        <v>107</v>
      </c>
      <c r="D164" s="392">
        <f>IFERROR(INDEX('Apoio - Notas Explicativas'!Q:Q,MATCH(C164,'Apoio - Notas Explicativas'!C:C,0)),"")</f>
        <v>6.4999999999999997E-3</v>
      </c>
      <c r="E164" s="99">
        <f>IF(E20="","",IFERROR(ROUND(SUM(E$160,E$61,E$116,E$125,E$148,E$153)*$D164/(1-SUM($D$163:$D$168,E$166)),2),""))</f>
        <v>49.04</v>
      </c>
      <c r="F164" s="99">
        <f>IF(F20="","",IFERROR(ROUND(SUM(F$160,F$61,F$116,F$125,F$148,F$153)*$D164/(1-SUM($D$163:$D$168,F$166)),2),""))</f>
        <v>49.04</v>
      </c>
      <c r="G164" s="99">
        <f>IF(G20="","",IFERROR(ROUND(SUM(G$160,G$61,G$116,G$125,G$148,G$153)*$D164/(1-SUM($D$163:$D$168,G$166)),2),""))</f>
        <v>55.94</v>
      </c>
      <c r="H164" s="99">
        <f>IF(H20="","",IFERROR(ROUND(SUM(H$160,H$61,H$116,H$125,H$148,H$153)*$D164/(1-SUM($D$163:$D$168,H$166)),2),""))</f>
        <v>63.17</v>
      </c>
      <c r="I164" s="99" t="str">
        <f>IF(I20="","",IFERROR(SUM(I$160,I$61,I$116,I$125,I$148,I$153)*$D164/(1-SUM($D$163:$D$168,I$166)),""))</f>
        <v/>
      </c>
    </row>
    <row r="165" spans="1:53">
      <c r="A165" s="79"/>
      <c r="B165" s="862" t="s">
        <v>0</v>
      </c>
      <c r="C165" s="160" t="s">
        <v>44</v>
      </c>
      <c r="D165" s="414"/>
      <c r="E165" s="148"/>
      <c r="F165" s="148"/>
      <c r="G165" s="148"/>
      <c r="H165" s="148"/>
      <c r="I165" s="148"/>
    </row>
    <row r="166" spans="1:53">
      <c r="A166" s="79"/>
      <c r="B166" s="852"/>
      <c r="C166" s="136" t="s">
        <v>353</v>
      </c>
      <c r="D166" s="181"/>
      <c r="E166" s="388">
        <f>IF(E18="","",
IF($D$13="Simples",INDEX('Apoio - Notas Explicativas'!$Q:$Q,MATCH($C$165,'Apoio - Notas Explicativas'!$C:$C,0)),
IFERROR(VLOOKUP(E$18,'Apoio - Posto'!$A:$AA,20,FALSE),
INDEX('Apoio - Notas Explicativas'!$Q:$Q,MATCH($C$165,'Apoio - Notas Explicativas'!$C:$C,0))
)))</f>
        <v>2.5000000000000001E-2</v>
      </c>
      <c r="F166" s="388">
        <f>IF(F18="","",
IF($D$13="Simples",INDEX('Apoio - Notas Explicativas'!$Q:$Q,MATCH($C$165,'Apoio - Notas Explicativas'!$C:$C,0)),
IFERROR(VLOOKUP(F$18,'Apoio - Posto'!$A:$AA,20,FALSE),
INDEX('Apoio - Notas Explicativas'!$Q:$Q,MATCH($C$165,'Apoio - Notas Explicativas'!$C:$C,0))
)))</f>
        <v>2.5000000000000001E-2</v>
      </c>
      <c r="G166" s="388">
        <f>IF(G18="","",
IF($D$13="Simples",INDEX('Apoio - Notas Explicativas'!$Q:$Q,MATCH($C$165,'Apoio - Notas Explicativas'!$C:$C,0)),
IFERROR(VLOOKUP(G$18,'Apoio - Posto'!$A:$AA,20,FALSE),
INDEX('Apoio - Notas Explicativas'!$Q:$Q,MATCH($C$165,'Apoio - Notas Explicativas'!$C:$C,0))
)))</f>
        <v>2.5000000000000001E-2</v>
      </c>
      <c r="H166" s="388">
        <f>IF(H18="","",
IF($D$13="Simples",INDEX('Apoio - Notas Explicativas'!$Q:$Q,MATCH($C$165,'Apoio - Notas Explicativas'!$C:$C,0)),
IFERROR(VLOOKUP(H$18,'Apoio - Posto'!$A:$AA,20,FALSE),
INDEX('Apoio - Notas Explicativas'!$Q:$Q,MATCH($C$165,'Apoio - Notas Explicativas'!$C:$C,0))
)))</f>
        <v>2.5000000000000001E-2</v>
      </c>
      <c r="I166" s="388" t="str">
        <f>IF(I18="","",IFERROR(VLOOKUP(I$18,'Apoio - Posto'!$A:$AA,20,FALSE),INDEX('Apoio - Notas Explicativas'!$Q:$Q,MATCH($C$165,'Apoio - Notas Explicativas'!$C:$C,0))))</f>
        <v/>
      </c>
    </row>
    <row r="167" spans="1:53">
      <c r="A167" s="78"/>
      <c r="B167" s="853"/>
      <c r="C167" s="88"/>
      <c r="D167" s="415" t="s">
        <v>41</v>
      </c>
      <c r="E167" s="147">
        <f>IF(E21="","",IFERROR(ROUND(SUM(E$160,E$61,E$116,E$125,E$148,E$153)*E166/(1-SUM($D$163:$D$168,E166)),2),""))</f>
        <v>188.61</v>
      </c>
      <c r="F167" s="147">
        <f>IF(F21="","",IFERROR(ROUND(SUM(F$160,F$61,F$116,F$125,F$148,F$153)*F166/(1-SUM($D$163:$D$168,F166)),2),""))</f>
        <v>188.61</v>
      </c>
      <c r="G167" s="147">
        <f>IF(G21="","",IFERROR(ROUND(SUM(G$160,G$61,G$116,G$125,G$148,G$153)*G166/(1-SUM($D$163:$D$168,G166)),2),""))</f>
        <v>215.16</v>
      </c>
      <c r="H167" s="147">
        <f>IF(H21="","",IFERROR(ROUND(SUM(H$160,H$61,H$116,H$125,H$148,H$153)*H166/(1-SUM($D$163:$D$168,H166)),2),""))</f>
        <v>242.96</v>
      </c>
      <c r="I167" s="147" t="str">
        <f>IF(I21="","",IFERROR(SUM(I$160,I$61,I$116,I$125,I$148,I$153)*I166/(1-SUM($D$163:$D$168,I166)),""))</f>
        <v/>
      </c>
    </row>
    <row r="168" spans="1:53">
      <c r="A168" s="78"/>
      <c r="B168" s="390" t="s">
        <v>3</v>
      </c>
      <c r="C168" s="391" t="s">
        <v>303</v>
      </c>
      <c r="D168" s="392">
        <v>0</v>
      </c>
      <c r="E168" s="99">
        <f>IF(E22="","",IFERROR(ROUND(SUM(E$160,E$61,E$116,E$125,E$148,E$153)*$D168/(1-SUM($D$163:$D$168,E$166)),2),""))</f>
        <v>0</v>
      </c>
      <c r="F168" s="99">
        <f>IF(F22="","",IFERROR(ROUND(SUM(F$160,F$61,F$116,F$125,F$148,F$153)*$D168/(1-SUM($D$163:$D$168,F$166)),2),""))</f>
        <v>0</v>
      </c>
      <c r="G168" s="99">
        <f>IF(G22="","",IFERROR(ROUND(SUM(G$160,G$61,G$116,G$125,G$148,G$153)*$D168/(1-SUM($D$163:$D$168,G$166)),2),""))</f>
        <v>0</v>
      </c>
      <c r="H168" s="99">
        <f>IF(H22="","",IFERROR(ROUND(SUM(H$160,H$61,H$116,H$125,H$148,H$153)*$D168/(1-SUM($D$163:$D$168,H$166)),2),""))</f>
        <v>0</v>
      </c>
      <c r="I168" s="99" t="str">
        <f>IF(I22="","",IFERROR(SUM(I$160,I$61,I$116,I$125,I$148,I$153)*$D168/(1-SUM($D$163:$D$168,I$166)),""))</f>
        <v/>
      </c>
    </row>
    <row r="169" spans="1:53" s="5" customFormat="1">
      <c r="A169" s="76"/>
      <c r="B169" s="171"/>
      <c r="C169" s="172" t="s">
        <v>232</v>
      </c>
      <c r="D169" s="175"/>
      <c r="E169" s="192">
        <f>IF(E18="","",SUM(E163:E164,E167:E168))</f>
        <v>463.98</v>
      </c>
      <c r="F169" s="192">
        <f>IF(F18="","",SUM(F163:F164,F167:F168))</f>
        <v>463.98</v>
      </c>
      <c r="G169" s="192">
        <f>IF(G18="","",SUM(G163:G164,G167:G168))</f>
        <v>529.29</v>
      </c>
      <c r="H169" s="192">
        <f>IF(H18="","",SUM(H163:H164,H167:H168))</f>
        <v>597.69000000000005</v>
      </c>
      <c r="I169" s="192" t="str">
        <f>IF(I18="","",SUM(I163:I164,I167:I168))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3"/>
      <c r="B171" s="157"/>
      <c r="C171" s="90" t="s">
        <v>220</v>
      </c>
      <c r="D171" s="153"/>
      <c r="E171" s="155">
        <f>IF(E18="","",SUM(E169,E160))</f>
        <v>1414.1599999999999</v>
      </c>
      <c r="F171" s="155">
        <f>IF(F18="","",SUM(F169,F160))</f>
        <v>1414.1599999999999</v>
      </c>
      <c r="G171" s="155">
        <f>IF(G18="","",SUM(G169,G160))</f>
        <v>1613.24</v>
      </c>
      <c r="H171" s="155">
        <f>IF(H18="","",SUM(H169,H160))</f>
        <v>1821.7</v>
      </c>
      <c r="I171" s="156" t="str">
        <f>IF(I18="","",SUM(I169,I160))</f>
        <v/>
      </c>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c r="AK171" s="293"/>
      <c r="AL171" s="293"/>
      <c r="AM171" s="293"/>
      <c r="AN171" s="293"/>
      <c r="AO171" s="293"/>
      <c r="AP171" s="293"/>
      <c r="AQ171" s="293"/>
      <c r="AR171" s="293"/>
      <c r="AS171" s="293"/>
      <c r="AT171" s="293"/>
      <c r="AU171" s="293"/>
      <c r="AV171" s="293"/>
      <c r="AW171" s="293"/>
      <c r="AX171" s="293"/>
      <c r="AY171" s="293"/>
      <c r="AZ171" s="293"/>
      <c r="BA171" s="293"/>
    </row>
    <row r="172" spans="1:53">
      <c r="F172" s="9"/>
      <c r="G172" s="9"/>
      <c r="H172" s="9"/>
      <c r="I172" s="9"/>
      <c r="L172"/>
      <c r="M172"/>
      <c r="N172"/>
      <c r="O172"/>
      <c r="P172"/>
      <c r="Q172"/>
      <c r="R172"/>
    </row>
    <row r="173" spans="1:53" s="6" customFormat="1">
      <c r="A173" s="74"/>
      <c r="B173" s="89"/>
      <c r="C173" s="90" t="s">
        <v>374</v>
      </c>
      <c r="D173" s="91"/>
      <c r="E173" s="369"/>
      <c r="F173" s="369"/>
      <c r="G173" s="369"/>
      <c r="H173" s="369"/>
      <c r="I173" s="369"/>
      <c r="J173" s="295"/>
      <c r="K173" s="295"/>
      <c r="L173"/>
      <c r="M173"/>
      <c r="N173"/>
      <c r="O173"/>
      <c r="P173"/>
      <c r="Q173"/>
      <c r="R173"/>
      <c r="S173" s="295"/>
      <c r="T173" s="295"/>
      <c r="U173" s="295"/>
      <c r="V173" s="295"/>
      <c r="W173" s="295"/>
      <c r="X173" s="295"/>
      <c r="Y173" s="295"/>
      <c r="Z173" s="295"/>
      <c r="AA173" s="295"/>
      <c r="AB173" s="295"/>
      <c r="AC173" s="295"/>
      <c r="AD173" s="295"/>
      <c r="AE173" s="295"/>
      <c r="AF173" s="295"/>
      <c r="AG173" s="295"/>
      <c r="AH173" s="295"/>
      <c r="AI173" s="295"/>
      <c r="AJ173" s="295"/>
      <c r="AK173" s="295"/>
      <c r="AL173" s="295"/>
      <c r="AM173" s="295"/>
      <c r="AN173" s="295"/>
      <c r="AO173" s="295"/>
      <c r="AP173" s="295"/>
      <c r="AQ173" s="295"/>
      <c r="AR173" s="295"/>
      <c r="AS173" s="295"/>
      <c r="AT173" s="295"/>
      <c r="AU173" s="295"/>
      <c r="AV173" s="295"/>
      <c r="AW173" s="295"/>
      <c r="AX173" s="295"/>
      <c r="AY173" s="295"/>
      <c r="AZ173" s="295"/>
      <c r="BA173" s="295"/>
    </row>
    <row r="174" spans="1:53" ht="3.75" customHeight="1">
      <c r="A174" s="287"/>
      <c r="B174" s="3"/>
      <c r="C174" s="3"/>
      <c r="D174" s="3"/>
      <c r="E174" s="3"/>
      <c r="F174" s="3"/>
      <c r="G174" s="3"/>
      <c r="H174" s="3"/>
      <c r="I174" s="3"/>
      <c r="L174"/>
      <c r="M174"/>
      <c r="N174"/>
      <c r="O174"/>
      <c r="P174"/>
      <c r="Q174"/>
      <c r="R174"/>
    </row>
    <row r="175" spans="1:53">
      <c r="A175" s="287"/>
      <c r="B175" s="171"/>
      <c r="C175" s="172" t="s">
        <v>437</v>
      </c>
      <c r="D175" s="289"/>
      <c r="E175" s="396"/>
      <c r="F175" s="396"/>
      <c r="G175" s="396"/>
      <c r="H175" s="396"/>
      <c r="I175" s="396"/>
      <c r="L175"/>
      <c r="M175"/>
      <c r="N175"/>
      <c r="O175"/>
      <c r="P175"/>
      <c r="Q175"/>
      <c r="R175"/>
    </row>
    <row r="176" spans="1:53">
      <c r="A176" s="80"/>
      <c r="B176" s="87" t="s">
        <v>2</v>
      </c>
      <c r="C176" s="88" t="s">
        <v>375</v>
      </c>
      <c r="D176" s="177"/>
      <c r="E176" s="99">
        <f>IFERROR(IF(E18="","",E178/SUM(E52,INDEX('Apoio - Regime de Trabalho'!$I:$I,MATCH(E26,'Apoio - Regime de Trabalho'!$A:$A,0)))),"")</f>
        <v>39.293697916666666</v>
      </c>
      <c r="F176" s="99">
        <f>IFERROR(IF(F18="","",F178/SUM(F52,INDEX('Apoio - Regime de Trabalho'!$I:$I,MATCH(F26,'Apoio - Regime de Trabalho'!$A:$A,0)))),"")</f>
        <v>39.293697916666666</v>
      </c>
      <c r="G176" s="99">
        <f>IFERROR(IF(G18="","",G178/SUM(G52,INDEX('Apoio - Regime de Trabalho'!$I:$I,MATCH(G26,'Apoio - Regime de Trabalho'!$A:$A,0)))),"")</f>
        <v>44.825364583333332</v>
      </c>
      <c r="H176" s="99">
        <f>IFERROR(IF(H18="","",H178/SUM(H52,INDEX('Apoio - Regime de Trabalho'!$I:$I,MATCH(H26,'Apoio - Regime de Trabalho'!$A:$A,0)))),"")</f>
        <v>50.617656250000003</v>
      </c>
      <c r="I176" s="99" t="str">
        <f>IFERROR(IF(I18="","",I178/INDEX('Apoio - Regime de Trabalho'!$I:$I,MATCH(I26,'Apoio - Regime de Trabalho'!$A:$A,0))),"")</f>
        <v/>
      </c>
      <c r="L176"/>
      <c r="M176"/>
      <c r="N176"/>
      <c r="O176"/>
      <c r="P176"/>
      <c r="Q176"/>
      <c r="R176"/>
    </row>
    <row r="177" spans="1:53">
      <c r="A177" s="80"/>
      <c r="B177" s="87" t="s">
        <v>1</v>
      </c>
      <c r="C177" s="88" t="s">
        <v>379</v>
      </c>
      <c r="D177" s="177"/>
      <c r="E177" s="99">
        <f>IF(E18="","",ROUND(SUM(E61,E116,E125,E148,E153,E171)/INDEX('Apoio - Regime de Trabalho'!$G:$G,MATCH(E26,'Apoio - Regime de Trabalho'!$A:$A,0)),2))</f>
        <v>342.93</v>
      </c>
      <c r="F177" s="99">
        <f>IF(F18="","",ROUND(SUM(F61,F116,F125,F148,F153,F171)/INDEX('Apoio - Regime de Trabalho'!$G:$G,MATCH(F26,'Apoio - Regime de Trabalho'!$A:$A,0)),2))</f>
        <v>342.93</v>
      </c>
      <c r="G177" s="99">
        <f>IF(G18="","",ROUND(SUM(G61,G116,G125,G148,G153,G171)/INDEX('Apoio - Regime de Trabalho'!$G:$G,MATCH(G26,'Apoio - Regime de Trabalho'!$A:$A,0)),2))</f>
        <v>391.2</v>
      </c>
      <c r="H177" s="99">
        <f>IF(H18="","",ROUND(SUM(H61,H116,H125,H148,H153,H171)/INDEX('Apoio - Regime de Trabalho'!$G:$G,MATCH(H26,'Apoio - Regime de Trabalho'!$A:$A,0)),2))</f>
        <v>441.75</v>
      </c>
      <c r="I177" s="99" t="str">
        <f>IF(I18="","",I178/INDEX('Apoio - Regime de Trabalho'!$G:$G,MATCH(I26,'Apoio - Regime de Trabalho'!$A:$A,0)))</f>
        <v/>
      </c>
      <c r="L177"/>
      <c r="M177"/>
      <c r="N177"/>
      <c r="O177"/>
      <c r="P177"/>
      <c r="Q177"/>
      <c r="R177"/>
    </row>
    <row r="178" spans="1:53">
      <c r="A178" s="80"/>
      <c r="B178" s="87" t="s">
        <v>0</v>
      </c>
      <c r="C178" s="88" t="s">
        <v>440</v>
      </c>
      <c r="D178" s="177"/>
      <c r="E178" s="99">
        <f>IF(E18="","",ROUND(SUM(E61,E116,E125,E148,E153,E171),2))</f>
        <v>7544.39</v>
      </c>
      <c r="F178" s="99">
        <f>IF(F18="","",ROUND(SUM(F61,F116,F125,F148,F153,F171),2))</f>
        <v>7544.39</v>
      </c>
      <c r="G178" s="99">
        <f>IF(G18="","",ROUND(SUM(G61,G116,G125,G148,G153,G171),2))</f>
        <v>8606.4699999999993</v>
      </c>
      <c r="H178" s="99">
        <f>IF(H18="","",ROUND(SUM(H61,H116,H125,H148,H153,H171),2))</f>
        <v>9718.59</v>
      </c>
      <c r="I178" s="99" t="str">
        <f>IF(I18="","",SUM(I61,I116,I125,I148,I153,I171))</f>
        <v/>
      </c>
      <c r="L178"/>
      <c r="M178"/>
      <c r="N178"/>
      <c r="O178"/>
      <c r="P178"/>
      <c r="Q178"/>
      <c r="R178"/>
    </row>
    <row r="179" spans="1:53">
      <c r="A179" s="80"/>
      <c r="B179" s="87" t="s">
        <v>3</v>
      </c>
      <c r="C179" s="88" t="s">
        <v>439</v>
      </c>
      <c r="D179" s="177"/>
      <c r="E179" s="99">
        <f>IFERROR(ROUND(E178*E28,2),"")</f>
        <v>7544.39</v>
      </c>
      <c r="F179" s="99">
        <f t="shared" ref="F179:H179" si="30">IFERROR(ROUND(F178*F28,2),"")</f>
        <v>7544.39</v>
      </c>
      <c r="G179" s="99">
        <f t="shared" si="30"/>
        <v>8606.4699999999993</v>
      </c>
      <c r="H179" s="99">
        <f t="shared" si="30"/>
        <v>9718.59</v>
      </c>
      <c r="I179" s="99" t="str">
        <f>IFERROR(I178*I28,"")</f>
        <v/>
      </c>
      <c r="L179"/>
      <c r="M179"/>
      <c r="N179"/>
      <c r="O179"/>
      <c r="P179"/>
      <c r="Q179"/>
      <c r="R179"/>
    </row>
    <row r="180" spans="1:53" ht="3.75" customHeight="1">
      <c r="A180" s="287"/>
      <c r="B180" s="3"/>
      <c r="C180" s="3"/>
      <c r="D180" s="3"/>
      <c r="E180" s="3"/>
      <c r="F180" s="3"/>
      <c r="G180" s="3"/>
      <c r="H180" s="3"/>
      <c r="I180" s="3"/>
      <c r="L180"/>
      <c r="M180"/>
      <c r="N180"/>
      <c r="O180"/>
      <c r="P180"/>
      <c r="Q180"/>
      <c r="R180"/>
    </row>
    <row r="181" spans="1:53">
      <c r="A181" s="287"/>
      <c r="B181" s="171"/>
      <c r="C181" s="172" t="s">
        <v>467</v>
      </c>
      <c r="D181" s="289"/>
      <c r="E181" s="396"/>
      <c r="F181" s="396"/>
      <c r="G181" s="396"/>
      <c r="H181" s="396"/>
      <c r="I181" s="396"/>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0"/>
      <c r="B182" s="87" t="s">
        <v>2</v>
      </c>
      <c r="C182" s="88" t="s">
        <v>376</v>
      </c>
      <c r="D182" s="177"/>
      <c r="E182" s="99">
        <f>IFERROR(ROUND(SUM(E61,E116,E125,E148),2)*E29,"")</f>
        <v>0</v>
      </c>
      <c r="F182" s="99">
        <f t="shared" ref="F182:H182" si="31">IFERROR(ROUND(SUM(F61,F116,F125,F148),2)*F29,"")</f>
        <v>0</v>
      </c>
      <c r="G182" s="99">
        <f t="shared" si="31"/>
        <v>0</v>
      </c>
      <c r="H182" s="99">
        <f t="shared" si="31"/>
        <v>0</v>
      </c>
      <c r="I182" s="99"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0"/>
      <c r="B183" s="87" t="s">
        <v>1</v>
      </c>
      <c r="C183" s="88" t="s">
        <v>434</v>
      </c>
      <c r="D183" s="177"/>
      <c r="E183" s="99">
        <f>IFERROR(ROUND(E153*E29,2),"")</f>
        <v>0</v>
      </c>
      <c r="F183" s="99">
        <f>IFERROR(ROUND(F153*F29,2),"")</f>
        <v>0</v>
      </c>
      <c r="G183" s="99">
        <f>IFERROR(ROUND(G153*G29,2),"")</f>
        <v>0</v>
      </c>
      <c r="H183" s="99">
        <f>IFERROR(ROUND(H153*H29,2),"")</f>
        <v>0</v>
      </c>
      <c r="I183" s="99" t="str">
        <f>IFERROR(I153*I29,"")</f>
        <v/>
      </c>
      <c r="L183"/>
      <c r="M183" s="712"/>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1"/>
      <c r="B184" s="87" t="s">
        <v>0</v>
      </c>
      <c r="C184" s="88" t="s">
        <v>174</v>
      </c>
      <c r="D184" s="177"/>
      <c r="E184" s="99">
        <f>IFERROR(ROUND(E171*E29,2),"")</f>
        <v>0</v>
      </c>
      <c r="F184" s="99">
        <f t="shared" ref="F184:H184" si="32">IFERROR(ROUND(F171*F29,2),"")</f>
        <v>0</v>
      </c>
      <c r="G184" s="99">
        <f t="shared" si="32"/>
        <v>0</v>
      </c>
      <c r="H184" s="99">
        <f t="shared" si="32"/>
        <v>0</v>
      </c>
      <c r="I184" s="99"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1"/>
      <c r="B185" s="87" t="s">
        <v>3</v>
      </c>
      <c r="C185" s="88" t="s">
        <v>466</v>
      </c>
      <c r="D185" s="177"/>
      <c r="E185" s="99">
        <f>IFERROR(ROUND((E182+E183+E184),2),"")</f>
        <v>0</v>
      </c>
      <c r="F185" s="99">
        <f t="shared" ref="F185:H185" si="33">IFERROR(ROUND((F182+F183+F184),2),"")</f>
        <v>0</v>
      </c>
      <c r="G185" s="99">
        <f t="shared" si="33"/>
        <v>0</v>
      </c>
      <c r="H185" s="99">
        <f t="shared" si="33"/>
        <v>0</v>
      </c>
      <c r="I185" s="99"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87"/>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87"/>
      <c r="B187" s="171"/>
      <c r="C187" s="172" t="s">
        <v>438</v>
      </c>
      <c r="D187" s="289"/>
      <c r="E187" s="396"/>
      <c r="F187" s="396"/>
      <c r="G187" s="396"/>
      <c r="H187" s="396"/>
      <c r="I187" s="396"/>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2</v>
      </c>
      <c r="C188" s="88" t="s">
        <v>376</v>
      </c>
      <c r="D188" s="177"/>
      <c r="E188" s="99">
        <f>IFERROR(ROUND(E182*$D$12,2),"")</f>
        <v>0</v>
      </c>
      <c r="F188" s="99">
        <f t="shared" ref="F188:H188" si="34">IFERROR(ROUND(F182*$D$12,2),"")</f>
        <v>0</v>
      </c>
      <c r="G188" s="99">
        <f t="shared" si="34"/>
        <v>0</v>
      </c>
      <c r="H188" s="99">
        <f t="shared" si="34"/>
        <v>0</v>
      </c>
      <c r="I188" s="99" t="str">
        <f>IFERROR(I182*IF(VLOOKUP(I$26,'Apoio - Regime de Trabalho'!$A:$I,3,FALSE)="Diária",1,$D$12),"")</f>
        <v/>
      </c>
      <c r="M188" s="409"/>
      <c r="N188" s="403"/>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1</v>
      </c>
      <c r="C189" s="88" t="s">
        <v>434</v>
      </c>
      <c r="D189" s="177"/>
      <c r="E189" s="99">
        <f>IFERROR(ROUND(E183*$D$12,2),"")</f>
        <v>0</v>
      </c>
      <c r="F189" s="99">
        <f t="shared" ref="F189:H189" si="35">IFERROR(ROUND(F183*$D$12,2),"")</f>
        <v>0</v>
      </c>
      <c r="G189" s="99">
        <f t="shared" si="35"/>
        <v>0</v>
      </c>
      <c r="H189" s="99">
        <f t="shared" si="35"/>
        <v>0</v>
      </c>
      <c r="I189" s="99" t="str">
        <f>IFERROR(I183*IF(VLOOKUP(I$26,'Apoio - Regime de Trabalho'!$A:$I,3,FALSE)="Diária",1,$D$12),"")</f>
        <v/>
      </c>
      <c r="M189" s="409"/>
      <c r="N189" s="403"/>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1"/>
      <c r="B190" s="87" t="s">
        <v>0</v>
      </c>
      <c r="C190" s="88" t="s">
        <v>174</v>
      </c>
      <c r="D190" s="177"/>
      <c r="E190" s="99">
        <f>IFERROR(ROUND(E184*$D$12,2),"")</f>
        <v>0</v>
      </c>
      <c r="F190" s="99">
        <f t="shared" ref="F190:H190" si="36">IFERROR(ROUND(F184*$D$12,2),"")</f>
        <v>0</v>
      </c>
      <c r="G190" s="99">
        <f t="shared" si="36"/>
        <v>0</v>
      </c>
      <c r="H190" s="99">
        <f t="shared" si="36"/>
        <v>0</v>
      </c>
      <c r="I190" s="99" t="str">
        <f>IFERROR(I184*IF(VLOOKUP(I$26,'Apoio - Regime de Trabalho'!$A:$I,3,FALSE)="Diária",1,$D$12),"")</f>
        <v/>
      </c>
      <c r="N190" s="403"/>
      <c r="O190" s="40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1"/>
      <c r="B191" s="87" t="s">
        <v>3</v>
      </c>
      <c r="C191" s="88" t="s">
        <v>435</v>
      </c>
      <c r="D191" s="177"/>
      <c r="E191" s="99">
        <f>IFERROR(ROUND(E185*$D$12,2),"")</f>
        <v>0</v>
      </c>
      <c r="F191" s="99">
        <f t="shared" ref="F191:H191" si="37">IFERROR(ROUND(F185*$D$12,2),"")</f>
        <v>0</v>
      </c>
      <c r="G191" s="99">
        <f t="shared" si="37"/>
        <v>0</v>
      </c>
      <c r="H191" s="99">
        <f t="shared" si="37"/>
        <v>0</v>
      </c>
      <c r="I191" s="99"/>
      <c r="M191" s="409"/>
      <c r="N191" s="711"/>
      <c r="O191" s="404"/>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89"/>
      <c r="C193" s="90" t="s">
        <v>380</v>
      </c>
      <c r="D193" s="90"/>
      <c r="E193" s="90"/>
      <c r="F193" s="90"/>
      <c r="G193" s="90"/>
      <c r="H193" s="90"/>
      <c r="I193" s="90"/>
      <c r="L193" s="90"/>
      <c r="M193" s="90"/>
      <c r="N193" s="90"/>
      <c r="O193" s="25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87"/>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171"/>
      <c r="C195" s="172" t="s">
        <v>621</v>
      </c>
      <c r="D195" s="396" t="s">
        <v>373</v>
      </c>
      <c r="E195" s="396" t="s">
        <v>647</v>
      </c>
      <c r="F195" s="396" t="s">
        <v>647</v>
      </c>
      <c r="G195" s="396" t="s">
        <v>647</v>
      </c>
      <c r="H195" s="396" t="s">
        <v>647</v>
      </c>
      <c r="I195" s="396"/>
      <c r="K195" s="1"/>
      <c r="L195" s="396" t="s">
        <v>645</v>
      </c>
      <c r="M195" s="396" t="s">
        <v>647</v>
      </c>
      <c r="N195" s="396" t="s">
        <v>322</v>
      </c>
      <c r="O195" s="396" t="s">
        <v>396</v>
      </c>
      <c r="Q195" s="404"/>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622</v>
      </c>
      <c r="C196" s="400" t="s">
        <v>358</v>
      </c>
      <c r="D196" s="696"/>
      <c r="E196" s="395" t="str">
        <f>IFERROR(8*E$176*'Apoio - Notas Explicativas'!$D$6/$D196,"")</f>
        <v/>
      </c>
      <c r="F196" s="395" t="str">
        <f>IFERROR((8*F$176*'Apoio - Notas Explicativas'!$D$6/$D196)*($F$27/$E$27),"")</f>
        <v/>
      </c>
      <c r="G196" s="395"/>
      <c r="H196" s="395"/>
      <c r="I196" s="395"/>
      <c r="K196" s="1" t="str">
        <f>IFERROR(L196/D196,"")</f>
        <v/>
      </c>
      <c r="L196" s="696"/>
      <c r="M196" s="397">
        <f>SUM(E196:I196)</f>
        <v>0</v>
      </c>
      <c r="N196" s="397">
        <f>L196*M196</f>
        <v>0</v>
      </c>
      <c r="O196" s="397">
        <f>N196*$D$12</f>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623</v>
      </c>
      <c r="C197" s="400" t="s">
        <v>359</v>
      </c>
      <c r="D197" s="696"/>
      <c r="E197" s="395" t="str">
        <f>IFERROR(8*E$176*'Apoio - Notas Explicativas'!$D$6/$D197,"")</f>
        <v/>
      </c>
      <c r="F197" s="395" t="str">
        <f>IFERROR((8*F$176*'Apoio - Notas Explicativas'!$D$6/$D197)*($F$27/$E$27),"")</f>
        <v/>
      </c>
      <c r="G197" s="395"/>
      <c r="H197" s="395"/>
      <c r="I197" s="393"/>
      <c r="K197" s="1" t="str">
        <f>IFERROR(L197/D197,"")</f>
        <v/>
      </c>
      <c r="L197" s="696"/>
      <c r="M197" s="397">
        <f t="shared" ref="M197:M202" si="38">SUM(E197:I197)</f>
        <v>0</v>
      </c>
      <c r="N197" s="397">
        <f t="shared" ref="N197:N202" si="39">L197*M197</f>
        <v>0</v>
      </c>
      <c r="O197" s="397">
        <f t="shared" ref="O197:O202" si="40">N197*$D$12</f>
        <v>0</v>
      </c>
      <c r="Q197" s="407"/>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624</v>
      </c>
      <c r="C198" s="400" t="s">
        <v>360</v>
      </c>
      <c r="D198" s="696"/>
      <c r="E198" s="395" t="str">
        <f>IFERROR(8*E$176*'Apoio - Notas Explicativas'!$D$6/$D198,"")</f>
        <v/>
      </c>
      <c r="F198" s="395" t="str">
        <f>IFERROR((8*F$176*'Apoio - Notas Explicativas'!$D$6/$D198)*($F$27/$E$27),"")</f>
        <v/>
      </c>
      <c r="G198" s="395"/>
      <c r="H198" s="395"/>
      <c r="I198" s="393"/>
      <c r="K198" s="1" t="str">
        <f t="shared" ref="K198:K206" si="41">IFERROR(L198/D198,"")</f>
        <v/>
      </c>
      <c r="L198" s="696"/>
      <c r="M198" s="397">
        <f t="shared" si="38"/>
        <v>0</v>
      </c>
      <c r="N198" s="397">
        <f t="shared" si="39"/>
        <v>0</v>
      </c>
      <c r="O198" s="397">
        <f t="shared" si="40"/>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625</v>
      </c>
      <c r="C199" s="400" t="s">
        <v>361</v>
      </c>
      <c r="D199" s="696"/>
      <c r="E199" s="395" t="str">
        <f>IFERROR(8*E$176*'Apoio - Notas Explicativas'!$D$6/$D199,"")</f>
        <v/>
      </c>
      <c r="F199" s="395" t="str">
        <f>IFERROR((8*F$176*'Apoio - Notas Explicativas'!$D$6/$D199)*($F$27/$E$27),"")</f>
        <v/>
      </c>
      <c r="G199" s="395"/>
      <c r="H199" s="395"/>
      <c r="I199" s="393"/>
      <c r="K199" s="1" t="str">
        <f t="shared" si="41"/>
        <v/>
      </c>
      <c r="L199" s="696"/>
      <c r="M199" s="397">
        <f t="shared" si="38"/>
        <v>0</v>
      </c>
      <c r="N199" s="397">
        <f t="shared" si="39"/>
        <v>0</v>
      </c>
      <c r="O199" s="397">
        <f t="shared" si="40"/>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626</v>
      </c>
      <c r="C200" s="400" t="s">
        <v>356</v>
      </c>
      <c r="D200" s="696"/>
      <c r="E200" s="395" t="str">
        <f>IFERROR(8*E$176*'Apoio - Notas Explicativas'!$D$6/$D200,"")</f>
        <v/>
      </c>
      <c r="F200" s="395" t="str">
        <f>IFERROR((8*F$176*'Apoio - Notas Explicativas'!$D$6/$D200)*($F$27/$E$27),"")</f>
        <v/>
      </c>
      <c r="G200" s="395"/>
      <c r="H200" s="395"/>
      <c r="I200" s="393"/>
      <c r="K200" s="1" t="str">
        <f t="shared" si="41"/>
        <v/>
      </c>
      <c r="L200" s="696"/>
      <c r="M200" s="397">
        <f t="shared" si="38"/>
        <v>0</v>
      </c>
      <c r="N200" s="397">
        <f t="shared" si="39"/>
        <v>0</v>
      </c>
      <c r="O200" s="397">
        <f t="shared" si="40"/>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87"/>
      <c r="B201" s="410" t="s">
        <v>627</v>
      </c>
      <c r="C201" s="402" t="s">
        <v>389</v>
      </c>
      <c r="D201" s="696"/>
      <c r="E201" s="395" t="str">
        <f>IFERROR(8*E$176*'Apoio - Notas Explicativas'!$D$6/$D201,"")</f>
        <v/>
      </c>
      <c r="F201" s="395" t="str">
        <f>IFERROR((8*F$176*'Apoio - Notas Explicativas'!$D$6/$D201)*($F$27/$E$27),"")</f>
        <v/>
      </c>
      <c r="G201" s="395"/>
      <c r="H201" s="395"/>
      <c r="I201" s="393"/>
      <c r="K201" s="1" t="str">
        <f t="shared" si="41"/>
        <v/>
      </c>
      <c r="L201" s="696"/>
      <c r="M201" s="397">
        <f t="shared" si="38"/>
        <v>0</v>
      </c>
      <c r="N201" s="397">
        <f t="shared" si="39"/>
        <v>0</v>
      </c>
      <c r="O201" s="397">
        <f t="shared" si="40"/>
        <v>0</v>
      </c>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0" t="s">
        <v>628</v>
      </c>
      <c r="C202" s="402" t="s">
        <v>390</v>
      </c>
      <c r="D202" s="696"/>
      <c r="E202" s="395" t="str">
        <f>IFERROR(8*E$176*'Apoio - Notas Explicativas'!$D$6/$D202,"")</f>
        <v/>
      </c>
      <c r="F202" s="395" t="str">
        <f>IFERROR((8*F$176*'Apoio - Notas Explicativas'!$D$6/$D202)*($F$27/$E$27),"")</f>
        <v/>
      </c>
      <c r="G202" s="395"/>
      <c r="H202" s="395"/>
      <c r="I202" s="393"/>
      <c r="K202" s="1" t="str">
        <f t="shared" si="41"/>
        <v/>
      </c>
      <c r="L202" s="696"/>
      <c r="M202" s="397">
        <f t="shared" si="38"/>
        <v>0</v>
      </c>
      <c r="N202" s="397">
        <f t="shared" si="39"/>
        <v>0</v>
      </c>
      <c r="O202" s="397">
        <f t="shared" si="40"/>
        <v>0</v>
      </c>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87"/>
      <c r="B203" s="411"/>
      <c r="C203" s="401"/>
      <c r="D203" s="399"/>
      <c r="E203" s="395" t="str">
        <f t="shared" ref="E203" si="42">IFERROR(ROUND(E$179/$D203,2),"")</f>
        <v/>
      </c>
      <c r="F203" s="288"/>
      <c r="G203" s="288"/>
      <c r="H203" s="288"/>
      <c r="I203" s="288"/>
      <c r="K203" s="1" t="str">
        <f t="shared" si="41"/>
        <v/>
      </c>
      <c r="L203" s="408"/>
      <c r="M203" s="398"/>
      <c r="N203" s="398"/>
      <c r="O203" s="398"/>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2"/>
      <c r="C204" s="172" t="s">
        <v>629</v>
      </c>
      <c r="D204" s="396"/>
      <c r="E204" s="396"/>
      <c r="F204" s="396"/>
      <c r="G204" s="396"/>
      <c r="H204" s="396"/>
      <c r="I204" s="396"/>
      <c r="K204" s="1"/>
      <c r="L204" s="396"/>
      <c r="M204" s="396"/>
      <c r="N204" s="396"/>
      <c r="O204" s="396"/>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630</v>
      </c>
      <c r="C205" s="400" t="s">
        <v>362</v>
      </c>
      <c r="D205" s="696"/>
      <c r="E205" s="395" t="str">
        <f>IFERROR(8*E$176*'Apoio - Notas Explicativas'!$D$6/$D205,"")</f>
        <v/>
      </c>
      <c r="F205" s="395" t="str">
        <f>IFERROR((8*F$176*'Apoio - Notas Explicativas'!$D$6/$D205)*($F$27/$E$27),"")</f>
        <v/>
      </c>
      <c r="G205" s="395"/>
      <c r="H205" s="395"/>
      <c r="I205" s="393"/>
      <c r="K205" s="1" t="str">
        <f t="shared" si="41"/>
        <v/>
      </c>
      <c r="L205" s="696"/>
      <c r="M205" s="397">
        <f t="shared" ref="M205:M210" si="43">SUM(E205:I205)</f>
        <v>0</v>
      </c>
      <c r="N205" s="397">
        <f t="shared" ref="N205:N210" si="44">L205*M205</f>
        <v>0</v>
      </c>
      <c r="O205" s="397">
        <f t="shared" ref="O205:O210" si="45">N205*$D$12</f>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631</v>
      </c>
      <c r="C206" s="400" t="s">
        <v>357</v>
      </c>
      <c r="D206" s="696"/>
      <c r="E206" s="395" t="str">
        <f>IFERROR(8*E$176*'Apoio - Notas Explicativas'!$D$6/$D206,"")</f>
        <v/>
      </c>
      <c r="F206" s="395" t="str">
        <f>IFERROR((8*F$176*'Apoio - Notas Explicativas'!$D$6/$D206)*($F$27/$E$27),"")</f>
        <v/>
      </c>
      <c r="G206" s="395"/>
      <c r="H206" s="395"/>
      <c r="I206" s="393"/>
      <c r="K206" s="1" t="str">
        <f t="shared" si="41"/>
        <v/>
      </c>
      <c r="L206" s="696"/>
      <c r="M206" s="397">
        <f t="shared" si="43"/>
        <v>0</v>
      </c>
      <c r="N206" s="397">
        <f t="shared" si="44"/>
        <v>0</v>
      </c>
      <c r="O206" s="397">
        <f t="shared" si="45"/>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632</v>
      </c>
      <c r="C207" s="400" t="s">
        <v>615</v>
      </c>
      <c r="D207" s="696"/>
      <c r="E207" s="395" t="str">
        <f>IFERROR(8*E$176*'Apoio - Notas Explicativas'!$D$7/$D207,"")</f>
        <v/>
      </c>
      <c r="F207" s="395" t="str">
        <f>IFERROR((8*F$176*'Apoio - Notas Explicativas'!$D$7/$D207)*($F$27/$E$27),"")</f>
        <v/>
      </c>
      <c r="G207" s="395"/>
      <c r="H207" s="395"/>
      <c r="I207" s="395"/>
      <c r="K207" s="1" t="str">
        <f>IFERROR(('Apoio - Notas Explicativas'!$D$7/'Apoio - Notas Explicativas'!$D$6)*L207/D207,"")</f>
        <v/>
      </c>
      <c r="L207" s="696"/>
      <c r="M207" s="397">
        <f t="shared" si="43"/>
        <v>0</v>
      </c>
      <c r="N207" s="397">
        <f t="shared" si="44"/>
        <v>0</v>
      </c>
      <c r="O207" s="397">
        <f t="shared" si="45"/>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633</v>
      </c>
      <c r="C208" s="400" t="s">
        <v>616</v>
      </c>
      <c r="D208" s="696"/>
      <c r="E208" s="395" t="str">
        <f>IFERROR(8*E$176*'Apoio - Notas Explicativas'!$D$8/$D208,"")</f>
        <v/>
      </c>
      <c r="F208" s="395" t="str">
        <f>IFERROR((8*F$176*'Apoio - Notas Explicativas'!$D$7/2/$D208)*($F$27/$E$27),"")</f>
        <v/>
      </c>
      <c r="G208" s="395"/>
      <c r="H208" s="395"/>
      <c r="I208" s="395"/>
      <c r="K208" s="1" t="str">
        <f>IFERROR(('Apoio - Notas Explicativas'!$D$8/'Apoio - Notas Explicativas'!$D$6)*L208/D208,"")</f>
        <v/>
      </c>
      <c r="L208" s="696"/>
      <c r="M208" s="397">
        <f t="shared" si="43"/>
        <v>0</v>
      </c>
      <c r="N208" s="397">
        <f t="shared" si="44"/>
        <v>0</v>
      </c>
      <c r="O208" s="397">
        <f t="shared" si="45"/>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87"/>
      <c r="B209" s="410" t="s">
        <v>634</v>
      </c>
      <c r="C209" s="400" t="s">
        <v>617</v>
      </c>
      <c r="D209" s="696"/>
      <c r="E209" s="395" t="str">
        <f>IFERROR(8*E$176/$D209,"")</f>
        <v/>
      </c>
      <c r="F209" s="395" t="str">
        <f>IFERROR((8*F$176/$D209)*($F$27/$E$27),"")</f>
        <v/>
      </c>
      <c r="G209" s="395"/>
      <c r="H209" s="395"/>
      <c r="I209" s="395"/>
      <c r="K209" s="1" t="str">
        <f>IFERROR((1/'Apoio - Notas Explicativas'!$D$6)*L209/D209,"")</f>
        <v/>
      </c>
      <c r="L209" s="696"/>
      <c r="M209" s="397">
        <f t="shared" si="43"/>
        <v>0</v>
      </c>
      <c r="N209" s="397">
        <f t="shared" si="44"/>
        <v>0</v>
      </c>
      <c r="O209" s="397">
        <f t="shared" si="45"/>
        <v>0</v>
      </c>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0" t="s">
        <v>635</v>
      </c>
      <c r="C210" s="400" t="s">
        <v>366</v>
      </c>
      <c r="D210" s="696"/>
      <c r="E210" s="395" t="str">
        <f>IFERROR(8*E$176*'Apoio - Notas Explicativas'!$D$6/$D210,"")</f>
        <v/>
      </c>
      <c r="F210" s="395" t="str">
        <f>IFERROR((8*F$176*'Apoio - Notas Explicativas'!$D$6/$D210)*($F$27/$E$27),"")</f>
        <v/>
      </c>
      <c r="G210" s="395"/>
      <c r="H210" s="395"/>
      <c r="I210" s="393"/>
      <c r="K210" s="1" t="str">
        <f t="shared" ref="K210:K221" si="46">IFERROR(L210/D210,"")</f>
        <v/>
      </c>
      <c r="L210" s="696"/>
      <c r="M210" s="397">
        <f t="shared" si="43"/>
        <v>0</v>
      </c>
      <c r="N210" s="397">
        <f t="shared" si="44"/>
        <v>0</v>
      </c>
      <c r="O210" s="397">
        <f t="shared" si="45"/>
        <v>0</v>
      </c>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87"/>
      <c r="B211" s="411"/>
      <c r="C211" s="401"/>
      <c r="D211" s="399"/>
      <c r="E211" s="288"/>
      <c r="F211" s="288"/>
      <c r="G211" s="288"/>
      <c r="H211" s="288"/>
      <c r="I211" s="288"/>
      <c r="K211" s="1" t="str">
        <f t="shared" si="46"/>
        <v/>
      </c>
      <c r="L211" s="408"/>
      <c r="M211" s="398"/>
      <c r="N211" s="398"/>
      <c r="O211" s="398"/>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2"/>
      <c r="C212" s="172" t="s">
        <v>636</v>
      </c>
      <c r="D212" s="396"/>
      <c r="E212" s="396"/>
      <c r="F212" s="396"/>
      <c r="G212" s="396"/>
      <c r="H212" s="396"/>
      <c r="I212" s="396"/>
      <c r="K212" s="1"/>
      <c r="L212" s="396"/>
      <c r="M212" s="396"/>
      <c r="N212" s="396"/>
      <c r="O212" s="396"/>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637</v>
      </c>
      <c r="C213" s="402" t="s">
        <v>618</v>
      </c>
      <c r="D213" s="696"/>
      <c r="E213" s="395"/>
      <c r="F213" s="395"/>
      <c r="G213" s="395" t="str">
        <f>IFERROR(8*G$176/3/$D213,"")</f>
        <v/>
      </c>
      <c r="H213" s="395" t="str">
        <f>IFERROR((8*H$176/3/$D213)*($H$27/$G$27),"")</f>
        <v/>
      </c>
      <c r="I213" s="393"/>
      <c r="K213" s="1" t="str">
        <f>IFERROR((1/'Apoio - Notas Explicativas'!$D$6)/3*L213/D213,"")</f>
        <v/>
      </c>
      <c r="L213" s="696"/>
      <c r="M213" s="397">
        <f>SUM(E213:I213)</f>
        <v>0</v>
      </c>
      <c r="N213" s="397">
        <f t="shared" ref="N213:N215" si="47">L213*M213</f>
        <v>0</v>
      </c>
      <c r="O213" s="397">
        <f t="shared" ref="O213:O215" si="48">N213*$D$12</f>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87"/>
      <c r="B214" s="410" t="s">
        <v>638</v>
      </c>
      <c r="C214" s="402" t="s">
        <v>619</v>
      </c>
      <c r="D214" s="696"/>
      <c r="E214" s="395" t="str">
        <f>IFERROR(8*E$176/3/$D214,"")</f>
        <v/>
      </c>
      <c r="F214" s="395" t="str">
        <f>IFERROR((8*F$176/3/$D214)*($F$27/$E$27),"")</f>
        <v/>
      </c>
      <c r="G214" s="395"/>
      <c r="H214" s="395"/>
      <c r="I214" s="393"/>
      <c r="K214" s="1" t="str">
        <f>IFERROR((1/'Apoio - Notas Explicativas'!$D$6)/3*L214/D214,"")</f>
        <v/>
      </c>
      <c r="L214" s="696"/>
      <c r="M214" s="397">
        <f>SUM(E214:I214)</f>
        <v>0</v>
      </c>
      <c r="N214" s="397">
        <f t="shared" si="47"/>
        <v>0</v>
      </c>
      <c r="O214" s="397">
        <f t="shared" si="48"/>
        <v>0</v>
      </c>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0" t="s">
        <v>639</v>
      </c>
      <c r="C215" s="402" t="s">
        <v>620</v>
      </c>
      <c r="D215" s="696"/>
      <c r="E215" s="395" t="str">
        <f>IFERROR(8*E$176*'Apoio - Notas Explicativas'!$D$7/2/$D215,"")</f>
        <v/>
      </c>
      <c r="F215" s="395" t="str">
        <f>IFERROR((8*F$176*'Apoio - Notas Explicativas'!$D$7/2/$D215)*($F$27/$E$27),"")</f>
        <v/>
      </c>
      <c r="G215" s="395"/>
      <c r="H215" s="395"/>
      <c r="I215" s="393"/>
      <c r="K215" s="1" t="str">
        <f>IFERROR(('Apoio - Notas Explicativas'!$D$8/'Apoio - Notas Explicativas'!$D$6)*L215/D215,"")</f>
        <v/>
      </c>
      <c r="L215" s="696"/>
      <c r="M215" s="397">
        <f>SUM(E215:I215)</f>
        <v>0</v>
      </c>
      <c r="N215" s="397">
        <f t="shared" si="47"/>
        <v>0</v>
      </c>
      <c r="O215" s="397">
        <f t="shared" si="48"/>
        <v>0</v>
      </c>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87"/>
      <c r="B216" s="411"/>
      <c r="C216" s="401"/>
      <c r="D216" s="399"/>
      <c r="E216" s="288"/>
      <c r="F216" s="288"/>
      <c r="G216" s="288"/>
      <c r="H216" s="288"/>
      <c r="I216" s="288"/>
      <c r="K216" s="1" t="str">
        <f t="shared" si="46"/>
        <v/>
      </c>
      <c r="L216" s="408"/>
      <c r="M216" s="398"/>
      <c r="N216" s="398"/>
      <c r="O216" s="398"/>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87"/>
      <c r="B217" s="412"/>
      <c r="C217" s="172" t="s">
        <v>640</v>
      </c>
      <c r="D217" s="396"/>
      <c r="E217" s="396"/>
      <c r="F217" s="396"/>
      <c r="G217" s="396"/>
      <c r="H217" s="396"/>
      <c r="I217" s="396"/>
      <c r="K217" s="1"/>
      <c r="L217" s="396"/>
      <c r="M217" s="396"/>
      <c r="N217" s="396"/>
      <c r="O217" s="396"/>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0" t="s">
        <v>641</v>
      </c>
      <c r="C218" s="400" t="s">
        <v>646</v>
      </c>
      <c r="D218" s="696"/>
      <c r="E218" s="395"/>
      <c r="F218" s="395"/>
      <c r="G218" s="395" t="str">
        <f>IFERROR(8*G$176/3/$D218,"")</f>
        <v/>
      </c>
      <c r="H218" s="395" t="str">
        <f>IFERROR((8*H$176/3/$D218)*($H$27/$G$27),"")</f>
        <v/>
      </c>
      <c r="I218" s="393"/>
      <c r="K218" s="1" t="str">
        <f>IFERROR((1/'Apoio - Notas Explicativas'!$D$6)/3*L218/D218,"")</f>
        <v/>
      </c>
      <c r="L218" s="696"/>
      <c r="M218" s="397">
        <f>SUM(E218:I218)</f>
        <v>0</v>
      </c>
      <c r="N218" s="397">
        <f t="shared" ref="N218" si="49">L218*M218</f>
        <v>0</v>
      </c>
      <c r="O218" s="397">
        <f>N218*$D$12</f>
        <v>0</v>
      </c>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87"/>
      <c r="B219" s="411"/>
      <c r="C219" s="401"/>
      <c r="D219" s="399"/>
      <c r="E219" s="288"/>
      <c r="F219" s="288"/>
      <c r="G219" s="288"/>
      <c r="H219" s="288"/>
      <c r="I219" s="288"/>
      <c r="K219" s="1" t="str">
        <f t="shared" si="46"/>
        <v/>
      </c>
      <c r="L219" s="408"/>
      <c r="M219" s="397"/>
      <c r="N219" s="398"/>
      <c r="O219" s="398"/>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87"/>
      <c r="B220" s="412"/>
      <c r="C220" s="172" t="s">
        <v>642</v>
      </c>
      <c r="D220" s="396"/>
      <c r="E220" s="396"/>
      <c r="F220" s="396"/>
      <c r="G220" s="396"/>
      <c r="H220" s="396"/>
      <c r="I220" s="396"/>
      <c r="K220" s="1"/>
      <c r="L220" s="396"/>
      <c r="M220" s="396"/>
      <c r="N220" s="396"/>
      <c r="O220" s="396"/>
      <c r="R220" s="407"/>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87"/>
      <c r="B221" s="410" t="s">
        <v>643</v>
      </c>
      <c r="C221" s="400" t="s">
        <v>372</v>
      </c>
      <c r="D221" s="696"/>
      <c r="E221" s="395" t="str">
        <f>IFERROR(8*E$176*'Apoio - Notas Explicativas'!$D$6/$D221,"")</f>
        <v/>
      </c>
      <c r="F221" s="395" t="str">
        <f>IFERROR((8*F$176*'Apoio - Notas Explicativas'!$D$6/$D221)*($F$27/$E$27),"")</f>
        <v/>
      </c>
      <c r="G221" s="395"/>
      <c r="H221" s="395"/>
      <c r="I221" s="393"/>
      <c r="K221" s="1" t="str">
        <f t="shared" si="46"/>
        <v/>
      </c>
      <c r="L221" s="696"/>
      <c r="M221" s="397">
        <f>SUM(E221:I221)</f>
        <v>0</v>
      </c>
      <c r="N221" s="397">
        <f t="shared" ref="N221" si="50">L221*M221</f>
        <v>0</v>
      </c>
      <c r="O221" s="397">
        <f>N221*$D$12</f>
        <v>0</v>
      </c>
      <c r="R221" s="407"/>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3"/>
    <mergeCell ref="B142:B145"/>
    <mergeCell ref="B165:B167"/>
    <mergeCell ref="B54:B58"/>
    <mergeCell ref="B78:B81"/>
    <mergeCell ref="B86:B91"/>
    <mergeCell ref="B92:B96"/>
    <mergeCell ref="B97:B100"/>
    <mergeCell ref="B103:B106"/>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600-000000000000}"/>
    <dataValidation type="list" allowBlank="1" showInputMessage="1" showErrorMessage="1" sqref="D56" xr:uid="{00000000-0002-0000-0600-000001000000}">
      <formula1>"Sim,Não"</formula1>
    </dataValidation>
    <dataValidation type="list" allowBlank="1" showInputMessage="1" showErrorMessage="1" sqref="I51" xr:uid="{00000000-0002-0000-0600-000002000000}">
      <formula1>"0%,50%,100%"</formula1>
    </dataValidation>
    <dataValidation type="list" showInputMessage="1" sqref="I143 D141" xr:uid="{00000000-0002-0000-0600-000003000000}">
      <formula1>"Indenização,Rendição,Não"</formula1>
    </dataValidation>
    <dataValidation type="whole" allowBlank="1" showInputMessage="1" showErrorMessage="1" errorTitle="Erro de entrada" error="Informar a duração do contrato em meses" sqref="D12:E12" xr:uid="{00000000-0002-0000-0600-000004000000}">
      <formula1>1</formula1>
      <formula2>360</formula2>
    </dataValidation>
    <dataValidation type="list" allowBlank="1" showInputMessage="1" sqref="D11:E11" xr:uid="{00000000-0002-0000-0600-000005000000}">
      <formula1>"Valor Global,Mês,Dia,Hora"</formula1>
    </dataValidation>
    <dataValidation type="list" allowBlank="1" showInputMessage="1" sqref="E22:I22" xr:uid="{00000000-0002-0000-0600-000006000000}">
      <formula1>"180,200,220"</formula1>
    </dataValidation>
    <dataValidation type="list" sqref="E34:I34" xr:uid="{00000000-0002-0000-0600-000007000000}">
      <formula1>"0%,30%"</formula1>
    </dataValidation>
    <dataValidation sqref="E40:I41 E43:I43 E47:I47 E50:I50 E54:I54 E33:I33 E36:I36" xr:uid="{00000000-0002-0000-0600-000008000000}"/>
    <dataValidation type="list" sqref="E37:I37" xr:uid="{00000000-0002-0000-0600-000009000000}">
      <formula1>"Salário Base, Salário Mínimo,Não incide"</formula1>
    </dataValidation>
    <dataValidation type="list" sqref="E38:I38" xr:uid="{00000000-0002-0000-0600-00000A000000}">
      <formula1>"0,10%,20%,40%"</formula1>
    </dataValidation>
    <dataValidation type="list" allowBlank="1" sqref="E38:I38" xr:uid="{00000000-0002-0000-0600-00000B000000}">
      <formula1>"0%,10%,20%,40%"</formula1>
    </dataValidation>
    <dataValidation type="list" allowBlank="1" sqref="E51:H51" xr:uid="{00000000-0002-0000-0600-00000C000000}">
      <formula1>"0%,50%,100%"</formula1>
    </dataValidation>
    <dataValidation type="list" showInputMessage="1" sqref="E143:H143" xr:uid="{00000000-0002-0000-0600-00000D000000}">
      <formula1>"Indenização,Rendição"</formula1>
    </dataValidation>
    <dataValidation allowBlank="1" sqref="A19:XFD19" xr:uid="{00000000-0002-0000-0600-00000E000000}"/>
    <dataValidation type="list" allowBlank="1" sqref="D152" xr:uid="{00000000-0002-0000-0600-00000F000000}">
      <formula1>"Sim,Não"</formula1>
    </dataValidation>
  </dataValidations>
  <hyperlinks>
    <hyperlink ref="C151" location="'Mat Individual e Uniformes func'!A1" display="Material Individual e Uniformes" xr:uid="{00000000-0004-0000-0600-000000000000}"/>
    <hyperlink ref="C152" location="'Mat Coletivo e Equipamentos'!A1" display="Material Coletivo e Equipamentos" xr:uid="{00000000-0004-0000-0600-000001000000}"/>
    <hyperlink ref="E25:H25" r:id="rId1" display="http://www3.mte.gov.br/sistemas/mediador/ConsultarInstColetivo" xr:uid="{00000000-0004-0000-06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600-000010000000}">
          <x14:formula1>
            <xm:f>'Apoio - Posto'!#REF!</xm:f>
          </x14:formula1>
          <xm:sqref>G10:G11</xm:sqref>
        </x14:dataValidation>
        <x14:dataValidation type="list" allowBlank="1" showInputMessage="1" showErrorMessage="1" xr:uid="{00000000-0002-0000-0600-000011000000}">
          <x14:formula1>
            <xm:f>'Apoio - Notas Explicativas'!$H$15:$K$15</xm:f>
          </x14:formula1>
          <xm:sqref>D13</xm:sqref>
        </x14:dataValidation>
        <x14:dataValidation type="list" allowBlank="1" xr:uid="{00000000-0002-0000-0600-000012000000}">
          <x14:formula1>
            <xm:f>'Apoio - Dados'!$A:$A</xm:f>
          </x14:formula1>
          <xm:sqref>D5:E5</xm:sqref>
        </x14:dataValidation>
        <x14:dataValidation type="list" xr:uid="{00000000-0002-0000-0600-000013000000}">
          <x14:formula1>
            <xm:f>'Apoio - Posto'!$C:$C</xm:f>
          </x14:formula1>
          <xm:sqref>E23:I23</xm:sqref>
        </x14:dataValidation>
        <x14:dataValidation type="list" allowBlank="1" xr:uid="{00000000-0002-0000-0600-000014000000}">
          <x14:formula1>
            <xm:f>'Apoio - Posto'!$A:$A</xm:f>
          </x14:formula1>
          <xm:sqref>E18:I18</xm:sqref>
        </x14:dataValidation>
        <x14:dataValidation type="list" allowBlank="1" xr:uid="{00000000-0002-0000-0600-000015000000}">
          <x14:formula1>
            <xm:f>'Apoio - Posto'!$B:$B</xm:f>
          </x14:formula1>
          <xm:sqref>E20:I20</xm:sqref>
        </x14:dataValidation>
        <x14:dataValidation type="list" allowBlank="1" showInputMessage="1" showErrorMessage="1" xr:uid="{00000000-0002-0000-0600-000016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8"/>
  <dimension ref="B1:P82"/>
  <sheetViews>
    <sheetView showGridLines="0" zoomScale="90" zoomScaleNormal="90" workbookViewId="0">
      <selection activeCell="B2" sqref="B2:K2"/>
    </sheetView>
  </sheetViews>
  <sheetFormatPr defaultColWidth="9.140625" defaultRowHeight="15"/>
  <cols>
    <col min="1" max="1" width="1.5703125" style="42" customWidth="1"/>
    <col min="2" max="2" width="42.140625"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07" t="s">
        <v>76</v>
      </c>
      <c r="C2" s="808"/>
      <c r="D2" s="808"/>
      <c r="E2" s="808"/>
      <c r="F2" s="808"/>
      <c r="G2" s="808"/>
      <c r="H2" s="808"/>
      <c r="I2" s="808"/>
      <c r="J2" s="808"/>
      <c r="K2" s="809"/>
    </row>
    <row r="3" spans="2:12" ht="21">
      <c r="B3" s="816" t="str">
        <f>IF(IFERROR(SUM(Produtividade!L196:L221)&gt;0,FALSE()),Produtividade!D5,
IF(IFERROR(Veículos!$E$3&lt;&gt;"",FALSE()),'Mão de Obra'!D5,'Mão de Obra'!D5))</f>
        <v>SECRETARIA MUNICIPAL DA SAÚDE (SMS)</v>
      </c>
      <c r="C3" s="817"/>
      <c r="D3" s="817"/>
      <c r="E3" s="817"/>
      <c r="F3" s="817"/>
      <c r="G3" s="817"/>
      <c r="H3" s="817"/>
      <c r="I3" s="817"/>
      <c r="J3" s="817"/>
      <c r="K3" s="818"/>
    </row>
    <row r="4" spans="2:12" ht="21">
      <c r="B4" s="810" t="s">
        <v>431</v>
      </c>
      <c r="C4" s="811"/>
      <c r="D4" s="811"/>
      <c r="E4" s="811"/>
      <c r="F4" s="811"/>
      <c r="G4" s="811"/>
      <c r="H4" s="811"/>
      <c r="I4" s="811"/>
      <c r="J4" s="811"/>
      <c r="K4" s="812"/>
    </row>
    <row r="5" spans="2:12" ht="6.75" customHeight="1">
      <c r="B5" s="25"/>
      <c r="C5" s="25"/>
      <c r="D5" s="25"/>
      <c r="E5" s="25"/>
      <c r="F5" s="25"/>
      <c r="G5" s="25"/>
      <c r="H5" s="25"/>
      <c r="I5" s="25"/>
      <c r="J5" s="25"/>
      <c r="K5" s="25"/>
      <c r="L5" s="487"/>
    </row>
    <row r="6" spans="2:12" ht="15" customHeight="1">
      <c r="B6" s="343" t="s">
        <v>74</v>
      </c>
      <c r="C6" s="822">
        <f>IF(IFERROR(SUM(Produtividade!L196:L221)&gt;0,FALSE()),Produtividade!D6,
IF(IFERROR(Veículos!$E$3&lt;&gt;"",FALSE()),'Mão de Obra'!D6,
'Mão de Obra'!D6))</f>
        <v>0</v>
      </c>
      <c r="D6" s="822"/>
      <c r="E6" s="822"/>
      <c r="F6" s="822"/>
      <c r="G6" s="826" t="s">
        <v>70</v>
      </c>
      <c r="H6" s="826"/>
      <c r="I6" s="826"/>
      <c r="J6" s="824">
        <f>IF(IFERROR(SUM(Produtividade!L196:L221)&gt;0,FALSE()),Produtividade!D12,
IF(IFERROR(Veículos!$E$3&lt;&gt;"",FALSE()),'Mão de Obra'!D12,
'Mão de Obra'!D12))</f>
        <v>12</v>
      </c>
      <c r="K6" s="825"/>
    </row>
    <row r="7" spans="2:12" ht="15" customHeight="1">
      <c r="B7" s="349" t="s">
        <v>249</v>
      </c>
      <c r="C7" s="823" t="str">
        <f>IF(IFERROR(SUM(Produtividade!L196:L221)&gt;0,FALSE()),Produtividade!D7,
IF(IFERROR(Veículos!$E$3&lt;&gt;"",FALSE()),'Mão de Obra'!D7,
'Mão de Obra'!D7))</f>
        <v>26.0.000158828-0</v>
      </c>
      <c r="D7" s="823"/>
      <c r="E7" s="823"/>
      <c r="F7" s="823"/>
      <c r="G7" s="806" t="s">
        <v>110</v>
      </c>
      <c r="H7" s="806"/>
      <c r="I7" s="806"/>
      <c r="J7" s="814" t="str">
        <f>IF(IFERROR(SUM(Produtividade!L196:L221)&gt;0,FALSE()),Produtividade!D11,
IF(IFERROR(Veículos!$E$3&lt;&gt;"",FALSE()),'Mão de Obra'!D11,
'Mão de Obra'!D11))</f>
        <v>Mês</v>
      </c>
      <c r="K7" s="815"/>
    </row>
    <row r="8" spans="2:12" ht="32.25" customHeight="1">
      <c r="B8" s="819" t="str">
        <f>CONCATENATE("OBJETO: ",
IF(IFERROR(SUM(Produtividade!L196:L221)&gt;0,FALSE()),Produtividade!D8,
IF(IFERROR(Veículos!$E$3&lt;&gt;"",FALSE()),'Mão de Obra'!D8,
'Mão de Obra'!D8)))</f>
        <v>OBJETO: Contratação de empresa para execução serviço de Eletricistas e Eletrotécnicos</v>
      </c>
      <c r="C8" s="820"/>
      <c r="D8" s="820"/>
      <c r="E8" s="820"/>
      <c r="F8" s="820"/>
      <c r="G8" s="820"/>
      <c r="H8" s="820"/>
      <c r="I8" s="820"/>
      <c r="J8" s="820"/>
      <c r="K8" s="821"/>
    </row>
    <row r="9" spans="2:12" ht="15" customHeight="1">
      <c r="B9" s="349" t="s">
        <v>64</v>
      </c>
      <c r="C9" s="813"/>
      <c r="D9" s="813"/>
      <c r="E9" s="813"/>
      <c r="F9" s="813"/>
      <c r="G9" s="806" t="s">
        <v>318</v>
      </c>
      <c r="H9" s="806"/>
      <c r="I9" s="348"/>
      <c r="J9" s="814" t="str">
        <f>IF(IFERROR(SUM(Produtividade!L196:L221)&gt;0,FALSE()),Produtividade!D13,
IF(IFERROR(Veículos!$E$3&lt;&gt;"",FALSE()),'Mão de Obra'!D13,
'Mão de Obra'!D13))</f>
        <v>Lucro Presumido</v>
      </c>
      <c r="K9" s="815"/>
    </row>
    <row r="10" spans="2:12">
      <c r="B10" s="346" t="s">
        <v>72</v>
      </c>
      <c r="C10" s="840"/>
      <c r="D10" s="840"/>
      <c r="E10" s="840"/>
      <c r="F10" s="840"/>
      <c r="G10" s="835" t="s">
        <v>319</v>
      </c>
      <c r="H10" s="835"/>
      <c r="I10" s="347"/>
      <c r="J10" s="831">
        <f>IF(IFERROR(SUM(Produtividade!L196:L221)&gt;0,FALSE()),Produtividade!D14,
IF(IFERROR(Veículos!$E$3&lt;&gt;"",FALSE()),'Mão de Obra'!D14,
'Mão de Obra'!D14))</f>
        <v>0</v>
      </c>
      <c r="K10" s="832"/>
    </row>
    <row r="11" spans="2:12" ht="15" customHeight="1">
      <c r="B11" s="346" t="s">
        <v>65</v>
      </c>
      <c r="C11" s="813"/>
      <c r="D11" s="813"/>
      <c r="E11" s="813"/>
      <c r="F11" s="813"/>
      <c r="G11" s="835" t="s">
        <v>75</v>
      </c>
      <c r="H11" s="835"/>
      <c r="I11" s="841" t="s">
        <v>456</v>
      </c>
      <c r="J11" s="841"/>
      <c r="K11" s="842"/>
    </row>
    <row r="12" spans="2:12">
      <c r="B12" s="345" t="s">
        <v>66</v>
      </c>
      <c r="C12" s="839"/>
      <c r="D12" s="839"/>
      <c r="E12" s="839"/>
      <c r="F12" s="839"/>
      <c r="G12" s="835" t="s">
        <v>321</v>
      </c>
      <c r="H12" s="835"/>
      <c r="I12" s="837"/>
      <c r="J12" s="837"/>
      <c r="K12" s="838"/>
    </row>
    <row r="13" spans="2:12">
      <c r="B13" s="344" t="s">
        <v>73</v>
      </c>
      <c r="C13" s="830"/>
      <c r="D13" s="830"/>
      <c r="E13" s="830"/>
      <c r="F13" s="830"/>
      <c r="G13" s="836" t="s">
        <v>67</v>
      </c>
      <c r="H13" s="836"/>
      <c r="I13" s="833"/>
      <c r="J13" s="833"/>
      <c r="K13" s="834"/>
    </row>
    <row r="14" spans="2:12" ht="6.75" customHeight="1">
      <c r="B14" s="26"/>
      <c r="C14" s="26"/>
      <c r="D14" s="26"/>
      <c r="E14" s="26"/>
      <c r="F14" s="26"/>
      <c r="G14" s="26"/>
      <c r="H14" s="26"/>
      <c r="I14" s="26"/>
      <c r="J14" s="26"/>
    </row>
    <row r="15" spans="2:12">
      <c r="B15" s="462" t="s">
        <v>754</v>
      </c>
      <c r="C15" s="463"/>
      <c r="D15" s="463"/>
      <c r="E15" s="463"/>
      <c r="F15" s="463"/>
      <c r="G15" s="463"/>
      <c r="H15" s="463"/>
      <c r="I15" s="463"/>
      <c r="J15" s="463"/>
      <c r="K15" s="464"/>
    </row>
    <row r="16" spans="2:12" ht="30">
      <c r="B16" s="465" t="s">
        <v>489</v>
      </c>
      <c r="C16" s="466" t="s">
        <v>69</v>
      </c>
      <c r="D16" s="466" t="s">
        <v>68</v>
      </c>
      <c r="E16" s="466" t="s">
        <v>407</v>
      </c>
      <c r="F16" s="467" t="s">
        <v>408</v>
      </c>
      <c r="G16" s="467" t="s">
        <v>428</v>
      </c>
      <c r="H16" s="467" t="s">
        <v>429</v>
      </c>
      <c r="I16" s="467" t="s">
        <v>430</v>
      </c>
      <c r="J16" s="467" t="s">
        <v>442</v>
      </c>
      <c r="K16" s="468" t="s">
        <v>396</v>
      </c>
    </row>
    <row r="17" spans="2:14" ht="19.5" customHeight="1">
      <c r="B17" s="469" t="str">
        <f>IF(
INDEX('Mão de Obra'!$E$18:$X$18,1,ROW()-ROW($B$16))&lt;&gt;0,
INDEX('Mão de Obra'!$E$18:$X$18,1,ROW()-ROW($B$16)),
"OCULTAR ESTA LINHA"
)</f>
        <v>Eletricista Industrial</v>
      </c>
      <c r="C17" s="470" t="str">
        <f>INDEX('Mão de Obra'!$E$17:$X$17,1,ROW()-ROW($C$16))</f>
        <v>Posto A</v>
      </c>
      <c r="D17" s="471" t="str">
        <f>INDEX('Mão de Obra'!$E$26:$X$26,1,ROW()-ROW($D$16))</f>
        <v>12x36 Diurno</v>
      </c>
      <c r="E17" s="472">
        <f>INDEX('Mão de Obra'!$E$27:$X$27,1,ROW()-ROW($E$16))</f>
        <v>3</v>
      </c>
      <c r="F17" s="472">
        <f>INDEX('Mão de Obra'!$E$29:$X$29,1,ROW()-ROW($F$16))</f>
        <v>6</v>
      </c>
      <c r="G17" s="473">
        <f>INDEX('Mão de Obra'!$E$176:$X$176,1,ROW()-ROW($G$16))</f>
        <v>47.73</v>
      </c>
      <c r="H17" s="473">
        <f>INDEX('Mão de Obra'!$E$177:$X$177,1,ROW()-ROW($I$16))</f>
        <v>572.75</v>
      </c>
      <c r="I17" s="473">
        <f>INDEX('Mão de Obra'!$E$179:$X$179,1,ROW()-ROW($I$16))</f>
        <v>17182.439999999999</v>
      </c>
      <c r="J17" s="473">
        <f>INDEX('Mão de Obra'!$E$185:$X$185,1,ROW()-ROW($I$16))</f>
        <v>51547.32</v>
      </c>
      <c r="K17" s="474">
        <f>INDEX('Mão de Obra'!$E$191:$X$191,1,ROW()-ROW($I$16))</f>
        <v>618567.84</v>
      </c>
      <c r="M17" s="492"/>
    </row>
    <row r="18" spans="2:14">
      <c r="B18" s="469" t="str">
        <f>IF(
INDEX('Mão de Obra'!$E$18:$X$18,1,ROW()-ROW($B$16))&lt;&gt;0,
INDEX('Mão de Obra'!$E$18:$X$18,1,ROW()-ROW($B$16)),
"OCULTAR ESTA LINHA"
)</f>
        <v>Eletricista Industrial</v>
      </c>
      <c r="C18" s="470" t="str">
        <f>INDEX('Mão de Obra'!$E$17:$X$17,1,ROW()-ROW($C$16))</f>
        <v>Posto B</v>
      </c>
      <c r="D18" s="471" t="str">
        <f>INDEX('Mão de Obra'!$E$26:$X$26,1,ROW()-ROW($D$16))</f>
        <v>12x36 Noturno</v>
      </c>
      <c r="E18" s="472">
        <f>INDEX('Mão de Obra'!$E$27:$X$27,1,ROW()-ROW($E$16))</f>
        <v>3</v>
      </c>
      <c r="F18" s="472">
        <f>INDEX('Mão de Obra'!$E$29:$X$29,1,ROW()-ROW($F$16))</f>
        <v>6</v>
      </c>
      <c r="G18" s="473">
        <f>INDEX('Mão de Obra'!$E$176:$X$176,1,ROW()-ROW($G$16))</f>
        <v>56.37</v>
      </c>
      <c r="H18" s="473">
        <f>INDEX('Mão de Obra'!$E$177:$X$177,1,ROW()-ROW($I$16))</f>
        <v>676.44</v>
      </c>
      <c r="I18" s="473">
        <f>INDEX('Mão de Obra'!$E$179:$X$179,1,ROW()-ROW($I$16))</f>
        <v>20293.12</v>
      </c>
      <c r="J18" s="473">
        <f>INDEX('Mão de Obra'!$E$185:$X$185,1,ROW()-ROW($I$16))</f>
        <v>60879.360000000001</v>
      </c>
      <c r="K18" s="474">
        <f>INDEX('Mão de Obra'!$E$191:$X$191,1,ROW()-ROW($I$16))</f>
        <v>730552.31999999995</v>
      </c>
      <c r="N18" s="491"/>
    </row>
    <row r="19" spans="2:14" hidden="1">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hidden="1">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hidden="1">
      <c r="B21" s="469"/>
      <c r="C21" s="470"/>
      <c r="D21" s="471"/>
      <c r="E21" s="472"/>
      <c r="F21" s="472"/>
      <c r="G21" s="473"/>
      <c r="H21" s="473"/>
      <c r="I21" s="473"/>
      <c r="J21" s="473"/>
      <c r="K21" s="474"/>
    </row>
    <row r="22" spans="2:14" hidden="1">
      <c r="B22" s="469"/>
      <c r="C22" s="470"/>
      <c r="D22" s="471"/>
      <c r="E22" s="472"/>
      <c r="F22" s="472"/>
      <c r="G22" s="473"/>
      <c r="H22" s="473"/>
      <c r="I22" s="473"/>
      <c r="J22" s="473"/>
      <c r="K22" s="474"/>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6</v>
      </c>
      <c r="F27" s="475">
        <f>SUM(F17:F26)</f>
        <v>12</v>
      </c>
      <c r="G27" s="476"/>
      <c r="H27" s="476"/>
      <c r="I27" s="476"/>
      <c r="J27" s="476">
        <f>SUM(J17:J26)</f>
        <v>112426.68</v>
      </c>
      <c r="K27" s="761">
        <f>SUM(K17:K26)</f>
        <v>1349120.16</v>
      </c>
      <c r="M27" s="647"/>
    </row>
    <row r="28" spans="2:14" ht="6.75" customHeight="1">
      <c r="B28" s="477"/>
      <c r="C28" s="477"/>
      <c r="D28" s="477"/>
      <c r="E28" s="478"/>
      <c r="F28" s="478"/>
      <c r="G28" s="645"/>
      <c r="H28" s="645"/>
      <c r="I28" s="645"/>
      <c r="J28" s="645"/>
      <c r="K28" s="645"/>
    </row>
    <row r="29" spans="2:14">
      <c r="B29" s="462" t="s">
        <v>485</v>
      </c>
      <c r="C29" s="463"/>
      <c r="D29" s="463"/>
      <c r="E29" s="463"/>
      <c r="F29" s="463"/>
      <c r="G29" s="463"/>
      <c r="H29" s="463"/>
      <c r="I29" s="463"/>
      <c r="J29" s="463"/>
      <c r="K29" s="464"/>
    </row>
    <row r="30" spans="2:14">
      <c r="B30" s="465" t="s">
        <v>481</v>
      </c>
      <c r="C30" s="466"/>
      <c r="D30" s="466"/>
      <c r="E30" s="466"/>
      <c r="F30" s="466"/>
      <c r="G30" s="467"/>
      <c r="H30" s="467"/>
      <c r="I30" s="467"/>
      <c r="J30" s="467" t="s">
        <v>442</v>
      </c>
      <c r="K30" s="468" t="s">
        <v>396</v>
      </c>
    </row>
    <row r="31" spans="2:14">
      <c r="B31" s="646" t="s">
        <v>481</v>
      </c>
      <c r="C31" s="470"/>
      <c r="D31" s="472"/>
      <c r="E31" s="480"/>
      <c r="F31" s="481"/>
      <c r="G31" s="473"/>
      <c r="H31" s="473"/>
      <c r="I31" s="473"/>
      <c r="J31" s="775">
        <f>IFERROR(IF(OR('Mão de Obra'!$D$152="Não",'Mão de Obra'!$D$152=""),
'Mat Coletivo e Equipamentos'!J4,""),0)</f>
        <v>2658.7000000000003</v>
      </c>
      <c r="K31" s="776">
        <f>IFERROR(J31*J6,0)</f>
        <v>31904.400000000001</v>
      </c>
      <c r="M31" s="647"/>
    </row>
    <row r="32" spans="2:14">
      <c r="B32" s="462"/>
      <c r="C32" s="463"/>
      <c r="D32" s="463"/>
      <c r="E32" s="463"/>
      <c r="F32" s="475"/>
      <c r="G32" s="483"/>
      <c r="H32" s="483"/>
      <c r="I32" s="483"/>
      <c r="J32" s="777">
        <f>SUM(J31)</f>
        <v>2658.7000000000003</v>
      </c>
      <c r="K32" s="778">
        <f>SUM(K31)</f>
        <v>31904.400000000001</v>
      </c>
    </row>
    <row r="33" spans="2:14" ht="6.75" customHeight="1">
      <c r="B33" s="477"/>
      <c r="C33" s="477"/>
      <c r="D33" s="477"/>
      <c r="E33" s="477"/>
      <c r="F33" s="478"/>
      <c r="G33" s="479"/>
      <c r="H33" s="479"/>
      <c r="I33" s="479"/>
      <c r="J33" s="479"/>
      <c r="K33" s="479"/>
    </row>
    <row r="34" spans="2:14" hidden="1">
      <c r="B34" s="462" t="s">
        <v>418</v>
      </c>
      <c r="C34" s="463"/>
      <c r="D34" s="463"/>
      <c r="E34" s="463"/>
      <c r="F34" s="463"/>
      <c r="G34" s="463"/>
      <c r="H34" s="463"/>
      <c r="I34" s="463"/>
      <c r="J34" s="463"/>
      <c r="K34" s="464"/>
    </row>
    <row r="35" spans="2:14" ht="15" hidden="1" customHeight="1">
      <c r="B35" s="465" t="s">
        <v>413</v>
      </c>
      <c r="C35" s="466"/>
      <c r="D35" s="466" t="s">
        <v>415</v>
      </c>
      <c r="E35" s="466" t="s">
        <v>450</v>
      </c>
      <c r="F35" s="466" t="s">
        <v>414</v>
      </c>
      <c r="G35" s="467" t="s">
        <v>428</v>
      </c>
      <c r="H35" s="467" t="s">
        <v>446</v>
      </c>
      <c r="I35" s="467" t="s">
        <v>430</v>
      </c>
      <c r="J35" s="467" t="s">
        <v>442</v>
      </c>
      <c r="K35" s="468" t="s">
        <v>396</v>
      </c>
    </row>
    <row r="36" spans="2:14" hidden="1">
      <c r="B36" s="469" t="str">
        <f>IF(
INDEX(Veículos!$E$3:$AR$3,1,ROW()-ROW(B$35))&lt;&gt;"",
INDEX(Veículos!$E$3:$AR$3,1,ROW()-ROW(B$35)),
"OCULTAR ESTA LINHA")</f>
        <v>OCULTAR ESTA LINHA</v>
      </c>
      <c r="C36" s="470"/>
      <c r="D36" s="472">
        <f>INDEX(Veículos!$E$4:$CS$4,1,ROW()-ROW(D$35))</f>
        <v>0</v>
      </c>
      <c r="E36" s="480" t="str">
        <f>INDEX(Veículos!$E$88:$CS$88,1,ROW()-ROW(E$35))</f>
        <v/>
      </c>
      <c r="F36" s="481">
        <f>INDEX(Veículos!$E$5:$AR$5,1,ROW()-ROW(F$35))</f>
        <v>0</v>
      </c>
      <c r="G36" s="473" t="str">
        <f>INDEX(Veículos!$E$89:$CS$89,1,ROW()-ROW(G$35))</f>
        <v/>
      </c>
      <c r="H36" s="473" t="str">
        <f>INDEX(Veículos!$E$86:$CS$86,1,ROW()-ROW(H$35))</f>
        <v/>
      </c>
      <c r="I36" s="473" t="str">
        <f>INDEX(Veículos!$E$94:$CS$94,1,ROW()-ROW(I$35))</f>
        <v/>
      </c>
      <c r="J36" s="482" t="str">
        <f>INDEX(Veículos!$E$99:$CS$99,1,ROW()-ROW(J$35))</f>
        <v/>
      </c>
      <c r="K36" s="474" t="str">
        <f>INDEX(Veículos!$E$100:$CS$100,1,ROW()-ROW(K$35))</f>
        <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hidden="1">
      <c r="B41" s="462"/>
      <c r="C41" s="463"/>
      <c r="D41" s="463"/>
      <c r="E41" s="463"/>
      <c r="F41" s="475"/>
      <c r="G41" s="483"/>
      <c r="H41" s="483"/>
      <c r="I41" s="483"/>
      <c r="J41" s="483">
        <f>SUM(J36:J40)</f>
        <v>0</v>
      </c>
      <c r="K41" s="484">
        <f>SUM(K36:K40)</f>
        <v>0</v>
      </c>
    </row>
    <row r="42" spans="2:14" ht="6.75" hidden="1" customHeight="1">
      <c r="B42" s="477"/>
      <c r="C42" s="477"/>
      <c r="D42" s="477"/>
      <c r="E42" s="477"/>
      <c r="F42" s="478"/>
      <c r="G42" s="478"/>
      <c r="H42" s="479"/>
      <c r="I42" s="479"/>
      <c r="J42" s="479"/>
      <c r="K42" s="479"/>
    </row>
    <row r="43" spans="2:14" hidden="1">
      <c r="B43" s="462" t="s">
        <v>417</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4"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4"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4"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4"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4"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4" hidden="1">
      <c r="B54" s="462"/>
      <c r="C54" s="463"/>
      <c r="D54" s="463"/>
      <c r="E54" s="463"/>
      <c r="F54" s="475"/>
      <c r="G54" s="483"/>
      <c r="H54" s="486">
        <f>SUM(H45:H53)</f>
        <v>0</v>
      </c>
      <c r="I54" s="483"/>
      <c r="J54" s="483">
        <f>SUM(J45:J53)</f>
        <v>0</v>
      </c>
      <c r="K54" s="484">
        <f>SUM(K45:K53)</f>
        <v>0</v>
      </c>
      <c r="N54" s="488"/>
    </row>
    <row r="55" spans="2:14" ht="15" hidden="1" customHeight="1">
      <c r="B55" s="42"/>
      <c r="C55" s="42"/>
      <c r="D55" s="42"/>
      <c r="E55" s="42"/>
      <c r="F55" s="42"/>
      <c r="G55" s="42"/>
      <c r="H55" s="42"/>
      <c r="I55" s="42"/>
      <c r="J55" s="42"/>
      <c r="K55" s="42"/>
    </row>
    <row r="56" spans="2:14" ht="15" customHeight="1">
      <c r="B56" s="462" t="s">
        <v>748</v>
      </c>
      <c r="C56" s="463"/>
      <c r="D56" s="463"/>
      <c r="E56" s="463"/>
      <c r="F56" s="463"/>
      <c r="G56" s="463"/>
      <c r="H56" s="463"/>
      <c r="I56" s="463"/>
      <c r="J56" s="463"/>
      <c r="K56" s="464"/>
    </row>
    <row r="57" spans="2:14" ht="15" customHeight="1">
      <c r="B57" s="465" t="s">
        <v>749</v>
      </c>
      <c r="C57" s="466" t="s">
        <v>750</v>
      </c>
      <c r="D57" s="466" t="s">
        <v>68</v>
      </c>
      <c r="E57" s="466" t="s">
        <v>407</v>
      </c>
      <c r="F57" s="467" t="s">
        <v>408</v>
      </c>
      <c r="G57" s="467" t="s">
        <v>428</v>
      </c>
      <c r="H57" s="467" t="s">
        <v>429</v>
      </c>
      <c r="I57" s="467" t="s">
        <v>430</v>
      </c>
      <c r="J57" s="467" t="s">
        <v>442</v>
      </c>
      <c r="K57" s="468" t="s">
        <v>396</v>
      </c>
    </row>
    <row r="58" spans="2:14" ht="15" customHeight="1">
      <c r="B58" s="646" t="s">
        <v>751</v>
      </c>
      <c r="C58" s="290" t="s">
        <v>752</v>
      </c>
      <c r="D58" s="796">
        <f>60/12</f>
        <v>5</v>
      </c>
      <c r="E58" s="290">
        <v>1</v>
      </c>
      <c r="F58" s="797">
        <v>1</v>
      </c>
      <c r="G58" s="798">
        <f>'Mão de Obra'!I176</f>
        <v>232.19</v>
      </c>
      <c r="H58" s="798" t="s">
        <v>388</v>
      </c>
      <c r="I58" s="798">
        <f>G58*D58</f>
        <v>1160.95</v>
      </c>
      <c r="J58" s="798">
        <f>I58</f>
        <v>1160.95</v>
      </c>
      <c r="K58" s="799">
        <f>J58*$J$6</f>
        <v>13931.400000000001</v>
      </c>
    </row>
    <row r="59" spans="2:14" ht="15" customHeight="1">
      <c r="B59" s="469" t="s">
        <v>753</v>
      </c>
      <c r="C59" s="290" t="s">
        <v>752</v>
      </c>
      <c r="D59" s="800">
        <f>60/12</f>
        <v>5</v>
      </c>
      <c r="E59" s="801">
        <v>1</v>
      </c>
      <c r="F59" s="801">
        <v>1</v>
      </c>
      <c r="G59" s="798">
        <f>'Mão de Obra'!J176</f>
        <v>232.19</v>
      </c>
      <c r="H59" s="802" t="s">
        <v>388</v>
      </c>
      <c r="I59" s="798">
        <f>G59*D59</f>
        <v>1160.95</v>
      </c>
      <c r="J59" s="798">
        <f>I59</f>
        <v>1160.95</v>
      </c>
      <c r="K59" s="799">
        <f>J59*$J$6</f>
        <v>13931.400000000001</v>
      </c>
    </row>
    <row r="60" spans="2:14" ht="15" customHeight="1">
      <c r="B60" s="462"/>
      <c r="C60" s="463"/>
      <c r="D60" s="463"/>
      <c r="E60" s="475"/>
      <c r="F60" s="475"/>
      <c r="G60" s="476"/>
      <c r="H60" s="476"/>
      <c r="I60" s="476"/>
      <c r="J60" s="476">
        <f>J59+J58</f>
        <v>2321.9</v>
      </c>
      <c r="K60" s="761">
        <f>K59+K58</f>
        <v>27862.800000000003</v>
      </c>
    </row>
    <row r="61" spans="2:14" ht="6.75" customHeight="1">
      <c r="B61" s="42"/>
      <c r="C61" s="42"/>
      <c r="D61" s="42"/>
      <c r="E61" s="42"/>
      <c r="F61" s="42"/>
      <c r="G61" s="42"/>
      <c r="H61" s="42"/>
      <c r="I61" s="42"/>
      <c r="J61" s="42"/>
      <c r="K61" s="42"/>
    </row>
    <row r="62" spans="2:14" hidden="1">
      <c r="B62" s="27" t="s">
        <v>416</v>
      </c>
      <c r="C62" s="28"/>
      <c r="D62" s="28"/>
      <c r="E62" s="28"/>
      <c r="F62" s="28"/>
      <c r="G62" s="28"/>
      <c r="H62" s="28"/>
      <c r="I62" s="31"/>
      <c r="J62" s="31"/>
      <c r="K62" s="32"/>
    </row>
    <row r="63" spans="2:14" hidden="1">
      <c r="B63" s="374" t="s">
        <v>253</v>
      </c>
      <c r="C63" s="375"/>
      <c r="D63" s="375"/>
      <c r="E63" s="375"/>
      <c r="F63" s="375"/>
      <c r="G63" s="375"/>
      <c r="H63" s="375"/>
      <c r="I63" s="375"/>
      <c r="J63" s="376" t="s">
        <v>322</v>
      </c>
      <c r="K63" s="377" t="s">
        <v>345</v>
      </c>
    </row>
    <row r="64" spans="2:14" hidden="1">
      <c r="B64" s="51" t="s">
        <v>233</v>
      </c>
      <c r="C64" s="3"/>
      <c r="D64" s="3"/>
      <c r="E64" s="3"/>
      <c r="F64" s="3"/>
      <c r="G64" s="3"/>
      <c r="H64" s="3"/>
      <c r="I64" s="370"/>
      <c r="J64" s="764">
        <f>SUM(
IFERROR(SUM(Produtividade!$E182:$II182),0),
IFERROR(SUM('Mão de Obra'!$E$182:$II$182),0)
)</f>
        <v>84425.4</v>
      </c>
      <c r="K64" s="765">
        <f>J64*$J$6</f>
        <v>1013104.7999999999</v>
      </c>
      <c r="L64" s="488"/>
      <c r="M64" s="647"/>
    </row>
    <row r="65" spans="2:16" hidden="1">
      <c r="B65" s="51" t="s">
        <v>275</v>
      </c>
      <c r="I65" s="371"/>
      <c r="J65" s="766">
        <f>SUM(
IFERROR(SUMPRODUCT(Produtividade!E151:II151,Produtividade!$E$29:$II$29),0),
IFERROR(SUMPRODUCT('Mão de Obra'!E151:II151,'Mão de Obra'!$E$29:$II$29),0)
)</f>
        <v>4493.88</v>
      </c>
      <c r="K65" s="765">
        <f>J65*$J$6</f>
        <v>53926.559999999998</v>
      </c>
      <c r="L65" s="488"/>
      <c r="M65" s="647"/>
    </row>
    <row r="66" spans="2:16" hidden="1">
      <c r="B66" s="51" t="s">
        <v>274</v>
      </c>
      <c r="I66" s="371"/>
      <c r="J66" s="766">
        <f>IF(OR('Mão de Obra'!$D$152="Não",'Mão de Obra'!$D$152=""),'Mat Coletivo e Equipamentos'!I4,0)
+
SUM(
IFERROR(SUMPRODUCT('Mão de Obra'!E152:II152,'Mão de Obra'!$E$29:$II$29),0),
IFERROR(SUMPRODUCT(Produtividade!E152:II152,Produtividade!$E$29:$II$29),0))</f>
        <v>2402.8199999999997</v>
      </c>
      <c r="K66" s="765">
        <f>J66*$J$6</f>
        <v>28833.839999999997</v>
      </c>
      <c r="L66" s="488"/>
      <c r="M66" s="647"/>
    </row>
    <row r="67" spans="2:16" hidden="1">
      <c r="B67" s="51" t="s">
        <v>423</v>
      </c>
      <c r="I67" s="371"/>
      <c r="J67" s="29">
        <f>IFERROR(SUM(Veículos!E97:II97),0)</f>
        <v>0</v>
      </c>
      <c r="K67" s="765">
        <f>IFERROR(J67*$J$6,0)</f>
        <v>0</v>
      </c>
      <c r="L67" s="488"/>
      <c r="M67" s="647"/>
    </row>
    <row r="68" spans="2:16" hidden="1">
      <c r="B68" s="706" t="s">
        <v>252</v>
      </c>
      <c r="C68" s="3"/>
      <c r="D68" s="3"/>
      <c r="E68" s="3"/>
      <c r="F68" s="3"/>
      <c r="G68" s="3"/>
      <c r="H68" s="3"/>
      <c r="I68" s="707"/>
      <c r="J68" s="40">
        <f>IFERROR(SUM(J64:J67),0)</f>
        <v>91322.1</v>
      </c>
      <c r="K68" s="767">
        <f>IFERROR(J68*$J$6,0)</f>
        <v>1095865.2000000002</v>
      </c>
      <c r="L68" s="488"/>
      <c r="M68" s="647"/>
    </row>
    <row r="69" spans="2:16" hidden="1">
      <c r="B69" s="708" t="s">
        <v>174</v>
      </c>
      <c r="C69" s="709"/>
      <c r="D69" s="709"/>
      <c r="E69" s="709"/>
      <c r="F69" s="709"/>
      <c r="G69" s="709"/>
      <c r="H69" s="709"/>
      <c r="I69" s="710"/>
      <c r="J69" s="768"/>
      <c r="K69" s="769"/>
      <c r="L69" s="488"/>
      <c r="M69" s="647"/>
    </row>
    <row r="70" spans="2:16" hidden="1">
      <c r="B70" s="51" t="s">
        <v>255</v>
      </c>
      <c r="C70" s="255"/>
      <c r="F70" s="29"/>
      <c r="I70" s="372"/>
      <c r="J70" s="770">
        <f>IFERROR(
SUM(
IFERROR(SUMPRODUCT('Mão de Obra'!E158:II158,'Mão de Obra'!$E$29:$II$29),0),
IFERROR(SUMPRODUCT(Produtividade!E158:II158,Produtividade!$E$29:$II$29),0),
IFERROR(SUMPRODUCT(Veículos!E68:II68,Veículos!$E$4:$II$4),0)
)
*
(1+IF(OR('Mão de Obra'!$D$152="Não",'Mão de Obra'!$D$152=""),'Mat Coletivo e Equipamentos'!I4,0)/SUM(J68,-'Mat Coletivo e Equipamentos'!I4)),0)</f>
        <v>4566.0803514603367</v>
      </c>
      <c r="K70" s="765">
        <f>J70*$J$6</f>
        <v>54792.964217524044</v>
      </c>
      <c r="L70" s="488"/>
      <c r="M70" s="647"/>
      <c r="N70" s="648"/>
      <c r="P70" s="488"/>
    </row>
    <row r="71" spans="2:16" hidden="1">
      <c r="B71" s="51" t="s">
        <v>228</v>
      </c>
      <c r="C71" s="255"/>
      <c r="F71" s="29"/>
      <c r="H71" s="33"/>
      <c r="I71" s="372"/>
      <c r="J71" s="770">
        <f>IFERROR(
SUM(
IFERROR(SUMPRODUCT('Mão de Obra'!E159:II159,'Mão de Obra'!$E$29:$II$29),0),
IFERROR(SUMPRODUCT(Produtividade!E159:II159,Produtividade!$E$29:$II$29),0),
IFERROR(SUMPRODUCT(Veículos!E69:II69,Veículos!$E$4:$II$4),0)
)
*
(1+IF(OR('Mão de Obra'!$D$152="Não",'Mão de Obra'!$D$152=""),'Mat Coletivo e Equipamentos'!I4,0)/SUM(J68,-'Mat Coletivo e Equipamentos'!I4)),0)</f>
        <v>9588.836521550782</v>
      </c>
      <c r="K71" s="765">
        <f>J71*$J$6</f>
        <v>115066.03825860939</v>
      </c>
      <c r="L71" s="488"/>
      <c r="M71" s="647"/>
    </row>
    <row r="72" spans="2:16" hidden="1">
      <c r="B72" s="51" t="s">
        <v>254</v>
      </c>
      <c r="C72" s="255"/>
      <c r="F72" s="29"/>
      <c r="H72" s="33"/>
      <c r="I72" s="372"/>
      <c r="J72" s="770">
        <f>IFERROR(
SUM(
IFERROR(SUMPRODUCT('Mão de Obra'!E169:II169,'Mão de Obra'!$E$29:$II$29),0),
IFERROR(SUMPRODUCT(Produtividade!E169:II169,Produtividade!$E$29:$II$29),0),
IFERROR(SUMPRODUCT(Veículos!E79:II79,Veículos!$E$4:$II$4),0)
)
*
(1+IF(OR('Mão de Obra'!$D$152="Não",'Mão de Obra'!$D$152=""),'Mat Coletivo e Equipamentos'!I4,0)/SUM(J68,-'Mat Coletivo e Equipamentos'!I4)),0)</f>
        <v>9987.7115146681354</v>
      </c>
      <c r="K72" s="765">
        <f>J72*$J$6</f>
        <v>119852.53817601762</v>
      </c>
      <c r="L72" s="488"/>
      <c r="M72" s="647"/>
    </row>
    <row r="73" spans="2:16" hidden="1">
      <c r="B73" s="55" t="s">
        <v>252</v>
      </c>
      <c r="C73" s="52"/>
      <c r="D73" s="52"/>
      <c r="E73" s="52"/>
      <c r="F73" s="53"/>
      <c r="G73" s="54"/>
      <c r="H73" s="54"/>
      <c r="I73" s="373"/>
      <c r="J73" s="54">
        <f>IFERROR(
SUM(
IFERROR(SUMPRODUCT('Mão de Obra'!E171:II171,'Mão de Obra'!$E$29:$II$29),0),
IFERROR(SUMPRODUCT(Produtividade!E171:II171,Produtividade!$E$29:$II$29),0),
IFERROR(SUMPRODUCT(Veículos!E81:II81,Veículos!$E$4:$II$4),0),
IFERROR('Mat Coletivo e Equipamentos'!J4-'Mat Coletivo e Equipamentos'!I4,0)
),0)</f>
        <v>23763.280000000002</v>
      </c>
      <c r="K73" s="771">
        <f>J73*$J$6</f>
        <v>285159.36000000004</v>
      </c>
      <c r="L73" s="488"/>
      <c r="M73" s="647"/>
      <c r="N73" s="488"/>
    </row>
    <row r="74" spans="2:16">
      <c r="B74" s="56" t="s">
        <v>222</v>
      </c>
      <c r="C74" s="28"/>
      <c r="D74" s="28"/>
      <c r="E74" s="28"/>
      <c r="F74" s="31"/>
      <c r="G74" s="30"/>
      <c r="H74" s="30"/>
      <c r="I74" s="30"/>
      <c r="J74" s="30">
        <f>SUM(J60,J68,J73)</f>
        <v>117407.28</v>
      </c>
      <c r="K74" s="772">
        <f>SUM(K60,K68,K73)</f>
        <v>1408887.3600000003</v>
      </c>
      <c r="M74" s="647"/>
      <c r="N74" s="488"/>
    </row>
    <row r="75" spans="2:16" ht="6.75" customHeight="1">
      <c r="B75" s="350"/>
      <c r="C75" s="3"/>
      <c r="D75" s="3"/>
      <c r="E75" s="3"/>
      <c r="F75" s="299"/>
      <c r="G75" s="299"/>
      <c r="H75" s="40"/>
      <c r="I75" s="40"/>
      <c r="J75" s="40"/>
      <c r="K75" s="40"/>
      <c r="L75" s="489"/>
    </row>
    <row r="76" spans="2:16" hidden="1">
      <c r="B76" s="462" t="s">
        <v>417</v>
      </c>
      <c r="C76" s="463"/>
      <c r="D76" s="463"/>
      <c r="E76" s="463"/>
      <c r="F76" s="463"/>
      <c r="G76" s="463"/>
      <c r="H76" s="463"/>
      <c r="I76" s="463"/>
      <c r="J76" s="463"/>
      <c r="K76" s="464"/>
    </row>
    <row r="77" spans="2:16" ht="30" hidden="1">
      <c r="B77" s="465" t="s">
        <v>410</v>
      </c>
      <c r="C77" s="466"/>
      <c r="D77" s="466"/>
      <c r="E77" s="466"/>
      <c r="F77" s="827" t="s">
        <v>719</v>
      </c>
      <c r="G77" s="827"/>
      <c r="H77" s="467" t="s">
        <v>412</v>
      </c>
      <c r="I77" s="467" t="s">
        <v>720</v>
      </c>
      <c r="J77" s="467" t="s">
        <v>721</v>
      </c>
      <c r="K77" s="468" t="s">
        <v>345</v>
      </c>
      <c r="M77" s="488"/>
      <c r="N77" s="647"/>
    </row>
    <row r="78" spans="2:16" hidden="1">
      <c r="B78" s="646" t="s">
        <v>722</v>
      </c>
      <c r="C78" s="470"/>
      <c r="D78" s="471"/>
      <c r="E78" s="471"/>
      <c r="F78" s="828"/>
      <c r="G78" s="828"/>
      <c r="H78" s="473" t="str">
        <f>IFERROR(J74/F78,"")</f>
        <v/>
      </c>
      <c r="I78" s="755"/>
      <c r="J78" s="482">
        <f>K78/J6</f>
        <v>0</v>
      </c>
      <c r="K78" s="474">
        <f>PRODUCT(H78,I78)</f>
        <v>0</v>
      </c>
    </row>
    <row r="79" spans="2:16" hidden="1">
      <c r="B79" s="462"/>
      <c r="C79" s="463"/>
      <c r="D79" s="463"/>
      <c r="E79" s="463"/>
      <c r="F79" s="829"/>
      <c r="G79" s="829"/>
      <c r="H79" s="753"/>
      <c r="I79" s="754"/>
      <c r="J79" s="483">
        <f>SUM(J78:J78)</f>
        <v>0</v>
      </c>
      <c r="K79" s="484">
        <f>SUM(K78:K78)</f>
        <v>0</v>
      </c>
    </row>
    <row r="81" spans="10:11">
      <c r="J81" s="762"/>
    </row>
    <row r="82" spans="10:11">
      <c r="J82" s="763"/>
      <c r="K82" s="763"/>
    </row>
  </sheetData>
  <sheetProtection sheet="1" formatCells="0" formatColumns="0" formatRows="0" insertColumns="0" insertRows="0" deleteColumns="0" deleteRows="0"/>
  <mergeCells count="28">
    <mergeCell ref="F77:G77"/>
    <mergeCell ref="F78:G78"/>
    <mergeCell ref="F79:G79"/>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7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xr:uid="{00000000-0002-0000-07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432</v>
      </c>
      <c r="D1" s="166"/>
      <c r="E1" s="166" t="s">
        <v>62</v>
      </c>
      <c r="F1" s="166" t="s">
        <v>63</v>
      </c>
      <c r="G1" s="166" t="s">
        <v>61</v>
      </c>
      <c r="H1" s="166" t="s">
        <v>441</v>
      </c>
      <c r="I1" s="166" t="s">
        <v>436</v>
      </c>
      <c r="J1" s="166" t="s">
        <v>649</v>
      </c>
    </row>
    <row r="2" spans="1:10" s="4" customFormat="1" ht="15" customHeight="1">
      <c r="A2" s="166"/>
      <c r="B2" s="166"/>
      <c r="C2" s="166"/>
      <c r="D2" s="166"/>
      <c r="E2" s="166"/>
      <c r="F2" s="166"/>
      <c r="G2" s="166"/>
      <c r="H2" s="166"/>
      <c r="I2" s="166"/>
      <c r="J2" s="166"/>
    </row>
    <row r="3" spans="1:10">
      <c r="A3" s="165" t="s">
        <v>45</v>
      </c>
      <c r="B3" s="286">
        <v>2</v>
      </c>
      <c r="C3" s="450" t="s">
        <v>433</v>
      </c>
      <c r="D3" s="286"/>
      <c r="E3" s="286" t="s">
        <v>388</v>
      </c>
      <c r="F3" s="286"/>
      <c r="G3" s="286">
        <v>15</v>
      </c>
      <c r="H3" s="286">
        <v>220</v>
      </c>
      <c r="I3" s="286">
        <f>G3*12</f>
        <v>180</v>
      </c>
      <c r="J3" s="286">
        <f>I3/G3</f>
        <v>12</v>
      </c>
    </row>
    <row r="4" spans="1:10">
      <c r="A4" s="165" t="s">
        <v>46</v>
      </c>
      <c r="B4" s="286">
        <v>2</v>
      </c>
      <c r="C4" s="450" t="s">
        <v>433</v>
      </c>
      <c r="D4" s="286"/>
      <c r="E4" s="286" t="s">
        <v>388</v>
      </c>
      <c r="F4" s="286"/>
      <c r="G4" s="286">
        <v>15</v>
      </c>
      <c r="H4" s="286">
        <v>220</v>
      </c>
      <c r="I4" s="286">
        <f>G4*12</f>
        <v>180</v>
      </c>
      <c r="J4" s="286">
        <f t="shared" ref="J4:J18" si="0">I4/G4</f>
        <v>12</v>
      </c>
    </row>
    <row r="5" spans="1:10">
      <c r="A5" s="165" t="s">
        <v>468</v>
      </c>
      <c r="B5" s="286">
        <v>1</v>
      </c>
      <c r="C5" s="450" t="s">
        <v>433</v>
      </c>
      <c r="D5" s="286"/>
      <c r="E5" s="286">
        <v>1</v>
      </c>
      <c r="F5" s="286">
        <v>4</v>
      </c>
      <c r="G5" s="286">
        <f>E5*4</f>
        <v>4</v>
      </c>
      <c r="H5" s="286">
        <f t="shared" ref="H5:H13" si="1">F5*30/6</f>
        <v>20</v>
      </c>
      <c r="I5" s="286">
        <f>F5*4</f>
        <v>16</v>
      </c>
      <c r="J5" s="286">
        <f t="shared" si="0"/>
        <v>4</v>
      </c>
    </row>
    <row r="6" spans="1:10">
      <c r="A6" s="165" t="s">
        <v>469</v>
      </c>
      <c r="B6" s="286">
        <v>1</v>
      </c>
      <c r="C6" s="450" t="s">
        <v>433</v>
      </c>
      <c r="D6" s="286"/>
      <c r="E6" s="286">
        <v>1</v>
      </c>
      <c r="F6" s="286">
        <v>6</v>
      </c>
      <c r="G6" s="286">
        <f t="shared" ref="G6:G10" si="2">E6*4</f>
        <v>4</v>
      </c>
      <c r="H6" s="286">
        <f t="shared" si="1"/>
        <v>30</v>
      </c>
      <c r="I6" s="286">
        <f>F6*4</f>
        <v>24</v>
      </c>
      <c r="J6" s="286">
        <f t="shared" si="0"/>
        <v>6</v>
      </c>
    </row>
    <row r="7" spans="1:10">
      <c r="A7" s="165" t="s">
        <v>470</v>
      </c>
      <c r="B7" s="286">
        <v>1</v>
      </c>
      <c r="C7" s="450" t="s">
        <v>433</v>
      </c>
      <c r="D7" s="286"/>
      <c r="E7" s="286">
        <v>1</v>
      </c>
      <c r="F7" s="286">
        <v>8</v>
      </c>
      <c r="G7" s="286">
        <f t="shared" si="2"/>
        <v>4</v>
      </c>
      <c r="H7" s="286">
        <f t="shared" si="1"/>
        <v>40</v>
      </c>
      <c r="I7" s="286">
        <f>F7*4</f>
        <v>32</v>
      </c>
      <c r="J7" s="286">
        <f t="shared" si="0"/>
        <v>8</v>
      </c>
    </row>
    <row r="8" spans="1:10">
      <c r="A8" s="165" t="s">
        <v>478</v>
      </c>
      <c r="B8" s="286">
        <v>1</v>
      </c>
      <c r="C8" s="450" t="s">
        <v>433</v>
      </c>
      <c r="D8" s="286"/>
      <c r="E8" s="286">
        <v>2</v>
      </c>
      <c r="F8" s="286">
        <v>12</v>
      </c>
      <c r="G8" s="286">
        <f t="shared" si="2"/>
        <v>8</v>
      </c>
      <c r="H8" s="286">
        <f t="shared" si="1"/>
        <v>60</v>
      </c>
      <c r="I8" s="286">
        <f t="shared" ref="I8:I9" si="3">F8*4</f>
        <v>48</v>
      </c>
      <c r="J8" s="286">
        <f t="shared" si="0"/>
        <v>6</v>
      </c>
    </row>
    <row r="9" spans="1:10">
      <c r="A9" s="165" t="s">
        <v>479</v>
      </c>
      <c r="B9" s="286">
        <v>1</v>
      </c>
      <c r="C9" s="450" t="s">
        <v>433</v>
      </c>
      <c r="D9" s="286"/>
      <c r="E9" s="286">
        <v>2</v>
      </c>
      <c r="F9" s="286">
        <v>16</v>
      </c>
      <c r="G9" s="286">
        <f t="shared" si="2"/>
        <v>8</v>
      </c>
      <c r="H9" s="286">
        <f t="shared" si="1"/>
        <v>80</v>
      </c>
      <c r="I9" s="286">
        <f t="shared" si="3"/>
        <v>64</v>
      </c>
      <c r="J9" s="286">
        <f t="shared" si="0"/>
        <v>8</v>
      </c>
    </row>
    <row r="10" spans="1:10">
      <c r="A10" s="165" t="s">
        <v>729</v>
      </c>
      <c r="B10" s="286">
        <v>1</v>
      </c>
      <c r="C10" s="450" t="s">
        <v>433</v>
      </c>
      <c r="D10" s="286"/>
      <c r="E10" s="286">
        <v>2</v>
      </c>
      <c r="F10" s="286">
        <f>58/4</f>
        <v>14.5</v>
      </c>
      <c r="G10" s="286">
        <f t="shared" si="2"/>
        <v>8</v>
      </c>
      <c r="H10" s="286">
        <f t="shared" si="1"/>
        <v>72.5</v>
      </c>
      <c r="I10" s="286">
        <f>F10*4</f>
        <v>58</v>
      </c>
      <c r="J10" s="286">
        <f>I10/G10</f>
        <v>7.25</v>
      </c>
    </row>
    <row r="11" spans="1:10">
      <c r="A11" s="165" t="s">
        <v>471</v>
      </c>
      <c r="B11" s="286">
        <v>1</v>
      </c>
      <c r="C11" s="450" t="s">
        <v>433</v>
      </c>
      <c r="D11" s="286"/>
      <c r="E11" s="286">
        <v>5</v>
      </c>
      <c r="F11" s="286">
        <v>20</v>
      </c>
      <c r="G11" s="286">
        <f>E11*4+2</f>
        <v>22</v>
      </c>
      <c r="H11" s="286">
        <f t="shared" si="1"/>
        <v>100</v>
      </c>
      <c r="I11" s="286">
        <f>F11*4+2*4</f>
        <v>88</v>
      </c>
      <c r="J11" s="286">
        <f t="shared" si="0"/>
        <v>4</v>
      </c>
    </row>
    <row r="12" spans="1:10">
      <c r="A12" s="165" t="s">
        <v>726</v>
      </c>
      <c r="B12" s="286">
        <v>1</v>
      </c>
      <c r="C12" s="450" t="s">
        <v>433</v>
      </c>
      <c r="D12" s="286"/>
      <c r="E12" s="286">
        <v>5</v>
      </c>
      <c r="F12" s="286">
        <v>25</v>
      </c>
      <c r="G12" s="286">
        <f>E12*4+2</f>
        <v>22</v>
      </c>
      <c r="H12" s="286">
        <f t="shared" si="1"/>
        <v>125</v>
      </c>
      <c r="I12" s="286">
        <f>F12*4+2*4</f>
        <v>108</v>
      </c>
      <c r="J12" s="760">
        <f t="shared" si="0"/>
        <v>4.9090909090909092</v>
      </c>
    </row>
    <row r="13" spans="1:10">
      <c r="A13" s="165" t="s">
        <v>472</v>
      </c>
      <c r="B13" s="286">
        <v>1</v>
      </c>
      <c r="C13" s="450" t="s">
        <v>433</v>
      </c>
      <c r="D13" s="286"/>
      <c r="E13" s="286">
        <v>5</v>
      </c>
      <c r="F13" s="286">
        <v>30</v>
      </c>
      <c r="G13" s="286">
        <f t="shared" ref="G13:G14" si="4">E13*4+2</f>
        <v>22</v>
      </c>
      <c r="H13" s="286">
        <f t="shared" si="1"/>
        <v>150</v>
      </c>
      <c r="I13" s="286">
        <f>F13*4+2*6</f>
        <v>132</v>
      </c>
      <c r="J13" s="286">
        <f t="shared" si="0"/>
        <v>6</v>
      </c>
    </row>
    <row r="14" spans="1:10">
      <c r="A14" s="165" t="s">
        <v>473</v>
      </c>
      <c r="B14" s="286">
        <v>1</v>
      </c>
      <c r="C14" s="450" t="s">
        <v>433</v>
      </c>
      <c r="D14" s="286"/>
      <c r="E14" s="286">
        <v>5</v>
      </c>
      <c r="F14" s="286">
        <v>35</v>
      </c>
      <c r="G14" s="286">
        <f t="shared" si="4"/>
        <v>22</v>
      </c>
      <c r="H14" s="286">
        <v>175</v>
      </c>
      <c r="I14" s="286">
        <f>F14*4+2*7</f>
        <v>154</v>
      </c>
      <c r="J14" s="286">
        <f t="shared" si="0"/>
        <v>7</v>
      </c>
    </row>
    <row r="15" spans="1:10">
      <c r="A15" s="165" t="s">
        <v>474</v>
      </c>
      <c r="B15" s="286">
        <v>1</v>
      </c>
      <c r="C15" s="450" t="s">
        <v>433</v>
      </c>
      <c r="D15" s="286"/>
      <c r="E15" s="286">
        <v>6</v>
      </c>
      <c r="F15" s="286">
        <v>36</v>
      </c>
      <c r="G15" s="286">
        <f>E15*4+2</f>
        <v>26</v>
      </c>
      <c r="H15" s="286">
        <f>F15*30/6</f>
        <v>180</v>
      </c>
      <c r="I15" s="286">
        <f>F15*4+2*6</f>
        <v>156</v>
      </c>
      <c r="J15" s="286">
        <f t="shared" si="0"/>
        <v>6</v>
      </c>
    </row>
    <row r="16" spans="1:10">
      <c r="A16" s="165" t="s">
        <v>475</v>
      </c>
      <c r="B16" s="286">
        <v>1</v>
      </c>
      <c r="C16" s="450" t="s">
        <v>433</v>
      </c>
      <c r="D16" s="286"/>
      <c r="E16" s="286">
        <v>5</v>
      </c>
      <c r="F16" s="286">
        <v>40</v>
      </c>
      <c r="G16" s="286">
        <f>E16*4+2</f>
        <v>22</v>
      </c>
      <c r="H16" s="286">
        <f>F16*30/6</f>
        <v>200</v>
      </c>
      <c r="I16" s="286">
        <f>F16*4+2*8</f>
        <v>176</v>
      </c>
      <c r="J16" s="286">
        <f t="shared" si="0"/>
        <v>8</v>
      </c>
    </row>
    <row r="17" spans="1:10">
      <c r="A17" s="165" t="s">
        <v>476</v>
      </c>
      <c r="B17" s="286">
        <v>1</v>
      </c>
      <c r="C17" s="450" t="s">
        <v>433</v>
      </c>
      <c r="D17" s="286"/>
      <c r="E17" s="286">
        <v>5</v>
      </c>
      <c r="F17" s="286">
        <v>44</v>
      </c>
      <c r="G17" s="286">
        <f>E17*4+2</f>
        <v>22</v>
      </c>
      <c r="H17" s="286">
        <f>F17*30/6</f>
        <v>220</v>
      </c>
      <c r="I17" s="286">
        <f>F17*4+2*8</f>
        <v>192</v>
      </c>
      <c r="J17" s="286">
        <f t="shared" si="0"/>
        <v>8.7272727272727266</v>
      </c>
    </row>
    <row r="18" spans="1:10">
      <c r="A18" s="165" t="s">
        <v>477</v>
      </c>
      <c r="B18" s="286">
        <v>1</v>
      </c>
      <c r="C18" s="450" t="s">
        <v>433</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8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651</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644</v>
      </c>
      <c r="D6" s="507">
        <v>22</v>
      </c>
      <c r="E6" s="511"/>
      <c r="F6" s="509"/>
    </row>
    <row r="7" spans="1:18" ht="15" customHeight="1">
      <c r="B7" s="505" t="s">
        <v>7</v>
      </c>
      <c r="C7" s="506" t="s">
        <v>397</v>
      </c>
      <c r="D7" s="512">
        <f>D9/D10</f>
        <v>4.3482142857142856</v>
      </c>
      <c r="E7" s="513"/>
      <c r="F7" s="509" t="str">
        <f>""</f>
        <v/>
      </c>
    </row>
    <row r="8" spans="1:18" ht="15" customHeight="1">
      <c r="B8" s="505" t="s">
        <v>6</v>
      </c>
      <c r="C8" s="506" t="s">
        <v>648</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902"/>
      <c r="C14" s="899"/>
      <c r="D14" s="896" t="s">
        <v>315</v>
      </c>
      <c r="E14" s="896" t="s">
        <v>142</v>
      </c>
      <c r="F14" s="896" t="s">
        <v>312</v>
      </c>
      <c r="G14" s="503"/>
      <c r="H14" s="906" t="s">
        <v>130</v>
      </c>
      <c r="I14" s="906"/>
      <c r="J14" s="906"/>
      <c r="K14" s="906"/>
      <c r="L14" s="906"/>
      <c r="M14" s="906"/>
      <c r="N14" s="906"/>
      <c r="O14" s="906"/>
      <c r="P14" s="906"/>
      <c r="Q14" s="906"/>
      <c r="R14" s="525"/>
    </row>
    <row r="15" spans="1:18" ht="15" customHeight="1">
      <c r="A15" s="497"/>
      <c r="B15" s="903"/>
      <c r="C15" s="900"/>
      <c r="D15" s="897"/>
      <c r="E15" s="897"/>
      <c r="F15" s="897"/>
      <c r="H15" s="906" t="s">
        <v>59</v>
      </c>
      <c r="I15" s="906" t="s">
        <v>58</v>
      </c>
      <c r="J15" s="906" t="s">
        <v>426</v>
      </c>
      <c r="K15" s="524" t="s">
        <v>313</v>
      </c>
      <c r="L15" s="524" t="s">
        <v>313</v>
      </c>
      <c r="M15" s="524" t="s">
        <v>313</v>
      </c>
      <c r="N15" s="524" t="s">
        <v>313</v>
      </c>
      <c r="O15" s="524" t="s">
        <v>313</v>
      </c>
      <c r="P15" s="524" t="s">
        <v>313</v>
      </c>
      <c r="Q15" s="906" t="s">
        <v>48</v>
      </c>
      <c r="R15" s="527"/>
    </row>
    <row r="16" spans="1:18" ht="15" customHeight="1">
      <c r="A16" s="497"/>
      <c r="B16" s="904"/>
      <c r="C16" s="901"/>
      <c r="D16" s="898"/>
      <c r="E16" s="898"/>
      <c r="F16" s="898"/>
      <c r="H16" s="906"/>
      <c r="I16" s="906"/>
      <c r="J16" s="906"/>
      <c r="K16" s="524" t="s">
        <v>131</v>
      </c>
      <c r="L16" s="524" t="s">
        <v>136</v>
      </c>
      <c r="M16" s="524" t="s">
        <v>135</v>
      </c>
      <c r="N16" s="524" t="s">
        <v>134</v>
      </c>
      <c r="O16" s="524" t="s">
        <v>133</v>
      </c>
      <c r="P16" s="524" t="s">
        <v>132</v>
      </c>
      <c r="Q16" s="906"/>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IF(IFERROR(SUM(Produtividade!L196:L221)&gt;0,FALSE()),Produtividade!D13,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IF(IFERROR(SUM(Produtividade!L196:L221)&gt;0,FALSE()),Produtividade!D14,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723</v>
      </c>
      <c r="H22" s="545"/>
      <c r="I22" s="545"/>
      <c r="J22" s="545"/>
      <c r="K22" s="545"/>
      <c r="L22" s="545"/>
      <c r="M22" s="545"/>
      <c r="N22" s="545"/>
      <c r="O22" s="545"/>
      <c r="P22" s="545"/>
      <c r="Q22" s="545"/>
    </row>
    <row r="23" spans="1:18" s="503" customFormat="1" ht="15" customHeight="1">
      <c r="B23" s="541" t="s">
        <v>1</v>
      </c>
      <c r="C23" s="546" t="s">
        <v>144</v>
      </c>
      <c r="D23" s="547" t="s">
        <v>94</v>
      </c>
      <c r="E23" s="547" t="s">
        <v>493</v>
      </c>
      <c r="F23" s="548" t="s">
        <v>494</v>
      </c>
      <c r="H23" s="545"/>
      <c r="I23" s="545"/>
      <c r="J23" s="545"/>
      <c r="K23" s="545"/>
      <c r="L23" s="545"/>
      <c r="M23" s="545"/>
      <c r="N23" s="545"/>
      <c r="O23" s="545"/>
      <c r="P23" s="545"/>
      <c r="Q23" s="545"/>
    </row>
    <row r="24" spans="1:18" s="503" customFormat="1" ht="15" customHeight="1">
      <c r="B24" s="541" t="s">
        <v>0</v>
      </c>
      <c r="C24" s="542" t="s">
        <v>145</v>
      </c>
      <c r="D24" s="543" t="s">
        <v>495</v>
      </c>
      <c r="E24" s="544" t="s">
        <v>496</v>
      </c>
      <c r="F24" s="544" t="s">
        <v>497</v>
      </c>
      <c r="H24" s="545"/>
      <c r="I24" s="545"/>
      <c r="J24" s="545"/>
      <c r="K24" s="545"/>
      <c r="L24" s="545"/>
      <c r="M24" s="545"/>
      <c r="N24" s="545"/>
      <c r="O24" s="545"/>
      <c r="P24" s="545"/>
      <c r="Q24" s="545"/>
    </row>
    <row r="25" spans="1:18" s="503" customFormat="1" ht="15" customHeight="1">
      <c r="B25" s="541" t="s">
        <v>3</v>
      </c>
      <c r="C25" s="546" t="s">
        <v>81</v>
      </c>
      <c r="D25" s="547" t="s">
        <v>146</v>
      </c>
      <c r="E25" s="547" t="s">
        <v>498</v>
      </c>
      <c r="F25" s="548" t="s">
        <v>578</v>
      </c>
      <c r="H25" s="545"/>
      <c r="I25" s="545"/>
      <c r="J25" s="545"/>
      <c r="K25" s="545"/>
      <c r="L25" s="545"/>
      <c r="M25" s="545"/>
      <c r="N25" s="545"/>
      <c r="O25" s="545"/>
      <c r="P25" s="545"/>
      <c r="Q25" s="545"/>
    </row>
    <row r="26" spans="1:18" s="503" customFormat="1" ht="15" customHeight="1">
      <c r="B26" s="541" t="s">
        <v>7</v>
      </c>
      <c r="C26" s="542" t="s">
        <v>95</v>
      </c>
      <c r="D26" s="543" t="s">
        <v>147</v>
      </c>
      <c r="E26" s="544" t="s">
        <v>499</v>
      </c>
      <c r="F26" s="544" t="s">
        <v>500</v>
      </c>
      <c r="H26" s="545"/>
      <c r="I26" s="545"/>
      <c r="J26" s="545"/>
      <c r="K26" s="545"/>
      <c r="L26" s="545"/>
      <c r="M26" s="545"/>
      <c r="N26" s="545"/>
      <c r="O26" s="545"/>
      <c r="P26" s="545"/>
      <c r="Q26" s="545"/>
    </row>
    <row r="27" spans="1:18" s="503" customFormat="1" ht="15" customHeight="1">
      <c r="B27" s="541" t="s">
        <v>6</v>
      </c>
      <c r="C27" s="546" t="s">
        <v>139</v>
      </c>
      <c r="D27" s="547" t="s">
        <v>148</v>
      </c>
      <c r="E27" s="547" t="s">
        <v>499</v>
      </c>
      <c r="F27" s="548" t="s">
        <v>501</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502</v>
      </c>
      <c r="H28" s="545"/>
      <c r="I28" s="545"/>
      <c r="J28" s="545"/>
      <c r="K28" s="545"/>
      <c r="L28" s="545"/>
      <c r="M28" s="545"/>
      <c r="N28" s="545"/>
      <c r="O28" s="545"/>
      <c r="P28" s="545"/>
      <c r="Q28" s="545"/>
    </row>
    <row r="29" spans="1:18" s="503" customFormat="1" ht="15" customHeight="1">
      <c r="B29" s="541" t="s">
        <v>4</v>
      </c>
      <c r="C29" s="546" t="s">
        <v>82</v>
      </c>
      <c r="D29" s="547" t="s">
        <v>151</v>
      </c>
      <c r="E29" s="547" t="s">
        <v>503</v>
      </c>
      <c r="F29" s="548" t="s">
        <v>504</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505</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506</v>
      </c>
      <c r="F36" s="544" t="s">
        <v>507</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508</v>
      </c>
      <c r="F37" s="544" t="s">
        <v>509</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510</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511</v>
      </c>
      <c r="F41" s="544" t="s">
        <v>512</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609</v>
      </c>
      <c r="F42" s="544" t="s">
        <v>513</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610</v>
      </c>
      <c r="F43" s="544" t="s">
        <v>513</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611</v>
      </c>
      <c r="F44" s="544" t="s">
        <v>513</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612</v>
      </c>
      <c r="F45" s="544" t="s">
        <v>513</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514</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905" t="s">
        <v>5</v>
      </c>
      <c r="C47" s="506" t="s">
        <v>515</v>
      </c>
      <c r="D47" s="543" t="s">
        <v>278</v>
      </c>
      <c r="E47" s="544" t="s">
        <v>516</v>
      </c>
      <c r="F47" s="544" t="s">
        <v>613</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905"/>
      <c r="C48" s="575" t="s">
        <v>47</v>
      </c>
      <c r="D48" s="576"/>
      <c r="E48" s="576" t="s">
        <v>517</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905"/>
      <c r="C49" s="575" t="s">
        <v>42</v>
      </c>
      <c r="D49" s="577"/>
      <c r="E49" s="577" t="s">
        <v>518</v>
      </c>
      <c r="F49" s="577" t="s">
        <v>519</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513</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727</v>
      </c>
      <c r="F54" s="544" t="s">
        <v>576</v>
      </c>
      <c r="H54" s="572"/>
      <c r="I54" s="572"/>
      <c r="J54" s="572"/>
      <c r="K54" s="572"/>
      <c r="L54" s="572"/>
      <c r="M54" s="572"/>
      <c r="N54" s="572"/>
      <c r="O54" s="572"/>
      <c r="P54" s="572"/>
      <c r="Q54" s="572"/>
    </row>
    <row r="55" spans="1:18" ht="15" customHeight="1">
      <c r="B55" s="541" t="s">
        <v>1</v>
      </c>
      <c r="C55" s="542" t="s">
        <v>23</v>
      </c>
      <c r="D55" s="543" t="s">
        <v>156</v>
      </c>
      <c r="E55" s="544" t="s">
        <v>520</v>
      </c>
      <c r="F55" s="544" t="s">
        <v>575</v>
      </c>
      <c r="H55" s="572"/>
      <c r="I55" s="572"/>
      <c r="J55" s="572"/>
      <c r="K55" s="572"/>
      <c r="L55" s="572"/>
      <c r="M55" s="572"/>
      <c r="N55" s="572"/>
      <c r="O55" s="572"/>
      <c r="P55" s="572"/>
      <c r="Q55" s="572"/>
    </row>
    <row r="56" spans="1:18" ht="15" customHeight="1">
      <c r="B56" s="541" t="s">
        <v>0</v>
      </c>
      <c r="C56" s="542" t="s">
        <v>25</v>
      </c>
      <c r="D56" s="543" t="s">
        <v>159</v>
      </c>
      <c r="E56" s="544" t="s">
        <v>521</v>
      </c>
      <c r="F56" s="544" t="s">
        <v>576</v>
      </c>
      <c r="H56" s="572"/>
      <c r="I56" s="572"/>
      <c r="J56" s="572"/>
      <c r="K56" s="572"/>
      <c r="L56" s="572"/>
      <c r="M56" s="572"/>
      <c r="N56" s="572"/>
      <c r="O56" s="572"/>
      <c r="P56" s="572"/>
      <c r="Q56" s="572"/>
    </row>
    <row r="57" spans="1:18" ht="15" customHeight="1">
      <c r="B57" s="541" t="s">
        <v>3</v>
      </c>
      <c r="C57" s="542" t="s">
        <v>27</v>
      </c>
      <c r="D57" s="543" t="s">
        <v>157</v>
      </c>
      <c r="E57" s="544" t="s">
        <v>521</v>
      </c>
      <c r="F57" s="544" t="s">
        <v>577</v>
      </c>
      <c r="H57" s="572"/>
      <c r="I57" s="572"/>
      <c r="J57" s="572"/>
      <c r="K57" s="572"/>
      <c r="L57" s="572"/>
      <c r="M57" s="572"/>
      <c r="N57" s="572"/>
      <c r="O57" s="572"/>
      <c r="P57" s="572"/>
      <c r="Q57" s="572"/>
    </row>
    <row r="58" spans="1:18" ht="15" customHeight="1">
      <c r="B58" s="541" t="s">
        <v>7</v>
      </c>
      <c r="C58" s="542" t="s">
        <v>28</v>
      </c>
      <c r="D58" s="543" t="s">
        <v>157</v>
      </c>
      <c r="E58" s="544"/>
      <c r="F58" s="544" t="s">
        <v>577</v>
      </c>
      <c r="H58" s="572"/>
      <c r="I58" s="572"/>
      <c r="J58" s="572"/>
      <c r="K58" s="572"/>
      <c r="L58" s="572"/>
      <c r="M58" s="572"/>
      <c r="N58" s="572"/>
      <c r="O58" s="572"/>
      <c r="P58" s="572"/>
      <c r="Q58" s="572"/>
    </row>
    <row r="59" spans="1:18" ht="15" customHeight="1">
      <c r="B59" s="541" t="s">
        <v>6</v>
      </c>
      <c r="C59" s="542" t="s">
        <v>29</v>
      </c>
      <c r="D59" s="543" t="s">
        <v>159</v>
      </c>
      <c r="E59" s="544"/>
      <c r="F59" s="544" t="s">
        <v>576</v>
      </c>
      <c r="H59" s="572"/>
      <c r="I59" s="572"/>
      <c r="J59" s="572"/>
      <c r="K59" s="572"/>
      <c r="L59" s="572"/>
      <c r="M59" s="572"/>
      <c r="N59" s="572"/>
      <c r="O59" s="572"/>
      <c r="P59" s="572"/>
      <c r="Q59" s="572"/>
    </row>
    <row r="60" spans="1:18" ht="15" customHeight="1">
      <c r="B60" s="541" t="s">
        <v>5</v>
      </c>
      <c r="C60" s="542" t="s">
        <v>30</v>
      </c>
      <c r="D60" s="543" t="s">
        <v>157</v>
      </c>
      <c r="E60" s="544"/>
      <c r="F60" s="544" t="s">
        <v>577</v>
      </c>
      <c r="H60" s="572"/>
      <c r="I60" s="572"/>
      <c r="J60" s="572"/>
      <c r="K60" s="572"/>
      <c r="L60" s="572"/>
      <c r="M60" s="572"/>
      <c r="N60" s="572"/>
      <c r="O60" s="572"/>
      <c r="P60" s="572"/>
      <c r="Q60" s="572"/>
    </row>
    <row r="61" spans="1:18" ht="15" customHeight="1">
      <c r="B61" s="541" t="s">
        <v>4</v>
      </c>
      <c r="C61" s="542" t="s">
        <v>114</v>
      </c>
      <c r="D61" s="543" t="s">
        <v>157</v>
      </c>
      <c r="E61" s="544"/>
      <c r="F61" s="544" t="s">
        <v>577</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522</v>
      </c>
      <c r="F74" s="544" t="s">
        <v>523</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551</v>
      </c>
      <c r="D76" s="543" t="s">
        <v>161</v>
      </c>
      <c r="E76" s="544" t="s">
        <v>524</v>
      </c>
      <c r="F76" s="544" t="s">
        <v>525</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480</v>
      </c>
      <c r="E77" s="544" t="s">
        <v>526</v>
      </c>
      <c r="F77" s="544" t="s">
        <v>527</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552</v>
      </c>
      <c r="E78" s="544" t="s">
        <v>528</v>
      </c>
      <c r="F78" s="643" t="s">
        <v>529</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530</v>
      </c>
      <c r="F79" s="544" t="s">
        <v>531</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614</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461</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532</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533</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534</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535</v>
      </c>
      <c r="F105" s="544" t="s">
        <v>614</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536</v>
      </c>
      <c r="E106" s="544"/>
      <c r="F106" s="544" t="s">
        <v>537</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539</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538</v>
      </c>
      <c r="E108" s="544"/>
      <c r="F108" s="544" t="s">
        <v>539</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94" t="s">
        <v>2</v>
      </c>
      <c r="C111" s="542" t="s">
        <v>102</v>
      </c>
      <c r="D111" s="543" t="s">
        <v>111</v>
      </c>
      <c r="E111" s="544" t="s">
        <v>104</v>
      </c>
      <c r="F111" s="544" t="s">
        <v>540</v>
      </c>
      <c r="H111" s="609"/>
      <c r="I111" s="609"/>
      <c r="J111" s="609"/>
      <c r="K111" s="609"/>
      <c r="L111" s="609"/>
      <c r="M111" s="609"/>
      <c r="N111" s="609"/>
      <c r="O111" s="609"/>
      <c r="P111" s="609"/>
      <c r="Q111" s="610"/>
      <c r="R111" s="527"/>
    </row>
    <row r="112" spans="1:18" ht="15" customHeight="1">
      <c r="B112" s="895"/>
      <c r="C112" s="542" t="s">
        <v>103</v>
      </c>
      <c r="D112" s="543" t="s">
        <v>112</v>
      </c>
      <c r="E112" s="544" t="s">
        <v>104</v>
      </c>
      <c r="F112" s="544" t="s">
        <v>541</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542</v>
      </c>
      <c r="F117" s="685" t="s">
        <v>543</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544</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543</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543</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543</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543</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545</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546</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547</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548</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725</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549</v>
      </c>
      <c r="F154" s="544" t="s">
        <v>650</v>
      </c>
      <c r="H154" s="568"/>
      <c r="I154" s="568"/>
      <c r="J154" s="568"/>
      <c r="K154" s="568"/>
      <c r="L154" s="568"/>
      <c r="M154" s="568"/>
      <c r="N154" s="568"/>
      <c r="O154" s="568"/>
      <c r="P154" s="568"/>
      <c r="Q154" s="634">
        <v>800</v>
      </c>
    </row>
    <row r="155" spans="1:18" ht="15" customHeight="1">
      <c r="B155" s="632" t="s">
        <v>1</v>
      </c>
      <c r="C155" s="633" t="s">
        <v>359</v>
      </c>
      <c r="D155" s="506"/>
      <c r="E155" s="506" t="s">
        <v>549</v>
      </c>
      <c r="F155" s="544"/>
      <c r="H155" s="568"/>
      <c r="I155" s="568"/>
      <c r="J155" s="568"/>
      <c r="K155" s="568"/>
      <c r="L155" s="568"/>
      <c r="M155" s="568"/>
      <c r="N155" s="568"/>
      <c r="O155" s="568"/>
      <c r="P155" s="568"/>
      <c r="Q155" s="634">
        <v>800</v>
      </c>
    </row>
    <row r="156" spans="1:18" ht="15" customHeight="1">
      <c r="B156" s="632" t="s">
        <v>0</v>
      </c>
      <c r="C156" s="633" t="s">
        <v>360</v>
      </c>
      <c r="D156" s="506"/>
      <c r="E156" s="506" t="s">
        <v>549</v>
      </c>
      <c r="F156" s="544"/>
      <c r="H156" s="568"/>
      <c r="I156" s="568"/>
      <c r="J156" s="568"/>
      <c r="K156" s="568"/>
      <c r="L156" s="568"/>
      <c r="M156" s="568"/>
      <c r="N156" s="568"/>
      <c r="O156" s="568"/>
      <c r="P156" s="568"/>
      <c r="Q156" s="634">
        <v>360</v>
      </c>
    </row>
    <row r="157" spans="1:18" ht="15" customHeight="1">
      <c r="B157" s="632" t="s">
        <v>3</v>
      </c>
      <c r="C157" s="633" t="s">
        <v>361</v>
      </c>
      <c r="D157" s="506"/>
      <c r="E157" s="506" t="s">
        <v>549</v>
      </c>
      <c r="F157" s="544"/>
      <c r="H157" s="568"/>
      <c r="I157" s="568"/>
      <c r="J157" s="568"/>
      <c r="K157" s="568"/>
      <c r="L157" s="568"/>
      <c r="M157" s="568"/>
      <c r="N157" s="568"/>
      <c r="O157" s="568"/>
      <c r="P157" s="568"/>
      <c r="Q157" s="634">
        <v>1500</v>
      </c>
    </row>
    <row r="158" spans="1:18" ht="15" customHeight="1">
      <c r="B158" s="632" t="s">
        <v>7</v>
      </c>
      <c r="C158" s="633" t="s">
        <v>356</v>
      </c>
      <c r="D158" s="506"/>
      <c r="E158" s="506" t="s">
        <v>549</v>
      </c>
      <c r="F158" s="544"/>
      <c r="H158" s="568"/>
      <c r="I158" s="568"/>
      <c r="J158" s="568"/>
      <c r="K158" s="568"/>
      <c r="L158" s="568"/>
      <c r="M158" s="568"/>
      <c r="N158" s="568"/>
      <c r="O158" s="568"/>
      <c r="P158" s="568"/>
      <c r="Q158" s="634">
        <v>1200</v>
      </c>
    </row>
    <row r="159" spans="1:18" ht="15" customHeight="1">
      <c r="B159" s="632" t="s">
        <v>6</v>
      </c>
      <c r="C159" s="635" t="s">
        <v>389</v>
      </c>
      <c r="D159" s="506"/>
      <c r="E159" s="506" t="s">
        <v>549</v>
      </c>
      <c r="F159" s="544"/>
      <c r="H159" s="568"/>
      <c r="I159" s="568"/>
      <c r="J159" s="568"/>
      <c r="K159" s="568"/>
      <c r="L159" s="568"/>
      <c r="M159" s="568"/>
      <c r="N159" s="568"/>
      <c r="O159" s="568"/>
      <c r="P159" s="568"/>
      <c r="Q159" s="634">
        <v>1000</v>
      </c>
    </row>
    <row r="160" spans="1:18" ht="15" customHeight="1">
      <c r="B160" s="632" t="s">
        <v>5</v>
      </c>
      <c r="C160" s="635" t="s">
        <v>390</v>
      </c>
      <c r="D160" s="506"/>
      <c r="E160" s="506" t="s">
        <v>549</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549</v>
      </c>
      <c r="F163" s="544"/>
      <c r="H163" s="568"/>
      <c r="I163" s="568"/>
      <c r="J163" s="568"/>
      <c r="K163" s="568"/>
      <c r="L163" s="568"/>
      <c r="M163" s="568"/>
      <c r="N163" s="568"/>
      <c r="O163" s="568"/>
      <c r="P163" s="568"/>
      <c r="Q163" s="634">
        <v>1800</v>
      </c>
    </row>
    <row r="164" spans="2:18" ht="15" customHeight="1">
      <c r="B164" s="632" t="s">
        <v>1</v>
      </c>
      <c r="C164" s="633" t="s">
        <v>357</v>
      </c>
      <c r="D164" s="506"/>
      <c r="E164" s="506" t="s">
        <v>549</v>
      </c>
      <c r="F164" s="544"/>
      <c r="H164" s="568"/>
      <c r="I164" s="568"/>
      <c r="J164" s="568"/>
      <c r="K164" s="568"/>
      <c r="L164" s="568"/>
      <c r="M164" s="568"/>
      <c r="N164" s="568"/>
      <c r="O164" s="568"/>
      <c r="P164" s="568"/>
      <c r="Q164" s="634">
        <v>6000</v>
      </c>
    </row>
    <row r="165" spans="2:18" ht="15" customHeight="1">
      <c r="B165" s="632" t="s">
        <v>0</v>
      </c>
      <c r="C165" s="633" t="s">
        <v>363</v>
      </c>
      <c r="D165" s="506"/>
      <c r="E165" s="686" t="s">
        <v>549</v>
      </c>
      <c r="F165" s="544"/>
      <c r="H165" s="568"/>
      <c r="I165" s="568"/>
      <c r="J165" s="568"/>
      <c r="K165" s="568"/>
      <c r="L165" s="568"/>
      <c r="M165" s="568"/>
      <c r="N165" s="568"/>
      <c r="O165" s="568"/>
      <c r="P165" s="568"/>
      <c r="Q165" s="634">
        <v>1800</v>
      </c>
    </row>
    <row r="166" spans="2:18" ht="15" customHeight="1">
      <c r="B166" s="632" t="s">
        <v>3</v>
      </c>
      <c r="C166" s="633" t="s">
        <v>364</v>
      </c>
      <c r="D166" s="506"/>
      <c r="E166" s="686" t="s">
        <v>549</v>
      </c>
      <c r="F166" s="544"/>
      <c r="H166" s="568"/>
      <c r="I166" s="568"/>
      <c r="J166" s="568"/>
      <c r="K166" s="568"/>
      <c r="L166" s="568"/>
      <c r="M166" s="568"/>
      <c r="N166" s="568"/>
      <c r="O166" s="568"/>
      <c r="P166" s="568"/>
      <c r="Q166" s="634">
        <v>1800</v>
      </c>
    </row>
    <row r="167" spans="2:18" ht="15" customHeight="1">
      <c r="B167" s="632" t="s">
        <v>7</v>
      </c>
      <c r="C167" s="633" t="s">
        <v>365</v>
      </c>
      <c r="D167" s="506"/>
      <c r="E167" s="686" t="s">
        <v>549</v>
      </c>
      <c r="F167" s="544"/>
      <c r="H167" s="568"/>
      <c r="I167" s="568"/>
      <c r="J167" s="568"/>
      <c r="K167" s="568"/>
      <c r="L167" s="568"/>
      <c r="M167" s="568"/>
      <c r="N167" s="568"/>
      <c r="O167" s="568"/>
      <c r="P167" s="568"/>
      <c r="Q167" s="634">
        <v>1800</v>
      </c>
    </row>
    <row r="168" spans="2:18" ht="15" customHeight="1">
      <c r="B168" s="632" t="s">
        <v>6</v>
      </c>
      <c r="C168" s="633" t="s">
        <v>366</v>
      </c>
      <c r="D168" s="506"/>
      <c r="E168" s="506" t="s">
        <v>549</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549</v>
      </c>
      <c r="F171" s="544"/>
      <c r="H171" s="568"/>
      <c r="I171" s="568"/>
      <c r="J171" s="568"/>
      <c r="K171" s="568"/>
      <c r="L171" s="568"/>
      <c r="M171" s="568"/>
      <c r="N171" s="568"/>
      <c r="O171" s="568"/>
      <c r="P171" s="568"/>
      <c r="Q171" s="634">
        <v>130</v>
      </c>
    </row>
    <row r="172" spans="2:18" ht="15" customHeight="1">
      <c r="B172" s="632" t="s">
        <v>1</v>
      </c>
      <c r="C172" s="635" t="s">
        <v>386</v>
      </c>
      <c r="D172" s="506"/>
      <c r="E172" s="506" t="s">
        <v>549</v>
      </c>
      <c r="F172" s="544"/>
      <c r="H172" s="568"/>
      <c r="I172" s="568"/>
      <c r="J172" s="568"/>
      <c r="K172" s="568"/>
      <c r="L172" s="568"/>
      <c r="M172" s="568"/>
      <c r="N172" s="568"/>
      <c r="O172" s="568"/>
      <c r="P172" s="568"/>
      <c r="Q172" s="634">
        <v>300</v>
      </c>
    </row>
    <row r="173" spans="2:18" ht="15" customHeight="1">
      <c r="B173" s="632" t="s">
        <v>0</v>
      </c>
      <c r="C173" s="635" t="s">
        <v>387</v>
      </c>
      <c r="D173" s="506"/>
      <c r="E173" s="506" t="s">
        <v>549</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549</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549</v>
      </c>
      <c r="F179" s="544"/>
      <c r="H179" s="568"/>
      <c r="I179" s="568"/>
      <c r="J179" s="568"/>
      <c r="K179" s="568"/>
      <c r="L179" s="568"/>
      <c r="M179" s="568"/>
      <c r="N179" s="568"/>
      <c r="O179" s="568"/>
      <c r="P179" s="568"/>
      <c r="Q179" s="634">
        <v>360</v>
      </c>
    </row>
    <row r="181" spans="2:19" ht="15" customHeight="1">
      <c r="B181" s="498"/>
      <c r="C181" s="538" t="s">
        <v>733</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734</v>
      </c>
      <c r="D183" s="560"/>
      <c r="E183" s="560"/>
      <c r="F183" s="561"/>
    </row>
    <row r="184" spans="2:19" ht="15" customHeight="1">
      <c r="B184" s="566"/>
      <c r="C184" s="567"/>
      <c r="D184" s="543"/>
      <c r="E184" s="544"/>
      <c r="F184" s="544" t="s">
        <v>736</v>
      </c>
    </row>
    <row r="185" spans="2:19" ht="4.5" customHeight="1">
      <c r="C185" s="401"/>
      <c r="H185" s="522"/>
      <c r="I185" s="522"/>
      <c r="J185" s="522"/>
      <c r="K185" s="522"/>
      <c r="L185" s="522"/>
      <c r="M185" s="522"/>
      <c r="N185" s="522"/>
      <c r="O185" s="522"/>
      <c r="P185" s="522"/>
      <c r="Q185" s="783"/>
      <c r="R185" s="784"/>
    </row>
    <row r="186" spans="2:19" ht="15" customHeight="1">
      <c r="B186" s="559"/>
      <c r="C186" s="560" t="s">
        <v>735</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737</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900-000000000000}"/>
    <hyperlink ref="F105" r:id="rId2" display=" Anuário RAIS do Ministério do Trabalho" xr:uid="{00000000-0004-0000-0900-000001000000}"/>
    <hyperlink ref="F97" r:id="rId3" display=" Anuário RAIS do Ministério do Trabalho" xr:uid="{00000000-0004-0000-0900-000002000000}"/>
    <hyperlink ref="C117" location="'Mat Individual e Uniformes func'!A1" display="Material Individual e Uniformes" xr:uid="{00000000-0004-0000-0900-000003000000}"/>
    <hyperlink ref="C118" location="'Mat Coletivo e Equipamentos'!A1" display="Material Coletivo e Equipamentos" xr:uid="{00000000-0004-0000-0900-00000400000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724</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724</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724</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724</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724</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724</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724</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724</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724</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724</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724</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724</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724</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724</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732</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608</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608</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424</v>
      </c>
      <c r="B20" s="272">
        <v>7825</v>
      </c>
      <c r="C20" s="265" t="s">
        <v>289</v>
      </c>
      <c r="D20" s="266" t="s">
        <v>608</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425</v>
      </c>
      <c r="B21" s="284">
        <v>7825</v>
      </c>
      <c r="C21" s="276" t="s">
        <v>289</v>
      </c>
      <c r="D21" s="277" t="s">
        <v>608</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A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580</v>
      </c>
      <c r="D2" s="387" t="str">
        <f t="shared" ref="D2:D29" si="0">IF(AND(G2&gt;0,ISNUMBER(G2)),ROW(),"")</f>
        <v/>
      </c>
      <c r="E2" s="387" t="str">
        <f>Produtividade!C195</f>
        <v>2.1 - Áreas internas</v>
      </c>
      <c r="F2" s="387"/>
      <c r="G2" s="394" t="str">
        <f>IFERROR(INDEX(Produtividade!L:L,MATCH(E2,Produtividade!C:C,0)),"")</f>
        <v>Área contratada</v>
      </c>
      <c r="I2" s="387" t="str">
        <f>IFERROR(SMALL(D:D,ROW()-1),"")</f>
        <v/>
      </c>
      <c r="J2" s="387" t="str">
        <f t="shared" ref="J2:J19" si="1">IF($I2="","",INDEX(E:E,MATCH($I2,$D:$D,0)))</f>
        <v/>
      </c>
    </row>
    <row r="3" spans="1:10">
      <c r="A3" s="446" t="s">
        <v>581</v>
      </c>
      <c r="D3" s="387" t="str">
        <f t="shared" si="0"/>
        <v/>
      </c>
      <c r="E3" s="387" t="str">
        <f>Produtividade!C196</f>
        <v>Pisos acarpetados</v>
      </c>
      <c r="F3" s="387" t="s">
        <v>354</v>
      </c>
      <c r="G3" s="394">
        <f>IFERROR(INDEX(Produtividade!L:L,MATCH(E3,Produtividade!C:C,0)),"")</f>
        <v>0</v>
      </c>
      <c r="I3" s="387" t="str">
        <f t="shared" ref="I3:I19" si="2">IFERROR(SMALL(D:D,ROW()-1),"")</f>
        <v/>
      </c>
      <c r="J3" s="387" t="str">
        <f t="shared" si="1"/>
        <v/>
      </c>
    </row>
    <row r="4" spans="1:10">
      <c r="A4" s="446" t="s">
        <v>582</v>
      </c>
      <c r="D4" s="387" t="str">
        <f t="shared" si="0"/>
        <v/>
      </c>
      <c r="E4" s="387" t="str">
        <f>Produtividade!C197</f>
        <v>Pisos Frios</v>
      </c>
      <c r="F4" s="387" t="s">
        <v>354</v>
      </c>
      <c r="G4" s="394">
        <f>IFERROR(INDEX(Produtividade!L:L,MATCH(E4,Produtividade!C:C,0)),"")</f>
        <v>0</v>
      </c>
      <c r="I4" s="387" t="str">
        <f t="shared" si="2"/>
        <v/>
      </c>
      <c r="J4" s="387" t="str">
        <f t="shared" si="1"/>
        <v/>
      </c>
    </row>
    <row r="5" spans="1:10">
      <c r="A5" s="446" t="s">
        <v>583</v>
      </c>
      <c r="D5" s="387" t="str">
        <f t="shared" si="0"/>
        <v/>
      </c>
      <c r="E5" s="387" t="str">
        <f>Produtividade!C198</f>
        <v>Laboratoriais</v>
      </c>
      <c r="F5" s="387" t="s">
        <v>354</v>
      </c>
      <c r="G5" s="394">
        <f>IFERROR(INDEX(Produtividade!L:L,MATCH(E5,Produtividade!C:C,0)),"")</f>
        <v>0</v>
      </c>
      <c r="I5" s="387" t="str">
        <f t="shared" si="2"/>
        <v/>
      </c>
      <c r="J5" s="387" t="str">
        <f t="shared" si="1"/>
        <v/>
      </c>
    </row>
    <row r="6" spans="1:10">
      <c r="A6" s="446" t="s">
        <v>584</v>
      </c>
      <c r="D6" s="387" t="str">
        <f t="shared" si="0"/>
        <v/>
      </c>
      <c r="E6" s="387" t="str">
        <f>Produtividade!C199</f>
        <v>Almoxarifados/galpões</v>
      </c>
      <c r="F6" s="387" t="s">
        <v>354</v>
      </c>
      <c r="G6" s="394">
        <f>IFERROR(INDEX(Produtividade!L:L,MATCH(E6,Produtividade!C:C,0)),"")</f>
        <v>0</v>
      </c>
      <c r="I6" s="387" t="str">
        <f t="shared" si="2"/>
        <v/>
      </c>
      <c r="J6" s="387" t="str">
        <f t="shared" si="1"/>
        <v/>
      </c>
    </row>
    <row r="7" spans="1:10">
      <c r="A7" s="446" t="s">
        <v>585</v>
      </c>
      <c r="D7" s="387" t="str">
        <f t="shared" si="0"/>
        <v/>
      </c>
      <c r="E7" s="387" t="str">
        <f>Produtividade!C200</f>
        <v>Oficinas</v>
      </c>
      <c r="F7" s="387" t="s">
        <v>354</v>
      </c>
      <c r="G7" s="394">
        <f>IFERROR(INDEX(Produtividade!L:L,MATCH(E7,Produtividade!C:C,0)),"")</f>
        <v>0</v>
      </c>
      <c r="I7" s="387" t="str">
        <f t="shared" si="2"/>
        <v/>
      </c>
      <c r="J7" s="387" t="str">
        <f t="shared" si="1"/>
        <v/>
      </c>
    </row>
    <row r="8" spans="1:10">
      <c r="A8" s="446" t="s">
        <v>586</v>
      </c>
      <c r="D8" s="387" t="str">
        <f t="shared" si="0"/>
        <v/>
      </c>
      <c r="E8" s="387" t="str">
        <f>Produtividade!C201</f>
        <v>Áreas com espaços livres - saguão, hall e salão</v>
      </c>
      <c r="F8" s="387" t="s">
        <v>354</v>
      </c>
      <c r="G8" s="394">
        <f>IFERROR(INDEX(Produtividade!L:L,MATCH(E8,Produtividade!C:C,0)),"")</f>
        <v>0</v>
      </c>
      <c r="I8" s="387" t="str">
        <f t="shared" si="2"/>
        <v/>
      </c>
      <c r="J8" s="387" t="str">
        <f t="shared" si="1"/>
        <v/>
      </c>
    </row>
    <row r="9" spans="1:10">
      <c r="A9" s="446" t="s">
        <v>587</v>
      </c>
      <c r="D9" s="387" t="str">
        <f t="shared" si="0"/>
        <v/>
      </c>
      <c r="E9" s="387" t="str">
        <f>Produtividade!C202</f>
        <v>Banheiros</v>
      </c>
      <c r="F9" s="387" t="s">
        <v>354</v>
      </c>
      <c r="G9" s="394">
        <f>IFERROR(INDEX(Produtividade!L:L,MATCH(E9,Produtividade!C:C,0)),"")</f>
        <v>0</v>
      </c>
      <c r="I9" s="387" t="str">
        <f t="shared" si="2"/>
        <v/>
      </c>
      <c r="J9" s="387" t="str">
        <f t="shared" si="1"/>
        <v/>
      </c>
    </row>
    <row r="10" spans="1:10">
      <c r="A10" s="446" t="s">
        <v>588</v>
      </c>
      <c r="D10" s="387" t="str">
        <f t="shared" si="0"/>
        <v/>
      </c>
      <c r="E10" s="387">
        <f>Produtividade!C203</f>
        <v>0</v>
      </c>
      <c r="F10" s="387"/>
      <c r="G10" s="394" t="str">
        <f>IFERROR(INDEX(Produtividade!L:L,MATCH(E10,Produtividade!C:C,0)),"")</f>
        <v/>
      </c>
      <c r="I10" s="387" t="str">
        <f t="shared" si="2"/>
        <v/>
      </c>
      <c r="J10" s="387" t="str">
        <f t="shared" si="1"/>
        <v/>
      </c>
    </row>
    <row r="11" spans="1:10">
      <c r="A11" s="446" t="s">
        <v>589</v>
      </c>
      <c r="D11" s="387" t="str">
        <f t="shared" si="0"/>
        <v/>
      </c>
      <c r="E11" s="387" t="str">
        <f>Produtividade!C204</f>
        <v>2.2 - Áreas externas</v>
      </c>
      <c r="F11" s="387"/>
      <c r="G11" s="394">
        <f>IFERROR(INDEX(Produtividade!L:L,MATCH(E11,Produtividade!C:C,0)),"")</f>
        <v>0</v>
      </c>
      <c r="I11" s="387" t="str">
        <f t="shared" si="2"/>
        <v/>
      </c>
      <c r="J11" s="387" t="str">
        <f t="shared" si="1"/>
        <v/>
      </c>
    </row>
    <row r="12" spans="1:10">
      <c r="A12" s="446" t="s">
        <v>590</v>
      </c>
      <c r="D12" s="387" t="str">
        <f t="shared" si="0"/>
        <v/>
      </c>
      <c r="E12" s="387" t="str">
        <f>Produtividade!C205</f>
        <v>Pisos pavimentados adjacentes/contíguos às edificações</v>
      </c>
      <c r="F12" s="387" t="s">
        <v>355</v>
      </c>
      <c r="G12" s="394">
        <f>IFERROR(INDEX(Produtividade!L:L,MATCH(E12,Produtividade!C:C,0)),"")</f>
        <v>0</v>
      </c>
      <c r="I12" s="387" t="str">
        <f t="shared" si="2"/>
        <v/>
      </c>
      <c r="J12" s="387" t="str">
        <f t="shared" si="1"/>
        <v/>
      </c>
    </row>
    <row r="13" spans="1:10">
      <c r="A13" s="446" t="s">
        <v>591</v>
      </c>
      <c r="D13" s="387" t="str">
        <f t="shared" si="0"/>
        <v/>
      </c>
      <c r="E13" s="387" t="str">
        <f>Produtividade!C206</f>
        <v>Varrição de passeios e arruamentos</v>
      </c>
      <c r="F13" s="387" t="s">
        <v>355</v>
      </c>
      <c r="G13" s="394">
        <f>IFERROR(INDEX(Produtividade!L:L,MATCH(E13,Produtividade!C:C,0)),"")</f>
        <v>0</v>
      </c>
      <c r="I13" s="387" t="str">
        <f t="shared" si="2"/>
        <v/>
      </c>
      <c r="J13" s="387" t="str">
        <f t="shared" si="1"/>
        <v/>
      </c>
    </row>
    <row r="14" spans="1:10">
      <c r="A14" s="446" t="s">
        <v>592</v>
      </c>
      <c r="D14" s="387" t="str">
        <f t="shared" si="0"/>
        <v/>
      </c>
      <c r="E14" s="387" t="str">
        <f>Produtividade!C207</f>
        <v>Pátios e áreas verdes com alta frequência (semanal)</v>
      </c>
      <c r="F14" s="387" t="s">
        <v>355</v>
      </c>
      <c r="G14" s="394">
        <f>IFERROR(INDEX(Produtividade!L:L,MATCH(E14,Produtividade!C:C,0)),"")</f>
        <v>0</v>
      </c>
      <c r="I14" s="387" t="str">
        <f t="shared" si="2"/>
        <v/>
      </c>
      <c r="J14" s="387" t="str">
        <f t="shared" si="1"/>
        <v/>
      </c>
    </row>
    <row r="15" spans="1:10">
      <c r="A15" s="446" t="s">
        <v>593</v>
      </c>
      <c r="D15" s="387" t="str">
        <f t="shared" si="0"/>
        <v/>
      </c>
      <c r="E15" s="387" t="str">
        <f>Produtividade!C208</f>
        <v>Pátios e áreas verdes com média frequência (quinzenal)</v>
      </c>
      <c r="F15" s="387" t="s">
        <v>355</v>
      </c>
      <c r="G15" s="394">
        <f>IFERROR(INDEX(Produtividade!L:L,MATCH(E15,Produtividade!C:C,0)),"")</f>
        <v>0</v>
      </c>
      <c r="I15" s="387" t="str">
        <f t="shared" si="2"/>
        <v/>
      </c>
      <c r="J15" s="387" t="str">
        <f t="shared" si="1"/>
        <v/>
      </c>
    </row>
    <row r="16" spans="1:10">
      <c r="A16" s="446" t="s">
        <v>594</v>
      </c>
      <c r="D16" s="387" t="str">
        <f t="shared" si="0"/>
        <v/>
      </c>
      <c r="E16" s="387" t="str">
        <f>Produtividade!C209</f>
        <v>Pátios e áreas verdes com baixa frequência (mensal)</v>
      </c>
      <c r="F16" s="387" t="s">
        <v>355</v>
      </c>
      <c r="G16" s="394">
        <f>IFERROR(INDEX(Produtividade!L:L,MATCH(E16,Produtividade!C:C,0)),"")</f>
        <v>0</v>
      </c>
      <c r="I16" s="387" t="str">
        <f t="shared" si="2"/>
        <v/>
      </c>
      <c r="J16" s="387" t="str">
        <f t="shared" si="1"/>
        <v/>
      </c>
    </row>
    <row r="17" spans="1:10">
      <c r="A17" s="446" t="s">
        <v>595</v>
      </c>
      <c r="D17" s="387" t="str">
        <f t="shared" si="0"/>
        <v/>
      </c>
      <c r="E17" s="387" t="str">
        <f>Produtividade!C210</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596</v>
      </c>
      <c r="D18" s="387" t="str">
        <f t="shared" si="0"/>
        <v/>
      </c>
      <c r="E18" s="387">
        <f>Produtividade!C211</f>
        <v>0</v>
      </c>
      <c r="F18" s="387"/>
      <c r="G18" s="394" t="str">
        <f>IFERROR(INDEX(Produtividade!L:L,MATCH(E18,Produtividade!C:C,0)),"")</f>
        <v/>
      </c>
      <c r="I18" s="387" t="str">
        <f t="shared" si="2"/>
        <v/>
      </c>
      <c r="J18" s="387" t="str">
        <f t="shared" si="1"/>
        <v/>
      </c>
    </row>
    <row r="19" spans="1:10">
      <c r="A19" s="446" t="s">
        <v>597</v>
      </c>
      <c r="D19" s="387" t="str">
        <f t="shared" si="0"/>
        <v/>
      </c>
      <c r="E19" s="387" t="str">
        <f>Produtividade!C212</f>
        <v>2.3 - Esquadrias externas</v>
      </c>
      <c r="F19" s="387"/>
      <c r="G19" s="394">
        <f>IFERROR(INDEX(Produtividade!L:L,MATCH(E19,Produtividade!C:C,0)),"")</f>
        <v>0</v>
      </c>
      <c r="I19" s="387" t="str">
        <f t="shared" si="2"/>
        <v/>
      </c>
      <c r="J19" s="387" t="str">
        <f t="shared" si="1"/>
        <v/>
      </c>
    </row>
    <row r="20" spans="1:10">
      <c r="A20" s="446" t="s">
        <v>598</v>
      </c>
      <c r="D20" s="387" t="str">
        <f t="shared" si="0"/>
        <v/>
      </c>
      <c r="E20" s="387" t="str">
        <f>Produtividade!C213</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599</v>
      </c>
      <c r="D21" s="387" t="str">
        <f t="shared" si="0"/>
        <v/>
      </c>
      <c r="E21" s="387" t="str">
        <f>Produtividade!C214</f>
        <v>Face externa - sem exposição a situação de risco (trimestral)</v>
      </c>
      <c r="F21" s="387" t="s">
        <v>382</v>
      </c>
      <c r="G21" s="394">
        <f>IFERROR(INDEX(Produtividade!L:L,MATCH(E21,Produtividade!C:C,0)),"")</f>
        <v>0</v>
      </c>
      <c r="I21" t="str">
        <f t="shared" si="3"/>
        <v/>
      </c>
      <c r="J21" t="str">
        <f t="shared" si="4"/>
        <v/>
      </c>
    </row>
    <row r="22" spans="1:10">
      <c r="A22" s="446" t="s">
        <v>607</v>
      </c>
      <c r="D22" s="387" t="str">
        <f t="shared" si="0"/>
        <v/>
      </c>
      <c r="E22" s="387" t="str">
        <f>Produtividade!C215</f>
        <v>Face interna - sem exposição a situação de risco (quinzenal)</v>
      </c>
      <c r="F22" s="387" t="s">
        <v>382</v>
      </c>
      <c r="G22" s="394">
        <f>IFERROR(INDEX(Produtividade!L:L,MATCH(E22,Produtividade!C:C,0)),"")</f>
        <v>0</v>
      </c>
      <c r="I22" t="str">
        <f t="shared" si="3"/>
        <v/>
      </c>
      <c r="J22" t="str">
        <f t="shared" si="4"/>
        <v/>
      </c>
    </row>
    <row r="23" spans="1:10">
      <c r="A23" s="446" t="s">
        <v>600</v>
      </c>
      <c r="D23" s="387" t="str">
        <f t="shared" si="0"/>
        <v/>
      </c>
      <c r="E23" s="387">
        <f>Produtividade!C216</f>
        <v>0</v>
      </c>
      <c r="F23" s="387"/>
      <c r="G23" s="394" t="str">
        <f>IFERROR(INDEX(Produtividade!L:L,MATCH(E23,Produtividade!C:C,0)),"")</f>
        <v/>
      </c>
      <c r="I23" t="str">
        <f t="shared" si="3"/>
        <v/>
      </c>
      <c r="J23" t="str">
        <f t="shared" si="4"/>
        <v/>
      </c>
    </row>
    <row r="24" spans="1:10">
      <c r="A24" s="446" t="s">
        <v>601</v>
      </c>
      <c r="D24" s="387" t="str">
        <f t="shared" si="0"/>
        <v/>
      </c>
      <c r="E24" s="387" t="str">
        <f>Produtividade!C217</f>
        <v>2.4 - Fachadas</v>
      </c>
      <c r="F24" s="387"/>
      <c r="G24" s="394">
        <f>IFERROR(INDEX(Produtividade!L:L,MATCH(E24,Produtividade!C:C,0)),"")</f>
        <v>0</v>
      </c>
      <c r="I24" t="str">
        <f t="shared" si="3"/>
        <v/>
      </c>
      <c r="J24" t="str">
        <f t="shared" si="4"/>
        <v/>
      </c>
    </row>
    <row r="25" spans="1:10">
      <c r="A25" s="446" t="s">
        <v>602</v>
      </c>
      <c r="D25" s="387" t="str">
        <f t="shared" si="0"/>
        <v/>
      </c>
      <c r="E25" s="387" t="str">
        <f>Produtividade!C218</f>
        <v>Fachadas Envidraçadas (trimestral)</v>
      </c>
      <c r="F25" s="387" t="s">
        <v>383</v>
      </c>
      <c r="G25" s="394">
        <f>IFERROR(INDEX(Produtividade!L:L,MATCH(E25,Produtividade!C:C,0)),"")</f>
        <v>0</v>
      </c>
      <c r="I25" t="str">
        <f t="shared" si="3"/>
        <v/>
      </c>
      <c r="J25" t="str">
        <f t="shared" si="4"/>
        <v/>
      </c>
    </row>
    <row r="26" spans="1:10">
      <c r="A26" s="446" t="s">
        <v>603</v>
      </c>
      <c r="D26" s="387" t="str">
        <f t="shared" si="0"/>
        <v/>
      </c>
      <c r="E26" s="387">
        <f>Produtividade!C219</f>
        <v>0</v>
      </c>
      <c r="F26" s="387"/>
      <c r="G26" s="394" t="str">
        <f>IFERROR(INDEX(Produtividade!L:L,MATCH(E26,Produtividade!C:C,0)),"")</f>
        <v/>
      </c>
      <c r="I26" t="str">
        <f>IFERROR(SMALL(D:D,ROW()-1),"")</f>
        <v/>
      </c>
      <c r="J26" t="str">
        <f>IF($I26="","",INDEX(E:E,MATCH($I26,$D:$D,0)))</f>
        <v/>
      </c>
    </row>
    <row r="27" spans="1:10">
      <c r="A27" s="446" t="s">
        <v>604</v>
      </c>
      <c r="D27" s="387" t="str">
        <f t="shared" si="0"/>
        <v/>
      </c>
      <c r="E27" s="387" t="str">
        <f>Produtividade!C220</f>
        <v>2.5 - Áreas Hospitalares</v>
      </c>
      <c r="F27" s="387"/>
      <c r="G27" s="394">
        <f>IFERROR(INDEX(Produtividade!L:L,MATCH(E27,Produtividade!C:C,0)),"")</f>
        <v>0</v>
      </c>
      <c r="I27" t="str">
        <f>IFERROR(SMALL(D:D,ROW()-1),"")</f>
        <v/>
      </c>
      <c r="J27" t="str">
        <f>IF($I27="","",INDEX(E:E,MATCH($I27,$D:$D,0)))</f>
        <v/>
      </c>
    </row>
    <row r="28" spans="1:10">
      <c r="A28" s="446" t="s">
        <v>605</v>
      </c>
      <c r="D28" s="387" t="str">
        <f t="shared" si="0"/>
        <v/>
      </c>
      <c r="E28" s="387" t="str">
        <f>Produtividade!C221</f>
        <v>Áreas Hospitalares e assemelhadas</v>
      </c>
      <c r="F28" s="387" t="s">
        <v>384</v>
      </c>
      <c r="G28" s="394">
        <f>IFERROR(INDEX(Produtividade!L:L,MATCH(E28,Produtividade!C:C,0)),"")</f>
        <v>0</v>
      </c>
      <c r="I28" t="str">
        <f>IFERROR(SMALL(D:D,ROW()-1),"")</f>
        <v/>
      </c>
      <c r="J28" t="str">
        <f>IF($I28="","",INDEX(E:E,MATCH($I28,$D:$D,0)))</f>
        <v/>
      </c>
    </row>
    <row r="29" spans="1:10">
      <c r="A29" s="446" t="s">
        <v>606</v>
      </c>
      <c r="D29" s="387" t="str">
        <f t="shared" si="0"/>
        <v/>
      </c>
      <c r="E29" s="387">
        <f>Produtividade!C222</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Eduardo Evaristo</cp:lastModifiedBy>
  <cp:lastPrinted>2023-11-16T17:30:01Z</cp:lastPrinted>
  <dcterms:created xsi:type="dcterms:W3CDTF">2015-06-05T18:19:34Z</dcterms:created>
  <dcterms:modified xsi:type="dcterms:W3CDTF">2026-10-21T14:10:53Z</dcterms:modified>
</cp:coreProperties>
</file>