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EstaPasta_de_trabalho"/>
  <bookViews>
    <workbookView xWindow="28680" yWindow="-210" windowWidth="29040" windowHeight="15720" tabRatio="802"/>
  </bookViews>
  <sheets>
    <sheet name="Mão de Obra" sheetId="25" r:id="rId1"/>
    <sheet name="Mat Individual e Uniformes" sheetId="3" r:id="rId2"/>
    <sheet name="Mat Coletivo e Equipamentos" sheetId="9" state="hidden" r:id="rId3"/>
    <sheet name="Veículos" sheetId="6" state="hidden" r:id="rId4"/>
    <sheet name="Produtividade" sheetId="24" state="hidden" r:id="rId5"/>
    <sheet name="Proposta" sheetId="5" r:id="rId6"/>
    <sheet name="Apoio - Regime de Trabalho" sheetId="1" state="hidden" r:id="rId7"/>
    <sheet name="Apoio - Notas Explicativas" sheetId="8" r:id="rId8"/>
    <sheet name="Apoio - Posto" sheetId="18" state="hidden" r:id="rId9"/>
    <sheet name="Apoio - Dados" sheetId="16" state="hidden" r:id="rId10"/>
  </sheets>
  <externalReferences>
    <externalReference r:id="rId11"/>
    <externalReference r:id="rId12"/>
    <externalReference r:id="rId13"/>
  </externalReferences>
  <definedNames>
    <definedName name="_xlnm._FilterDatabase" localSheetId="8" hidden="1">'Apoio - Posto'!$A$1:$S$634</definedName>
    <definedName name="_xlnm.Print_Area" localSheetId="0">'Mão de Obra'!$B$16:$B$156</definedName>
    <definedName name="_xlnm.Print_Area" localSheetId="4">Produtividade!$B$16:$B$156</definedName>
    <definedName name="familias_equipamentos" localSheetId="7">'Apoio - Notas Explicativas'!#REF!</definedName>
    <definedName name="familias_equipamentos" localSheetId="0">'[1]Base Apoio - etapa 1'!#REF!</definedName>
    <definedName name="familias_equipamentos" localSheetId="4">'[1]Base Apoio - etapa 1'!#REF!</definedName>
    <definedName name="familias_equipamentos" localSheetId="3">'[2]Base Apoio - etapa 1'!#REF!</definedName>
    <definedName name="familias_equipamentos">'[1]Base Apoio - etapa 1'!#REF!</definedName>
    <definedName name="materiais">[1]Fontes!$F$3:$F$9</definedName>
    <definedName name="percentuais" localSheetId="7">[3]Fontes!$C$1:$C$3</definedName>
    <definedName name="percentuais" localSheetId="3">[2]Fontes!$C$1:$C$3</definedName>
    <definedName name="percentuais">[1]Fontes!$C$1:$C$3</definedName>
    <definedName name="Sim_não" localSheetId="7">[3]Fontes!$A$1:$A$2</definedName>
    <definedName name="Sim_não" localSheetId="3">[2]Fontes!$A$1:$A$2</definedName>
    <definedName name="Sim_não">[1]Fontes!$A$1:$A$2</definedName>
    <definedName name="tributaçao" localSheetId="7">'Apoio - Notas Explicativas'!#REF!</definedName>
    <definedName name="tributaçao" localSheetId="3">'[2]Base Apoio - etapa 1'!$F$20:$H$20</definedName>
    <definedName name="tributaçao">'[1]Base Apoio - etapa 1'!$F$20:$H$20</definedName>
    <definedName name="Tributação" localSheetId="7">#REF!</definedName>
    <definedName name="Tributação" localSheetId="0">#REF!</definedName>
    <definedName name="Tributação" localSheetId="4">#REF!</definedName>
    <definedName name="Tributação" localSheetId="3">#REF!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3" l="1"/>
  <c r="H87" i="25" l="1"/>
  <c r="I87" i="25"/>
  <c r="B8" i="5"/>
  <c r="D149" i="24"/>
  <c r="K215" i="24" l="1"/>
  <c r="K211" i="24"/>
  <c r="K210" i="24"/>
  <c r="E28" i="24"/>
  <c r="K218" i="24"/>
  <c r="K216" i="24"/>
  <c r="K213" i="24"/>
  <c r="K208" i="24"/>
  <c r="K207" i="24"/>
  <c r="K206" i="24"/>
  <c r="K195" i="24"/>
  <c r="K196" i="24"/>
  <c r="K197" i="24"/>
  <c r="K198" i="24"/>
  <c r="K199" i="24"/>
  <c r="K200" i="24"/>
  <c r="K202" i="24"/>
  <c r="K203" i="24"/>
  <c r="K193" i="24"/>
  <c r="K194" i="24"/>
  <c r="K219" i="24"/>
  <c r="D9" i="8" l="1"/>
  <c r="X148" i="25" l="1"/>
  <c r="W148" i="25"/>
  <c r="V148" i="25"/>
  <c r="U148" i="25"/>
  <c r="T148" i="25"/>
  <c r="S148" i="25"/>
  <c r="R148" i="25"/>
  <c r="Q148" i="25"/>
  <c r="P148" i="25"/>
  <c r="O148" i="25"/>
  <c r="N148" i="25"/>
  <c r="M148" i="25"/>
  <c r="L148" i="25"/>
  <c r="K148" i="25"/>
  <c r="J148" i="25"/>
  <c r="I148" i="25"/>
  <c r="H148" i="25"/>
  <c r="H6" i="3"/>
  <c r="H7" i="3"/>
  <c r="H8" i="3"/>
  <c r="H9" i="3"/>
  <c r="H11" i="3"/>
  <c r="H12" i="3"/>
  <c r="H13" i="3"/>
  <c r="H14" i="3"/>
  <c r="H15" i="3"/>
  <c r="H16" i="3"/>
  <c r="H17" i="3"/>
  <c r="H18" i="3"/>
  <c r="H20" i="3"/>
  <c r="H22" i="3"/>
  <c r="H23"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6" i="5"/>
  <c r="B37" i="5"/>
  <c r="B38" i="5"/>
  <c r="B39" i="5"/>
  <c r="B35" i="5"/>
  <c r="B18" i="5"/>
  <c r="B19" i="5"/>
  <c r="B20" i="5"/>
  <c r="B21" i="5"/>
  <c r="B22" i="5"/>
  <c r="B23" i="5"/>
  <c r="B24" i="5"/>
  <c r="B25" i="5"/>
  <c r="B17" i="5"/>
  <c r="J7" i="9"/>
  <c r="J8" i="9"/>
  <c r="J9" i="9"/>
  <c r="J10" i="9"/>
  <c r="J11" i="9"/>
  <c r="J12" i="9"/>
  <c r="J13" i="9"/>
  <c r="J14" i="9"/>
  <c r="J15" i="9"/>
  <c r="J16" i="9"/>
  <c r="J17" i="9"/>
  <c r="J18" i="9"/>
  <c r="J19" i="9"/>
  <c r="J20" i="9"/>
  <c r="J21" i="9"/>
  <c r="J22" i="9"/>
  <c r="J23" i="9"/>
  <c r="J24" i="9"/>
  <c r="J6" i="9"/>
  <c r="G84" i="6"/>
  <c r="H84" i="6"/>
  <c r="I84"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7" i="25"/>
  <c r="P87" i="25"/>
  <c r="Q87" i="25"/>
  <c r="R87" i="25"/>
  <c r="S87" i="25"/>
  <c r="T87" i="25"/>
  <c r="U87" i="25"/>
  <c r="V87" i="25"/>
  <c r="W87" i="25"/>
  <c r="X87"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R150" i="25"/>
  <c r="S150" i="25"/>
  <c r="T150" i="25"/>
  <c r="U150" i="25"/>
  <c r="V150" i="25"/>
  <c r="W150" i="25"/>
  <c r="W180" i="25" s="1"/>
  <c r="W186" i="25" s="1"/>
  <c r="X150" i="25"/>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P168" i="25"/>
  <c r="Q168" i="25"/>
  <c r="R168" i="25"/>
  <c r="S168" i="25"/>
  <c r="T168" i="25"/>
  <c r="U168" i="25"/>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Q175" i="25"/>
  <c r="Q176" i="25" s="1"/>
  <c r="R175" i="25"/>
  <c r="R176" i="25" s="1"/>
  <c r="S175" i="25"/>
  <c r="T175" i="25"/>
  <c r="U175" i="25"/>
  <c r="U176" i="25" s="1"/>
  <c r="V175" i="25"/>
  <c r="W175" i="25"/>
  <c r="W176" i="25" s="1"/>
  <c r="X175" i="25"/>
  <c r="X176" i="25" s="1"/>
  <c r="I41" i="6"/>
  <c r="H41" i="6"/>
  <c r="G41" i="6"/>
  <c r="F41" i="6"/>
  <c r="E41" i="6"/>
  <c r="E59" i="25"/>
  <c r="F59" i="25"/>
  <c r="O3" i="3"/>
  <c r="P3" i="3"/>
  <c r="Q3" i="3"/>
  <c r="R3" i="3"/>
  <c r="S3" i="3"/>
  <c r="F149" i="25"/>
  <c r="G149" i="25"/>
  <c r="H149" i="25"/>
  <c r="I149" i="25"/>
  <c r="J149" i="25"/>
  <c r="K149" i="25"/>
  <c r="L149" i="25"/>
  <c r="M149" i="25"/>
  <c r="N149" i="25"/>
  <c r="F28" i="24"/>
  <c r="G28" i="24"/>
  <c r="H28" i="24"/>
  <c r="T181" i="25" l="1"/>
  <c r="T187" i="25" s="1"/>
  <c r="T180" i="25"/>
  <c r="T186" i="25" s="1"/>
  <c r="U181" i="25"/>
  <c r="U187" i="25" s="1"/>
  <c r="S180" i="25"/>
  <c r="S186" i="25" s="1"/>
  <c r="S181" i="25"/>
  <c r="S187" i="25" s="1"/>
  <c r="U180" i="25"/>
  <c r="U186" i="25" s="1"/>
  <c r="V176" i="25"/>
  <c r="X180" i="25"/>
  <c r="X186" i="25" s="1"/>
  <c r="S176" i="25"/>
  <c r="P181" i="25"/>
  <c r="P187" i="25" s="1"/>
  <c r="O181" i="25"/>
  <c r="O187" i="25" s="1"/>
  <c r="Q180" i="25"/>
  <c r="Q186" i="25" s="1"/>
  <c r="P176" i="25"/>
  <c r="Q181" i="25"/>
  <c r="Q187" i="25" s="1"/>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17" i="5"/>
  <c r="T35" i="25" l="1"/>
  <c r="T49" i="25" s="1"/>
  <c r="Q45" i="25"/>
  <c r="T42" i="25"/>
  <c r="V45" i="25"/>
  <c r="Q91" i="25"/>
  <c r="X91" i="25"/>
  <c r="X42" i="25"/>
  <c r="S35" i="25"/>
  <c r="S49" i="25" s="1"/>
  <c r="S91" i="25"/>
  <c r="Q46" i="25"/>
  <c r="Q53" i="25" s="1"/>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J4" i="3"/>
  <c r="N4" i="3"/>
  <c r="O4" i="3"/>
  <c r="M4" i="3"/>
  <c r="P4" i="3"/>
  <c r="I12" i="1"/>
  <c r="H9" i="1"/>
  <c r="H8" i="1"/>
  <c r="G9" i="1"/>
  <c r="G8" i="1"/>
  <c r="G7" i="1"/>
  <c r="G6" i="1"/>
  <c r="G5" i="1"/>
  <c r="I9" i="1"/>
  <c r="J9" i="1" s="1"/>
  <c r="I8" i="1"/>
  <c r="J8" i="1" s="1"/>
  <c r="L17" i="18"/>
  <c r="H5" i="1"/>
  <c r="H6" i="1"/>
  <c r="H7" i="1"/>
  <c r="H14" i="1"/>
  <c r="H15" i="1"/>
  <c r="H16" i="1"/>
  <c r="I5" i="1"/>
  <c r="I6" i="1"/>
  <c r="I7" i="1"/>
  <c r="I10" i="1"/>
  <c r="J10" i="1" s="1"/>
  <c r="I11" i="1"/>
  <c r="I13" i="1"/>
  <c r="I15" i="1"/>
  <c r="I14" i="1"/>
  <c r="I16" i="1"/>
  <c r="G10" i="1"/>
  <c r="J6" i="1" l="1"/>
  <c r="J5" i="1"/>
  <c r="J12" i="1"/>
  <c r="J13" i="1"/>
  <c r="J7" i="1"/>
  <c r="G16" i="1"/>
  <c r="J16" i="1" s="1"/>
  <c r="G15" i="1"/>
  <c r="J15" i="1" s="1"/>
  <c r="G27" i="24" s="1"/>
  <c r="G14" i="1"/>
  <c r="J14" i="1" s="1"/>
  <c r="G13" i="1"/>
  <c r="G11" i="1"/>
  <c r="J11" i="1" s="1"/>
  <c r="G12" i="1"/>
  <c r="F142" i="24" l="1"/>
  <c r="G142" i="24"/>
  <c r="H142" i="24"/>
  <c r="F142" i="25"/>
  <c r="G142" i="25"/>
  <c r="H142" i="25"/>
  <c r="I142" i="25"/>
  <c r="J142" i="25"/>
  <c r="K142" i="25"/>
  <c r="L142" i="25"/>
  <c r="M142" i="25"/>
  <c r="N142" i="25"/>
  <c r="F90" i="24"/>
  <c r="G90" i="24"/>
  <c r="H90" i="24"/>
  <c r="E90" i="24"/>
  <c r="H90" i="25"/>
  <c r="I90" i="25"/>
  <c r="J90" i="25"/>
  <c r="K90" i="25"/>
  <c r="L90" i="25"/>
  <c r="M90" i="25"/>
  <c r="N90" i="25"/>
  <c r="E90" i="25"/>
  <c r="Q17" i="8"/>
  <c r="Q18" i="8" s="1"/>
  <c r="F21" i="6"/>
  <c r="G21" i="6"/>
  <c r="H21" i="6"/>
  <c r="I21" i="6"/>
  <c r="E21" i="6"/>
  <c r="H100" i="8"/>
  <c r="G64" i="6"/>
  <c r="H64" i="6"/>
  <c r="I64" i="6"/>
  <c r="F65" i="6"/>
  <c r="G65" i="6"/>
  <c r="H65" i="6"/>
  <c r="I65" i="6"/>
  <c r="G66" i="6"/>
  <c r="H66" i="6"/>
  <c r="I66" i="6"/>
  <c r="G69" i="6"/>
  <c r="H69" i="6"/>
  <c r="I69" i="6"/>
  <c r="G70" i="6"/>
  <c r="H70" i="6"/>
  <c r="I70" i="6"/>
  <c r="G73" i="6"/>
  <c r="H73" i="6"/>
  <c r="I73" i="6"/>
  <c r="G74" i="6"/>
  <c r="H74" i="6"/>
  <c r="I74" i="6"/>
  <c r="E65" i="6"/>
  <c r="J15" i="18"/>
  <c r="J14" i="18"/>
  <c r="J13" i="18"/>
  <c r="J12" i="18"/>
  <c r="J11" i="18"/>
  <c r="J10" i="18"/>
  <c r="J9" i="18"/>
  <c r="J8" i="18"/>
  <c r="J7" i="18"/>
  <c r="J6" i="18"/>
  <c r="J5" i="18"/>
  <c r="J4" i="18"/>
  <c r="J3" i="18"/>
  <c r="G37" i="6"/>
  <c r="H37" i="6"/>
  <c r="I37" i="6"/>
  <c r="F38" i="6"/>
  <c r="G38" i="6"/>
  <c r="H38" i="6"/>
  <c r="I38" i="6"/>
  <c r="F42" i="6"/>
  <c r="G42" i="6"/>
  <c r="H42" i="6"/>
  <c r="I42" i="6"/>
  <c r="G43" i="6"/>
  <c r="H43" i="6"/>
  <c r="I43" i="6"/>
  <c r="G47" i="6"/>
  <c r="H47" i="6"/>
  <c r="I47" i="6"/>
  <c r="J6" i="5"/>
  <c r="G148" i="25" s="1"/>
  <c r="J7" i="5"/>
  <c r="J9" i="5"/>
  <c r="J10" i="5"/>
  <c r="P146" i="8" s="1"/>
  <c r="C7" i="5"/>
  <c r="C6" i="5"/>
  <c r="F148" i="25" l="1"/>
  <c r="E148" i="25"/>
  <c r="E38" i="6"/>
  <c r="G148" i="24"/>
  <c r="H148" i="24"/>
  <c r="E148" i="24"/>
  <c r="F148" i="24"/>
  <c r="F47" i="6"/>
  <c r="F37" i="6"/>
  <c r="E37" i="6"/>
  <c r="K3" i="3"/>
  <c r="L3" i="3"/>
  <c r="M3" i="3"/>
  <c r="J3" i="3"/>
  <c r="B3" i="5" l="1"/>
  <c r="D74"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J29" i="25"/>
  <c r="F21" i="5" s="1"/>
  <c r="K29" i="25"/>
  <c r="F22" i="5" s="1"/>
  <c r="L29" i="25"/>
  <c r="F23" i="5" s="1"/>
  <c r="M29" i="25"/>
  <c r="N29" i="25"/>
  <c r="F25"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J87" i="25"/>
  <c r="K87" i="25"/>
  <c r="L87" i="25"/>
  <c r="M87" i="25"/>
  <c r="N87"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J173" i="25"/>
  <c r="K173" i="25"/>
  <c r="L173" i="25"/>
  <c r="M173" i="25"/>
  <c r="N173" i="25"/>
  <c r="I174" i="25"/>
  <c r="J174" i="25"/>
  <c r="K174" i="25"/>
  <c r="L174" i="25"/>
  <c r="M174" i="25"/>
  <c r="H24" i="5" s="1"/>
  <c r="N174" i="25"/>
  <c r="I175" i="25"/>
  <c r="J175" i="25"/>
  <c r="K175" i="25"/>
  <c r="L175" i="25"/>
  <c r="M175" i="25"/>
  <c r="N175" i="25"/>
  <c r="D18" i="5"/>
  <c r="E18" i="5"/>
  <c r="D19" i="5"/>
  <c r="E19" i="5"/>
  <c r="D20" i="5"/>
  <c r="E20" i="5"/>
  <c r="D21" i="5"/>
  <c r="E21" i="5"/>
  <c r="D22" i="5"/>
  <c r="E22" i="5"/>
  <c r="D23" i="5"/>
  <c r="E23" i="5"/>
  <c r="D24" i="5"/>
  <c r="E24" i="5"/>
  <c r="D25" i="5"/>
  <c r="E25" i="5"/>
  <c r="E17" i="5"/>
  <c r="D17" i="5"/>
  <c r="H163" i="25"/>
  <c r="H143" i="25"/>
  <c r="G143" i="25"/>
  <c r="F143" i="25"/>
  <c r="E142" i="25"/>
  <c r="E143" i="25" s="1"/>
  <c r="H111" i="25"/>
  <c r="G111" i="25"/>
  <c r="F111" i="25"/>
  <c r="E111" i="25"/>
  <c r="H107" i="25"/>
  <c r="G107" i="25"/>
  <c r="D107" i="25"/>
  <c r="H101" i="25"/>
  <c r="G101" i="25"/>
  <c r="F101" i="25"/>
  <c r="E101" i="25"/>
  <c r="H95" i="25"/>
  <c r="G95" i="25"/>
  <c r="H94" i="25"/>
  <c r="E94" i="25"/>
  <c r="H93" i="25"/>
  <c r="H89" i="25"/>
  <c r="E89" i="25"/>
  <c r="H88" i="25"/>
  <c r="E88" i="25"/>
  <c r="H59" i="25"/>
  <c r="G59" i="25"/>
  <c r="H37" i="25"/>
  <c r="G37" i="25"/>
  <c r="H34" i="25"/>
  <c r="G34" i="25"/>
  <c r="H28" i="25"/>
  <c r="G28" i="25"/>
  <c r="H25" i="25"/>
  <c r="G25" i="25"/>
  <c r="H24" i="25"/>
  <c r="G24" i="25"/>
  <c r="H23" i="25"/>
  <c r="G23" i="25"/>
  <c r="H22" i="25"/>
  <c r="H21" i="25"/>
  <c r="H57" i="25" s="1"/>
  <c r="H20" i="25"/>
  <c r="H44" i="25" s="1"/>
  <c r="H48" i="25" s="1"/>
  <c r="G20" i="25"/>
  <c r="G44" i="25" s="1"/>
  <c r="G48" i="25" s="1"/>
  <c r="A2" i="25"/>
  <c r="G58" i="6"/>
  <c r="H58" i="6"/>
  <c r="I58" i="6"/>
  <c r="G59" i="6"/>
  <c r="H59" i="6"/>
  <c r="I59" i="6"/>
  <c r="D57" i="6"/>
  <c r="G29" i="25" l="1"/>
  <c r="E70" i="5"/>
  <c r="F24" i="5"/>
  <c r="G22" i="5"/>
  <c r="G25" i="5"/>
  <c r="G23" i="5"/>
  <c r="H23" i="5"/>
  <c r="H21" i="5"/>
  <c r="G24" i="5"/>
  <c r="H22" i="5"/>
  <c r="G21" i="5"/>
  <c r="H25" i="5"/>
  <c r="N112" i="25"/>
  <c r="M128" i="25"/>
  <c r="M114" i="25"/>
  <c r="M100" i="25"/>
  <c r="F84" i="6"/>
  <c r="E84" i="6"/>
  <c r="M181" i="25"/>
  <c r="M187" i="25" s="1"/>
  <c r="I176" i="25"/>
  <c r="N181" i="25"/>
  <c r="N187" i="25" s="1"/>
  <c r="M180" i="25"/>
  <c r="M186" i="25" s="1"/>
  <c r="N180" i="25"/>
  <c r="N186" i="25" s="1"/>
  <c r="N176" i="25"/>
  <c r="J181" i="25"/>
  <c r="J187" i="25" s="1"/>
  <c r="M176" i="25"/>
  <c r="L180" i="25"/>
  <c r="L186" i="25" s="1"/>
  <c r="K180" i="25"/>
  <c r="K186" i="25" s="1"/>
  <c r="M96" i="25"/>
  <c r="L176" i="25"/>
  <c r="K176" i="25"/>
  <c r="I180" i="25"/>
  <c r="I186" i="25" s="1"/>
  <c r="L181" i="25"/>
  <c r="L187" i="25" s="1"/>
  <c r="K181" i="25"/>
  <c r="K187" i="25" s="1"/>
  <c r="J176" i="25"/>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H96" i="25"/>
  <c r="F96" i="25"/>
  <c r="G57" i="25"/>
  <c r="H29" i="25"/>
  <c r="F19" i="5" s="1"/>
  <c r="H45" i="25"/>
  <c r="E100" i="25"/>
  <c r="E106" i="25"/>
  <c r="F100" i="25"/>
  <c r="F106" i="25"/>
  <c r="F39" i="25"/>
  <c r="G45" i="25"/>
  <c r="H106" i="25"/>
  <c r="H100" i="25"/>
  <c r="G106" i="25"/>
  <c r="H32" i="25"/>
  <c r="H91" i="25" s="1"/>
  <c r="G39" i="25"/>
  <c r="E44" i="25"/>
  <c r="E48" i="25" s="1"/>
  <c r="E57" i="25"/>
  <c r="G100" i="25"/>
  <c r="F20" i="5" l="1"/>
  <c r="I21" i="5"/>
  <c r="I22" i="5"/>
  <c r="I25" i="5"/>
  <c r="I23" i="5"/>
  <c r="I24" i="5"/>
  <c r="F45" i="25"/>
  <c r="F48" i="25" s="1"/>
  <c r="M91" i="25"/>
  <c r="K91" i="25"/>
  <c r="I91" i="25"/>
  <c r="F91" i="25"/>
  <c r="F112" i="25" s="1"/>
  <c r="I45" i="25"/>
  <c r="I46" i="25" s="1"/>
  <c r="I53" i="25" s="1"/>
  <c r="M45" i="25"/>
  <c r="M35" i="25"/>
  <c r="M49" i="25" s="1"/>
  <c r="L45" i="25"/>
  <c r="I42" i="25"/>
  <c r="I49" i="25"/>
  <c r="N45" i="25"/>
  <c r="K48" i="25"/>
  <c r="F35" i="25"/>
  <c r="K35" i="25"/>
  <c r="K46" i="25" s="1"/>
  <c r="K53" i="25" s="1"/>
  <c r="N35" i="25"/>
  <c r="N42" i="25"/>
  <c r="L42" i="25"/>
  <c r="L35" i="25"/>
  <c r="J35" i="25"/>
  <c r="J49" i="25" s="1"/>
  <c r="J42" i="25"/>
  <c r="H112" i="25"/>
  <c r="E29" i="25"/>
  <c r="F18" i="5"/>
  <c r="H42" i="25"/>
  <c r="H35" i="25"/>
  <c r="E45" i="25"/>
  <c r="H39" i="25"/>
  <c r="E142" i="24"/>
  <c r="F46" i="25" l="1"/>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48" i="6"/>
  <c r="G48" i="6"/>
  <c r="I48" i="6"/>
  <c r="H128" i="25" l="1"/>
  <c r="F163" i="24"/>
  <c r="G163" i="24"/>
  <c r="H163" i="24"/>
  <c r="E163" i="24"/>
  <c r="F150" i="25" l="1"/>
  <c r="H134" i="25"/>
  <c r="G150" i="25" l="1"/>
  <c r="F180" i="25"/>
  <c r="F186" i="25" s="1"/>
  <c r="G180" i="25" l="1"/>
  <c r="G186" i="25" s="1"/>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50" i="25"/>
  <c r="H180" i="25" s="1"/>
  <c r="H186" i="25" s="1"/>
  <c r="H155" i="25"/>
  <c r="D36" i="5"/>
  <c r="F36" i="5"/>
  <c r="D37" i="5"/>
  <c r="F37" i="5"/>
  <c r="D38" i="5"/>
  <c r="F38" i="5"/>
  <c r="D39" i="5"/>
  <c r="F39" i="5"/>
  <c r="F35" i="5"/>
  <c r="D35" i="5"/>
  <c r="E36" i="5"/>
  <c r="E37" i="5"/>
  <c r="E38" i="5"/>
  <c r="E39" i="5"/>
  <c r="E35" i="5"/>
  <c r="G161" i="25" l="1"/>
  <c r="H156" i="25"/>
  <c r="H157" i="25" s="1"/>
  <c r="E42" i="6"/>
  <c r="G88" i="6"/>
  <c r="H88" i="6"/>
  <c r="I88" i="6"/>
  <c r="G90" i="6"/>
  <c r="I37" i="5" s="1"/>
  <c r="H90" i="6"/>
  <c r="I38" i="5" s="1"/>
  <c r="I90" i="6"/>
  <c r="I39" i="5" s="1"/>
  <c r="G93" i="6"/>
  <c r="H93" i="6"/>
  <c r="I93" i="6"/>
  <c r="G94" i="6"/>
  <c r="H94" i="6"/>
  <c r="I94" i="6"/>
  <c r="G95" i="6"/>
  <c r="J37" i="5" s="1"/>
  <c r="H95" i="6"/>
  <c r="J38" i="5" s="1"/>
  <c r="I95" i="6"/>
  <c r="J39" i="5" s="1"/>
  <c r="G96" i="6"/>
  <c r="K37" i="5" s="1"/>
  <c r="H96" i="6"/>
  <c r="K38" i="5" s="1"/>
  <c r="I96" i="6"/>
  <c r="K39" i="5" s="1"/>
  <c r="G53" i="6"/>
  <c r="H53" i="6"/>
  <c r="I53" i="6"/>
  <c r="G54" i="6"/>
  <c r="H54" i="6"/>
  <c r="I54" i="6"/>
  <c r="F12" i="6"/>
  <c r="G12" i="6"/>
  <c r="H12" i="6"/>
  <c r="I12" i="6"/>
  <c r="F17" i="6"/>
  <c r="G17" i="6"/>
  <c r="H17" i="6"/>
  <c r="I17" i="6"/>
  <c r="F26" i="6"/>
  <c r="G26" i="6"/>
  <c r="H26" i="6"/>
  <c r="I26" i="6"/>
  <c r="F32" i="6"/>
  <c r="G32" i="6"/>
  <c r="H32" i="6"/>
  <c r="I32" i="6"/>
  <c r="G33" i="6"/>
  <c r="H33" i="6"/>
  <c r="I33" i="6"/>
  <c r="E26" i="6"/>
  <c r="E12" i="6"/>
  <c r="F87" i="24"/>
  <c r="G87" i="24"/>
  <c r="H87" i="24"/>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43" i="6" l="1"/>
  <c r="F48" i="6" s="1"/>
  <c r="F58" i="6"/>
  <c r="F53" i="6"/>
  <c r="F33" i="6"/>
  <c r="H160" i="25"/>
  <c r="H161" i="25"/>
  <c r="H164" i="25"/>
  <c r="H165" i="25"/>
  <c r="H166" i="25" l="1"/>
  <c r="H168" i="25" s="1"/>
  <c r="I4" i="1"/>
  <c r="J4" i="1" s="1"/>
  <c r="I3" i="1"/>
  <c r="J3" i="1" s="1"/>
  <c r="E96" i="25" l="1"/>
  <c r="E32" i="25"/>
  <c r="E39" i="25" s="1"/>
  <c r="H181" i="25"/>
  <c r="H187" i="25" s="1"/>
  <c r="H174" i="25"/>
  <c r="H175" i="25"/>
  <c r="H20" i="5" l="1"/>
  <c r="E42" i="25"/>
  <c r="E35" i="25"/>
  <c r="E46" i="25" s="1"/>
  <c r="E91" i="25"/>
  <c r="E112" i="25" s="1"/>
  <c r="H173" i="25"/>
  <c r="H176" i="25"/>
  <c r="I175" i="24"/>
  <c r="I174" i="24"/>
  <c r="I173" i="24"/>
  <c r="I20" i="5" l="1"/>
  <c r="G20" i="5"/>
  <c r="E49" i="25"/>
  <c r="E55" i="25" s="1"/>
  <c r="E53" i="25"/>
  <c r="E56" i="25" s="1"/>
  <c r="F56" i="25" s="1"/>
  <c r="H13" i="1"/>
  <c r="H11" i="1"/>
  <c r="H10" i="1"/>
  <c r="G93" i="25" l="1"/>
  <c r="G96" i="25" s="1"/>
  <c r="G32" i="25"/>
  <c r="F58" i="25"/>
  <c r="F61" i="25" s="1"/>
  <c r="F72" i="25" s="1"/>
  <c r="E58" i="25"/>
  <c r="E61" i="25" s="1"/>
  <c r="F77" i="25"/>
  <c r="F76" i="25"/>
  <c r="F74" i="25"/>
  <c r="F75" i="25"/>
  <c r="F93" i="24"/>
  <c r="F96" i="24" s="1"/>
  <c r="G93" i="24"/>
  <c r="G96" i="24" s="1"/>
  <c r="H93" i="24"/>
  <c r="H96" i="24" s="1"/>
  <c r="F73" i="25" l="1"/>
  <c r="G35" i="25"/>
  <c r="G49" i="25" s="1"/>
  <c r="G42" i="25"/>
  <c r="G46" i="25"/>
  <c r="G91" i="25"/>
  <c r="G112" i="25" s="1"/>
  <c r="E72" i="25"/>
  <c r="E77" i="25"/>
  <c r="E76" i="25"/>
  <c r="E73" i="25"/>
  <c r="E74" i="25"/>
  <c r="E75" i="25"/>
  <c r="J37" i="8"/>
  <c r="J36" i="8"/>
  <c r="G53" i="25" l="1"/>
  <c r="G56" i="25" s="1"/>
  <c r="G58" i="25" s="1"/>
  <c r="G61" i="25" s="1"/>
  <c r="G55" i="25"/>
  <c r="D51" i="6"/>
  <c r="F54" i="6" s="1"/>
  <c r="F59" i="6" s="1"/>
  <c r="G72" i="25" l="1"/>
  <c r="G73" i="25"/>
  <c r="G75" i="25"/>
  <c r="G77" i="25"/>
  <c r="G74" i="25"/>
  <c r="G76" i="25"/>
  <c r="E47" i="6"/>
  <c r="I149" i="24" l="1"/>
  <c r="I17" i="24" l="1"/>
  <c r="N3" i="3" s="1"/>
  <c r="I20" i="24"/>
  <c r="I21" i="24"/>
  <c r="I22" i="24"/>
  <c r="I23" i="24"/>
  <c r="I24" i="24"/>
  <c r="I25" i="24"/>
  <c r="G77" i="6" l="1"/>
  <c r="H77" i="6"/>
  <c r="I77" i="6"/>
  <c r="G75" i="6"/>
  <c r="H75" i="6"/>
  <c r="I75" i="6"/>
  <c r="I89" i="6" l="1"/>
  <c r="H89" i="6"/>
  <c r="G89" i="6"/>
  <c r="H85" i="6" l="1"/>
  <c r="G85" i="6"/>
  <c r="I85" i="6"/>
  <c r="E26" i="5"/>
  <c r="I6" i="9" l="1"/>
  <c r="D7" i="8" l="1"/>
  <c r="K204" i="24" l="1"/>
  <c r="D8" i="8"/>
  <c r="E20" i="24"/>
  <c r="F20" i="24"/>
  <c r="G20" i="24"/>
  <c r="K212" i="24" l="1"/>
  <c r="K205" i="24"/>
  <c r="E27" i="24" s="1"/>
  <c r="F27" i="24" s="1"/>
  <c r="G44" i="24"/>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E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39" i="5" l="1"/>
  <c r="I82" i="6"/>
  <c r="H39" i="5" s="1"/>
  <c r="G38" i="5"/>
  <c r="H82" i="6"/>
  <c r="H38" i="5" s="1"/>
  <c r="G37" i="5"/>
  <c r="G82" i="6"/>
  <c r="H37" i="5" s="1"/>
  <c r="F34" i="6"/>
  <c r="F88" i="6" s="1"/>
  <c r="I7" i="9"/>
  <c r="I8" i="9"/>
  <c r="I9" i="9"/>
  <c r="I10" i="9"/>
  <c r="I11" i="9"/>
  <c r="I12" i="9"/>
  <c r="I13" i="9"/>
  <c r="I14" i="9"/>
  <c r="I15" i="9"/>
  <c r="I16" i="9"/>
  <c r="I17" i="9"/>
  <c r="I18" i="9"/>
  <c r="I19" i="9"/>
  <c r="I20" i="9"/>
  <c r="I21" i="9"/>
  <c r="I22" i="9"/>
  <c r="I23" i="9"/>
  <c r="I24" i="9"/>
  <c r="F93"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5" i="6" s="1"/>
  <c r="D82" i="25"/>
  <c r="D122" i="25"/>
  <c r="D64" i="6"/>
  <c r="F64" i="6" s="1"/>
  <c r="F66"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G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69" i="6"/>
  <c r="F70" i="6"/>
  <c r="F73" i="6"/>
  <c r="F74"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6"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G163" i="25" s="1"/>
  <c r="K147" i="8"/>
  <c r="Q147" i="8" s="1"/>
  <c r="D161" i="25" s="1"/>
  <c r="D70" i="6" s="1"/>
  <c r="K146" i="8"/>
  <c r="F163" i="25" l="1"/>
  <c r="E163" i="25"/>
  <c r="Q146" i="8"/>
  <c r="D160" i="25" s="1"/>
  <c r="D69"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s="1"/>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4" i="5" s="1"/>
  <c r="J182" i="25"/>
  <c r="J188" i="25" s="1"/>
  <c r="N185" i="25"/>
  <c r="L185" i="25"/>
  <c r="K179" i="25"/>
  <c r="K182" i="25" s="1"/>
  <c r="K188" i="25" s="1"/>
  <c r="I185" i="25"/>
  <c r="L188" i="25"/>
  <c r="I188" i="25"/>
  <c r="C78" i="25"/>
  <c r="D81" i="25"/>
  <c r="P47" i="8"/>
  <c r="P51" i="8" s="1"/>
  <c r="O38" i="8"/>
  <c r="K21" i="5" l="1"/>
  <c r="K23" i="5"/>
  <c r="J25" i="5"/>
  <c r="K22" i="5"/>
  <c r="K25" i="5"/>
  <c r="J23" i="5"/>
  <c r="F134" i="25"/>
  <c r="F137" i="25" s="1"/>
  <c r="F145" i="25" s="1"/>
  <c r="G134" i="25"/>
  <c r="G137" i="25" s="1"/>
  <c r="G145" i="25" s="1"/>
  <c r="P38" i="8"/>
  <c r="P106" i="8"/>
  <c r="P78" i="8"/>
  <c r="J21"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4" i="5"/>
  <c r="K185" i="25"/>
  <c r="J22"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G155" i="25" l="1"/>
  <c r="G156" i="25" s="1"/>
  <c r="G157" i="25" s="1"/>
  <c r="G160" i="25" s="1"/>
  <c r="F155" i="25"/>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G164" i="25" l="1"/>
  <c r="G165" i="25"/>
  <c r="I106" i="8"/>
  <c r="I78" i="8"/>
  <c r="F185" i="25"/>
  <c r="F156" i="25"/>
  <c r="F157" i="25" s="1"/>
  <c r="H182" i="25"/>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H188" i="25" l="1"/>
  <c r="J20" i="5"/>
  <c r="G166" i="25"/>
  <c r="G168" i="25" s="1"/>
  <c r="G181" i="25" s="1"/>
  <c r="F164" i="25"/>
  <c r="F160" i="25"/>
  <c r="F161" i="25"/>
  <c r="F165" i="25"/>
  <c r="E157" i="25"/>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G174" i="25" l="1"/>
  <c r="H19" i="5" s="1"/>
  <c r="G175" i="25"/>
  <c r="G176" i="25" s="1"/>
  <c r="K20" i="5"/>
  <c r="G187" i="25"/>
  <c r="G182" i="25"/>
  <c r="J19" i="5" s="1"/>
  <c r="E149" i="24"/>
  <c r="F166" i="25"/>
  <c r="F168" i="25" s="1"/>
  <c r="E160" i="25"/>
  <c r="E165" i="25"/>
  <c r="E161" i="25"/>
  <c r="E164" i="25"/>
  <c r="I179" i="24"/>
  <c r="I155" i="24"/>
  <c r="G173" i="25" l="1"/>
  <c r="G70" i="5" s="1"/>
  <c r="I19" i="5"/>
  <c r="G188" i="25"/>
  <c r="K19" i="5" s="1"/>
  <c r="I185" i="24"/>
  <c r="F181" i="25"/>
  <c r="F175" i="25"/>
  <c r="F174" i="25"/>
  <c r="H18" i="5" s="1"/>
  <c r="E166" i="25"/>
  <c r="I156" i="24"/>
  <c r="I157" i="24" s="1"/>
  <c r="F75" i="6"/>
  <c r="F77" i="6" s="1"/>
  <c r="G19" i="5" l="1"/>
  <c r="J70" i="5"/>
  <c r="I70" i="5"/>
  <c r="F176" i="25"/>
  <c r="I18" i="5" s="1"/>
  <c r="F173" i="25"/>
  <c r="G18" i="5" s="1"/>
  <c r="F187" i="25"/>
  <c r="F182" i="25"/>
  <c r="E168" i="25"/>
  <c r="F89" i="6"/>
  <c r="I165" i="24"/>
  <c r="I160" i="24"/>
  <c r="I161" i="24"/>
  <c r="I164" i="24"/>
  <c r="K70" i="5" l="1"/>
  <c r="K71" i="5" s="1"/>
  <c r="J71" i="5"/>
  <c r="F188" i="25"/>
  <c r="K18" i="5" s="1"/>
  <c r="J18" i="5"/>
  <c r="E174" i="25"/>
  <c r="H17" i="5" s="1"/>
  <c r="E181" i="25"/>
  <c r="E187" i="25" s="1"/>
  <c r="E175" i="25"/>
  <c r="F82" i="6"/>
  <c r="H36" i="5" s="1"/>
  <c r="F85" i="6"/>
  <c r="G36" i="5" s="1"/>
  <c r="F94" i="6"/>
  <c r="F90" i="6"/>
  <c r="I166" i="24"/>
  <c r="I168" i="24" s="1"/>
  <c r="I181" i="24" s="1"/>
  <c r="I182" i="24" s="1"/>
  <c r="E173" i="25" l="1"/>
  <c r="E176" i="25"/>
  <c r="I17" i="5" s="1"/>
  <c r="E182" i="25"/>
  <c r="E188" i="25" s="1"/>
  <c r="I36" i="5"/>
  <c r="F95" i="6"/>
  <c r="I187" i="24"/>
  <c r="G17" i="5" l="1"/>
  <c r="K17" i="5"/>
  <c r="J17" i="5"/>
  <c r="J36" i="5"/>
  <c r="F96" i="6"/>
  <c r="K36" i="5" s="1"/>
  <c r="I4" i="9"/>
  <c r="J26" i="5" l="1"/>
  <c r="J73" i="5" s="1"/>
  <c r="K26" i="5"/>
  <c r="K73" i="5" s="1"/>
  <c r="G29" i="24" l="1"/>
  <c r="H27" i="24"/>
  <c r="H29" i="24" s="1"/>
  <c r="H179" i="24" l="1"/>
  <c r="G179" i="24"/>
  <c r="H185" i="24" l="1"/>
  <c r="G185" i="24"/>
  <c r="E32" i="6" l="1"/>
  <c r="E43" i="6" s="1"/>
  <c r="E53" i="6" l="1"/>
  <c r="E33" i="6"/>
  <c r="E34" i="6" s="1"/>
  <c r="E54" i="6"/>
  <c r="E58" i="6"/>
  <c r="E48" i="6"/>
  <c r="E59" i="6" l="1"/>
  <c r="E88" i="6" s="1"/>
  <c r="E64" i="6" s="1"/>
  <c r="E66" i="6" l="1"/>
  <c r="E74" i="6" s="1"/>
  <c r="E93" i="6"/>
  <c r="J60" i="5" s="1"/>
  <c r="E69" i="6"/>
  <c r="E73" i="6"/>
  <c r="E70" i="6" l="1"/>
  <c r="K60" i="5"/>
  <c r="E75" i="6" l="1"/>
  <c r="E77" i="6" l="1"/>
  <c r="E89" i="6" s="1"/>
  <c r="E85" i="6" l="1"/>
  <c r="G35" i="5" s="1"/>
  <c r="E82" i="6"/>
  <c r="E94" i="6"/>
  <c r="E90" i="6"/>
  <c r="I35" i="5" s="1"/>
  <c r="H35" i="5" l="1"/>
  <c r="E95" i="6"/>
  <c r="E96" i="6" l="1"/>
  <c r="K35" i="5" s="1"/>
  <c r="K40" i="5" s="1"/>
  <c r="J35" i="5"/>
  <c r="J40"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59" i="5" s="1"/>
  <c r="K59"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8" i="5"/>
  <c r="K58" i="5" s="1"/>
  <c r="I28" i="16"/>
  <c r="J28" i="16" s="1"/>
  <c r="F155" i="24"/>
  <c r="F156" i="24" s="1"/>
  <c r="E185" i="24"/>
  <c r="I5" i="16"/>
  <c r="J5" i="16" s="1"/>
  <c r="B47" i="5" s="1"/>
  <c r="H47" i="5" s="1"/>
  <c r="I13" i="16"/>
  <c r="J13" i="16" s="1"/>
  <c r="I6" i="16"/>
  <c r="J6" i="16" s="1"/>
  <c r="B48" i="5" s="1"/>
  <c r="H48" i="5" s="1"/>
  <c r="I22" i="16"/>
  <c r="J22" i="16" s="1"/>
  <c r="I17" i="16"/>
  <c r="J17" i="16" s="1"/>
  <c r="I9" i="16"/>
  <c r="J9" i="16" s="1"/>
  <c r="B51" i="5" s="1"/>
  <c r="H51" i="5" s="1"/>
  <c r="I26" i="16"/>
  <c r="J26" i="16" s="1"/>
  <c r="I19" i="16"/>
  <c r="J19" i="16" s="1"/>
  <c r="I25" i="16"/>
  <c r="J25" i="16" s="1"/>
  <c r="I15" i="16"/>
  <c r="J15" i="16" s="1"/>
  <c r="I2" i="16"/>
  <c r="J2" i="16" s="1"/>
  <c r="B44" i="5" s="1"/>
  <c r="G44" i="5" s="1"/>
  <c r="I11" i="16"/>
  <c r="J11" i="16" s="1"/>
  <c r="I12" i="16"/>
  <c r="J12" i="16" s="1"/>
  <c r="I16" i="16"/>
  <c r="J16" i="16" s="1"/>
  <c r="I10" i="16"/>
  <c r="J10" i="16" s="1"/>
  <c r="B52" i="5" s="1"/>
  <c r="I29" i="16"/>
  <c r="J29" i="16" s="1"/>
  <c r="I3" i="16"/>
  <c r="J3" i="16" s="1"/>
  <c r="B45" i="5" s="1"/>
  <c r="H45" i="5" s="1"/>
  <c r="I8" i="16"/>
  <c r="J8" i="16" s="1"/>
  <c r="B50" i="5" s="1"/>
  <c r="F50" i="5" s="1"/>
  <c r="I4" i="16"/>
  <c r="J4" i="16" s="1"/>
  <c r="B46" i="5" s="1"/>
  <c r="G46" i="5" s="1"/>
  <c r="I23" i="16"/>
  <c r="J23" i="16" s="1"/>
  <c r="I14" i="16"/>
  <c r="J14" i="16" s="1"/>
  <c r="I21" i="16"/>
  <c r="J21" i="16" s="1"/>
  <c r="I18" i="16"/>
  <c r="J18" i="16" s="1"/>
  <c r="I20" i="16"/>
  <c r="J20" i="16" s="1"/>
  <c r="I27" i="16"/>
  <c r="J27" i="16" s="1"/>
  <c r="I24" i="16"/>
  <c r="J24" i="16" s="1"/>
  <c r="I7" i="16"/>
  <c r="J7" i="16" s="1"/>
  <c r="B49" i="5" s="1"/>
  <c r="F49" i="5" s="1"/>
  <c r="G161" i="24"/>
  <c r="G165" i="24"/>
  <c r="G164" i="24"/>
  <c r="G160" i="24"/>
  <c r="H186" i="24"/>
  <c r="H156" i="24"/>
  <c r="H157" i="24" s="1"/>
  <c r="G166" i="24" l="1"/>
  <c r="G168" i="24" s="1"/>
  <c r="F185" i="24"/>
  <c r="J57" i="5"/>
  <c r="K57" i="5" s="1"/>
  <c r="K61" i="5" s="1"/>
  <c r="F47" i="5"/>
  <c r="F48" i="5"/>
  <c r="F51" i="5"/>
  <c r="G48" i="5"/>
  <c r="G51" i="5"/>
  <c r="G47" i="5"/>
  <c r="F52" i="5"/>
  <c r="H52" i="5"/>
  <c r="H44" i="5"/>
  <c r="G45" i="5"/>
  <c r="G52" i="5"/>
  <c r="F44" i="5"/>
  <c r="F45" i="5"/>
  <c r="H46" i="5"/>
  <c r="F46" i="5"/>
  <c r="G50" i="5"/>
  <c r="H50" i="5"/>
  <c r="H49" i="5"/>
  <c r="G49" i="5"/>
  <c r="H160" i="24"/>
  <c r="H165" i="24"/>
  <c r="H164" i="24"/>
  <c r="H161" i="24"/>
  <c r="F157" i="24"/>
  <c r="H53" i="5" l="1"/>
  <c r="H166" i="24"/>
  <c r="H168" i="24" s="1"/>
  <c r="H181" i="24" s="1"/>
  <c r="H182" i="24" s="1"/>
  <c r="G174" i="24"/>
  <c r="G181" i="24"/>
  <c r="G182" i="24" s="1"/>
  <c r="J61" i="5"/>
  <c r="J63" i="5" s="1"/>
  <c r="G175" i="24"/>
  <c r="F161" i="24"/>
  <c r="F165" i="24"/>
  <c r="F164" i="24"/>
  <c r="F160" i="24"/>
  <c r="F166" i="24" l="1"/>
  <c r="J65" i="5" s="1"/>
  <c r="G188" i="24"/>
  <c r="G176" i="24"/>
  <c r="G173" i="24"/>
  <c r="K63" i="5"/>
  <c r="J64" i="5"/>
  <c r="K64" i="5" s="1"/>
  <c r="G187" i="24"/>
  <c r="H174" i="24"/>
  <c r="H175" i="24"/>
  <c r="H173" i="24" s="1"/>
  <c r="J66" i="5" l="1"/>
  <c r="G210" i="24"/>
  <c r="G215" i="24"/>
  <c r="F168" i="24"/>
  <c r="H176" i="24"/>
  <c r="H187" i="24"/>
  <c r="H188" i="24"/>
  <c r="F175" i="24" l="1"/>
  <c r="F173" i="24" s="1"/>
  <c r="F193" i="24" s="1"/>
  <c r="M193" i="24" s="1"/>
  <c r="N193" i="24" s="1"/>
  <c r="F181" i="24"/>
  <c r="F182" i="24" s="1"/>
  <c r="H215" i="24"/>
  <c r="M215" i="24" s="1"/>
  <c r="N215" i="24" s="1"/>
  <c r="H210" i="24"/>
  <c r="M210" i="24" s="1"/>
  <c r="N210" i="24" s="1"/>
  <c r="K30" i="5"/>
  <c r="J30" i="5"/>
  <c r="F174" i="24"/>
  <c r="K65" i="5"/>
  <c r="K66" i="5" s="1"/>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2" i="5"/>
  <c r="I49" i="5"/>
  <c r="I45" i="5"/>
  <c r="I47" i="5"/>
  <c r="I46" i="5"/>
  <c r="O215" i="24"/>
  <c r="I50" i="5"/>
  <c r="I51" i="5"/>
  <c r="I48" i="5"/>
  <c r="O210" i="24"/>
  <c r="O198" i="24"/>
  <c r="O202" i="24"/>
  <c r="O196" i="24"/>
  <c r="O195" i="24"/>
  <c r="O207" i="24"/>
  <c r="O203" i="24"/>
  <c r="J52" i="5"/>
  <c r="J48" i="5"/>
  <c r="O199" i="24"/>
  <c r="O197" i="24"/>
  <c r="J51" i="5"/>
  <c r="O194" i="24"/>
  <c r="K31" i="5"/>
  <c r="J31" i="5"/>
  <c r="I44" i="5" l="1"/>
  <c r="O218" i="24"/>
  <c r="O212" i="24"/>
  <c r="J50" i="5"/>
  <c r="O211" i="24"/>
  <c r="J49" i="5"/>
  <c r="O206" i="24"/>
  <c r="J47" i="5"/>
  <c r="O205" i="24"/>
  <c r="J46" i="5"/>
  <c r="O204" i="24"/>
  <c r="J45" i="5"/>
  <c r="J44" i="5"/>
  <c r="J53" i="5" l="1"/>
  <c r="K45" i="5"/>
  <c r="O193" i="24"/>
  <c r="K47" i="5"/>
  <c r="K49" i="5"/>
  <c r="K52" i="5"/>
  <c r="K46" i="5"/>
  <c r="K50" i="5"/>
  <c r="K51" i="5"/>
  <c r="K48" i="5"/>
  <c r="K44" i="5" l="1"/>
  <c r="K53" i="5" s="1"/>
  <c r="E188" i="24"/>
</calcChain>
</file>

<file path=xl/comments1.xml><?xml version="1.0" encoding="utf-8"?>
<comments xmlns="http://schemas.openxmlformats.org/spreadsheetml/2006/main">
  <authors>
    <author>Alexandre Machry</author>
  </authors>
  <commentList>
    <comment ref="C19" authorId="0">
      <text>
        <r>
          <rPr>
            <sz val="9"/>
            <color indexed="81"/>
            <rFont val="Segoe UI"/>
            <family val="2"/>
          </rPr>
          <t>Campo livre para observações do posto</t>
        </r>
      </text>
    </comment>
  </commentList>
</comments>
</file>

<file path=xl/comments2.xml><?xml version="1.0" encoding="utf-8"?>
<comments xmlns="http://schemas.openxmlformats.org/spreadsheetml/2006/main">
  <authors>
    <author>Alexandre Machry</author>
  </authors>
  <commentList>
    <comment ref="D56" authorId="0">
      <text>
        <r>
          <rPr>
            <sz val="9"/>
            <color indexed="81"/>
            <rFont val="Segoe UI"/>
            <family val="2"/>
          </rPr>
          <t>Meta da Taxa Selic</t>
        </r>
      </text>
    </comment>
  </commentList>
</comments>
</file>

<file path=xl/comments3.xml><?xml version="1.0" encoding="utf-8"?>
<comments xmlns="http://schemas.openxmlformats.org/spreadsheetml/2006/main">
  <authors>
    <author>Alexandre Machry</author>
  </authors>
  <commentList>
    <comment ref="C19" authorId="0">
      <text>
        <r>
          <rPr>
            <sz val="9"/>
            <color indexed="81"/>
            <rFont val="Segoe UI"/>
            <family val="2"/>
          </rPr>
          <t>Campo livre para observações do posto</t>
        </r>
      </text>
    </comment>
  </commentList>
</comments>
</file>

<file path=xl/sharedStrings.xml><?xml version="1.0" encoding="utf-8"?>
<sst xmlns="http://schemas.openxmlformats.org/spreadsheetml/2006/main" count="1453" uniqueCount="692">
  <si>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</si>
  <si>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</si>
  <si>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</si>
  <si>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</si>
  <si>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</si>
  <si>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</si>
  <si>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</si>
  <si>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</si>
  <si>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</si>
  <si>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</si>
  <si>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</si>
  <si>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</si>
  <si>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</si>
  <si>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</si>
  <si>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</si>
  <si>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</si>
  <si>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</si>
  <si>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</si>
  <si>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</si>
  <si>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</si>
  <si>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</si>
  <si>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</si>
  <si>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</si>
  <si>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</si>
  <si>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</si>
  <si>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</si>
  <si>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</si>
  <si>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</si>
  <si>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</si>
  <si>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</si>
  <si>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</si>
  <si>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</si>
  <si>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</si>
  <si>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</si>
  <si>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</si>
  <si>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</si>
  <si>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</si>
  <si>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</si>
  <si>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</si>
  <si>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</si>
  <si>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</si>
  <si>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</si>
  <si>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</si>
  <si>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</si>
  <si>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</si>
  <si>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</si>
  <si>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</si>
  <si>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</si>
  <si>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</si>
  <si>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</si>
  <si>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</si>
  <si>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</si>
  <si>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</si>
  <si>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</si>
  <si>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</si>
  <si>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</si>
  <si>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</si>
  <si>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</si>
  <si>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</si>
  <si>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</si>
  <si>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</si>
  <si>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</si>
  <si>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</si>
  <si>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</si>
  <si>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</si>
  <si>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</si>
  <si>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</si>
  <si>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</si>
  <si>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</si>
  <si>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</si>
  <si>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</si>
  <si>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</si>
  <si>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</si>
  <si>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</si>
  <si>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</si>
  <si>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</si>
  <si>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</si>
  <si>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</si>
  <si>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</si>
  <si>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</si>
  <si>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</si>
  <si>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</si>
  <si>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</si>
  <si>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</si>
  <si>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</si>
  <si>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</si>
  <si>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</si>
  <si>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</si>
  <si>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</si>
  <si>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</si>
  <si>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</si>
  <si>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</si>
  <si>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</si>
  <si>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</si>
  <si>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</si>
  <si>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</si>
  <si>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</si>
  <si>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</si>
  <si>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</si>
  <si>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</si>
  <si>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</si>
  <si>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</si>
  <si>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</si>
  <si>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</si>
  <si>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</si>
  <si>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</si>
  <si>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</si>
  <si>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</si>
  <si>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</si>
  <si>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</si>
  <si>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</si>
  <si>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</si>
  <si>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</si>
  <si>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</si>
  <si>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</si>
  <si>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</si>
  <si>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</si>
  <si>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</si>
  <si>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</si>
  <si>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</si>
  <si>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</si>
  <si>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</si>
  <si>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</si>
  <si>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</si>
  <si>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</si>
  <si>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</si>
  <si>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</si>
  <si>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</si>
  <si>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</si>
  <si>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</si>
  <si>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</si>
  <si>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</si>
  <si>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</si>
  <si>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</si>
  <si>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</si>
  <si>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</si>
  <si>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</si>
  <si>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</si>
  <si>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</si>
  <si>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</si>
  <si>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</si>
  <si>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</si>
  <si>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</si>
  <si>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</si>
  <si>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</si>
  <si>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</si>
  <si>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</si>
  <si>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</si>
  <si>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</si>
  <si>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</si>
  <si>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</si>
  <si>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</si>
  <si>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</si>
  <si>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</si>
  <si>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</si>
  <si>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</si>
  <si>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</si>
  <si>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</si>
  <si>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</si>
  <si>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</si>
  <si>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</si>
  <si>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</si>
  <si>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</si>
  <si>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</si>
  <si>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</si>
  <si>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</si>
  <si>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</si>
  <si>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</si>
  <si>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</si>
  <si>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</si>
  <si>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</si>
  <si>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</si>
  <si>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</si>
  <si>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</si>
  <si>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</si>
  <si>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</si>
  <si>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</si>
  <si>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</si>
  <si>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</si>
  <si>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</si>
  <si>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</si>
  <si>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</si>
  <si>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</si>
  <si>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</si>
  <si>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</si>
  <si>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</si>
  <si>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</si>
  <si>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</si>
  <si>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</si>
  <si>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</si>
  <si>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</si>
  <si>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</si>
  <si>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</si>
  <si>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</si>
  <si>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</si>
  <si>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</si>
  <si>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</si>
  <si>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</si>
  <si>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</si>
  <si>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</si>
  <si>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</si>
  <si>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</si>
  <si>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</si>
  <si>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</si>
  <si>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</si>
  <si>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</si>
  <si>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</si>
  <si>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</si>
  <si>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</si>
  <si>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</si>
  <si>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</si>
  <si>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</si>
  <si>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</si>
  <si>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</si>
  <si>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</si>
  <si>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</si>
  <si>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</si>
  <si>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</si>
  <si>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</si>
  <si>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</si>
  <si>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</si>
  <si>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</si>
  <si>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</si>
  <si>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</si>
  <si>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</si>
  <si>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</si>
  <si>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</si>
  <si>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</si>
  <si>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</si>
  <si>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</si>
  <si>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</si>
  <si>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</si>
  <si>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</si>
  <si>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</si>
  <si>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</si>
  <si>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</si>
  <si>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</si>
  <si>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</si>
  <si>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</si>
  <si>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</si>
  <si>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</si>
  <si>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</si>
  <si>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</si>
  <si>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</si>
  <si>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</si>
  <si>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</si>
  <si>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</si>
  <si>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</si>
  <si>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</si>
  <si>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</si>
  <si>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</si>
  <si>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</si>
  <si>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</si>
  <si>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</si>
  <si>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</si>
  <si>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</si>
  <si>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</si>
  <si>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</si>
  <si>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</si>
  <si>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</si>
  <si>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</si>
  <si>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</si>
  <si>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</si>
  <si>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</si>
  <si>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</si>
  <si>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</si>
  <si>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</si>
  <si>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</si>
  <si>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</si>
  <si>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</si>
  <si>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</si>
  <si>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</si>
  <si>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</si>
  <si>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</si>
  <si>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</si>
  <si>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</si>
  <si>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</si>
  <si>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</si>
  <si>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</si>
  <si>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</si>
  <si>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</si>
  <si>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</si>
  <si>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</si>
  <si>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</si>
  <si>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</si>
  <si>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</si>
  <si>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</si>
  <si>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</si>
  <si>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</si>
  <si>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</si>
  <si>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</si>
  <si>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</si>
  <si>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</si>
  <si>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</si>
  <si>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</si>
  <si>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</si>
  <si>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</si>
  <si>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</si>
  <si>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</si>
  <si>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</si>
  <si>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</si>
  <si>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</si>
  <si>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</si>
  <si>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</si>
  <si>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</si>
  <si>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</si>
  <si>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</si>
  <si>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</si>
  <si>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</si>
  <si>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</si>
  <si>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</si>
  <si>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</si>
  <si>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</si>
  <si>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</si>
  <si>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</si>
  <si>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</si>
  <si>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</si>
  <si>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</si>
  <si>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</si>
  <si>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</si>
  <si>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</si>
  <si>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</si>
  <si>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</si>
  <si>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</si>
  <si>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</si>
  <si>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</si>
  <si>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</si>
  <si>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</si>
  <si>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</si>
  <si>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</si>
  <si>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</si>
  <si>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</si>
  <si>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</si>
  <si>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</si>
  <si>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</si>
  <si>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</si>
  <si>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</si>
  <si>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</si>
  <si>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</si>
  <si>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</si>
  <si>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</si>
  <si>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</si>
  <si>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</si>
  <si>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</si>
  <si>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</si>
  <si>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</si>
  <si>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</si>
  <si>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</si>
  <si>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</si>
  <si>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</si>
  <si>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</si>
  <si>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</si>
  <si>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</si>
  <si>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</si>
  <si>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</si>
  <si>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</si>
  <si>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</si>
  <si>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</si>
  <si>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</si>
  <si>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</si>
  <si>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</si>
  <si>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</si>
  <si>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</si>
  <si>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</si>
  <si>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</si>
  <si>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</si>
  <si>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</si>
  <si>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</si>
  <si>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</si>
  <si>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</si>
  <si>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</si>
  <si>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</si>
  <si>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</si>
  <si>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</si>
  <si>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</si>
  <si>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</si>
  <si>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</si>
  <si>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</si>
  <si>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</si>
  <si>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</si>
  <si>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</si>
  <si>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</si>
  <si>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</si>
  <si>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</si>
  <si>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</si>
  <si>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</si>
  <si>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</si>
  <si>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</si>
  <si>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</si>
  <si>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</si>
  <si>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</si>
  <si>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</si>
  <si>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</si>
  <si>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</si>
  <si>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</si>
  <si>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</si>
  <si>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</si>
  <si>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</si>
  <si>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</si>
  <si>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</si>
  <si>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</si>
  <si>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</si>
  <si>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</si>
  <si>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</si>
  <si>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</si>
  <si>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</si>
  <si>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</si>
  <si>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</si>
  <si>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</si>
  <si>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</si>
  <si>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</si>
  <si>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</si>
  <si>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</si>
  <si>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</si>
  <si>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</si>
  <si>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</si>
  <si>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</si>
  <si>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</si>
  <si>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</si>
  <si>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</si>
  <si>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</si>
  <si>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</si>
  <si>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</si>
  <si>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</si>
  <si>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</si>
  <si>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</si>
  <si>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</si>
  <si>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</si>
  <si>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</si>
  <si>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</si>
  <si>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</si>
  <si>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</si>
  <si>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</si>
  <si>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</si>
  <si>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</si>
  <si>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</si>
  <si>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</si>
  <si>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</si>
  <si>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</si>
  <si>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</si>
  <si>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</si>
  <si>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</si>
  <si>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</si>
  <si>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</si>
  <si>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</si>
  <si>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</si>
  <si>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</si>
  <si>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</si>
  <si>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</si>
  <si>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</si>
  <si>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</si>
  <si>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</si>
  <si>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</si>
  <si>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</si>
  <si>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</si>
  <si>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</si>
  <si>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</si>
  <si>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</si>
  <si>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</si>
  <si>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</si>
  <si>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</si>
  <si>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</si>
  <si>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</si>
  <si>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</si>
  <si>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</si>
  <si>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</si>
  <si>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</si>
  <si>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</si>
  <si>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</si>
  <si>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</si>
  <si>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</si>
  <si>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</si>
  <si>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</si>
  <si>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</si>
  <si>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</si>
  <si>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</si>
  <si>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</si>
  <si>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</si>
  <si>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</si>
  <si>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</si>
  <si>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RS000303/2024</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</si>
  <si>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</si>
  <si>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</si>
  <si>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</si>
  <si>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</si>
  <si>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</si>
  <si>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</si>
  <si>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</si>
  <si>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</si>
  <si>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</si>
  <si>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</si>
  <si>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</si>
  <si>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</si>
  <si>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</si>
  <si>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</si>
  <si>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</si>
  <si>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</si>
  <si>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</si>
  <si>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</si>
  <si>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</si>
  <si>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</si>
  <si>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</si>
  <si>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</si>
  <si>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</si>
  <si>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</si>
  <si>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</si>
  <si>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</si>
  <si>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</si>
  <si>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</si>
  <si>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</si>
  <si>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</si>
  <si>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</si>
  <si>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</si>
  <si>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</si>
  <si>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</si>
  <si>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</si>
  <si>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</si>
  <si>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</si>
  <si>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</si>
  <si>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</si>
  <si>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</si>
  <si>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</si>
  <si>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</si>
  <si>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</si>
  <si>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</si>
  <si>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</si>
  <si>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</si>
  <si>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</si>
  <si>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</si>
  <si>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</si>
  <si>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</si>
  <si>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</si>
  <si>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</si>
  <si>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</si>
  <si>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</si>
  <si>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</si>
  <si>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</si>
  <si>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</si>
  <si>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</si>
  <si>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</si>
  <si>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</si>
  <si>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</si>
  <si>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</si>
  <si>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</si>
  <si>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</si>
  <si>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</si>
  <si>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</si>
  <si>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</si>
  <si>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</si>
  <si>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</si>
  <si>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</si>
  <si>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</si>
  <si>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</si>
  <si>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</si>
  <si>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</si>
  <si>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</si>
  <si>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</si>
  <si>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</si>
  <si>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</si>
  <si>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</si>
  <si>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</si>
  <si>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</si>
  <si>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</si>
  <si>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</si>
  <si>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</si>
  <si>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</si>
  <si>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</si>
  <si>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</si>
  <si>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</si>
  <si>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</si>
  <si>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</si>
  <si>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</si>
  <si>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</si>
  <si>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</si>
  <si>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</si>
  <si>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</si>
  <si>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</si>
  <si>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</si>
  <si>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</si>
  <si>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</si>
  <si>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</si>
  <si>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</si>
  <si>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</si>
  <si>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</si>
  <si>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</si>
  <si>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</si>
  <si>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</si>
  <si>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</si>
  <si>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</si>
  <si>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</si>
  <si>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</si>
  <si>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</si>
  <si>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</si>
  <si>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</si>
  <si>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</si>
  <si>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</si>
  <si>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</si>
  <si>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</si>
  <si>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</si>
  <si>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</si>
  <si>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</si>
  <si>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</si>
  <si>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</si>
  <si>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</si>
  <si>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</si>
  <si>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</si>
  <si>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</si>
  <si>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</si>
  <si>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</si>
  <si>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</si>
  <si>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</si>
  <si>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</si>
  <si>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</si>
  <si>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</si>
  <si>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</si>
  <si>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</si>
  <si>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</si>
  <si>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</si>
  <si>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</si>
  <si>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</si>
  <si>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</si>
  <si>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</si>
  <si>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</si>
  <si>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</si>
  <si>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</si>
  <si>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</si>
  <si>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</si>
  <si>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</si>
  <si>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</si>
  <si>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</si>
  <si>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</si>
  <si>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</si>
  <si>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</si>
  <si>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</si>
  <si>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</si>
  <si>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</si>
  <si>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</si>
  <si>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</si>
  <si>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</si>
  <si>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</si>
  <si>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</si>
  <si>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</si>
  <si>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</si>
  <si>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</si>
  <si>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</si>
  <si>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</si>
  <si>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</si>
  <si>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</si>
  <si>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</si>
  <si>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</si>
  <si>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</si>
  <si>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</si>
  <si>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</si>
  <si>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</si>
  <si>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</si>
  <si>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</si>
  <si>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</si>
  <si>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</si>
  <si>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</si>
  <si>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</si>
  <si>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25.0.000051443-0</t>
  </si>
  <si>
    <t>Operador de Caldeira</t>
  </si>
  <si>
    <t>STIMEPA</t>
  </si>
  <si>
    <t>Não incide</t>
  </si>
  <si>
    <t>Engenheiro</t>
  </si>
  <si>
    <t>DEMONSTRATIVO DE CUSTOS COM MÃO DE OBRA SEM DEDICAÇÃO EXCLUSIVA</t>
  </si>
  <si>
    <t>Profissional de Responsabilidade Técnica</t>
  </si>
  <si>
    <t>Local</t>
  </si>
  <si>
    <t>SMS</t>
  </si>
  <si>
    <t>Controle de ponto digital</t>
  </si>
  <si>
    <t>Licença/mês</t>
  </si>
  <si>
    <t>Botina de Segurança</t>
  </si>
  <si>
    <t>Calça</t>
  </si>
  <si>
    <t>Crachá de Indenficação</t>
  </si>
  <si>
    <t>Jaleco</t>
  </si>
  <si>
    <t>Luva de vaqueta</t>
  </si>
  <si>
    <t>Par</t>
  </si>
  <si>
    <t>Luva para alta temp. 250 graus</t>
  </si>
  <si>
    <t>Óculos de Segurança transparente</t>
  </si>
  <si>
    <t>Protetor circulaum Auricular 14dB</t>
  </si>
  <si>
    <t>Luva de latex</t>
  </si>
  <si>
    <t>par</t>
  </si>
  <si>
    <t>Conjunto de chaves allen</t>
  </si>
  <si>
    <t>conjunto</t>
  </si>
  <si>
    <t>Alicate de pressão</t>
  </si>
  <si>
    <t>Alicate universal</t>
  </si>
  <si>
    <t>Conjunto de chaves de fenda e fenda Phillips (12p)</t>
  </si>
  <si>
    <t>Conjunto de chaves grifo números 12, 14 e 24</t>
  </si>
  <si>
    <t>Chave inglesa número 10</t>
  </si>
  <si>
    <t>Alicate de corte</t>
  </si>
  <si>
    <t>Conjunto de chaves cachimbo com catraca de 3/8</t>
  </si>
  <si>
    <t>RS002943/2025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</si>
</sst>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0\ &quot;horas/mês&quot;"/>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0">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s>
  <borders count="80">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47">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44" fontId="8" fillId="3" borderId="38" xfId="5" applyNumberFormat="1" applyFont="1" applyBorder="1" applyAlignment="1" applyProtection="1">
      <alignment horizontal="center"/>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44" fontId="7" fillId="0" borderId="38" xfId="2" applyFont="1" applyFill="1" applyBorder="1" applyAlignment="1" applyProtection="1">
      <alignment horizontal="center"/>
      <protection locked="0"/>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44" fontId="11" fillId="37" borderId="38" xfId="165" applyNumberFormat="1" applyFont="1" applyBorder="1" applyAlignment="1" applyProtection="1">
      <alignment vertical="center"/>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44" fontId="7" fillId="0" borderId="51" xfId="2"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7" fillId="0" borderId="38" xfId="3" applyNumberFormat="1" applyFont="1" applyFill="1" applyBorder="1" applyAlignment="1" applyProtection="1">
      <alignment horizontal="center"/>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204" fontId="0" fillId="0" borderId="0" xfId="0" applyNumberFormat="1" applyAlignment="1" applyProtection="1">
      <alignment horizontal="center" vertical="center"/>
      <protection locked="0"/>
    </xf>
    <xf numFmtId="44" fontId="0" fillId="0" borderId="63" xfId="2" applyFont="1" applyBorder="1" applyAlignment="1">
      <alignment horizontal="center"/>
    </xf>
    <xf numFmtId="44" fontId="0" fillId="0" borderId="0" xfId="0" applyNumberFormat="1" applyAlignment="1">
      <alignment horizontal="center"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7" fillId="0" borderId="9"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8" fillId="3" borderId="9" xfId="5" applyFont="1" applyBorder="1" applyAlignment="1" applyProtection="1">
      <alignment horizontal="right"/>
    </xf>
    <xf numFmtId="0" fontId="8" fillId="3" borderId="10" xfId="5" applyFont="1" applyBorder="1" applyAlignment="1" applyProtection="1">
      <alignment horizontal="right"/>
    </xf>
    <xf numFmtId="0" fontId="8" fillId="3" borderId="11" xfId="5" applyFont="1" applyBorder="1" applyAlignment="1" applyProtection="1">
      <alignment horizontal="right"/>
    </xf>
    <xf numFmtId="44" fontId="11" fillId="37" borderId="9" xfId="165" applyNumberFormat="1" applyFont="1" applyBorder="1" applyAlignment="1" applyProtection="1">
      <alignment horizontal="left" vertical="center"/>
    </xf>
    <xf numFmtId="44" fontId="11" fillId="37" borderId="10" xfId="165" applyNumberFormat="1" applyFont="1" applyBorder="1" applyAlignment="1" applyProtection="1">
      <alignment horizontal="left" vertical="center"/>
    </xf>
    <xf numFmtId="44" fontId="11" fillId="37" borderId="11" xfId="165" applyNumberFormat="1" applyFont="1" applyBorder="1" applyAlignment="1" applyProtection="1">
      <alignment horizontal="left" vertical="center"/>
    </xf>
    <xf numFmtId="0" fontId="11" fillId="37" borderId="9" xfId="165" applyFont="1" applyBorder="1" applyAlignment="1">
      <alignment horizontal="left"/>
    </xf>
    <xf numFmtId="0" fontId="11" fillId="37" borderId="10" xfId="165" applyFont="1" applyBorder="1" applyAlignment="1">
      <alignment horizontal="left"/>
    </xf>
    <xf numFmtId="0" fontId="11" fillId="37" borderId="11" xfId="165" applyFont="1" applyBorder="1" applyAlignment="1">
      <alignment horizontal="left"/>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174">
    <cellStyle name="20% - Ênfase1" xfId="18" builtinId="30"/>
    <cellStyle name="20% - Ênfase1 2" xfId="118"/>
    <cellStyle name="20% - Ênfase2 2" xfId="119"/>
    <cellStyle name="20% - Ênfase3 2" xfId="120"/>
    <cellStyle name="20% - Ênfase4 2" xfId="121"/>
    <cellStyle name="20% - Ênfase5" xfId="171" builtinId="46"/>
    <cellStyle name="20% - Ênfase5 2" xfId="122"/>
    <cellStyle name="20% - Ênfase6" xfId="20" builtinId="50"/>
    <cellStyle name="20% - Ênfase6 2" xfId="123"/>
    <cellStyle name="40% - Ênfase1" xfId="4" builtinId="31"/>
    <cellStyle name="40% - Ênfase1 2" xfId="124"/>
    <cellStyle name="40% - Ênfase2 2" xfId="125"/>
    <cellStyle name="40% - Ênfase3 2" xfId="126"/>
    <cellStyle name="40% - Ênfase4 2" xfId="127"/>
    <cellStyle name="40% - Ênfase5" xfId="5" builtinId="47"/>
    <cellStyle name="40% - Ênfase5 2" xfId="128"/>
    <cellStyle name="40% - Ênfase6" xfId="21" builtinId="51"/>
    <cellStyle name="40% - Ênfase6 2" xfId="129"/>
    <cellStyle name="60% - Ênfase1" xfId="164" builtinId="32"/>
    <cellStyle name="60% - Ênfase1 2" xfId="130"/>
    <cellStyle name="60% - Ênfase2 2" xfId="131"/>
    <cellStyle name="60% - Ênfase3 2" xfId="132"/>
    <cellStyle name="60% - Ênfase3 3" xfId="160"/>
    <cellStyle name="60% - Ênfase4" xfId="14" builtinId="44"/>
    <cellStyle name="60% - Ênfase4 2" xfId="133"/>
    <cellStyle name="60% - Ênfase5" xfId="172" builtinId="48"/>
    <cellStyle name="60% - Ênfase5 2" xfId="134"/>
    <cellStyle name="60% - Ênfase6" xfId="15" builtinId="52"/>
    <cellStyle name="60% - Ênfase6 2" xfId="135"/>
    <cellStyle name="Bom 2" xfId="136"/>
    <cellStyle name="Cálculo 2" xfId="137"/>
    <cellStyle name="Célula de Verificação 2" xfId="138"/>
    <cellStyle name="Célula Vinculada 2" xfId="139"/>
    <cellStyle name="Ênfase1" xfId="13" builtinId="29"/>
    <cellStyle name="Ênfase1 2" xfId="140"/>
    <cellStyle name="Ênfase2 2" xfId="141"/>
    <cellStyle name="Ênfase3 2" xfId="142"/>
    <cellStyle name="Ênfase4 2" xfId="143"/>
    <cellStyle name="Ênfase5" xfId="165" builtinId="45"/>
    <cellStyle name="Ênfase5 2" xfId="144"/>
    <cellStyle name="Ênfase6" xfId="19" builtinId="49"/>
    <cellStyle name="Ênfase6 2" xfId="145"/>
    <cellStyle name="Entrada 2" xfId="146"/>
    <cellStyle name="Euro" xfId="24"/>
    <cellStyle name="Excel Built-in Comma" xfId="36"/>
    <cellStyle name="Excel Built-in Currency" xfId="37"/>
    <cellStyle name="Excel Built-in Normal" xfId="38"/>
    <cellStyle name="Excel Built-in Percent" xfId="39"/>
    <cellStyle name="Heading" xfId="40"/>
    <cellStyle name="Heading1" xfId="41"/>
    <cellStyle name="Hiperlink" xfId="173" builtinId="8"/>
    <cellStyle name="Incorreto 2" xfId="147"/>
    <cellStyle name="Moeda" xfId="2" builtinId="4"/>
    <cellStyle name="Moeda 10" xfId="115"/>
    <cellStyle name="Moeda 11" xfId="49"/>
    <cellStyle name="Moeda 12" xfId="166"/>
    <cellStyle name="Moeda 2" xfId="8"/>
    <cellStyle name="Moeda 2 2" xfId="58"/>
    <cellStyle name="Moeda 2 3" xfId="90"/>
    <cellStyle name="Moeda 2 4" xfId="53"/>
    <cellStyle name="Moeda 2 5" xfId="50"/>
    <cellStyle name="Moeda 2 6" xfId="162"/>
    <cellStyle name="Moeda 2 7" xfId="158"/>
    <cellStyle name="Moeda 3" xfId="25"/>
    <cellStyle name="Moeda 3 2" xfId="46"/>
    <cellStyle name="Moeda 3 2 2" xfId="101"/>
    <cellStyle name="Moeda 3 2 3" xfId="57"/>
    <cellStyle name="Moeda 3 3" xfId="92"/>
    <cellStyle name="Moeda 3 4" xfId="103"/>
    <cellStyle name="Moeda 3 5" xfId="64"/>
    <cellStyle name="Moeda 4" xfId="17"/>
    <cellStyle name="Moeda 4 2" xfId="88"/>
    <cellStyle name="Moeda 4 3" xfId="65"/>
    <cellStyle name="Moeda 5" xfId="32"/>
    <cellStyle name="Moeda 5 2" xfId="66"/>
    <cellStyle name="Moeda 6" xfId="67"/>
    <cellStyle name="Moeda 7" xfId="52"/>
    <cellStyle name="Moeda 8" xfId="91"/>
    <cellStyle name="Moeda 8 2" xfId="114"/>
    <cellStyle name="Moeda 9" xfId="98"/>
    <cellStyle name="Neutra 2" xfId="148"/>
    <cellStyle name="Normal" xfId="0" builtinId="0"/>
    <cellStyle name="Normal 10" xfId="93"/>
    <cellStyle name="Normal 2" xfId="6"/>
    <cellStyle name="Normal 2 2" xfId="11"/>
    <cellStyle name="Normal 2 2 2" xfId="29"/>
    <cellStyle name="Normal 2 2 3" xfId="169"/>
    <cellStyle name="Normal 2 3" xfId="35"/>
    <cellStyle name="Normal 2 3 2" xfId="117"/>
    <cellStyle name="Normal 2 4" xfId="167"/>
    <cellStyle name="Normal 3" xfId="22"/>
    <cellStyle name="Normal 3 2" xfId="45"/>
    <cellStyle name="Normal 3 2 2" xfId="63"/>
    <cellStyle name="Normal 3 3" xfId="68"/>
    <cellStyle name="Normal 4" xfId="30"/>
    <cellStyle name="Normal 4 2" xfId="69"/>
    <cellStyle name="Normal 5" xfId="12"/>
    <cellStyle name="Normal 5 2" xfId="42"/>
    <cellStyle name="Normal 5 3" xfId="34"/>
    <cellStyle name="Normal 5 4" xfId="70"/>
    <cellStyle name="Normal 6" xfId="71"/>
    <cellStyle name="Normal 7" xfId="72"/>
    <cellStyle name="Normal 8" xfId="60"/>
    <cellStyle name="Normal 9" xfId="51"/>
    <cellStyle name="Normal 9 2" xfId="99"/>
    <cellStyle name="Nota 2" xfId="149"/>
    <cellStyle name="Porcentagem" xfId="3" builtinId="5"/>
    <cellStyle name="Porcentagem 2" xfId="9"/>
    <cellStyle name="Porcentagem 2 2" xfId="27"/>
    <cellStyle name="Porcentagem 2 3" xfId="59"/>
    <cellStyle name="Porcentagem 2 4" xfId="54"/>
    <cellStyle name="Porcentagem 2 5" xfId="95"/>
    <cellStyle name="Porcentagem 3" xfId="26"/>
    <cellStyle name="Porcentagem 3 2" xfId="61"/>
    <cellStyle name="Porcentagem 3 3" xfId="73"/>
    <cellStyle name="Porcentagem 4" xfId="16"/>
    <cellStyle name="Porcentagem 4 2" xfId="87"/>
    <cellStyle name="Porcentagem 4 3" xfId="74"/>
    <cellStyle name="Porcentagem 5" xfId="33"/>
    <cellStyle name="Porcentagem 5 2" xfId="56"/>
    <cellStyle name="Result" xfId="43"/>
    <cellStyle name="Result2" xfId="44"/>
    <cellStyle name="Saída 2" xfId="150"/>
    <cellStyle name="Separador de milhares 2" xfId="75"/>
    <cellStyle name="Separador de milhares 2 2" xfId="104"/>
    <cellStyle name="Separador de milhares 2 2 2" xfId="170"/>
    <cellStyle name="Separador de milhares 2 3" xfId="168"/>
    <cellStyle name="Separador de milhares 3" xfId="48"/>
    <cellStyle name="Separador de milhares 3 2" xfId="89"/>
    <cellStyle name="Separador de milhares 3 2 2" xfId="113"/>
    <cellStyle name="Separador de milhares 3 3" xfId="76"/>
    <cellStyle name="Separador de milhares 3 3 2" xfId="105"/>
    <cellStyle name="Separador de milhares 3 4" xfId="97"/>
    <cellStyle name="Separador de milhares 4" xfId="77"/>
    <cellStyle name="Separador de milhares 4 2" xfId="106"/>
    <cellStyle name="Separador de milhares 5" xfId="78"/>
    <cellStyle name="Separador de milhares 5 2" xfId="107"/>
    <cellStyle name="Texto de Aviso 2" xfId="151"/>
    <cellStyle name="Texto Explicativo 2" xfId="152"/>
    <cellStyle name="Título 1 1" xfId="79"/>
    <cellStyle name="Título 1 1 1" xfId="80"/>
    <cellStyle name="Título 2 2" xfId="153"/>
    <cellStyle name="Título 3 2" xfId="154"/>
    <cellStyle name="Título 4 2" xfId="155"/>
    <cellStyle name="Título 5" xfId="81"/>
    <cellStyle name="Total 2" xfId="156"/>
    <cellStyle name="Vírgula" xfId="1" builtinId="3"/>
    <cellStyle name="Vírgula 10" xfId="94"/>
    <cellStyle name="Vírgula 2" xfId="7"/>
    <cellStyle name="Vírgula 2 2" xfId="10"/>
    <cellStyle name="Vírgula 2 2 2" xfId="102"/>
    <cellStyle name="Vírgula 2 2 2 2" xfId="116"/>
    <cellStyle name="Vírgula 2 2 3" xfId="62"/>
    <cellStyle name="Vírgula 2 2 4" xfId="163"/>
    <cellStyle name="Vírgula 2 2 5" xfId="159"/>
    <cellStyle name="Vírgula 2 3" xfId="108"/>
    <cellStyle name="Vírgula 2 4" xfId="82"/>
    <cellStyle name="Vírgula 2 5" xfId="161"/>
    <cellStyle name="Vírgula 2 6" xfId="157"/>
    <cellStyle name="Vírgula 3" xfId="23"/>
    <cellStyle name="Vírgula 3 2" xfId="109"/>
    <cellStyle name="Vírgula 3 3" xfId="83"/>
    <cellStyle name="Vírgula 4" xfId="28"/>
    <cellStyle name="Vírgula 4 2" xfId="110"/>
    <cellStyle name="Vírgula 4 3" xfId="84"/>
    <cellStyle name="Vírgula 5" xfId="31"/>
    <cellStyle name="Vírgula 5 2" xfId="111"/>
    <cellStyle name="Vírgula 5 3" xfId="85"/>
    <cellStyle name="Vírgula 6" xfId="86"/>
    <cellStyle name="Vírgula 6 2" xfId="112"/>
    <cellStyle name="Vírgula 7" xfId="55"/>
    <cellStyle name="Vírgula 7 2" xfId="100"/>
    <cellStyle name="Vírgula 8" xfId="96"/>
    <cellStyle name="Vírgula 9" xfId="47"/>
  </cellStyles>
  <dxfs count="23">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330584</xdr:colOff>
          <xdr:row>2</xdr:row>
          <xdr:rowOff>235580</xdr:rowOff>
        </xdr:from>
        <xdr:to>
          <xdr:col>6</xdr:col>
          <xdr:colOff>1099706</xdr:colOff>
          <xdr:row>10</xdr:row>
          <xdr:rowOff>112738</xdr:rowOff>
        </xdr:to>
        <xdr:grpSp>
          <xdr:nvGrpSpPr>
            <xdr:cNvPr id="4" name="Grupo 3">
              <a:extLst>
                <a:ext uri="{FF2B5EF4-FFF2-40B4-BE49-F238E27FC236}">
                  <a16:creationId xmlns:a16="http://schemas.microsoft.com/office/drawing/2014/main" xmlns="" id="{00000000-0008-0000-0000-000004000000}"/>
                </a:ext>
              </a:extLst>
            </xdr:cNvPr>
            <xdr:cNvGrpSpPr/>
          </xdr:nvGrpSpPr>
          <xdr:grpSpPr>
            <a:xfrm>
              <a:off x="6855209" y="1102355"/>
              <a:ext cx="1912122" cy="1458308"/>
              <a:chOff x="5896083" y="1152521"/>
              <a:chExt cx="2066919" cy="1476372"/>
            </a:xfrm>
          </xdr:grpSpPr>
          <xdr:grpSp>
            <xdr:nvGrpSpPr>
              <xdr:cNvPr id="5" name="Grupo 4">
                <a:extLst>
                  <a:ext uri="{FF2B5EF4-FFF2-40B4-BE49-F238E27FC236}">
                    <a16:creationId xmlns:a16="http://schemas.microsoft.com/office/drawing/2014/main" xmlns=""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Lst>
                </xdr:cNvPr>
                <xdr:cNvSpPr/>
              </xdr:nvSpPr>
              <xdr:spPr>
                <a:xfrm>
                  <a:off x="9553681" y="1638296"/>
                  <a:ext cx="2285993" cy="1285872"/>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hidden="1">
                  <a:extLst>
                    <a:ext uri="{63B3BB69-23CF-44E3-9099-C40C66FF867C}">
                      <a14:compatExt spid="_x0000_s30722"/>
                    </a:ext>
                  </a:extLst>
                </xdr:cNvPr>
                <xdr:cNvSpPr/>
              </xdr:nvSpPr>
              <xdr:spPr>
                <a:xfrm>
                  <a:off x="9735555" y="1813437"/>
                  <a:ext cx="1438277"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Lst>
                </xdr:cNvPr>
                <xdr:cNvSpPr/>
              </xdr:nvSpPr>
              <xdr:spPr>
                <a:xfrm>
                  <a:off x="9735555" y="2084132"/>
                  <a:ext cx="1438277"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Lst>
                </xdr:cNvPr>
                <xdr:cNvSpPr/>
              </xdr:nvSpPr>
              <xdr:spPr>
                <a:xfrm>
                  <a:off x="9732977" y="2634431"/>
                  <a:ext cx="1438277"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hidden="1">
                <a:extLst>
                  <a:ext uri="{63B3BB69-23CF-44E3-9099-C40C66FF867C}">
                    <a14:compatExt spid="_x0000_s30725"/>
                  </a:ext>
                </a:extLst>
              </xdr:cNvPr>
              <xdr:cNvSpPr/>
            </xdr:nvSpPr>
            <xdr:spPr>
              <a:xfrm>
                <a:off x="6057904" y="1981200"/>
                <a:ext cx="1304925" cy="2857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3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xmlns="" id="{00000000-0008-0000-03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xmlns="" id="{00000000-0008-0000-03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xmlns="" id="{00000000-0008-0000-03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Lst>
                </xdr:cNvPr>
                <xdr:cNvSpPr/>
              </xdr:nvSpPr>
              <xdr:spPr>
                <a:xfrm>
                  <a:off x="9553723" y="1638295"/>
                  <a:ext cx="2285993" cy="1285872"/>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hidden="1">
                  <a:extLst>
                    <a:ext uri="{63B3BB69-23CF-44E3-9099-C40C66FF867C}">
                      <a14:compatExt spid="_x0000_s19458"/>
                    </a:ext>
                  </a:extLst>
                </xdr:cNvPr>
                <xdr:cNvSpPr/>
              </xdr:nvSpPr>
              <xdr:spPr>
                <a:xfrm>
                  <a:off x="9735556" y="1813437"/>
                  <a:ext cx="1438275"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Lst>
                </xdr:cNvPr>
                <xdr:cNvSpPr/>
              </xdr:nvSpPr>
              <xdr:spPr>
                <a:xfrm>
                  <a:off x="9735556" y="2084132"/>
                  <a:ext cx="1438275"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Lst>
                </xdr:cNvPr>
                <xdr:cNvSpPr/>
              </xdr:nvSpPr>
              <xdr:spPr>
                <a:xfrm>
                  <a:off x="9732977" y="2634431"/>
                  <a:ext cx="1438275"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hidden="1">
                <a:extLst>
                  <a:ext uri="{63B3BB69-23CF-44E3-9099-C40C66FF867C}">
                    <a14:compatExt spid="_x0000_s19466"/>
                  </a:ext>
                </a:extLst>
              </xdr:cNvPr>
              <xdr:cNvSpPr/>
            </xdr:nvSpPr>
            <xdr:spPr>
              <a:xfrm>
                <a:off x="6057904" y="1981200"/>
                <a:ext cx="1304925" cy="2857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hyperlink" Target="http://www3.mte.gov.br/sistemas/mediador/ConsultarInstColetivo" TargetMode="External"/><Relationship Id="rId26" Type="http://schemas.openxmlformats.org/officeDocument/2006/relationships/ctrlProp" Target="../ctrlProps/ctrlProp5.xml"/><Relationship Id="rId3" Type="http://schemas.openxmlformats.org/officeDocument/2006/relationships/hyperlink" Target="http://www3.mte.gov.br/sistemas/mediador/ConsultarInstColetivo" TargetMode="External"/><Relationship Id="rId21" Type="http://schemas.openxmlformats.org/officeDocument/2006/relationships/vmlDrawing" Target="../drawings/vmlDrawing1.v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4.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drawing" Target="../drawings/drawing1.x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3.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2.xml"/><Relationship Id="rId10" Type="http://schemas.openxmlformats.org/officeDocument/2006/relationships/hyperlink" Target="http://www3.mte.gov.br/sistemas/mediador/ConsultarInstColetivo" TargetMode="External"/><Relationship Id="rId19" Type="http://schemas.openxmlformats.org/officeDocument/2006/relationships/printerSettings" Target="../printerSettings/printerSettings1.bin"/><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1.xml"/><Relationship Id="rId27"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pageSetUpPr fitToPage="1"/>
  </sheetPr>
  <dimension ref="A1:X189"/>
  <sheetViews>
    <sheetView showGridLines="0" tabSelected="1" topLeftCell="A12" zoomScaleNormal="100" workbookViewId="0">
      <selection activeCell="AB33" sqref="AB33"/>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66" t="str">
        <f>CONCATENATE("PREFEITURA MUNICIPAL DE PORTO ALEGRE
",D5,"
FORMAÇÃO DE PREÇOS DE REFERÊNCIA - CESSÃO DE MÃO DE OBRA")</f>
        <v>PREFEITURA MUNICIPAL DE PORTO ALEGRE
SECRETARIA MUNICIPAL DA SAÚDE (SMS)
FORMAÇÃO DE PREÇOS DE REFERÊNCIA - CESSÃO DE MÃO DE OBRA</v>
      </c>
      <c r="B2" s="767"/>
      <c r="C2" s="767"/>
      <c r="D2" s="767"/>
      <c r="E2" s="767"/>
      <c r="F2" s="767"/>
      <c r="G2" s="767"/>
      <c r="H2" s="767"/>
      <c r="I2" s="768"/>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770" t="s">
        <v>614</v>
      </c>
      <c r="E5" s="770"/>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771"/>
      <c r="E6" s="771"/>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771" t="s">
        <v>660</v>
      </c>
      <c r="E7" s="771"/>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772" t="s">
        <v>661</v>
      </c>
      <c r="E8" s="773"/>
      <c r="F8" s="1"/>
      <c r="G8" s="76"/>
      <c r="H8" s="75"/>
      <c r="I8" s="75"/>
      <c r="J8" s="75"/>
      <c r="K8" s="75"/>
      <c r="L8" s="75"/>
      <c r="M8" s="75"/>
      <c r="N8" s="75"/>
      <c r="O8" s="75"/>
      <c r="P8" s="75"/>
      <c r="Q8" s="75"/>
      <c r="R8" s="75"/>
      <c r="S8" s="75"/>
      <c r="T8" s="75"/>
      <c r="U8" s="75"/>
      <c r="V8" s="75"/>
      <c r="W8" s="75"/>
      <c r="X8" s="75"/>
    </row>
    <row r="9" spans="1:24" customFormat="1">
      <c r="B9" s="122" t="s">
        <v>7</v>
      </c>
      <c r="C9" s="123" t="s">
        <v>460</v>
      </c>
      <c r="D9" s="769"/>
      <c r="E9" s="769"/>
      <c r="F9" s="1"/>
    </row>
    <row r="10" spans="1:24" customFormat="1">
      <c r="A10" s="1"/>
      <c r="B10" s="121" t="s">
        <v>6</v>
      </c>
      <c r="C10" s="9" t="s">
        <v>461</v>
      </c>
      <c r="D10" s="757">
        <v>46097</v>
      </c>
      <c r="E10" s="757"/>
      <c r="F10" s="1"/>
      <c r="G10" s="1"/>
    </row>
    <row r="11" spans="1:24" customFormat="1">
      <c r="A11" s="1"/>
      <c r="B11" s="121" t="s">
        <v>5</v>
      </c>
      <c r="C11" s="123" t="s">
        <v>444</v>
      </c>
      <c r="D11" s="758"/>
      <c r="E11" s="758"/>
      <c r="F11" s="1"/>
      <c r="G11" s="1"/>
    </row>
    <row r="12" spans="1:24" customFormat="1">
      <c r="B12" s="122" t="s">
        <v>4</v>
      </c>
      <c r="C12" s="123" t="s">
        <v>400</v>
      </c>
      <c r="D12" s="759">
        <v>12</v>
      </c>
      <c r="E12" s="759"/>
      <c r="F12" s="1"/>
      <c r="G12" s="1"/>
    </row>
    <row r="13" spans="1:24">
      <c r="B13" s="121" t="s">
        <v>113</v>
      </c>
      <c r="C13" s="123" t="s">
        <v>71</v>
      </c>
      <c r="D13" s="758" t="s">
        <v>59</v>
      </c>
      <c r="E13" s="758"/>
    </row>
    <row r="14" spans="1:24">
      <c r="B14" s="122" t="s">
        <v>140</v>
      </c>
      <c r="C14" s="123" t="s">
        <v>267</v>
      </c>
      <c r="D14" s="760"/>
      <c r="E14" s="760"/>
    </row>
    <row r="15" spans="1:24">
      <c r="B15" s="122" t="s">
        <v>229</v>
      </c>
      <c r="C15" s="123" t="s">
        <v>316</v>
      </c>
      <c r="D15" s="761">
        <v>1621</v>
      </c>
      <c r="E15" s="762"/>
    </row>
    <row r="16" spans="1:24">
      <c r="A16" s="46"/>
      <c r="B16" s="310"/>
      <c r="C16" s="311"/>
      <c r="D16" s="312"/>
      <c r="E16" s="311"/>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579</v>
      </c>
      <c r="D17" s="132"/>
      <c r="E17" s="399" t="s">
        <v>402</v>
      </c>
      <c r="F17" s="399" t="s">
        <v>403</v>
      </c>
      <c r="G17" s="399" t="s">
        <v>404</v>
      </c>
      <c r="H17" s="399" t="s">
        <v>405</v>
      </c>
      <c r="I17" s="399" t="s">
        <v>406</v>
      </c>
      <c r="J17" s="399" t="s">
        <v>452</v>
      </c>
      <c r="K17" s="399" t="s">
        <v>453</v>
      </c>
      <c r="L17" s="399" t="s">
        <v>454</v>
      </c>
      <c r="M17" s="399" t="s">
        <v>455</v>
      </c>
      <c r="N17" s="399" t="s">
        <v>456</v>
      </c>
      <c r="O17" s="399" t="s">
        <v>569</v>
      </c>
      <c r="P17" s="399" t="s">
        <v>570</v>
      </c>
      <c r="Q17" s="399" t="s">
        <v>571</v>
      </c>
      <c r="R17" s="399" t="s">
        <v>572</v>
      </c>
      <c r="S17" s="399" t="s">
        <v>573</v>
      </c>
      <c r="T17" s="399" t="s">
        <v>574</v>
      </c>
      <c r="U17" s="399" t="s">
        <v>575</v>
      </c>
      <c r="V17" s="399" t="s">
        <v>577</v>
      </c>
      <c r="W17" s="718" t="s">
        <v>578</v>
      </c>
      <c r="X17" s="399" t="s">
        <v>576</v>
      </c>
    </row>
    <row r="18" spans="1:24" s="67" customFormat="1" ht="30">
      <c r="A18" s="110"/>
      <c r="B18" s="120" t="s">
        <v>2</v>
      </c>
      <c r="C18" s="128" t="s">
        <v>270</v>
      </c>
      <c r="D18" s="125"/>
      <c r="E18" s="113" t="s">
        <v>661</v>
      </c>
      <c r="F18" s="113" t="s">
        <v>661</v>
      </c>
      <c r="G18" s="113" t="s">
        <v>664</v>
      </c>
      <c r="H18" s="113"/>
      <c r="I18" s="113"/>
      <c r="J18" s="113"/>
      <c r="K18" s="113"/>
      <c r="L18" s="113"/>
      <c r="M18" s="113"/>
      <c r="N18" s="113"/>
      <c r="O18" s="113"/>
      <c r="P18" s="113"/>
      <c r="Q18" s="113"/>
      <c r="R18" s="113"/>
      <c r="S18" s="113"/>
      <c r="T18" s="113"/>
      <c r="U18" s="113"/>
      <c r="V18" s="113"/>
      <c r="W18" s="113"/>
      <c r="X18" s="113"/>
    </row>
    <row r="19" spans="1:24" s="300" customFormat="1">
      <c r="A19" s="726"/>
      <c r="B19" s="727" t="s">
        <v>1</v>
      </c>
      <c r="C19" s="728" t="s">
        <v>586</v>
      </c>
      <c r="D19" s="729"/>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v>8621</v>
      </c>
      <c r="F20" s="114">
        <v>8621</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v>2002</v>
      </c>
      <c r="F21" s="115">
        <v>2002</v>
      </c>
      <c r="G21" s="115">
        <v>10265</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v>220</v>
      </c>
      <c r="F22" s="116">
        <v>220</v>
      </c>
      <c r="G22" s="116">
        <v>220</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9" t="s">
        <v>662</v>
      </c>
      <c r="F23" s="509" t="s">
        <v>662</v>
      </c>
      <c r="G23" s="509" t="str">
        <f>IFERROR(VLOOKUP(G$18,'Apoio - Posto'!$A:$J,3,FALSE),"")</f>
        <v/>
      </c>
      <c r="H23" s="509" t="str">
        <f>IFERROR(VLOOKUP(H$18,'Apoio - Posto'!$A:$J,3,FALSE),"")</f>
        <v/>
      </c>
      <c r="I23" s="509" t="str">
        <f>IFERROR(VLOOKUP(I$18,'Apoio - Posto'!$A:$J,3,FALSE),"")</f>
        <v/>
      </c>
      <c r="J23" s="509" t="str">
        <f>IFERROR(VLOOKUP(J$18,'Apoio - Posto'!$A:$J,3,FALSE),"")</f>
        <v/>
      </c>
      <c r="K23" s="509" t="str">
        <f>IFERROR(VLOOKUP(K$18,'Apoio - Posto'!$A:$J,3,FALSE),"")</f>
        <v/>
      </c>
      <c r="L23" s="509" t="str">
        <f>IFERROR(VLOOKUP(L$18,'Apoio - Posto'!$A:$J,3,FALSE),"")</f>
        <v/>
      </c>
      <c r="M23" s="509" t="str">
        <f>IFERROR(VLOOKUP(M$18,'Apoio - Posto'!$A:$J,3,FALSE),"")</f>
        <v/>
      </c>
      <c r="N23" s="509" t="str">
        <f>IFERROR(VLOOKUP(N$18,'Apoio - Posto'!$A:$J,3,FALSE),"")</f>
        <v/>
      </c>
      <c r="O23" s="509" t="str">
        <f>IFERROR(VLOOKUP(O$18,'Apoio - Posto'!$A:$J,3,FALSE),"")</f>
        <v/>
      </c>
      <c r="P23" s="509" t="str">
        <f>IFERROR(VLOOKUP(P$18,'Apoio - Posto'!$A:$J,3,FALSE),"")</f>
        <v/>
      </c>
      <c r="Q23" s="509" t="str">
        <f>IFERROR(VLOOKUP(Q$18,'Apoio - Posto'!$A:$J,3,FALSE),"")</f>
        <v/>
      </c>
      <c r="R23" s="509" t="str">
        <f>IFERROR(VLOOKUP(R$18,'Apoio - Posto'!$A:$J,3,FALSE),"")</f>
        <v/>
      </c>
      <c r="S23" s="509" t="str">
        <f>IFERROR(VLOOKUP(S$18,'Apoio - Posto'!$A:$J,3,FALSE),"")</f>
        <v/>
      </c>
      <c r="T23" s="509" t="str">
        <f>IFERROR(VLOOKUP(T$18,'Apoio - Posto'!$A:$J,3,FALSE),"")</f>
        <v/>
      </c>
      <c r="U23" s="509" t="str">
        <f>IFERROR(VLOOKUP(U$18,'Apoio - Posto'!$A:$J,3,FALSE),"")</f>
        <v/>
      </c>
      <c r="V23" s="509" t="str">
        <f>IFERROR(VLOOKUP(V$18,'Apoio - Posto'!$A:$J,3,FALSE),"")</f>
        <v/>
      </c>
      <c r="W23" s="509" t="str">
        <f>IFERROR(VLOOKUP(W$18,'Apoio - Posto'!$A:$J,3,FALSE),"")</f>
        <v/>
      </c>
      <c r="X23" s="509" t="str">
        <f>IFERROR(VLOOKUP(X$18,'Apoio - Posto'!$A:$J,3,FALSE),"")</f>
        <v/>
      </c>
    </row>
    <row r="24" spans="1:24">
      <c r="A24" s="111"/>
      <c r="B24" s="122" t="s">
        <v>5</v>
      </c>
      <c r="C24" s="129" t="s">
        <v>77</v>
      </c>
      <c r="D24" s="126"/>
      <c r="E24" s="117">
        <v>45778</v>
      </c>
      <c r="F24" s="117">
        <v>45778</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503" t="s">
        <v>691</v>
      </c>
      <c r="F25" s="503" t="s">
        <v>691</v>
      </c>
      <c r="G25" s="503" t="str">
        <f>IFERROR(VLOOKUP(G$18,'Apoio - Posto'!$A:$J,4,FALSE),"")</f>
        <v/>
      </c>
      <c r="H25" s="503" t="str">
        <f>IFERROR(VLOOKUP(H$18,'Apoio - Posto'!$A:$J,4,FALSE),"")</f>
        <v/>
      </c>
      <c r="I25" s="503" t="str">
        <f>IFERROR(VLOOKUP(I$18,'Apoio - Posto'!$A:$J,4,FALSE),"")</f>
        <v/>
      </c>
      <c r="J25" s="503" t="str">
        <f>IFERROR(VLOOKUP(J$18,'Apoio - Posto'!$A:$J,4,FALSE),"")</f>
        <v/>
      </c>
      <c r="K25" s="503" t="str">
        <f>IFERROR(VLOOKUP(K$18,'Apoio - Posto'!$A:$J,4,FALSE),"")</f>
        <v/>
      </c>
      <c r="L25" s="503" t="str">
        <f>IFERROR(VLOOKUP(L$18,'Apoio - Posto'!$A:$J,4,FALSE),"")</f>
        <v/>
      </c>
      <c r="M25" s="503" t="str">
        <f>IFERROR(VLOOKUP(M$18,'Apoio - Posto'!$A:$J,4,FALSE),"")</f>
        <v/>
      </c>
      <c r="N25" s="503" t="str">
        <f>IFERROR(VLOOKUP(N$18,'Apoio - Posto'!$A:$J,4,FALSE),"")</f>
        <v/>
      </c>
      <c r="O25" s="503" t="str">
        <f>IFERROR(VLOOKUP(O$18,'Apoio - Posto'!$A:$J,4,FALSE),"")</f>
        <v/>
      </c>
      <c r="P25" s="503" t="str">
        <f>IFERROR(VLOOKUP(P$18,'Apoio - Posto'!$A:$J,4,FALSE),"")</f>
        <v/>
      </c>
      <c r="Q25" s="503" t="str">
        <f>IFERROR(VLOOKUP(Q$18,'Apoio - Posto'!$A:$J,4,FALSE),"")</f>
        <v/>
      </c>
      <c r="R25" s="503" t="str">
        <f>IFERROR(VLOOKUP(R$18,'Apoio - Posto'!$A:$J,4,FALSE),"")</f>
        <v/>
      </c>
      <c r="S25" s="503" t="str">
        <f>IFERROR(VLOOKUP(S$18,'Apoio - Posto'!$A:$J,4,FALSE),"")</f>
        <v/>
      </c>
      <c r="T25" s="503" t="str">
        <f>IFERROR(VLOOKUP(T$18,'Apoio - Posto'!$A:$J,4,FALSE),"")</f>
        <v/>
      </c>
      <c r="U25" s="503" t="str">
        <f>IFERROR(VLOOKUP(U$18,'Apoio - Posto'!$A:$J,4,FALSE),"")</f>
        <v/>
      </c>
      <c r="V25" s="503" t="str">
        <f>IFERROR(VLOOKUP(V$18,'Apoio - Posto'!$A:$J,4,FALSE),"")</f>
        <v/>
      </c>
      <c r="W25" s="503" t="str">
        <f>IFERROR(VLOOKUP(W$18,'Apoio - Posto'!$A:$J,4,FALSE),"")</f>
        <v/>
      </c>
      <c r="X25" s="503" t="str">
        <f>IFERROR(VLOOKUP(X$18,'Apoio - Posto'!$A:$J,4,FALSE),"")</f>
        <v/>
      </c>
    </row>
    <row r="26" spans="1:24">
      <c r="A26" s="111"/>
      <c r="B26" s="122" t="s">
        <v>113</v>
      </c>
      <c r="C26" s="130" t="s">
        <v>465</v>
      </c>
      <c r="D26" s="127"/>
      <c r="E26" s="118" t="s">
        <v>45</v>
      </c>
      <c r="F26" s="118" t="s">
        <v>46</v>
      </c>
      <c r="G26" s="118" t="s">
        <v>474</v>
      </c>
      <c r="H26" s="118"/>
      <c r="I26" s="118"/>
      <c r="J26" s="118"/>
      <c r="K26" s="118"/>
      <c r="L26" s="118"/>
      <c r="M26" s="118"/>
      <c r="N26" s="118"/>
      <c r="O26" s="118"/>
      <c r="P26" s="118"/>
      <c r="Q26" s="118"/>
      <c r="R26" s="118"/>
      <c r="S26" s="118"/>
      <c r="T26" s="118"/>
      <c r="U26" s="118"/>
      <c r="V26" s="118"/>
      <c r="W26" s="118"/>
      <c r="X26" s="118"/>
    </row>
    <row r="27" spans="1:24">
      <c r="A27" s="112"/>
      <c r="B27" s="121" t="s">
        <v>140</v>
      </c>
      <c r="C27" s="129" t="s">
        <v>489</v>
      </c>
      <c r="D27" s="126"/>
      <c r="E27" s="114">
        <v>1</v>
      </c>
      <c r="F27" s="114">
        <v>1</v>
      </c>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v>2</v>
      </c>
      <c r="F28" s="114">
        <v>2</v>
      </c>
      <c r="G28" s="114">
        <f>IFERROR(VLOOKUP(G26,'Apoio - Regime de Trabalho'!$A:$I,2,FALSE),"")</f>
        <v>1</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490</v>
      </c>
      <c r="D29" s="126"/>
      <c r="E29" s="114">
        <f t="shared" ref="E29:N29" si="0">IFERROR(IF(E18="","",E28*E27),"")</f>
        <v>2</v>
      </c>
      <c r="F29" s="114">
        <v>2</v>
      </c>
      <c r="G29" s="114">
        <f t="shared" si="0"/>
        <v>0</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9"/>
      <c r="F31" s="379"/>
      <c r="G31" s="379"/>
      <c r="H31" s="379"/>
      <c r="I31" s="379"/>
      <c r="J31" s="379"/>
      <c r="K31" s="379"/>
      <c r="L31" s="379"/>
      <c r="M31" s="379"/>
      <c r="N31" s="379"/>
      <c r="O31" s="379"/>
      <c r="P31" s="379"/>
      <c r="Q31" s="379"/>
      <c r="R31" s="379"/>
      <c r="S31" s="379"/>
      <c r="T31" s="379"/>
      <c r="U31" s="379"/>
      <c r="V31" s="379"/>
      <c r="W31" s="379"/>
      <c r="X31" s="379"/>
    </row>
    <row r="32" spans="1:24">
      <c r="A32" s="92"/>
      <c r="B32" s="191" t="s">
        <v>2</v>
      </c>
      <c r="C32" s="184" t="s">
        <v>189</v>
      </c>
      <c r="D32" s="233"/>
      <c r="E32" s="105">
        <f>IFERROR(E21*VLOOKUP(E26,'Apoio - Regime de Trabalho'!$A:$I,8,FALSE)/(E22),"")</f>
        <v>2002</v>
      </c>
      <c r="F32" s="105">
        <f>IFERROR(F21*VLOOKUP(F26,'Apoio - Regime de Trabalho'!$A:$I,8,FALSE)/(F22),"")</f>
        <v>2002</v>
      </c>
      <c r="G32" s="105">
        <f>IFERROR(G21*VLOOKUP(G26,'Apoio - Regime de Trabalho'!$A:$I,8,FALSE)/(G22),"")</f>
        <v>6998.863636363636</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63"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64"/>
      <c r="C34" s="240" t="s">
        <v>105</v>
      </c>
      <c r="D34" s="148"/>
      <c r="E34" s="251">
        <v>0.3</v>
      </c>
      <c r="F34" s="251">
        <v>0.3</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65"/>
      <c r="C35" s="234"/>
      <c r="D35" s="100" t="s">
        <v>41</v>
      </c>
      <c r="E35" s="107">
        <f>IFERROR((E32)*E34,"")</f>
        <v>600.6</v>
      </c>
      <c r="F35" s="107">
        <f t="shared" ref="F35:H35" si="2">IFERROR((F32)*F34,"")</f>
        <v>600.6</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51"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51"/>
      <c r="C37" s="108" t="s">
        <v>90</v>
      </c>
      <c r="D37" s="98"/>
      <c r="E37" s="252" t="s">
        <v>663</v>
      </c>
      <c r="F37" s="252" t="s">
        <v>663</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51"/>
      <c r="C38" s="109" t="s">
        <v>91</v>
      </c>
      <c r="D38" s="99"/>
      <c r="E38" s="253"/>
      <c r="F38" s="253"/>
      <c r="G38" s="253"/>
      <c r="H38" s="253"/>
      <c r="I38" s="253"/>
      <c r="J38" s="253"/>
      <c r="K38" s="253"/>
      <c r="L38" s="253"/>
      <c r="M38" s="253"/>
      <c r="N38" s="253"/>
      <c r="O38" s="253"/>
      <c r="P38" s="253"/>
      <c r="Q38" s="253"/>
      <c r="R38" s="253"/>
      <c r="S38" s="253"/>
      <c r="T38" s="253"/>
      <c r="U38" s="253"/>
      <c r="V38" s="253"/>
      <c r="W38" s="253"/>
      <c r="X38" s="253"/>
    </row>
    <row r="39" spans="1:24">
      <c r="A39" s="92"/>
      <c r="B39" s="752"/>
      <c r="C39" s="103"/>
      <c r="D39" s="100" t="s">
        <v>41</v>
      </c>
      <c r="E39" s="107">
        <f t="shared" ref="E39:N39" si="5">IF(E21="","",IFERROR(IF(E37="Salário Base",E$32,IF(E37="Salário Mínimo",$D$15,0))*E38,""))</f>
        <v>0</v>
      </c>
      <c r="F39" s="107">
        <f t="shared" si="5"/>
        <v>0</v>
      </c>
      <c r="G39" s="107">
        <f t="shared" si="5"/>
        <v>0</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63"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64"/>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765"/>
      <c r="C42" s="103"/>
      <c r="D42" s="100" t="s">
        <v>41</v>
      </c>
      <c r="E42" s="107">
        <f>IFERROR(E41*E$32,"")</f>
        <v>0</v>
      </c>
      <c r="F42" s="107">
        <f t="shared" ref="F42:H42" si="7">IFERROR(F41*F$32,"")</f>
        <v>0</v>
      </c>
      <c r="G42" s="107">
        <f t="shared" si="7"/>
        <v>0</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51"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51"/>
      <c r="C44" s="108" t="s">
        <v>85</v>
      </c>
      <c r="D44" s="145"/>
      <c r="E44" s="151" t="str">
        <f t="shared" ref="E44:N44" si="10">IF(AND(E20=5173,E26="12x36 Noturno"),8,"")</f>
        <v/>
      </c>
      <c r="F44" s="151">
        <v>9</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51"/>
      <c r="C45" s="109" t="s">
        <v>141</v>
      </c>
      <c r="D45" s="146"/>
      <c r="E45" s="152" t="str">
        <f>IF(E44="","",VLOOKUP(E26,'Apoio - Regime de Trabalho'!$A:$I,7,FALSE))</f>
        <v/>
      </c>
      <c r="F45" s="152">
        <f>IF(F44="","",VLOOKUP(F26,'Apoio - Regime de Trabalho'!$A:$I,7,FALSE))</f>
        <v>15</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52"/>
      <c r="C46" s="94"/>
      <c r="D46" s="100" t="s">
        <v>41</v>
      </c>
      <c r="E46" s="153" t="str">
        <f>IFERROR(SUM(E$32,E$35,E$39)/(VLOOKUP(E$26,'Apoio - Regime de Trabalho'!$A:$I,8,FALSE))*20%*E$44*E$45,"")</f>
        <v/>
      </c>
      <c r="F46" s="153">
        <f>IFERROR(SUM(F$32,F$35,F$39)/(VLOOKUP(F$26,'Apoio - Regime de Trabalho'!$A:$I,8,FALSE))*20%*F$44*F$45,"")</f>
        <v>319.41000000000003</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753"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754"/>
      <c r="C48" s="142" t="s">
        <v>19</v>
      </c>
      <c r="D48" s="148"/>
      <c r="E48" s="155" t="str">
        <f>IF(E44="","",E45*E44*('Apoio - Notas Explicativas'!$D$11/'Apoio - Notas Explicativas'!$D$12-1)
*IF(AND(E20=5173,E26="12x36 Noturno"),0,1))</f>
        <v/>
      </c>
      <c r="F48" s="155">
        <f>IF(F44="","",F45*F44*('Apoio - Notas Explicativas'!$D$11/'Apoio - Notas Explicativas'!$D$12-1)
*IF(AND(F20=5173,F26="12x36 Noturno"),0,1))</f>
        <v>19.285714285714278</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755"/>
      <c r="C49" s="106"/>
      <c r="D49" s="100" t="s">
        <v>41</v>
      </c>
      <c r="E49" s="107" t="str">
        <f>IFERROR(E48*(SUM(E$32,E$35,E$39)/(VLOOKUP(E$26,'Apoio - Regime de Trabalho'!$A:$I,8,FALSE))*120%),"")</f>
        <v/>
      </c>
      <c r="F49" s="107">
        <f>IFERROR(F48*(SUM(F$32,F$35,F$39)/(VLOOKUP(F$26,'Apoio - Regime de Trabalho'!$A:$I,8,FALSE))*120%),"")</f>
        <v>273.77999999999986</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50"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51"/>
      <c r="C51" s="108" t="s">
        <v>91</v>
      </c>
      <c r="D51" s="164"/>
      <c r="E51" s="165"/>
      <c r="F51" s="165"/>
      <c r="G51" s="165"/>
      <c r="H51" s="165"/>
      <c r="I51" s="165"/>
      <c r="J51" s="165"/>
      <c r="K51" s="165"/>
      <c r="L51" s="165"/>
      <c r="M51" s="165"/>
      <c r="N51" s="165"/>
      <c r="O51" s="165"/>
      <c r="P51" s="165"/>
      <c r="Q51" s="165"/>
      <c r="R51" s="165"/>
      <c r="S51" s="165"/>
      <c r="T51" s="165"/>
      <c r="U51" s="165"/>
      <c r="V51" s="165"/>
      <c r="W51" s="165"/>
      <c r="X51" s="165"/>
    </row>
    <row r="52" spans="1:24">
      <c r="A52" s="92"/>
      <c r="B52" s="751"/>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52"/>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753"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754"/>
      <c r="C55" s="142" t="s">
        <v>84</v>
      </c>
      <c r="D55" s="148"/>
      <c r="E55" s="430">
        <f t="shared" ref="E55:N55" si="12">IF(E18="","",IFERROR(SUM(E$46,E49)*20%,""))</f>
        <v>0</v>
      </c>
      <c r="F55" s="430">
        <f t="shared" si="12"/>
        <v>118.63799999999998</v>
      </c>
      <c r="G55" s="430">
        <f t="shared" si="12"/>
        <v>0</v>
      </c>
      <c r="H55" s="430" t="str">
        <f t="shared" si="12"/>
        <v/>
      </c>
      <c r="I55" s="430" t="str">
        <f t="shared" si="12"/>
        <v/>
      </c>
      <c r="J55" s="430" t="str">
        <f t="shared" si="12"/>
        <v/>
      </c>
      <c r="K55" s="430" t="str">
        <f t="shared" si="12"/>
        <v/>
      </c>
      <c r="L55" s="430" t="str">
        <f t="shared" si="12"/>
        <v/>
      </c>
      <c r="M55" s="430" t="str">
        <f t="shared" si="12"/>
        <v/>
      </c>
      <c r="N55" s="430" t="str">
        <f t="shared" si="12"/>
        <v/>
      </c>
      <c r="O55" s="430" t="str">
        <f t="shared" ref="O55:X55" si="13">IF(O18="","",IFERROR(SUM(O$46,O49)*20%,""))</f>
        <v/>
      </c>
      <c r="P55" s="430" t="str">
        <f t="shared" si="13"/>
        <v/>
      </c>
      <c r="Q55" s="430" t="str">
        <f t="shared" si="13"/>
        <v/>
      </c>
      <c r="R55" s="430" t="str">
        <f t="shared" si="13"/>
        <v/>
      </c>
      <c r="S55" s="430" t="str">
        <f t="shared" si="13"/>
        <v/>
      </c>
      <c r="T55" s="430" t="str">
        <f t="shared" si="13"/>
        <v/>
      </c>
      <c r="U55" s="430" t="str">
        <f t="shared" si="13"/>
        <v/>
      </c>
      <c r="V55" s="430" t="str">
        <f t="shared" si="13"/>
        <v/>
      </c>
      <c r="W55" s="430" t="str">
        <f t="shared" si="13"/>
        <v/>
      </c>
      <c r="X55" s="430" t="str">
        <f t="shared" si="13"/>
        <v/>
      </c>
    </row>
    <row r="56" spans="1:24">
      <c r="A56" s="92"/>
      <c r="B56" s="754"/>
      <c r="C56" s="168" t="s">
        <v>83</v>
      </c>
      <c r="D56" s="150" t="s">
        <v>323</v>
      </c>
      <c r="E56" s="431">
        <f t="shared" ref="E56:N56" si="14">IFERROR(IF(E18="","",IF(D56="Não",0,E53*20%)),"")</f>
        <v>0</v>
      </c>
      <c r="F56" s="431">
        <f t="shared" si="14"/>
        <v>0</v>
      </c>
      <c r="G56" s="431">
        <f t="shared" si="14"/>
        <v>0</v>
      </c>
      <c r="H56" s="431" t="str">
        <f t="shared" si="14"/>
        <v/>
      </c>
      <c r="I56" s="431" t="str">
        <f t="shared" si="14"/>
        <v/>
      </c>
      <c r="J56" s="431" t="str">
        <f t="shared" si="14"/>
        <v/>
      </c>
      <c r="K56" s="431" t="str">
        <f t="shared" si="14"/>
        <v/>
      </c>
      <c r="L56" s="431" t="str">
        <f t="shared" si="14"/>
        <v/>
      </c>
      <c r="M56" s="431" t="str">
        <f t="shared" si="14"/>
        <v/>
      </c>
      <c r="N56" s="431" t="str">
        <f t="shared" si="14"/>
        <v/>
      </c>
      <c r="O56" s="431" t="str">
        <f t="shared" ref="O56" si="15">IFERROR(IF(O18="","",IF(N56="Não",0,O53*20%)),"")</f>
        <v/>
      </c>
      <c r="P56" s="431" t="str">
        <f t="shared" ref="P56" si="16">IFERROR(IF(P18="","",IF(O56="Não",0,P53*20%)),"")</f>
        <v/>
      </c>
      <c r="Q56" s="431" t="str">
        <f t="shared" ref="Q56" si="17">IFERROR(IF(Q18="","",IF(P56="Não",0,Q53*20%)),"")</f>
        <v/>
      </c>
      <c r="R56" s="431" t="str">
        <f t="shared" ref="R56" si="18">IFERROR(IF(R18="","",IF(Q56="Não",0,R53*20%)),"")</f>
        <v/>
      </c>
      <c r="S56" s="431" t="str">
        <f t="shared" ref="S56" si="19">IFERROR(IF(S18="","",IF(R56="Não",0,S53*20%)),"")</f>
        <v/>
      </c>
      <c r="T56" s="431" t="str">
        <f t="shared" ref="T56" si="20">IFERROR(IF(T18="","",IF(S56="Não",0,T53*20%)),"")</f>
        <v/>
      </c>
      <c r="U56" s="431" t="str">
        <f t="shared" ref="U56" si="21">IFERROR(IF(U18="","",IF(T56="Não",0,U53*20%)),"")</f>
        <v/>
      </c>
      <c r="V56" s="431" t="str">
        <f t="shared" ref="V56" si="22">IFERROR(IF(V18="","",IF(U56="Não",0,V53*20%)),"")</f>
        <v/>
      </c>
      <c r="W56" s="431" t="str">
        <f t="shared" ref="W56" si="23">IFERROR(IF(W18="","",IF(V56="Não",0,W53*20%)),"")</f>
        <v/>
      </c>
      <c r="X56" s="431" t="str">
        <f t="shared" ref="X56" si="24">IFERROR(IF(X18="","",IF(W56="Não",0,X53*20%)),"")</f>
        <v/>
      </c>
    </row>
    <row r="57" spans="1:24">
      <c r="A57" s="92"/>
      <c r="B57" s="754"/>
      <c r="C57" s="168" t="s">
        <v>138</v>
      </c>
      <c r="D57" s="150"/>
      <c r="E57" s="431" t="str">
        <f t="shared" ref="E57:N57" si="25">IF(E21="","",IFERROR(E$59*20%,""))</f>
        <v/>
      </c>
      <c r="F57" s="431" t="str">
        <f t="shared" si="25"/>
        <v/>
      </c>
      <c r="G57" s="431" t="str">
        <f t="shared" si="25"/>
        <v/>
      </c>
      <c r="H57" s="431" t="str">
        <f t="shared" si="25"/>
        <v/>
      </c>
      <c r="I57" s="431" t="str">
        <f t="shared" si="25"/>
        <v/>
      </c>
      <c r="J57" s="431" t="str">
        <f t="shared" si="25"/>
        <v/>
      </c>
      <c r="K57" s="431" t="str">
        <f t="shared" si="25"/>
        <v/>
      </c>
      <c r="L57" s="431" t="str">
        <f t="shared" si="25"/>
        <v/>
      </c>
      <c r="M57" s="431" t="str">
        <f t="shared" si="25"/>
        <v/>
      </c>
      <c r="N57" s="431" t="str">
        <f t="shared" si="25"/>
        <v/>
      </c>
      <c r="O57" s="431" t="str">
        <f t="shared" ref="O57:X57" si="26">IF(O21="","",IFERROR(O$59*20%,""))</f>
        <v/>
      </c>
      <c r="P57" s="431" t="str">
        <f t="shared" si="26"/>
        <v/>
      </c>
      <c r="Q57" s="431" t="str">
        <f t="shared" si="26"/>
        <v/>
      </c>
      <c r="R57" s="431" t="str">
        <f t="shared" si="26"/>
        <v/>
      </c>
      <c r="S57" s="431" t="str">
        <f t="shared" si="26"/>
        <v/>
      </c>
      <c r="T57" s="431" t="str">
        <f t="shared" si="26"/>
        <v/>
      </c>
      <c r="U57" s="431" t="str">
        <f t="shared" si="26"/>
        <v/>
      </c>
      <c r="V57" s="431" t="str">
        <f t="shared" si="26"/>
        <v/>
      </c>
      <c r="W57" s="431" t="str">
        <f t="shared" si="26"/>
        <v/>
      </c>
      <c r="X57" s="431" t="str">
        <f t="shared" si="26"/>
        <v/>
      </c>
    </row>
    <row r="58" spans="1:24">
      <c r="A58" s="92"/>
      <c r="B58" s="755"/>
      <c r="C58" s="106"/>
      <c r="D58" s="100" t="s">
        <v>41</v>
      </c>
      <c r="E58" s="213" t="str">
        <f>IF(SUM(E55:E57)=0,"",SUM(E55:E57))</f>
        <v/>
      </c>
      <c r="F58" s="213">
        <f t="shared" ref="F58:H58" si="27">IF(SUM(F55:F57)=0,"",SUM(F55:F57))</f>
        <v>118.63799999999998</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4" t="str">
        <f>IFERROR(IFERROR(VLOOKUP(E$18,'Apoio - Posto'!$A:$AA,12,FALSE),"")*VLOOKUP(E26,'Apoio - Regime de Trabalho'!$A:$I,7,FALSE),"")</f>
        <v/>
      </c>
      <c r="F59" s="264" t="str">
        <f>IFERROR(IFERROR(VLOOKUP(F$18,'Apoio - Posto'!$A:$AA,12,FALSE),"")*VLOOKUP(F26,'Apoio - Regime de Trabalho'!$A:$I,7,FALSE),"")</f>
        <v/>
      </c>
      <c r="G59" s="264" t="str">
        <f>IFERROR(IFERROR(VLOOKUP(G$18,'Apoio - Posto'!$A:$AA,12,FALSE),"")*VLOOKUP(G26,'Apoio - Regime de Trabalho'!$A:$I,7,FALSE),"")</f>
        <v/>
      </c>
      <c r="H59" s="264" t="str">
        <f>IFERROR(IFERROR(VLOOKUP(H$18,'Apoio - Posto'!$A:$AA,12,FALSE),"")*VLOOKUP(H26,'Apoio - Regime de Trabalho'!$A:$I,7,FALSE),"")</f>
        <v/>
      </c>
      <c r="I59" s="264" t="str">
        <f>IFERROR(IFERROR(VLOOKUP(I$18,'Apoio - Posto'!$A:$AA,12,FALSE),"")*VLOOKUP(I26,'Apoio - Regime de Trabalho'!$A:$I,7,FALSE),"")</f>
        <v/>
      </c>
      <c r="J59" s="264" t="str">
        <f>IFERROR(IFERROR(VLOOKUP(J$18,'Apoio - Posto'!$A:$AA,12,FALSE),"")*VLOOKUP(J26,'Apoio - Regime de Trabalho'!$A:$I,7,FALSE),"")</f>
        <v/>
      </c>
      <c r="K59" s="264" t="str">
        <f>IFERROR(IFERROR(VLOOKUP(K$18,'Apoio - Posto'!$A:$AA,12,FALSE),"")*VLOOKUP(K26,'Apoio - Regime de Trabalho'!$A:$I,7,FALSE),"")</f>
        <v/>
      </c>
      <c r="L59" s="264" t="str">
        <f>IFERROR(IFERROR(VLOOKUP(L$18,'Apoio - Posto'!$A:$AA,12,FALSE),"")*VLOOKUP(L26,'Apoio - Regime de Trabalho'!$A:$I,7,FALSE),"")</f>
        <v/>
      </c>
      <c r="M59" s="264" t="str">
        <f>IFERROR(IFERROR(VLOOKUP(M$18,'Apoio - Posto'!$A:$AA,12,FALSE),"")*VLOOKUP(M26,'Apoio - Regime de Trabalho'!$A:$I,7,FALSE),"")</f>
        <v/>
      </c>
      <c r="N59" s="264" t="str">
        <f>IFERROR(IFERROR(VLOOKUP(N$18,'Apoio - Posto'!$A:$AA,12,FALSE),"")*VLOOKUP(N26,'Apoio - Regime de Trabalho'!$A:$I,7,FALSE),"")</f>
        <v/>
      </c>
      <c r="O59" s="264" t="str">
        <f>IFERROR(IFERROR(VLOOKUP(O$18,'Apoio - Posto'!$A:$AA,12,FALSE),"")*VLOOKUP(O26,'Apoio - Regime de Trabalho'!$A:$I,7,FALSE),"")</f>
        <v/>
      </c>
      <c r="P59" s="264" t="str">
        <f>IFERROR(IFERROR(VLOOKUP(P$18,'Apoio - Posto'!$A:$AA,12,FALSE),"")*VLOOKUP(P26,'Apoio - Regime de Trabalho'!$A:$I,7,FALSE),"")</f>
        <v/>
      </c>
      <c r="Q59" s="264" t="str">
        <f>IFERROR(IFERROR(VLOOKUP(Q$18,'Apoio - Posto'!$A:$AA,12,FALSE),"")*VLOOKUP(Q26,'Apoio - Regime de Trabalho'!$A:$I,7,FALSE),"")</f>
        <v/>
      </c>
      <c r="R59" s="264" t="str">
        <f>IFERROR(IFERROR(VLOOKUP(R$18,'Apoio - Posto'!$A:$AA,12,FALSE),"")*VLOOKUP(R26,'Apoio - Regime de Trabalho'!$A:$I,7,FALSE),"")</f>
        <v/>
      </c>
      <c r="S59" s="264" t="str">
        <f>IFERROR(IFERROR(VLOOKUP(S$18,'Apoio - Posto'!$A:$AA,12,FALSE),"")*VLOOKUP(S26,'Apoio - Regime de Trabalho'!$A:$I,7,FALSE),"")</f>
        <v/>
      </c>
      <c r="T59" s="264" t="str">
        <f>IFERROR(IFERROR(VLOOKUP(T$18,'Apoio - Posto'!$A:$AA,12,FALSE),"")*VLOOKUP(T26,'Apoio - Regime de Trabalho'!$A:$I,7,FALSE),"")</f>
        <v/>
      </c>
      <c r="U59" s="264" t="str">
        <f>IFERROR(IFERROR(VLOOKUP(U$18,'Apoio - Posto'!$A:$AA,12,FALSE),"")*VLOOKUP(U26,'Apoio - Regime de Trabalho'!$A:$I,7,FALSE),"")</f>
        <v/>
      </c>
      <c r="V59" s="264" t="str">
        <f>IFERROR(IFERROR(VLOOKUP(V$18,'Apoio - Posto'!$A:$AA,12,FALSE),"")*VLOOKUP(V26,'Apoio - Regime de Trabalho'!$A:$I,7,FALSE),"")</f>
        <v/>
      </c>
      <c r="W59" s="264" t="str">
        <f>IFERROR(IFERROR(VLOOKUP(W$18,'Apoio - Posto'!$A:$AA,12,FALSE),"")*VLOOKUP(W26,'Apoio - Regime de Trabalho'!$A:$I,7,FALSE),"")</f>
        <v/>
      </c>
      <c r="X59" s="264" t="str">
        <f>IFERROR(IFERROR(VLOOKUP(X$18,'Apoio - Posto'!$A:$AA,12,FALSE),"")*VLOOKUP(X26,'Apoio - Regime de Trabalho'!$A:$I,7,FALSE),"")</f>
        <v/>
      </c>
    </row>
    <row r="60" spans="1:24">
      <c r="A60" s="139"/>
      <c r="B60" s="140" t="s">
        <v>140</v>
      </c>
      <c r="C60" s="451" t="s">
        <v>173</v>
      </c>
      <c r="D60" s="452"/>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2602.6</v>
      </c>
      <c r="F61" s="162">
        <f t="shared" si="30"/>
        <v>3314.4279999999994</v>
      </c>
      <c r="G61" s="162">
        <f t="shared" si="30"/>
        <v>6998.863636363636</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9"/>
      <c r="F63" s="379"/>
      <c r="G63" s="379"/>
      <c r="H63" s="379"/>
      <c r="I63" s="379"/>
      <c r="J63" s="379"/>
      <c r="K63" s="379"/>
      <c r="L63" s="379"/>
      <c r="M63" s="379"/>
      <c r="N63" s="379"/>
      <c r="O63" s="379"/>
      <c r="P63" s="379"/>
      <c r="Q63" s="379"/>
      <c r="R63" s="379"/>
      <c r="S63" s="379"/>
      <c r="T63" s="379"/>
      <c r="U63" s="379"/>
      <c r="V63" s="379"/>
      <c r="W63" s="379"/>
      <c r="X63" s="379"/>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401" t="s">
        <v>56</v>
      </c>
      <c r="D66" s="417">
        <f>IFERROR(INDEX('Apoio - Notas Explicativas'!Q:Q,MATCH(C66,'Apoio - Notas Explicativas'!C:C,0)),"")</f>
        <v>8.3299999999999999E-2</v>
      </c>
      <c r="E66" s="105">
        <f>IFERROR($D66*E$61,"")</f>
        <v>216.79657999999998</v>
      </c>
      <c r="F66" s="105">
        <f t="shared" ref="F66:U68" si="32">IFERROR($D66*F$61,"")</f>
        <v>276.09185239999994</v>
      </c>
      <c r="G66" s="105">
        <f t="shared" si="32"/>
        <v>583.00534090909082</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401" t="s">
        <v>21</v>
      </c>
      <c r="D67" s="417">
        <f>IFERROR(INDEX('Apoio - Notas Explicativas'!Q:Q,MATCH(C67,'Apoio - Notas Explicativas'!C:C,0)),"")</f>
        <v>0.1111</v>
      </c>
      <c r="E67" s="105">
        <f>IFERROR($D67*E$61,"")</f>
        <v>289.14886000000001</v>
      </c>
      <c r="F67" s="105">
        <f t="shared" si="32"/>
        <v>368.23295079999997</v>
      </c>
      <c r="G67" s="105">
        <f t="shared" si="32"/>
        <v>777.57375000000002</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70" t="s">
        <v>80</v>
      </c>
      <c r="D68" s="417">
        <f>IFERROR(INDEX('Apoio - Notas Explicativas'!Q:Q,MATCH(C68,'Apoio - Notas Explicativas'!C:C,0)),"")</f>
        <v>7.1599999999999997E-2</v>
      </c>
      <c r="E68" s="105">
        <f>IFERROR($D68*E$61,"")</f>
        <v>186.34616</v>
      </c>
      <c r="F68" s="105">
        <f t="shared" si="32"/>
        <v>237.31304479999994</v>
      </c>
      <c r="G68" s="105">
        <f t="shared" si="32"/>
        <v>501.11863636363631</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692.29160000000002</v>
      </c>
      <c r="F69" s="182">
        <f t="shared" ref="F69:H69" si="34">IF(SUM(F66:F68)=0,"",SUM(F66:F68))</f>
        <v>881.63784799999985</v>
      </c>
      <c r="G69" s="180">
        <f t="shared" si="34"/>
        <v>1861.6977272727272</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401" t="s">
        <v>49</v>
      </c>
      <c r="D72" s="417">
        <f>IFERROR(INDEX('Apoio - Notas Explicativas'!Q:Q,MATCH(C72,'Apoio - Notas Explicativas'!C:C,0)),"")</f>
        <v>0.2</v>
      </c>
      <c r="E72" s="105">
        <f t="shared" ref="E72:T77" si="37">IFERROR($D72*E$61,"")</f>
        <v>520.52</v>
      </c>
      <c r="F72" s="143">
        <f t="shared" si="37"/>
        <v>662.88559999999995</v>
      </c>
      <c r="G72" s="143">
        <f t="shared" si="37"/>
        <v>1399.7727272727273</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71" t="s">
        <v>50</v>
      </c>
      <c r="D73" s="417">
        <f>IFERROR(INDEX('Apoio - Notas Explicativas'!Q:Q,MATCH(C73,'Apoio - Notas Explicativas'!C:C,0)),"")</f>
        <v>1.4999999999999999E-2</v>
      </c>
      <c r="E73" s="105">
        <f t="shared" si="37"/>
        <v>39.038999999999994</v>
      </c>
      <c r="F73" s="143">
        <f t="shared" si="37"/>
        <v>49.716419999999992</v>
      </c>
      <c r="G73" s="143">
        <f t="shared" si="37"/>
        <v>104.98295454545453</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401" t="s">
        <v>51</v>
      </c>
      <c r="D74" s="417">
        <f>IFERROR(INDEX('Apoio - Notas Explicativas'!Q:Q,MATCH(C74,'Apoio - Notas Explicativas'!C:C,0)),"")</f>
        <v>0.01</v>
      </c>
      <c r="E74" s="105">
        <f t="shared" si="37"/>
        <v>26.026</v>
      </c>
      <c r="F74" s="143">
        <f t="shared" si="37"/>
        <v>33.144279999999995</v>
      </c>
      <c r="G74" s="143">
        <f t="shared" si="37"/>
        <v>69.98863636363636</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401" t="s">
        <v>52</v>
      </c>
      <c r="D75" s="417">
        <f>IFERROR(INDEX('Apoio - Notas Explicativas'!Q:Q,MATCH(C75,'Apoio - Notas Explicativas'!C:C,0)),"")</f>
        <v>2E-3</v>
      </c>
      <c r="E75" s="105">
        <f t="shared" si="37"/>
        <v>5.2051999999999996</v>
      </c>
      <c r="F75" s="143">
        <f t="shared" si="37"/>
        <v>6.628855999999999</v>
      </c>
      <c r="G75" s="143">
        <f t="shared" si="37"/>
        <v>13.997727272727273</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401" t="s">
        <v>53</v>
      </c>
      <c r="D76" s="417">
        <f>IFERROR(INDEX('Apoio - Notas Explicativas'!Q:Q,MATCH(C76,'Apoio - Notas Explicativas'!C:C,0)),"")</f>
        <v>2.5000000000000001E-2</v>
      </c>
      <c r="E76" s="105">
        <f t="shared" si="37"/>
        <v>65.064999999999998</v>
      </c>
      <c r="F76" s="143">
        <f t="shared" si="37"/>
        <v>82.860699999999994</v>
      </c>
      <c r="G76" s="143">
        <f t="shared" si="37"/>
        <v>174.97159090909091</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401" t="s">
        <v>54</v>
      </c>
      <c r="D77" s="417">
        <f>IFERROR(INDEX('Apoio - Notas Explicativas'!Q:Q,MATCH(C77,'Apoio - Notas Explicativas'!C:C,0)),"")</f>
        <v>0.08</v>
      </c>
      <c r="E77" s="105">
        <f t="shared" si="37"/>
        <v>208.208</v>
      </c>
      <c r="F77" s="143">
        <f t="shared" si="37"/>
        <v>265.15423999999996</v>
      </c>
      <c r="G77" s="143">
        <f t="shared" si="37"/>
        <v>559.90909090909088</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747" t="s">
        <v>5</v>
      </c>
      <c r="C78" s="672" t="str">
        <f>CONCATENATE("GILL/RAT (RAT ",D79," x FAP ",D80,")")</f>
        <v>GILL/RAT (RAT 0,03 x FAP 1)</v>
      </c>
      <c r="D78" s="673"/>
      <c r="E78" s="244"/>
      <c r="F78" s="432"/>
      <c r="G78" s="432"/>
      <c r="H78" s="244"/>
      <c r="I78" s="244"/>
      <c r="J78" s="244"/>
      <c r="K78" s="244"/>
      <c r="L78" s="244"/>
      <c r="M78" s="244"/>
      <c r="N78" s="244"/>
      <c r="O78" s="244"/>
      <c r="P78" s="244"/>
      <c r="Q78" s="244"/>
      <c r="R78" s="244"/>
      <c r="S78" s="244"/>
      <c r="T78" s="244"/>
      <c r="U78" s="244"/>
      <c r="V78" s="244"/>
      <c r="W78" s="244"/>
      <c r="X78" s="244"/>
    </row>
    <row r="79" spans="1:24">
      <c r="A79" s="80"/>
      <c r="B79" s="748"/>
      <c r="C79" s="674" t="s">
        <v>47</v>
      </c>
      <c r="D79" s="173">
        <f>VLOOKUP(C79,'Apoio - Notas Explicativas'!$C:$Q,14,FALSE)</f>
        <v>0.03</v>
      </c>
      <c r="E79" s="433"/>
      <c r="F79" s="433"/>
      <c r="G79" s="433"/>
      <c r="H79" s="466"/>
      <c r="I79" s="466"/>
      <c r="J79" s="466"/>
      <c r="K79" s="466"/>
      <c r="L79" s="466"/>
      <c r="M79" s="466"/>
      <c r="N79" s="466"/>
      <c r="O79" s="466"/>
      <c r="P79" s="466"/>
      <c r="Q79" s="466"/>
      <c r="R79" s="466"/>
      <c r="S79" s="466"/>
      <c r="T79" s="466"/>
      <c r="U79" s="466"/>
      <c r="V79" s="466"/>
      <c r="W79" s="466"/>
      <c r="X79" s="466"/>
    </row>
    <row r="80" spans="1:24">
      <c r="A80" s="80"/>
      <c r="B80" s="756"/>
      <c r="C80" s="675" t="s">
        <v>42</v>
      </c>
      <c r="D80" s="309">
        <f>VLOOKUP(C80,'Apoio - Notas Explicativas'!$C:$Q,14,FALSE)</f>
        <v>1</v>
      </c>
      <c r="E80" s="434"/>
      <c r="F80" s="434"/>
      <c r="G80" s="434"/>
      <c r="H80" s="434"/>
      <c r="I80" s="434"/>
      <c r="J80" s="434"/>
      <c r="K80" s="434"/>
      <c r="L80" s="434"/>
      <c r="M80" s="434"/>
      <c r="N80" s="434"/>
      <c r="O80" s="434"/>
      <c r="P80" s="434"/>
      <c r="Q80" s="434"/>
      <c r="R80" s="434"/>
      <c r="S80" s="434"/>
      <c r="T80" s="434"/>
      <c r="U80" s="434"/>
      <c r="V80" s="434"/>
      <c r="W80" s="434"/>
      <c r="X80" s="434"/>
    </row>
    <row r="81" spans="1:24">
      <c r="A81" s="80"/>
      <c r="B81" s="749"/>
      <c r="C81" s="401"/>
      <c r="D81" s="676">
        <f>D80*D79</f>
        <v>0.03</v>
      </c>
      <c r="E81" s="175">
        <f>IFERROR($D81*E$61,"")</f>
        <v>78.077999999999989</v>
      </c>
      <c r="F81" s="175">
        <f t="shared" ref="F81:U82" si="39">IFERROR($D81*F$61,"")</f>
        <v>99.432839999999985</v>
      </c>
      <c r="G81" s="175">
        <f t="shared" si="39"/>
        <v>209.96590909090907</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401" t="s">
        <v>55</v>
      </c>
      <c r="D82" s="417">
        <f>IFERROR(INDEX('Apoio - Notas Explicativas'!Q:Q,MATCH(C82,'Apoio - Notas Explicativas'!C:C,0)),"")</f>
        <v>6.0000000000000001E-3</v>
      </c>
      <c r="E82" s="143">
        <f>IFERROR($D82*E$61,"")</f>
        <v>15.615600000000001</v>
      </c>
      <c r="F82" s="143">
        <f t="shared" si="39"/>
        <v>19.886567999999997</v>
      </c>
      <c r="G82" s="143">
        <f t="shared" si="39"/>
        <v>41.993181818181817</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957.75679999999988</v>
      </c>
      <c r="F83" s="182">
        <f t="shared" ref="F83:H83" si="41">IF((SUM(F72:F77,F81,F82))=0,"",(SUM(F72:F77,F81,F82)))</f>
        <v>1219.7095039999997</v>
      </c>
      <c r="G83" s="182">
        <f t="shared" si="41"/>
        <v>2575.5818181818177</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747" t="s">
        <v>2</v>
      </c>
      <c r="C86" s="677" t="s">
        <v>86</v>
      </c>
      <c r="D86" s="678"/>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748"/>
      <c r="C87" s="679" t="s">
        <v>87</v>
      </c>
      <c r="D87" s="680"/>
      <c r="E87" s="427">
        <v>5.3</v>
      </c>
      <c r="F87" s="427">
        <v>5.3</v>
      </c>
      <c r="G87" s="427"/>
      <c r="H87" s="427" t="str">
        <f t="shared" ref="H87:I87" si="44">IF(H18="","",5)</f>
        <v/>
      </c>
      <c r="I87" s="427" t="str">
        <f t="shared" si="44"/>
        <v/>
      </c>
      <c r="J87" s="427" t="str">
        <f t="shared" ref="J87:N87" si="45">IF(J18="","",4.8)</f>
        <v/>
      </c>
      <c r="K87" s="427" t="str">
        <f t="shared" si="45"/>
        <v/>
      </c>
      <c r="L87" s="427" t="str">
        <f t="shared" si="45"/>
        <v/>
      </c>
      <c r="M87" s="427" t="str">
        <f t="shared" si="45"/>
        <v/>
      </c>
      <c r="N87" s="427" t="str">
        <f t="shared" si="45"/>
        <v/>
      </c>
      <c r="O87" s="427" t="str">
        <f t="shared" ref="O87:X87" si="46">IF(O18="","",4.8)</f>
        <v/>
      </c>
      <c r="P87" s="427" t="str">
        <f t="shared" si="46"/>
        <v/>
      </c>
      <c r="Q87" s="427" t="str">
        <f t="shared" si="46"/>
        <v/>
      </c>
      <c r="R87" s="427" t="str">
        <f t="shared" si="46"/>
        <v/>
      </c>
      <c r="S87" s="427" t="str">
        <f t="shared" si="46"/>
        <v/>
      </c>
      <c r="T87" s="427" t="str">
        <f t="shared" si="46"/>
        <v/>
      </c>
      <c r="U87" s="427" t="str">
        <f t="shared" si="46"/>
        <v/>
      </c>
      <c r="V87" s="427" t="str">
        <f t="shared" si="46"/>
        <v/>
      </c>
      <c r="W87" s="427" t="str">
        <f t="shared" si="46"/>
        <v/>
      </c>
      <c r="X87" s="427" t="str">
        <f t="shared" si="46"/>
        <v/>
      </c>
    </row>
    <row r="88" spans="1:24">
      <c r="A88" s="80"/>
      <c r="B88" s="748"/>
      <c r="C88" s="681" t="s">
        <v>108</v>
      </c>
      <c r="D88" s="682"/>
      <c r="E88" s="204">
        <f t="shared" ref="E88:N88" si="47">IF(E18="","",2)</f>
        <v>2</v>
      </c>
      <c r="F88" s="204">
        <v>2</v>
      </c>
      <c r="G88" s="204"/>
      <c r="H88" s="204" t="str">
        <f t="shared" si="47"/>
        <v/>
      </c>
      <c r="I88" s="204" t="str">
        <f t="shared" si="47"/>
        <v/>
      </c>
      <c r="J88" s="204" t="str">
        <f t="shared" si="47"/>
        <v/>
      </c>
      <c r="K88" s="204" t="str">
        <f t="shared" si="47"/>
        <v/>
      </c>
      <c r="L88" s="204" t="str">
        <f t="shared" si="47"/>
        <v/>
      </c>
      <c r="M88" s="204" t="str">
        <f t="shared" si="47"/>
        <v/>
      </c>
      <c r="N88" s="204" t="str">
        <f t="shared" si="47"/>
        <v/>
      </c>
      <c r="O88" s="204" t="str">
        <f t="shared" ref="O88:X88" si="48">IF(O18="","",2)</f>
        <v/>
      </c>
      <c r="P88" s="204" t="str">
        <f t="shared" si="48"/>
        <v/>
      </c>
      <c r="Q88" s="204" t="str">
        <f t="shared" si="48"/>
        <v/>
      </c>
      <c r="R88" s="204" t="str">
        <f t="shared" si="48"/>
        <v/>
      </c>
      <c r="S88" s="204" t="str">
        <f t="shared" si="48"/>
        <v/>
      </c>
      <c r="T88" s="204" t="str">
        <f t="shared" si="48"/>
        <v/>
      </c>
      <c r="U88" s="204" t="str">
        <f t="shared" si="48"/>
        <v/>
      </c>
      <c r="V88" s="204" t="str">
        <f t="shared" si="48"/>
        <v/>
      </c>
      <c r="W88" s="204" t="str">
        <f t="shared" si="48"/>
        <v/>
      </c>
      <c r="X88" s="204" t="str">
        <f t="shared" si="48"/>
        <v/>
      </c>
    </row>
    <row r="89" spans="1:24">
      <c r="A89" s="80"/>
      <c r="B89" s="748"/>
      <c r="C89" s="681" t="s">
        <v>88</v>
      </c>
      <c r="D89" s="683"/>
      <c r="E89" s="205">
        <f>IFERROR(IF(E18="","",VLOOKUP(E26,'Apoio - Regime de Trabalho'!$A:$G,7,FALSE)),"")</f>
        <v>15</v>
      </c>
      <c r="F89" s="205">
        <v>15</v>
      </c>
      <c r="G89" s="205"/>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748"/>
      <c r="C90" s="681" t="s">
        <v>22</v>
      </c>
      <c r="D90" s="682"/>
      <c r="E90" s="206">
        <f>IF(E18="","",IFERROR(VLOOKUP(E$18,'Apoio - Posto'!$A:$AA,16,FALSE),6%))</f>
        <v>0.06</v>
      </c>
      <c r="F90" s="206">
        <v>0.06</v>
      </c>
      <c r="G90" s="206"/>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749"/>
      <c r="C91" s="225"/>
      <c r="D91" s="684" t="s">
        <v>41</v>
      </c>
      <c r="E91" s="153">
        <f>IFERROR(MAX((E87*E88*E89)-(E$90*E$32),0),"")</f>
        <v>38.88000000000001</v>
      </c>
      <c r="F91" s="153">
        <f t="shared" ref="F91:N91" si="49">IFERROR(MAX((F87*F88*F89)-(F$90*F$32),0),"")</f>
        <v>38.88000000000001</v>
      </c>
      <c r="G91" s="153">
        <f t="shared" si="49"/>
        <v>0</v>
      </c>
      <c r="H91" s="153" t="str">
        <f t="shared" si="49"/>
        <v/>
      </c>
      <c r="I91" s="153" t="str">
        <f t="shared" si="49"/>
        <v/>
      </c>
      <c r="J91" s="153" t="str">
        <f t="shared" si="49"/>
        <v/>
      </c>
      <c r="K91" s="153" t="str">
        <f t="shared" si="49"/>
        <v/>
      </c>
      <c r="L91" s="153" t="str">
        <f t="shared" si="49"/>
        <v/>
      </c>
      <c r="M91" s="153" t="str">
        <f t="shared" si="49"/>
        <v/>
      </c>
      <c r="N91" s="153" t="str">
        <f t="shared" si="49"/>
        <v/>
      </c>
      <c r="O91" s="153" t="str">
        <f t="shared" ref="O91:X91" si="50">IFERROR(MAX((O87*O88*O89)-(O$90*O$32),0),"")</f>
        <v/>
      </c>
      <c r="P91" s="153" t="str">
        <f t="shared" si="50"/>
        <v/>
      </c>
      <c r="Q91" s="153" t="str">
        <f t="shared" si="50"/>
        <v/>
      </c>
      <c r="R91" s="153" t="str">
        <f t="shared" si="50"/>
        <v/>
      </c>
      <c r="S91" s="153" t="str">
        <f t="shared" si="50"/>
        <v/>
      </c>
      <c r="T91" s="153" t="str">
        <f t="shared" si="50"/>
        <v/>
      </c>
      <c r="U91" s="153" t="str">
        <f t="shared" si="50"/>
        <v/>
      </c>
      <c r="V91" s="153" t="str">
        <f t="shared" si="50"/>
        <v/>
      </c>
      <c r="W91" s="153" t="str">
        <f t="shared" si="50"/>
        <v/>
      </c>
      <c r="X91" s="153" t="str">
        <f t="shared" si="50"/>
        <v/>
      </c>
    </row>
    <row r="92" spans="1:24">
      <c r="A92" s="80"/>
      <c r="B92" s="747" t="s">
        <v>1</v>
      </c>
      <c r="C92" s="685" t="s">
        <v>23</v>
      </c>
      <c r="D92" s="686"/>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748"/>
      <c r="C93" s="687" t="s">
        <v>24</v>
      </c>
      <c r="D93" s="688"/>
      <c r="E93" s="208">
        <v>27.15</v>
      </c>
      <c r="F93" s="208">
        <v>27.15</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748"/>
      <c r="C94" s="689" t="s">
        <v>276</v>
      </c>
      <c r="D94" s="690"/>
      <c r="E94" s="210">
        <f>IFERROR(IF(E18="","",VLOOKUP(E26,'Apoio - Regime de Trabalho'!$A:$G,7,FALSE)),"")</f>
        <v>15</v>
      </c>
      <c r="F94" s="210">
        <v>15</v>
      </c>
      <c r="G94" s="210"/>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748"/>
      <c r="C95" s="689" t="s">
        <v>273</v>
      </c>
      <c r="D95" s="690"/>
      <c r="E95" s="211">
        <v>0.19</v>
      </c>
      <c r="F95" s="211">
        <v>0.19</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749"/>
      <c r="C96" s="225"/>
      <c r="D96" s="684" t="s">
        <v>41</v>
      </c>
      <c r="E96" s="107">
        <f>IFERROR((E93*E94)-(E$93*E$94*E$95),"")</f>
        <v>329.8725</v>
      </c>
      <c r="F96" s="107">
        <f t="shared" ref="F96:H96" si="51">IFERROR((F93*F94)-(F$93*F$94*F$95),"")</f>
        <v>329.8725</v>
      </c>
      <c r="G96" s="107" t="str">
        <f t="shared" si="51"/>
        <v/>
      </c>
      <c r="H96" s="107" t="str">
        <f t="shared" si="51"/>
        <v/>
      </c>
      <c r="I96" s="107" t="str">
        <f t="shared" ref="I96:N96" si="52">IFERROR((I93*I94)-(I$93*I$94*I$95),"")</f>
        <v/>
      </c>
      <c r="J96" s="107" t="str">
        <f t="shared" si="52"/>
        <v/>
      </c>
      <c r="K96" s="107" t="str">
        <f t="shared" si="52"/>
        <v/>
      </c>
      <c r="L96" s="107" t="str">
        <f t="shared" si="52"/>
        <v/>
      </c>
      <c r="M96" s="107" t="str">
        <f t="shared" si="52"/>
        <v/>
      </c>
      <c r="N96" s="107" t="str">
        <f t="shared" si="52"/>
        <v/>
      </c>
      <c r="O96" s="107" t="str">
        <f t="shared" ref="O96:X96" si="53">IFERROR((O93*O94)-(O$93*O$94*O$95),"")</f>
        <v/>
      </c>
      <c r="P96" s="107" t="str">
        <f t="shared" si="53"/>
        <v/>
      </c>
      <c r="Q96" s="107" t="str">
        <f t="shared" si="53"/>
        <v/>
      </c>
      <c r="R96" s="107" t="str">
        <f t="shared" si="53"/>
        <v/>
      </c>
      <c r="S96" s="107" t="str">
        <f t="shared" si="53"/>
        <v/>
      </c>
      <c r="T96" s="107" t="str">
        <f t="shared" si="53"/>
        <v/>
      </c>
      <c r="U96" s="107" t="str">
        <f t="shared" si="53"/>
        <v/>
      </c>
      <c r="V96" s="107" t="str">
        <f t="shared" si="53"/>
        <v/>
      </c>
      <c r="W96" s="107" t="str">
        <f t="shared" si="53"/>
        <v/>
      </c>
      <c r="X96" s="107" t="str">
        <f t="shared" si="53"/>
        <v/>
      </c>
    </row>
    <row r="97" spans="1:24">
      <c r="A97" s="80"/>
      <c r="B97" s="747" t="s">
        <v>0</v>
      </c>
      <c r="C97" s="691" t="s">
        <v>25</v>
      </c>
      <c r="D97" s="686"/>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748"/>
      <c r="C98" s="692" t="s">
        <v>26</v>
      </c>
      <c r="D98" s="693"/>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748"/>
      <c r="C99" s="694" t="s">
        <v>273</v>
      </c>
      <c r="D99" s="683"/>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749"/>
      <c r="C100" s="225"/>
      <c r="D100" s="684" t="s">
        <v>41</v>
      </c>
      <c r="E100" s="254">
        <f t="shared" ref="E100:N100" si="54">IF(E21="","",IFERROR((E$98)-(E$99*E$98),""))</f>
        <v>0</v>
      </c>
      <c r="F100" s="254">
        <f t="shared" si="54"/>
        <v>0</v>
      </c>
      <c r="G100" s="254">
        <f t="shared" si="54"/>
        <v>0</v>
      </c>
      <c r="H100" s="254" t="str">
        <f t="shared" si="54"/>
        <v/>
      </c>
      <c r="I100" s="254" t="str">
        <f t="shared" si="54"/>
        <v/>
      </c>
      <c r="J100" s="254" t="str">
        <f t="shared" si="54"/>
        <v/>
      </c>
      <c r="K100" s="254" t="str">
        <f t="shared" si="54"/>
        <v/>
      </c>
      <c r="L100" s="254" t="str">
        <f t="shared" si="54"/>
        <v/>
      </c>
      <c r="M100" s="254" t="str">
        <f t="shared" si="54"/>
        <v/>
      </c>
      <c r="N100" s="254" t="str">
        <f t="shared" si="54"/>
        <v/>
      </c>
      <c r="O100" s="254" t="str">
        <f t="shared" ref="O100:X100" si="55">IF(O21="","",IFERROR((O$98)-(O$99*O$98),""))</f>
        <v/>
      </c>
      <c r="P100" s="254" t="str">
        <f t="shared" si="55"/>
        <v/>
      </c>
      <c r="Q100" s="254" t="str">
        <f t="shared" si="55"/>
        <v/>
      </c>
      <c r="R100" s="254" t="str">
        <f t="shared" si="55"/>
        <v/>
      </c>
      <c r="S100" s="254" t="str">
        <f t="shared" si="55"/>
        <v/>
      </c>
      <c r="T100" s="254" t="str">
        <f t="shared" si="55"/>
        <v/>
      </c>
      <c r="U100" s="254" t="str">
        <f t="shared" si="55"/>
        <v/>
      </c>
      <c r="V100" s="254" t="str">
        <f t="shared" si="55"/>
        <v/>
      </c>
      <c r="W100" s="254" t="str">
        <f t="shared" si="55"/>
        <v/>
      </c>
      <c r="X100" s="254" t="str">
        <f t="shared" si="55"/>
        <v/>
      </c>
    </row>
    <row r="101" spans="1:24">
      <c r="A101" s="80"/>
      <c r="B101" s="93" t="s">
        <v>3</v>
      </c>
      <c r="C101" s="695" t="s">
        <v>27</v>
      </c>
      <c r="D101" s="696"/>
      <c r="E101" s="394" t="str">
        <f>IFERROR(VLOOKUP(E$18,'Apoio - Posto'!$A:$AA,19,FALSE),"")</f>
        <v/>
      </c>
      <c r="F101" s="394" t="str">
        <f>IFERROR(VLOOKUP(F$18,'Apoio - Posto'!$A:$AA,19,FALSE),"")</f>
        <v/>
      </c>
      <c r="G101" s="394" t="str">
        <f>IFERROR(VLOOKUP(G$18,'Apoio - Posto'!$A:$AA,19,FALSE),"")</f>
        <v/>
      </c>
      <c r="H101" s="394" t="str">
        <f>IFERROR(VLOOKUP(H$18,'Apoio - Posto'!$A:$AA,19,FALSE),"")</f>
        <v/>
      </c>
      <c r="I101" s="394" t="str">
        <f>IFERROR(VLOOKUP(I$18,'Apoio - Posto'!$A:$AA,19,FALSE),"")</f>
        <v/>
      </c>
      <c r="J101" s="394" t="str">
        <f>IFERROR(VLOOKUP(J$18,'Apoio - Posto'!$A:$AA,19,FALSE),"")</f>
        <v/>
      </c>
      <c r="K101" s="394" t="str">
        <f>IFERROR(VLOOKUP(K$18,'Apoio - Posto'!$A:$AA,19,FALSE),"")</f>
        <v/>
      </c>
      <c r="L101" s="394" t="str">
        <f>IFERROR(VLOOKUP(L$18,'Apoio - Posto'!$A:$AA,19,FALSE),"")</f>
        <v/>
      </c>
      <c r="M101" s="394" t="str">
        <f>IFERROR(VLOOKUP(M$18,'Apoio - Posto'!$A:$AA,19,FALSE),"")</f>
        <v/>
      </c>
      <c r="N101" s="394" t="str">
        <f>IFERROR(VLOOKUP(N$18,'Apoio - Posto'!$A:$AA,19,FALSE),"")</f>
        <v/>
      </c>
      <c r="O101" s="394" t="str">
        <f>IFERROR(VLOOKUP(O$18,'Apoio - Posto'!$A:$AA,19,FALSE),"")</f>
        <v/>
      </c>
      <c r="P101" s="394" t="str">
        <f>IFERROR(VLOOKUP(P$18,'Apoio - Posto'!$A:$AA,19,FALSE),"")</f>
        <v/>
      </c>
      <c r="Q101" s="394" t="str">
        <f>IFERROR(VLOOKUP(Q$18,'Apoio - Posto'!$A:$AA,19,FALSE),"")</f>
        <v/>
      </c>
      <c r="R101" s="394" t="str">
        <f>IFERROR(VLOOKUP(R$18,'Apoio - Posto'!$A:$AA,19,FALSE),"")</f>
        <v/>
      </c>
      <c r="S101" s="394" t="str">
        <f>IFERROR(VLOOKUP(S$18,'Apoio - Posto'!$A:$AA,19,FALSE),"")</f>
        <v/>
      </c>
      <c r="T101" s="394" t="str">
        <f>IFERROR(VLOOKUP(T$18,'Apoio - Posto'!$A:$AA,19,FALSE),"")</f>
        <v/>
      </c>
      <c r="U101" s="394" t="str">
        <f>IFERROR(VLOOKUP(U$18,'Apoio - Posto'!$A:$AA,19,FALSE),"")</f>
        <v/>
      </c>
      <c r="V101" s="394" t="str">
        <f>IFERROR(VLOOKUP(V$18,'Apoio - Posto'!$A:$AA,19,FALSE),"")</f>
        <v/>
      </c>
      <c r="W101" s="394" t="str">
        <f>IFERROR(VLOOKUP(W$18,'Apoio - Posto'!$A:$AA,19,FALSE),"")</f>
        <v/>
      </c>
      <c r="X101" s="394" t="str">
        <f>IFERROR(VLOOKUP(X$18,'Apoio - Posto'!$A:$AA,19,FALSE),"")</f>
        <v/>
      </c>
    </row>
    <row r="102" spans="1:24">
      <c r="A102" s="80"/>
      <c r="B102" s="191" t="s">
        <v>7</v>
      </c>
      <c r="C102" s="697" t="s">
        <v>28</v>
      </c>
      <c r="D102" s="698"/>
      <c r="E102" s="395"/>
      <c r="F102" s="395"/>
      <c r="G102" s="395"/>
      <c r="H102" s="395"/>
      <c r="I102" s="395"/>
      <c r="J102" s="395"/>
      <c r="K102" s="395"/>
      <c r="L102" s="395"/>
      <c r="M102" s="395"/>
      <c r="N102" s="395"/>
      <c r="O102" s="395"/>
      <c r="P102" s="395"/>
      <c r="Q102" s="395"/>
      <c r="R102" s="395"/>
      <c r="S102" s="395"/>
      <c r="T102" s="395"/>
      <c r="U102" s="395"/>
      <c r="V102" s="395"/>
      <c r="W102" s="395"/>
      <c r="X102" s="395"/>
    </row>
    <row r="103" spans="1:24">
      <c r="A103" s="80"/>
      <c r="B103" s="747" t="s">
        <v>6</v>
      </c>
      <c r="C103" s="685" t="s">
        <v>29</v>
      </c>
      <c r="D103" s="698"/>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748"/>
      <c r="C104" s="699" t="s">
        <v>26</v>
      </c>
      <c r="D104" s="700"/>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748"/>
      <c r="C105" s="701" t="s">
        <v>109</v>
      </c>
      <c r="D105" s="690"/>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749"/>
      <c r="C106" s="225"/>
      <c r="D106" s="684" t="s">
        <v>41</v>
      </c>
      <c r="E106" s="213">
        <f t="shared" ref="E106:N106" si="56">IF(E21="","",IFERROR((E104)-(E$105*E$104),""))</f>
        <v>0</v>
      </c>
      <c r="F106" s="213">
        <f t="shared" si="56"/>
        <v>0</v>
      </c>
      <c r="G106" s="213">
        <f t="shared" si="56"/>
        <v>0</v>
      </c>
      <c r="H106" s="213" t="str">
        <f t="shared" si="56"/>
        <v/>
      </c>
      <c r="I106" s="213" t="str">
        <f t="shared" si="56"/>
        <v/>
      </c>
      <c r="J106" s="213" t="str">
        <f t="shared" si="56"/>
        <v/>
      </c>
      <c r="K106" s="213" t="str">
        <f t="shared" si="56"/>
        <v/>
      </c>
      <c r="L106" s="213" t="str">
        <f t="shared" si="56"/>
        <v/>
      </c>
      <c r="M106" s="213" t="str">
        <f t="shared" si="56"/>
        <v/>
      </c>
      <c r="N106" s="213" t="str">
        <f t="shared" si="56"/>
        <v/>
      </c>
      <c r="O106" s="213" t="str">
        <f t="shared" ref="O106:X106" si="57">IF(O21="","",IFERROR((O104)-(O$105*O$104),""))</f>
        <v/>
      </c>
      <c r="P106" s="213" t="str">
        <f t="shared" si="57"/>
        <v/>
      </c>
      <c r="Q106" s="213" t="str">
        <f t="shared" si="57"/>
        <v/>
      </c>
      <c r="R106" s="213" t="str">
        <f t="shared" si="57"/>
        <v/>
      </c>
      <c r="S106" s="213" t="str">
        <f t="shared" si="57"/>
        <v/>
      </c>
      <c r="T106" s="213" t="str">
        <f t="shared" si="57"/>
        <v/>
      </c>
      <c r="U106" s="213" t="str">
        <f t="shared" si="57"/>
        <v/>
      </c>
      <c r="V106" s="213" t="str">
        <f t="shared" si="57"/>
        <v/>
      </c>
      <c r="W106" s="213" t="str">
        <f t="shared" si="57"/>
        <v/>
      </c>
      <c r="X106" s="213" t="str">
        <f t="shared" si="57"/>
        <v/>
      </c>
    </row>
    <row r="107" spans="1:24">
      <c r="A107" s="80"/>
      <c r="B107" s="191" t="s">
        <v>5</v>
      </c>
      <c r="C107" s="697" t="s">
        <v>30</v>
      </c>
      <c r="D107" s="702" t="str">
        <f>IFERROR(VLOOKUP(E18,'Apoio - Posto'!A:J,14,FALSE),"")</f>
        <v/>
      </c>
      <c r="E107" s="428">
        <v>25.52</v>
      </c>
      <c r="F107" s="428">
        <v>25.52</v>
      </c>
      <c r="G107" s="428" t="str">
        <f>IFERROR(VLOOKUP(G$18,'Apoio - Posto'!$A:$AA,18,FALSE),"")</f>
        <v/>
      </c>
      <c r="H107" s="428" t="str">
        <f>IFERROR(VLOOKUP(H$18,'Apoio - Posto'!$A:$AA,18,FALSE),"")</f>
        <v/>
      </c>
      <c r="I107" s="428" t="str">
        <f>IFERROR(VLOOKUP(I$18,'Apoio - Posto'!$A:$AA,18,FALSE),"")</f>
        <v/>
      </c>
      <c r="J107" s="428" t="str">
        <f>IFERROR(VLOOKUP(J$18,'Apoio - Posto'!$A:$AA,18,FALSE),"")</f>
        <v/>
      </c>
      <c r="K107" s="428" t="str">
        <f>IFERROR(VLOOKUP(K$18,'Apoio - Posto'!$A:$AA,18,FALSE),"")</f>
        <v/>
      </c>
      <c r="L107" s="428" t="str">
        <f>IFERROR(VLOOKUP(L$18,'Apoio - Posto'!$A:$AA,18,FALSE),"")</f>
        <v/>
      </c>
      <c r="M107" s="428" t="str">
        <f>IFERROR(VLOOKUP(M$18,'Apoio - Posto'!$A:$AA,18,FALSE),"")</f>
        <v/>
      </c>
      <c r="N107" s="428" t="str">
        <f>IFERROR(VLOOKUP(N$18,'Apoio - Posto'!$A:$AA,18,FALSE),"")</f>
        <v/>
      </c>
      <c r="O107" s="428" t="str">
        <f>IFERROR(VLOOKUP(O$18,'Apoio - Posto'!$A:$AA,18,FALSE),"")</f>
        <v/>
      </c>
      <c r="P107" s="428" t="str">
        <f>IFERROR(VLOOKUP(P$18,'Apoio - Posto'!$A:$AA,18,FALSE),"")</f>
        <v/>
      </c>
      <c r="Q107" s="428" t="str">
        <f>IFERROR(VLOOKUP(Q$18,'Apoio - Posto'!$A:$AA,18,FALSE),"")</f>
        <v/>
      </c>
      <c r="R107" s="428" t="str">
        <f>IFERROR(VLOOKUP(R$18,'Apoio - Posto'!$A:$AA,18,FALSE),"")</f>
        <v/>
      </c>
      <c r="S107" s="428" t="str">
        <f>IFERROR(VLOOKUP(S$18,'Apoio - Posto'!$A:$AA,18,FALSE),"")</f>
        <v/>
      </c>
      <c r="T107" s="428" t="str">
        <f>IFERROR(VLOOKUP(T$18,'Apoio - Posto'!$A:$AA,18,FALSE),"")</f>
        <v/>
      </c>
      <c r="U107" s="428" t="str">
        <f>IFERROR(VLOOKUP(U$18,'Apoio - Posto'!$A:$AA,18,FALSE),"")</f>
        <v/>
      </c>
      <c r="V107" s="428" t="str">
        <f>IFERROR(VLOOKUP(V$18,'Apoio - Posto'!$A:$AA,18,FALSE),"")</f>
        <v/>
      </c>
      <c r="W107" s="428" t="str">
        <f>IFERROR(VLOOKUP(W$18,'Apoio - Posto'!$A:$AA,18,FALSE),"")</f>
        <v/>
      </c>
      <c r="X107" s="428" t="str">
        <f>IFERROR(VLOOKUP(X$18,'Apoio - Posto'!$A:$AA,18,FALSE),"")</f>
        <v/>
      </c>
    </row>
    <row r="108" spans="1:24">
      <c r="A108" s="80"/>
      <c r="B108" s="747" t="s">
        <v>4</v>
      </c>
      <c r="C108" s="716" t="s">
        <v>114</v>
      </c>
      <c r="D108" s="698"/>
      <c r="E108" s="395"/>
      <c r="F108" s="395"/>
      <c r="G108" s="395"/>
      <c r="H108" s="395"/>
      <c r="I108" s="395"/>
      <c r="J108" s="395"/>
      <c r="K108" s="395"/>
      <c r="L108" s="395"/>
      <c r="M108" s="395"/>
      <c r="N108" s="395"/>
      <c r="O108" s="395"/>
      <c r="P108" s="395"/>
      <c r="Q108" s="395"/>
      <c r="R108" s="395"/>
      <c r="S108" s="395"/>
      <c r="T108" s="395"/>
      <c r="U108" s="395"/>
      <c r="V108" s="395"/>
      <c r="W108" s="395"/>
      <c r="X108" s="395"/>
    </row>
    <row r="109" spans="1:24">
      <c r="A109" s="80"/>
      <c r="B109" s="748"/>
      <c r="C109" s="687" t="s">
        <v>272</v>
      </c>
      <c r="D109" s="700"/>
      <c r="E109" s="429"/>
      <c r="F109" s="429"/>
      <c r="G109" s="429"/>
      <c r="H109" s="429"/>
      <c r="I109" s="429"/>
      <c r="J109" s="429"/>
      <c r="K109" s="429"/>
      <c r="L109" s="429"/>
      <c r="M109" s="429"/>
      <c r="N109" s="429"/>
      <c r="O109" s="429"/>
      <c r="P109" s="429"/>
      <c r="Q109" s="429"/>
      <c r="R109" s="429"/>
      <c r="S109" s="429"/>
      <c r="T109" s="429"/>
      <c r="U109" s="429"/>
      <c r="V109" s="429"/>
      <c r="W109" s="429"/>
      <c r="X109" s="429"/>
    </row>
    <row r="110" spans="1:24">
      <c r="A110" s="80"/>
      <c r="B110" s="748"/>
      <c r="C110" s="689" t="s">
        <v>273</v>
      </c>
      <c r="D110" s="690"/>
      <c r="E110" s="657"/>
      <c r="F110" s="657"/>
      <c r="G110" s="657"/>
      <c r="H110" s="657"/>
      <c r="I110" s="657"/>
      <c r="J110" s="657"/>
      <c r="K110" s="657"/>
      <c r="L110" s="657"/>
      <c r="M110" s="657"/>
      <c r="N110" s="657"/>
      <c r="O110" s="657"/>
      <c r="P110" s="657"/>
      <c r="Q110" s="657"/>
      <c r="R110" s="657"/>
      <c r="S110" s="657"/>
      <c r="T110" s="657"/>
      <c r="U110" s="657"/>
      <c r="V110" s="657"/>
      <c r="W110" s="657"/>
      <c r="X110" s="657"/>
    </row>
    <row r="111" spans="1:24">
      <c r="A111" s="80"/>
      <c r="B111" s="749"/>
      <c r="C111" s="103"/>
      <c r="D111" s="703" t="s">
        <v>41</v>
      </c>
      <c r="E111" s="215">
        <f t="shared" ref="E111:N111" si="58">IF(E18="","",E109*(1-E110))</f>
        <v>0</v>
      </c>
      <c r="F111" s="215">
        <f t="shared" si="58"/>
        <v>0</v>
      </c>
      <c r="G111" s="215">
        <f t="shared" si="58"/>
        <v>0</v>
      </c>
      <c r="H111" s="215" t="str">
        <f t="shared" si="58"/>
        <v/>
      </c>
      <c r="I111" s="215" t="str">
        <f t="shared" si="58"/>
        <v/>
      </c>
      <c r="J111" s="215" t="str">
        <f t="shared" si="58"/>
        <v/>
      </c>
      <c r="K111" s="215" t="str">
        <f t="shared" si="58"/>
        <v/>
      </c>
      <c r="L111" s="215" t="str">
        <f t="shared" si="58"/>
        <v/>
      </c>
      <c r="M111" s="215" t="str">
        <f t="shared" si="58"/>
        <v/>
      </c>
      <c r="N111" s="215" t="str">
        <f t="shared" si="58"/>
        <v/>
      </c>
      <c r="O111" s="215" t="str">
        <f t="shared" ref="O111:X111" si="59">IF(O18="","",O109*(1-O110))</f>
        <v/>
      </c>
      <c r="P111" s="215" t="str">
        <f t="shared" si="59"/>
        <v/>
      </c>
      <c r="Q111" s="215" t="str">
        <f t="shared" si="59"/>
        <v/>
      </c>
      <c r="R111" s="215" t="str">
        <f t="shared" si="59"/>
        <v/>
      </c>
      <c r="S111" s="215" t="str">
        <f t="shared" si="59"/>
        <v/>
      </c>
      <c r="T111" s="215" t="str">
        <f t="shared" si="59"/>
        <v/>
      </c>
      <c r="U111" s="215" t="str">
        <f t="shared" si="59"/>
        <v/>
      </c>
      <c r="V111" s="215" t="str">
        <f t="shared" si="59"/>
        <v/>
      </c>
      <c r="W111" s="215" t="str">
        <f t="shared" si="59"/>
        <v/>
      </c>
      <c r="X111" s="215" t="str">
        <f t="shared" si="59"/>
        <v/>
      </c>
    </row>
    <row r="112" spans="1:24" s="5" customFormat="1">
      <c r="A112" s="82"/>
      <c r="B112" s="195"/>
      <c r="C112" s="196" t="s">
        <v>117</v>
      </c>
      <c r="D112" s="197"/>
      <c r="E112" s="198">
        <f t="shared" ref="E112:N112" si="60">IF(E21="","",SUM(E91,E96,E100,E101,E102,E106,E107,E111))</f>
        <v>394.27249999999998</v>
      </c>
      <c r="F112" s="198">
        <f t="shared" si="60"/>
        <v>394.27249999999998</v>
      </c>
      <c r="G112" s="198">
        <f t="shared" si="60"/>
        <v>0</v>
      </c>
      <c r="H112" s="198" t="str">
        <f t="shared" si="60"/>
        <v/>
      </c>
      <c r="I112" s="198" t="str">
        <f t="shared" si="60"/>
        <v/>
      </c>
      <c r="J112" s="198" t="str">
        <f t="shared" si="60"/>
        <v/>
      </c>
      <c r="K112" s="198" t="str">
        <f t="shared" si="60"/>
        <v/>
      </c>
      <c r="L112" s="198" t="str">
        <f t="shared" si="60"/>
        <v/>
      </c>
      <c r="M112" s="198" t="str">
        <f t="shared" si="60"/>
        <v/>
      </c>
      <c r="N112" s="198" t="str">
        <f t="shared" si="60"/>
        <v/>
      </c>
      <c r="O112" s="198" t="str">
        <f t="shared" ref="O112:X112" si="61">IF(O21="","",SUM(O91,O96,O100,O101,O102,O106,O107,O111))</f>
        <v/>
      </c>
      <c r="P112" s="198" t="str">
        <f t="shared" si="61"/>
        <v/>
      </c>
      <c r="Q112" s="198" t="str">
        <f t="shared" si="61"/>
        <v/>
      </c>
      <c r="R112" s="198" t="str">
        <f t="shared" si="61"/>
        <v/>
      </c>
      <c r="S112" s="198" t="str">
        <f t="shared" si="61"/>
        <v/>
      </c>
      <c r="T112" s="198" t="str">
        <f t="shared" si="61"/>
        <v/>
      </c>
      <c r="U112" s="198" t="str">
        <f t="shared" si="61"/>
        <v/>
      </c>
      <c r="V112" s="198" t="str">
        <f t="shared" si="61"/>
        <v/>
      </c>
      <c r="W112" s="198" t="str">
        <f t="shared" si="61"/>
        <v/>
      </c>
      <c r="X112" s="198" t="str">
        <f t="shared" si="61"/>
        <v/>
      </c>
    </row>
    <row r="113" spans="1:24" customFormat="1" ht="3.75" customHeight="1"/>
    <row r="114" spans="1:24" s="5" customFormat="1">
      <c r="A114" s="79"/>
      <c r="B114" s="163"/>
      <c r="C114" s="96" t="s">
        <v>115</v>
      </c>
      <c r="D114" s="159"/>
      <c r="E114" s="160">
        <f t="shared" ref="E114:N114" si="62">IF(E21="","",IFERROR(SUM(E112,E83,E69),""))</f>
        <v>2044.3208999999999</v>
      </c>
      <c r="F114" s="161">
        <f t="shared" si="62"/>
        <v>2495.6198519999998</v>
      </c>
      <c r="G114" s="464">
        <f t="shared" si="62"/>
        <v>4437.2795454545449</v>
      </c>
      <c r="H114" s="161" t="str">
        <f t="shared" si="62"/>
        <v/>
      </c>
      <c r="I114" s="161" t="str">
        <f t="shared" si="62"/>
        <v/>
      </c>
      <c r="J114" s="161" t="str">
        <f t="shared" si="62"/>
        <v/>
      </c>
      <c r="K114" s="161" t="str">
        <f t="shared" si="62"/>
        <v/>
      </c>
      <c r="L114" s="161" t="str">
        <f t="shared" si="62"/>
        <v/>
      </c>
      <c r="M114" s="161" t="str">
        <f t="shared" si="62"/>
        <v/>
      </c>
      <c r="N114" s="161" t="str">
        <f t="shared" si="62"/>
        <v/>
      </c>
      <c r="O114" s="161" t="str">
        <f t="shared" ref="O114:X114" si="63">IF(O21="","",IFERROR(SUM(O112,O83,O69),""))</f>
        <v/>
      </c>
      <c r="P114" s="161" t="str">
        <f t="shared" si="63"/>
        <v/>
      </c>
      <c r="Q114" s="161" t="str">
        <f t="shared" si="63"/>
        <v/>
      </c>
      <c r="R114" s="161" t="str">
        <f t="shared" si="63"/>
        <v/>
      </c>
      <c r="S114" s="161" t="str">
        <f t="shared" si="63"/>
        <v/>
      </c>
      <c r="T114" s="161" t="str">
        <f t="shared" si="63"/>
        <v/>
      </c>
      <c r="U114" s="161" t="str">
        <f t="shared" si="63"/>
        <v/>
      </c>
      <c r="V114" s="161" t="str">
        <f t="shared" si="63"/>
        <v/>
      </c>
      <c r="W114" s="161" t="str">
        <f t="shared" si="63"/>
        <v/>
      </c>
      <c r="X114" s="161" t="str">
        <f t="shared" si="63"/>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9"/>
      <c r="F116" s="463"/>
      <c r="G116" s="379"/>
      <c r="H116" s="379"/>
      <c r="I116" s="379"/>
      <c r="J116" s="379"/>
      <c r="K116" s="379"/>
      <c r="L116" s="379"/>
      <c r="M116" s="379"/>
      <c r="N116" s="379"/>
      <c r="O116" s="379"/>
      <c r="P116" s="379"/>
      <c r="Q116" s="379"/>
      <c r="R116" s="379"/>
      <c r="S116" s="379"/>
      <c r="T116" s="379"/>
      <c r="U116" s="379"/>
      <c r="V116" s="379"/>
      <c r="W116" s="379"/>
      <c r="X116" s="379"/>
    </row>
    <row r="117" spans="1:24" s="13" customFormat="1">
      <c r="A117" s="83"/>
      <c r="B117" s="93" t="s">
        <v>2</v>
      </c>
      <c r="C117" s="94" t="s">
        <v>221</v>
      </c>
      <c r="D117" s="417">
        <f>INDEX('Apoio - Notas Explicativas'!Q:Q,MATCH(C117,'Apoio - Notas Explicativas'!C:C,0))</f>
        <v>4.1999999999999997E-3</v>
      </c>
      <c r="E117" s="105">
        <f t="shared" ref="E117:T122" si="64">IFERROR($D117*E$61,"")</f>
        <v>10.930919999999999</v>
      </c>
      <c r="F117" s="105">
        <f t="shared" si="64"/>
        <v>13.920597599999997</v>
      </c>
      <c r="G117" s="105">
        <f t="shared" si="64"/>
        <v>29.395227272727269</v>
      </c>
      <c r="H117" s="105" t="str">
        <f t="shared" si="64"/>
        <v/>
      </c>
      <c r="I117" s="105" t="str">
        <f t="shared" si="64"/>
        <v/>
      </c>
      <c r="J117" s="105" t="str">
        <f t="shared" si="64"/>
        <v/>
      </c>
      <c r="K117" s="105" t="str">
        <f t="shared" si="64"/>
        <v/>
      </c>
      <c r="L117" s="105" t="str">
        <f t="shared" si="64"/>
        <v/>
      </c>
      <c r="M117" s="105" t="str">
        <f t="shared" si="64"/>
        <v/>
      </c>
      <c r="N117" s="105" t="str">
        <f t="shared" si="64"/>
        <v/>
      </c>
      <c r="O117" s="105" t="str">
        <f t="shared" si="64"/>
        <v/>
      </c>
      <c r="P117" s="105" t="str">
        <f t="shared" si="64"/>
        <v/>
      </c>
      <c r="Q117" s="105" t="str">
        <f t="shared" si="64"/>
        <v/>
      </c>
      <c r="R117" s="105" t="str">
        <f t="shared" si="64"/>
        <v/>
      </c>
      <c r="S117" s="105" t="str">
        <f t="shared" si="64"/>
        <v/>
      </c>
      <c r="T117" s="105" t="str">
        <f t="shared" si="64"/>
        <v/>
      </c>
      <c r="U117" s="105" t="str">
        <f t="shared" ref="O117:X122" si="65">IFERROR($D117*U$61,"")</f>
        <v/>
      </c>
      <c r="V117" s="105" t="str">
        <f t="shared" si="65"/>
        <v/>
      </c>
      <c r="W117" s="105" t="str">
        <f t="shared" si="65"/>
        <v/>
      </c>
      <c r="X117" s="105" t="str">
        <f t="shared" si="65"/>
        <v/>
      </c>
    </row>
    <row r="118" spans="1:24" s="13" customFormat="1">
      <c r="A118" s="83"/>
      <c r="B118" s="93" t="s">
        <v>1</v>
      </c>
      <c r="C118" s="94" t="s">
        <v>31</v>
      </c>
      <c r="D118" s="417">
        <f>INDEX('Apoio - Notas Explicativas'!Q:Q,MATCH(C118,'Apoio - Notas Explicativas'!C:C,0))</f>
        <v>2.9999999999999997E-4</v>
      </c>
      <c r="E118" s="105">
        <f t="shared" si="64"/>
        <v>0.78077999999999992</v>
      </c>
      <c r="F118" s="105">
        <f t="shared" si="64"/>
        <v>0.99432839999999978</v>
      </c>
      <c r="G118" s="105">
        <f t="shared" si="64"/>
        <v>2.0996590909090904</v>
      </c>
      <c r="H118" s="105" t="str">
        <f t="shared" si="64"/>
        <v/>
      </c>
      <c r="I118" s="105" t="str">
        <f t="shared" si="64"/>
        <v/>
      </c>
      <c r="J118" s="105" t="str">
        <f t="shared" si="64"/>
        <v/>
      </c>
      <c r="K118" s="105" t="str">
        <f t="shared" si="64"/>
        <v/>
      </c>
      <c r="L118" s="105" t="str">
        <f t="shared" si="64"/>
        <v/>
      </c>
      <c r="M118" s="105" t="str">
        <f t="shared" si="64"/>
        <v/>
      </c>
      <c r="N118" s="105" t="str">
        <f t="shared" si="64"/>
        <v/>
      </c>
      <c r="O118" s="105" t="str">
        <f t="shared" si="65"/>
        <v/>
      </c>
      <c r="P118" s="105" t="str">
        <f t="shared" si="65"/>
        <v/>
      </c>
      <c r="Q118" s="105" t="str">
        <f t="shared" si="65"/>
        <v/>
      </c>
      <c r="R118" s="105" t="str">
        <f t="shared" si="65"/>
        <v/>
      </c>
      <c r="S118" s="105" t="str">
        <f t="shared" si="65"/>
        <v/>
      </c>
      <c r="T118" s="105" t="str">
        <f t="shared" si="65"/>
        <v/>
      </c>
      <c r="U118" s="105" t="str">
        <f t="shared" si="65"/>
        <v/>
      </c>
      <c r="V118" s="105" t="str">
        <f t="shared" si="65"/>
        <v/>
      </c>
      <c r="W118" s="105" t="str">
        <f t="shared" si="65"/>
        <v/>
      </c>
      <c r="X118" s="105" t="str">
        <f t="shared" si="65"/>
        <v/>
      </c>
    </row>
    <row r="119" spans="1:24" s="13" customFormat="1">
      <c r="A119" s="83"/>
      <c r="B119" s="93" t="s">
        <v>0</v>
      </c>
      <c r="C119" s="94" t="s">
        <v>555</v>
      </c>
      <c r="D119" s="417">
        <f>INDEX('Apoio - Notas Explicativas'!Q:Q,MATCH(C119,'Apoio - Notas Explicativas'!C:C,0))</f>
        <v>1E-4</v>
      </c>
      <c r="E119" s="105">
        <f t="shared" si="64"/>
        <v>0.26025999999999999</v>
      </c>
      <c r="F119" s="105">
        <f t="shared" si="64"/>
        <v>0.33144279999999998</v>
      </c>
      <c r="G119" s="105">
        <f t="shared" si="64"/>
        <v>0.69988636363636358</v>
      </c>
      <c r="H119" s="105" t="str">
        <f t="shared" si="64"/>
        <v/>
      </c>
      <c r="I119" s="105" t="str">
        <f t="shared" si="64"/>
        <v/>
      </c>
      <c r="J119" s="105" t="str">
        <f t="shared" si="64"/>
        <v/>
      </c>
      <c r="K119" s="105" t="str">
        <f t="shared" si="64"/>
        <v/>
      </c>
      <c r="L119" s="105" t="str">
        <f t="shared" si="64"/>
        <v/>
      </c>
      <c r="M119" s="105" t="str">
        <f t="shared" si="64"/>
        <v/>
      </c>
      <c r="N119" s="105" t="str">
        <f t="shared" si="64"/>
        <v/>
      </c>
      <c r="O119" s="105" t="str">
        <f t="shared" si="65"/>
        <v/>
      </c>
      <c r="P119" s="105" t="str">
        <f t="shared" si="65"/>
        <v/>
      </c>
      <c r="Q119" s="105" t="str">
        <f t="shared" si="65"/>
        <v/>
      </c>
      <c r="R119" s="105" t="str">
        <f t="shared" si="65"/>
        <v/>
      </c>
      <c r="S119" s="105" t="str">
        <f t="shared" si="65"/>
        <v/>
      </c>
      <c r="T119" s="105" t="str">
        <f t="shared" si="65"/>
        <v/>
      </c>
      <c r="U119" s="105" t="str">
        <f t="shared" si="65"/>
        <v/>
      </c>
      <c r="V119" s="105" t="str">
        <f t="shared" si="65"/>
        <v/>
      </c>
      <c r="W119" s="105" t="str">
        <f t="shared" si="65"/>
        <v/>
      </c>
      <c r="X119" s="105" t="str">
        <f t="shared" si="65"/>
        <v/>
      </c>
    </row>
    <row r="120" spans="1:24" s="13" customFormat="1">
      <c r="A120" s="83"/>
      <c r="B120" s="93" t="s">
        <v>3</v>
      </c>
      <c r="C120" s="94" t="s">
        <v>32</v>
      </c>
      <c r="D120" s="417">
        <f>INDEX('Apoio - Notas Explicativas'!Q:Q,MATCH(C120,'Apoio - Notas Explicativas'!C:C,0))</f>
        <v>1.9400000000000001E-2</v>
      </c>
      <c r="E120" s="105">
        <f>IFERROR($D120*E$61,"")</f>
        <v>50.49044</v>
      </c>
      <c r="F120" s="105">
        <f t="shared" si="64"/>
        <v>64.299903199999989</v>
      </c>
      <c r="G120" s="105">
        <f t="shared" si="64"/>
        <v>135.77795454545455</v>
      </c>
      <c r="H120" s="105" t="str">
        <f t="shared" si="64"/>
        <v/>
      </c>
      <c r="I120" s="105" t="str">
        <f t="shared" si="64"/>
        <v/>
      </c>
      <c r="J120" s="105" t="str">
        <f t="shared" si="64"/>
        <v/>
      </c>
      <c r="K120" s="105" t="str">
        <f t="shared" si="64"/>
        <v/>
      </c>
      <c r="L120" s="105" t="str">
        <f t="shared" si="64"/>
        <v/>
      </c>
      <c r="M120" s="105" t="str">
        <f t="shared" si="64"/>
        <v/>
      </c>
      <c r="N120" s="105" t="str">
        <f t="shared" si="64"/>
        <v/>
      </c>
      <c r="O120" s="105" t="str">
        <f t="shared" si="65"/>
        <v/>
      </c>
      <c r="P120" s="105" t="str">
        <f t="shared" si="65"/>
        <v/>
      </c>
      <c r="Q120" s="105" t="str">
        <f t="shared" si="65"/>
        <v/>
      </c>
      <c r="R120" s="105" t="str">
        <f t="shared" si="65"/>
        <v/>
      </c>
      <c r="S120" s="105" t="str">
        <f t="shared" si="65"/>
        <v/>
      </c>
      <c r="T120" s="105" t="str">
        <f t="shared" si="65"/>
        <v/>
      </c>
      <c r="U120" s="105" t="str">
        <f t="shared" si="65"/>
        <v/>
      </c>
      <c r="V120" s="105" t="str">
        <f t="shared" si="65"/>
        <v/>
      </c>
      <c r="W120" s="105" t="str">
        <f t="shared" si="65"/>
        <v/>
      </c>
      <c r="X120" s="105" t="str">
        <f t="shared" si="65"/>
        <v/>
      </c>
    </row>
    <row r="121" spans="1:24" s="13" customFormat="1">
      <c r="A121" s="83"/>
      <c r="B121" s="93" t="s">
        <v>7</v>
      </c>
      <c r="C121" s="94" t="s">
        <v>33</v>
      </c>
      <c r="D121" s="417">
        <f>INDEX('Apoio - Notas Explicativas'!Q:Q,MATCH(C121,'Apoio - Notas Explicativas'!C:C,0))</f>
        <v>7.1999999999999998E-3</v>
      </c>
      <c r="E121" s="105">
        <f t="shared" si="64"/>
        <v>18.738719999999997</v>
      </c>
      <c r="F121" s="105">
        <f t="shared" si="64"/>
        <v>23.863881599999996</v>
      </c>
      <c r="G121" s="105">
        <f t="shared" si="64"/>
        <v>50.391818181818181</v>
      </c>
      <c r="H121" s="105" t="str">
        <f t="shared" si="64"/>
        <v/>
      </c>
      <c r="I121" s="105" t="str">
        <f t="shared" si="64"/>
        <v/>
      </c>
      <c r="J121" s="105" t="str">
        <f t="shared" si="64"/>
        <v/>
      </c>
      <c r="K121" s="105" t="str">
        <f t="shared" si="64"/>
        <v/>
      </c>
      <c r="L121" s="105" t="str">
        <f t="shared" si="64"/>
        <v/>
      </c>
      <c r="M121" s="105" t="str">
        <f t="shared" si="64"/>
        <v/>
      </c>
      <c r="N121" s="105" t="str">
        <f t="shared" si="64"/>
        <v/>
      </c>
      <c r="O121" s="105" t="str">
        <f t="shared" si="65"/>
        <v/>
      </c>
      <c r="P121" s="105" t="str">
        <f t="shared" si="65"/>
        <v/>
      </c>
      <c r="Q121" s="105" t="str">
        <f t="shared" si="65"/>
        <v/>
      </c>
      <c r="R121" s="105" t="str">
        <f t="shared" si="65"/>
        <v/>
      </c>
      <c r="S121" s="105" t="str">
        <f t="shared" si="65"/>
        <v/>
      </c>
      <c r="T121" s="105" t="str">
        <f t="shared" si="65"/>
        <v/>
      </c>
      <c r="U121" s="105" t="str">
        <f t="shared" si="65"/>
        <v/>
      </c>
      <c r="V121" s="105" t="str">
        <f t="shared" si="65"/>
        <v/>
      </c>
      <c r="W121" s="105" t="str">
        <f t="shared" si="65"/>
        <v/>
      </c>
      <c r="X121" s="105" t="str">
        <f t="shared" si="65"/>
        <v/>
      </c>
    </row>
    <row r="122" spans="1:24" s="13" customFormat="1">
      <c r="A122" s="83"/>
      <c r="B122" s="93" t="s">
        <v>6</v>
      </c>
      <c r="C122" s="94" t="s">
        <v>34</v>
      </c>
      <c r="D122" s="417">
        <f>INDEX('Apoio - Notas Explicativas'!Q:Q,MATCH(C122,'Apoio - Notas Explicativas'!C:C,0))</f>
        <v>0.04</v>
      </c>
      <c r="E122" s="105">
        <f t="shared" si="64"/>
        <v>104.104</v>
      </c>
      <c r="F122" s="105">
        <f t="shared" si="64"/>
        <v>132.57711999999998</v>
      </c>
      <c r="G122" s="105">
        <f t="shared" si="64"/>
        <v>279.95454545454544</v>
      </c>
      <c r="H122" s="105" t="str">
        <f t="shared" si="64"/>
        <v/>
      </c>
      <c r="I122" s="105" t="str">
        <f t="shared" si="64"/>
        <v/>
      </c>
      <c r="J122" s="105" t="str">
        <f t="shared" si="64"/>
        <v/>
      </c>
      <c r="K122" s="105" t="str">
        <f t="shared" si="64"/>
        <v/>
      </c>
      <c r="L122" s="105" t="str">
        <f t="shared" si="64"/>
        <v/>
      </c>
      <c r="M122" s="105" t="str">
        <f t="shared" si="64"/>
        <v/>
      </c>
      <c r="N122" s="105" t="str">
        <f t="shared" si="64"/>
        <v/>
      </c>
      <c r="O122" s="105" t="str">
        <f t="shared" si="65"/>
        <v/>
      </c>
      <c r="P122" s="105" t="str">
        <f t="shared" si="65"/>
        <v/>
      </c>
      <c r="Q122" s="105" t="str">
        <f t="shared" si="65"/>
        <v/>
      </c>
      <c r="R122" s="105" t="str">
        <f t="shared" si="65"/>
        <v/>
      </c>
      <c r="S122" s="105" t="str">
        <f t="shared" si="65"/>
        <v/>
      </c>
      <c r="T122" s="105" t="str">
        <f t="shared" si="65"/>
        <v/>
      </c>
      <c r="U122" s="105" t="str">
        <f t="shared" si="65"/>
        <v/>
      </c>
      <c r="V122" s="105" t="str">
        <f t="shared" si="65"/>
        <v/>
      </c>
      <c r="W122" s="105" t="str">
        <f t="shared" si="65"/>
        <v/>
      </c>
      <c r="X122" s="105" t="str">
        <f t="shared" si="65"/>
        <v/>
      </c>
    </row>
    <row r="123" spans="1:24" s="5" customFormat="1">
      <c r="A123" s="79"/>
      <c r="B123" s="163"/>
      <c r="C123" s="96" t="s">
        <v>116</v>
      </c>
      <c r="D123" s="159"/>
      <c r="E123" s="161">
        <f>IF(SUM(E117:E122)=0,"",SUM(E117:E122))</f>
        <v>185.30511999999999</v>
      </c>
      <c r="F123" s="161">
        <f t="shared" ref="F123:H123" si="66">IF(SUM(F117:F122)=0,"",SUM(F117:F122))</f>
        <v>235.98727359999998</v>
      </c>
      <c r="G123" s="161">
        <f t="shared" si="66"/>
        <v>498.3190909090909</v>
      </c>
      <c r="H123" s="161" t="str">
        <f t="shared" si="66"/>
        <v/>
      </c>
      <c r="I123" s="161" t="str">
        <f t="shared" ref="I123:N123" si="67">IF(SUM(I117:I122)=0,"",SUM(I117:I122))</f>
        <v/>
      </c>
      <c r="J123" s="161" t="str">
        <f t="shared" si="67"/>
        <v/>
      </c>
      <c r="K123" s="161" t="str">
        <f t="shared" si="67"/>
        <v/>
      </c>
      <c r="L123" s="161" t="str">
        <f t="shared" si="67"/>
        <v/>
      </c>
      <c r="M123" s="161" t="str">
        <f t="shared" si="67"/>
        <v/>
      </c>
      <c r="N123" s="161" t="str">
        <f t="shared" si="67"/>
        <v/>
      </c>
      <c r="O123" s="161" t="str">
        <f t="shared" ref="O123:X123" si="68">IF(SUM(O117:O122)=0,"",SUM(O117:O122))</f>
        <v/>
      </c>
      <c r="P123" s="161" t="str">
        <f t="shared" si="68"/>
        <v/>
      </c>
      <c r="Q123" s="161" t="str">
        <f t="shared" si="68"/>
        <v/>
      </c>
      <c r="R123" s="161" t="str">
        <f t="shared" si="68"/>
        <v/>
      </c>
      <c r="S123" s="161" t="str">
        <f t="shared" si="68"/>
        <v/>
      </c>
      <c r="T123" s="161" t="str">
        <f t="shared" si="68"/>
        <v/>
      </c>
      <c r="U123" s="161" t="str">
        <f t="shared" si="68"/>
        <v/>
      </c>
      <c r="V123" s="161" t="str">
        <f t="shared" si="68"/>
        <v/>
      </c>
      <c r="W123" s="161" t="str">
        <f t="shared" si="68"/>
        <v/>
      </c>
      <c r="X123" s="161" t="str">
        <f t="shared" si="68"/>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9"/>
      <c r="F125" s="379"/>
      <c r="G125" s="379"/>
      <c r="H125" s="379"/>
      <c r="I125" s="379"/>
      <c r="J125" s="379"/>
      <c r="K125" s="379"/>
      <c r="L125" s="379"/>
      <c r="M125" s="379"/>
      <c r="N125" s="379"/>
      <c r="O125" s="379"/>
      <c r="P125" s="379"/>
      <c r="Q125" s="379"/>
      <c r="R125" s="379"/>
      <c r="S125" s="379"/>
      <c r="T125" s="379"/>
      <c r="U125" s="379"/>
      <c r="V125" s="379"/>
      <c r="W125" s="379"/>
      <c r="X125" s="379"/>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7">
        <f>INDEX('Apoio - Notas Explicativas'!$Q:$Q,MATCH(C128,'Apoio - Notas Explicativas'!$C:$C,0))</f>
        <v>1.6199999999999999E-2</v>
      </c>
      <c r="E128" s="105">
        <f t="shared" ref="E128:N128" si="69">IF(E21="","",IFERROR($D128*SUM(E$61),""))</f>
        <v>42.162119999999994</v>
      </c>
      <c r="F128" s="143">
        <f t="shared" si="69"/>
        <v>53.693733599999987</v>
      </c>
      <c r="G128" s="143">
        <f t="shared" si="69"/>
        <v>113.3815909090909</v>
      </c>
      <c r="H128" s="143" t="str">
        <f t="shared" si="69"/>
        <v/>
      </c>
      <c r="I128" s="143" t="str">
        <f t="shared" si="69"/>
        <v/>
      </c>
      <c r="J128" s="143" t="str">
        <f t="shared" si="69"/>
        <v/>
      </c>
      <c r="K128" s="143" t="str">
        <f t="shared" si="69"/>
        <v/>
      </c>
      <c r="L128" s="143" t="str">
        <f t="shared" si="69"/>
        <v/>
      </c>
      <c r="M128" s="143" t="str">
        <f t="shared" si="69"/>
        <v/>
      </c>
      <c r="N128" s="143" t="str">
        <f t="shared" si="69"/>
        <v/>
      </c>
      <c r="O128" s="143" t="str">
        <f t="shared" ref="O128:X128" si="70">IF(O21="","",IFERROR($D128*SUM(O$61),""))</f>
        <v/>
      </c>
      <c r="P128" s="143" t="str">
        <f t="shared" si="70"/>
        <v/>
      </c>
      <c r="Q128" s="143" t="str">
        <f t="shared" si="70"/>
        <v/>
      </c>
      <c r="R128" s="143" t="str">
        <f t="shared" si="70"/>
        <v/>
      </c>
      <c r="S128" s="143" t="str">
        <f t="shared" si="70"/>
        <v/>
      </c>
      <c r="T128" s="143" t="str">
        <f t="shared" si="70"/>
        <v/>
      </c>
      <c r="U128" s="143" t="str">
        <f t="shared" si="70"/>
        <v/>
      </c>
      <c r="V128" s="143" t="str">
        <f t="shared" si="70"/>
        <v/>
      </c>
      <c r="W128" s="143" t="str">
        <f t="shared" si="70"/>
        <v/>
      </c>
      <c r="X128" s="143" t="str">
        <f t="shared" si="70"/>
        <v/>
      </c>
    </row>
    <row r="129" spans="1:24" s="13" customFormat="1">
      <c r="A129" s="84"/>
      <c r="B129" s="93" t="s">
        <v>1</v>
      </c>
      <c r="C129" s="94" t="s">
        <v>187</v>
      </c>
      <c r="D129" s="417">
        <f>INDEX('Apoio - Notas Explicativas'!$Q:$Q,MATCH(C129,'Apoio - Notas Explicativas'!$C:$C,0))</f>
        <v>1.3899999999999999E-2</v>
      </c>
      <c r="E129" s="105">
        <f>IFERROR($D129*(E61+E66+E67),"")</f>
        <v>43.208781615999996</v>
      </c>
      <c r="F129" s="143">
        <f t="shared" ref="F129:H129" si="71">IFERROR($D129*(F61+F66+F67),"")</f>
        <v>55.026663964479987</v>
      </c>
      <c r="G129" s="143">
        <f t="shared" si="71"/>
        <v>116.19625390909088</v>
      </c>
      <c r="H129" s="143" t="str">
        <f t="shared" si="71"/>
        <v/>
      </c>
      <c r="I129" s="143" t="str">
        <f t="shared" ref="I129:N129" si="72">IFERROR($D129*(I61+I66+I67),"")</f>
        <v/>
      </c>
      <c r="J129" s="143" t="str">
        <f t="shared" si="72"/>
        <v/>
      </c>
      <c r="K129" s="143" t="str">
        <f t="shared" si="72"/>
        <v/>
      </c>
      <c r="L129" s="143" t="str">
        <f t="shared" si="72"/>
        <v/>
      </c>
      <c r="M129" s="143" t="str">
        <f t="shared" si="72"/>
        <v/>
      </c>
      <c r="N129" s="143" t="str">
        <f t="shared" si="72"/>
        <v/>
      </c>
      <c r="O129" s="143" t="str">
        <f t="shared" ref="O129:X129" si="73">IFERROR($D129*(O61+O66+O67),"")</f>
        <v/>
      </c>
      <c r="P129" s="143" t="str">
        <f t="shared" si="73"/>
        <v/>
      </c>
      <c r="Q129" s="143" t="str">
        <f t="shared" si="73"/>
        <v/>
      </c>
      <c r="R129" s="143" t="str">
        <f t="shared" si="73"/>
        <v/>
      </c>
      <c r="S129" s="143" t="str">
        <f t="shared" si="73"/>
        <v/>
      </c>
      <c r="T129" s="143" t="str">
        <f t="shared" si="73"/>
        <v/>
      </c>
      <c r="U129" s="143" t="str">
        <f t="shared" si="73"/>
        <v/>
      </c>
      <c r="V129" s="143" t="str">
        <f t="shared" si="73"/>
        <v/>
      </c>
      <c r="W129" s="143" t="str">
        <f t="shared" si="73"/>
        <v/>
      </c>
      <c r="X129" s="143" t="str">
        <f t="shared" si="73"/>
        <v/>
      </c>
    </row>
    <row r="130" spans="1:24" s="13" customFormat="1">
      <c r="A130" s="84"/>
      <c r="B130" s="93" t="s">
        <v>0</v>
      </c>
      <c r="C130" s="94" t="s">
        <v>36</v>
      </c>
      <c r="D130" s="417">
        <f>INDEX('Apoio - Notas Explicativas'!$Q:$Q,MATCH(C130,'Apoio - Notas Explicativas'!$C:$C,0))</f>
        <v>2.0000000000000001E-4</v>
      </c>
      <c r="E130" s="105">
        <f>IFERROR($D130*(E61+E66+E67),"")</f>
        <v>0.62170908800000002</v>
      </c>
      <c r="F130" s="143">
        <f t="shared" ref="F130:H130" si="74">IFERROR($D130*(F61+F66+F67),"")</f>
        <v>0.79175056063999982</v>
      </c>
      <c r="G130" s="143">
        <f t="shared" si="74"/>
        <v>1.6718885454545453</v>
      </c>
      <c r="H130" s="143" t="str">
        <f t="shared" si="74"/>
        <v/>
      </c>
      <c r="I130" s="143" t="str">
        <f t="shared" ref="I130:N130" si="75">IFERROR($D130*(I61+I66+I67),"")</f>
        <v/>
      </c>
      <c r="J130" s="143" t="str">
        <f t="shared" si="75"/>
        <v/>
      </c>
      <c r="K130" s="143" t="str">
        <f t="shared" si="75"/>
        <v/>
      </c>
      <c r="L130" s="143" t="str">
        <f t="shared" si="75"/>
        <v/>
      </c>
      <c r="M130" s="143" t="str">
        <f t="shared" si="75"/>
        <v/>
      </c>
      <c r="N130" s="143" t="str">
        <f t="shared" si="75"/>
        <v/>
      </c>
      <c r="O130" s="143" t="str">
        <f t="shared" ref="O130:X130" si="76">IFERROR($D130*(O61+O66+O67),"")</f>
        <v/>
      </c>
      <c r="P130" s="143" t="str">
        <f t="shared" si="76"/>
        <v/>
      </c>
      <c r="Q130" s="143" t="str">
        <f t="shared" si="76"/>
        <v/>
      </c>
      <c r="R130" s="143" t="str">
        <f t="shared" si="76"/>
        <v/>
      </c>
      <c r="S130" s="143" t="str">
        <f t="shared" si="76"/>
        <v/>
      </c>
      <c r="T130" s="143" t="str">
        <f t="shared" si="76"/>
        <v/>
      </c>
      <c r="U130" s="143" t="str">
        <f t="shared" si="76"/>
        <v/>
      </c>
      <c r="V130" s="143" t="str">
        <f t="shared" si="76"/>
        <v/>
      </c>
      <c r="W130" s="143" t="str">
        <f t="shared" si="76"/>
        <v/>
      </c>
      <c r="X130" s="143" t="str">
        <f t="shared" si="76"/>
        <v/>
      </c>
    </row>
    <row r="131" spans="1:24" s="13" customFormat="1">
      <c r="A131" s="84"/>
      <c r="B131" s="93" t="s">
        <v>3</v>
      </c>
      <c r="C131" s="94" t="s">
        <v>37</v>
      </c>
      <c r="D131" s="417">
        <f>INDEX('Apoio - Notas Explicativas'!$Q:$Q,MATCH(C131,'Apoio - Notas Explicativas'!$C:$C,0))</f>
        <v>8.2000000000000007E-3</v>
      </c>
      <c r="E131" s="105">
        <f>IFERROR($D131*(E61+E66+E67),"")</f>
        <v>25.490072608000002</v>
      </c>
      <c r="F131" s="143">
        <f t="shared" ref="F131:H131" si="77">IFERROR($D131*(F61+F66+F67),"")</f>
        <v>32.461772986239993</v>
      </c>
      <c r="G131" s="143">
        <f t="shared" si="77"/>
        <v>68.547430363636366</v>
      </c>
      <c r="H131" s="143" t="str">
        <f t="shared" si="77"/>
        <v/>
      </c>
      <c r="I131" s="143" t="str">
        <f t="shared" ref="I131:N131" si="78">IFERROR($D131*(I61+I66+I67),"")</f>
        <v/>
      </c>
      <c r="J131" s="143" t="str">
        <f t="shared" si="78"/>
        <v/>
      </c>
      <c r="K131" s="143" t="str">
        <f t="shared" si="78"/>
        <v/>
      </c>
      <c r="L131" s="143" t="str">
        <f t="shared" si="78"/>
        <v/>
      </c>
      <c r="M131" s="143" t="str">
        <f t="shared" si="78"/>
        <v/>
      </c>
      <c r="N131" s="143" t="str">
        <f t="shared" si="78"/>
        <v/>
      </c>
      <c r="O131" s="143" t="str">
        <f t="shared" ref="O131:X131" si="79">IFERROR($D131*(O61+O66+O67),"")</f>
        <v/>
      </c>
      <c r="P131" s="143" t="str">
        <f t="shared" si="79"/>
        <v/>
      </c>
      <c r="Q131" s="143" t="str">
        <f t="shared" si="79"/>
        <v/>
      </c>
      <c r="R131" s="143" t="str">
        <f t="shared" si="79"/>
        <v/>
      </c>
      <c r="S131" s="143" t="str">
        <f t="shared" si="79"/>
        <v/>
      </c>
      <c r="T131" s="143" t="str">
        <f t="shared" si="79"/>
        <v/>
      </c>
      <c r="U131" s="143" t="str">
        <f t="shared" si="79"/>
        <v/>
      </c>
      <c r="V131" s="143" t="str">
        <f t="shared" si="79"/>
        <v/>
      </c>
      <c r="W131" s="143" t="str">
        <f t="shared" si="79"/>
        <v/>
      </c>
      <c r="X131" s="143" t="str">
        <f t="shared" si="79"/>
        <v/>
      </c>
    </row>
    <row r="132" spans="1:24" s="13" customFormat="1">
      <c r="A132" s="84"/>
      <c r="B132" s="93" t="s">
        <v>7</v>
      </c>
      <c r="C132" s="94" t="s">
        <v>188</v>
      </c>
      <c r="D132" s="417">
        <f>INDEX('Apoio - Notas Explicativas'!$Q:$Q,MATCH(C132,'Apoio - Notas Explicativas'!$C:$C,0))</f>
        <v>2.9999999999999997E-4</v>
      </c>
      <c r="E132" s="105">
        <f>IFERROR($D132*(E61+E66+E67),"")</f>
        <v>0.93256363199999992</v>
      </c>
      <c r="F132" s="143">
        <f t="shared" ref="F132:H132" si="80">IFERROR($D132*(F61+F66+F67),"")</f>
        <v>1.1876258409599996</v>
      </c>
      <c r="G132" s="143">
        <f t="shared" si="80"/>
        <v>2.5078328181818175</v>
      </c>
      <c r="H132" s="143" t="str">
        <f t="shared" si="80"/>
        <v/>
      </c>
      <c r="I132" s="143" t="str">
        <f t="shared" ref="I132:N132" si="81">IFERROR($D132*(I61+I66+I67),"")</f>
        <v/>
      </c>
      <c r="J132" s="143" t="str">
        <f t="shared" si="81"/>
        <v/>
      </c>
      <c r="K132" s="143" t="str">
        <f t="shared" si="81"/>
        <v/>
      </c>
      <c r="L132" s="143" t="str">
        <f t="shared" si="81"/>
        <v/>
      </c>
      <c r="M132" s="143" t="str">
        <f t="shared" si="81"/>
        <v/>
      </c>
      <c r="N132" s="143" t="str">
        <f t="shared" si="81"/>
        <v/>
      </c>
      <c r="O132" s="143" t="str">
        <f t="shared" ref="O132:X132" si="82">IFERROR($D132*(O61+O66+O67),"")</f>
        <v/>
      </c>
      <c r="P132" s="143" t="str">
        <f t="shared" si="82"/>
        <v/>
      </c>
      <c r="Q132" s="143" t="str">
        <f t="shared" si="82"/>
        <v/>
      </c>
      <c r="R132" s="143" t="str">
        <f t="shared" si="82"/>
        <v/>
      </c>
      <c r="S132" s="143" t="str">
        <f t="shared" si="82"/>
        <v/>
      </c>
      <c r="T132" s="143" t="str">
        <f t="shared" si="82"/>
        <v/>
      </c>
      <c r="U132" s="143" t="str">
        <f t="shared" si="82"/>
        <v/>
      </c>
      <c r="V132" s="143" t="str">
        <f t="shared" si="82"/>
        <v/>
      </c>
      <c r="W132" s="143" t="str">
        <f t="shared" si="82"/>
        <v/>
      </c>
      <c r="X132" s="143" t="str">
        <f t="shared" si="82"/>
        <v/>
      </c>
    </row>
    <row r="133" spans="1:24" s="13" customFormat="1">
      <c r="A133" s="84"/>
      <c r="B133" s="93" t="s">
        <v>6</v>
      </c>
      <c r="C133" s="94" t="s">
        <v>38</v>
      </c>
      <c r="D133" s="417">
        <f>INDEX('Apoio - Notas Explicativas'!$Q:$Q,MATCH(C133,'Apoio - Notas Explicativas'!$C:$C,0))</f>
        <v>6.9999999999999999E-4</v>
      </c>
      <c r="E133" s="105">
        <f>IFERROR((E$61+E67)*$D$133,"")</f>
        <v>2.0242242019999996</v>
      </c>
      <c r="F133" s="143">
        <f t="shared" ref="F133:H133" si="83">IFERROR((F$61+F67)*$D$133,"")</f>
        <v>2.5778626655599992</v>
      </c>
      <c r="G133" s="143">
        <f t="shared" si="83"/>
        <v>5.4435061704545449</v>
      </c>
      <c r="H133" s="143" t="str">
        <f t="shared" si="83"/>
        <v/>
      </c>
      <c r="I133" s="143" t="str">
        <f t="shared" ref="I133:N133" si="84">IFERROR((I$61+I67)*$D$133,"")</f>
        <v/>
      </c>
      <c r="J133" s="143" t="str">
        <f t="shared" si="84"/>
        <v/>
      </c>
      <c r="K133" s="143" t="str">
        <f t="shared" si="84"/>
        <v/>
      </c>
      <c r="L133" s="143" t="str">
        <f t="shared" si="84"/>
        <v/>
      </c>
      <c r="M133" s="143" t="str">
        <f t="shared" si="84"/>
        <v/>
      </c>
      <c r="N133" s="143" t="str">
        <f t="shared" si="84"/>
        <v/>
      </c>
      <c r="O133" s="143" t="str">
        <f t="shared" ref="O133:X133" si="85">IFERROR((O$61+O67)*$D$133,"")</f>
        <v/>
      </c>
      <c r="P133" s="143" t="str">
        <f t="shared" si="85"/>
        <v/>
      </c>
      <c r="Q133" s="143" t="str">
        <f t="shared" si="85"/>
        <v/>
      </c>
      <c r="R133" s="143" t="str">
        <f t="shared" si="85"/>
        <v/>
      </c>
      <c r="S133" s="143" t="str">
        <f t="shared" si="85"/>
        <v/>
      </c>
      <c r="T133" s="143" t="str">
        <f t="shared" si="85"/>
        <v/>
      </c>
      <c r="U133" s="143" t="str">
        <f t="shared" si="85"/>
        <v/>
      </c>
      <c r="V133" s="143" t="str">
        <f t="shared" si="85"/>
        <v/>
      </c>
      <c r="W133" s="143" t="str">
        <f t="shared" si="85"/>
        <v/>
      </c>
      <c r="X133" s="143" t="str">
        <f t="shared" si="85"/>
        <v/>
      </c>
    </row>
    <row r="134" spans="1:24" s="13" customFormat="1">
      <c r="A134" s="84"/>
      <c r="B134" s="93" t="s">
        <v>5</v>
      </c>
      <c r="C134" s="94" t="s">
        <v>92</v>
      </c>
      <c r="D134" s="417">
        <f>SUM(D128:D133)*SUM(D81:D82,D72:D77)</f>
        <v>1.4536000000000002E-2</v>
      </c>
      <c r="E134" s="105">
        <f t="shared" ref="E134:N134" si="86">IF(E18="","",SUM(E128:E133)*SUM($D$72:$D$77,$D$81:$D$82))</f>
        <v>42.11372538172801</v>
      </c>
      <c r="F134" s="143">
        <f t="shared" si="86"/>
        <v>53.632102739379846</v>
      </c>
      <c r="G134" s="143">
        <f t="shared" si="86"/>
        <v>113.2514489994546</v>
      </c>
      <c r="H134" s="143" t="str">
        <f t="shared" si="86"/>
        <v/>
      </c>
      <c r="I134" s="143" t="str">
        <f t="shared" si="86"/>
        <v/>
      </c>
      <c r="J134" s="143" t="str">
        <f t="shared" si="86"/>
        <v/>
      </c>
      <c r="K134" s="143" t="str">
        <f t="shared" si="86"/>
        <v/>
      </c>
      <c r="L134" s="143" t="str">
        <f t="shared" si="86"/>
        <v/>
      </c>
      <c r="M134" s="143" t="str">
        <f t="shared" si="86"/>
        <v/>
      </c>
      <c r="N134" s="143" t="str">
        <f t="shared" si="86"/>
        <v/>
      </c>
      <c r="O134" s="143" t="str">
        <f t="shared" ref="O134:X134" si="87">IF(O18="","",SUM(O128:O133)*SUM($D$72:$D$77,$D$81:$D$82))</f>
        <v/>
      </c>
      <c r="P134" s="143" t="str">
        <f t="shared" si="87"/>
        <v/>
      </c>
      <c r="Q134" s="143" t="str">
        <f t="shared" si="87"/>
        <v/>
      </c>
      <c r="R134" s="143" t="str">
        <f t="shared" si="87"/>
        <v/>
      </c>
      <c r="S134" s="143" t="str">
        <f t="shared" si="87"/>
        <v/>
      </c>
      <c r="T134" s="143" t="str">
        <f t="shared" si="87"/>
        <v/>
      </c>
      <c r="U134" s="143" t="str">
        <f t="shared" si="87"/>
        <v/>
      </c>
      <c r="V134" s="143" t="str">
        <f t="shared" si="87"/>
        <v/>
      </c>
      <c r="W134" s="143" t="str">
        <f t="shared" si="87"/>
        <v/>
      </c>
      <c r="X134" s="143" t="str">
        <f t="shared" si="87"/>
        <v/>
      </c>
    </row>
    <row r="135" spans="1:24" s="13" customFormat="1">
      <c r="A135" s="84"/>
      <c r="B135" s="93" t="s">
        <v>4</v>
      </c>
      <c r="C135" s="94" t="s">
        <v>89</v>
      </c>
      <c r="D135" s="424">
        <f>INDEX('Apoio - Notas Explicativas'!$Q:$Q,MATCH(C135,'Apoio - Notas Explicativas'!$C:$C,0))</f>
        <v>37.96</v>
      </c>
      <c r="E135" s="105">
        <f>IFERROR(((E112-SUM(E91,E96))/(30*12))*$D$135,"")</f>
        <v>2.6909422222222203</v>
      </c>
      <c r="F135" s="143">
        <f t="shared" ref="F135:H135" si="88">IFERROR(((F112-SUM(F91,F96))/(30*12))*$D$135,"")</f>
        <v>2.6909422222222203</v>
      </c>
      <c r="G135" s="143">
        <f t="shared" si="88"/>
        <v>0</v>
      </c>
      <c r="H135" s="143" t="str">
        <f t="shared" si="88"/>
        <v/>
      </c>
      <c r="I135" s="143" t="str">
        <f t="shared" ref="I135:N135" si="89">IFERROR(((I112-SUM(I91,I96))/(30*12))*$D$135,"")</f>
        <v/>
      </c>
      <c r="J135" s="143" t="str">
        <f t="shared" si="89"/>
        <v/>
      </c>
      <c r="K135" s="143" t="str">
        <f t="shared" si="89"/>
        <v/>
      </c>
      <c r="L135" s="143" t="str">
        <f t="shared" si="89"/>
        <v/>
      </c>
      <c r="M135" s="143" t="str">
        <f t="shared" si="89"/>
        <v/>
      </c>
      <c r="N135" s="143" t="str">
        <f t="shared" si="89"/>
        <v/>
      </c>
      <c r="O135" s="143" t="str">
        <f t="shared" ref="O135:X135" si="90">IFERROR(((O112-SUM(O91,O96))/(30*12))*$D$135,"")</f>
        <v/>
      </c>
      <c r="P135" s="143" t="str">
        <f t="shared" si="90"/>
        <v/>
      </c>
      <c r="Q135" s="143" t="str">
        <f t="shared" si="90"/>
        <v/>
      </c>
      <c r="R135" s="143" t="str">
        <f t="shared" si="90"/>
        <v/>
      </c>
      <c r="S135" s="143" t="str">
        <f t="shared" si="90"/>
        <v/>
      </c>
      <c r="T135" s="143" t="str">
        <f t="shared" si="90"/>
        <v/>
      </c>
      <c r="U135" s="143" t="str">
        <f t="shared" si="90"/>
        <v/>
      </c>
      <c r="V135" s="143" t="str">
        <f t="shared" si="90"/>
        <v/>
      </c>
      <c r="W135" s="143" t="str">
        <f t="shared" si="90"/>
        <v/>
      </c>
      <c r="X135" s="143" t="str">
        <f t="shared" si="90"/>
        <v/>
      </c>
    </row>
    <row r="136" spans="1:24" s="13" customFormat="1">
      <c r="A136" s="84"/>
      <c r="B136" s="93" t="s">
        <v>113</v>
      </c>
      <c r="C136" s="94" t="s">
        <v>39</v>
      </c>
      <c r="D136" s="424">
        <f>INDEX('Apoio - Notas Explicativas'!$Q:$Q,MATCH(C136,'Apoio - Notas Explicativas'!$C:$C,0))</f>
        <v>37.96</v>
      </c>
      <c r="E136" s="105">
        <f>IFERROR(((((E$123/12)*$D$136))/30),"")</f>
        <v>19.53939543111111</v>
      </c>
      <c r="F136" s="143">
        <f t="shared" ref="F136:X136" si="91">IFERROR(((((F$123/12)*$D$136))/30),"")</f>
        <v>24.883546960711108</v>
      </c>
      <c r="G136" s="143">
        <f t="shared" si="91"/>
        <v>52.544979696969691</v>
      </c>
      <c r="H136" s="143" t="str">
        <f t="shared" si="91"/>
        <v/>
      </c>
      <c r="I136" s="143" t="str">
        <f t="shared" si="91"/>
        <v/>
      </c>
      <c r="J136" s="143" t="str">
        <f t="shared" si="91"/>
        <v/>
      </c>
      <c r="K136" s="143" t="str">
        <f t="shared" si="91"/>
        <v/>
      </c>
      <c r="L136" s="143" t="str">
        <f t="shared" si="91"/>
        <v/>
      </c>
      <c r="M136" s="143" t="str">
        <f t="shared" si="91"/>
        <v/>
      </c>
      <c r="N136" s="143" t="str">
        <f t="shared" si="91"/>
        <v/>
      </c>
      <c r="O136" s="143" t="str">
        <f t="shared" si="91"/>
        <v/>
      </c>
      <c r="P136" s="143" t="str">
        <f t="shared" si="91"/>
        <v/>
      </c>
      <c r="Q136" s="143" t="str">
        <f t="shared" si="91"/>
        <v/>
      </c>
      <c r="R136" s="143" t="str">
        <f t="shared" si="91"/>
        <v/>
      </c>
      <c r="S136" s="143" t="str">
        <f t="shared" si="91"/>
        <v/>
      </c>
      <c r="T136" s="143" t="str">
        <f t="shared" si="91"/>
        <v/>
      </c>
      <c r="U136" s="143" t="str">
        <f t="shared" si="91"/>
        <v/>
      </c>
      <c r="V136" s="143" t="str">
        <f t="shared" si="91"/>
        <v/>
      </c>
      <c r="W136" s="143" t="str">
        <f t="shared" si="91"/>
        <v/>
      </c>
      <c r="X136" s="143" t="str">
        <f t="shared" si="91"/>
        <v/>
      </c>
    </row>
    <row r="137" spans="1:24" s="5" customFormat="1">
      <c r="A137" s="82"/>
      <c r="B137" s="177"/>
      <c r="C137" s="178" t="s">
        <v>120</v>
      </c>
      <c r="D137" s="181"/>
      <c r="E137" s="182">
        <f>IF(SUM(E128:E136)=0,"",SUM(E128:E136))</f>
        <v>178.78353418106133</v>
      </c>
      <c r="F137" s="180">
        <f t="shared" ref="F137:H137" si="92">IF(SUM(F128:F136)=0,"",SUM(F128:F136))</f>
        <v>226.94600154019312</v>
      </c>
      <c r="G137" s="182">
        <f t="shared" si="92"/>
        <v>473.54493141233343</v>
      </c>
      <c r="H137" s="180" t="str">
        <f t="shared" si="92"/>
        <v/>
      </c>
      <c r="I137" s="180" t="str">
        <f t="shared" ref="I137:N137" si="93">IF(SUM(I128:I136)=0,"",SUM(I128:I136))</f>
        <v/>
      </c>
      <c r="J137" s="180" t="str">
        <f t="shared" si="93"/>
        <v/>
      </c>
      <c r="K137" s="180" t="str">
        <f t="shared" si="93"/>
        <v/>
      </c>
      <c r="L137" s="180" t="str">
        <f t="shared" si="93"/>
        <v/>
      </c>
      <c r="M137" s="180" t="str">
        <f t="shared" si="93"/>
        <v/>
      </c>
      <c r="N137" s="180" t="str">
        <f t="shared" si="93"/>
        <v/>
      </c>
      <c r="O137" s="180" t="str">
        <f t="shared" ref="O137:X137" si="94">IF(SUM(O128:O136)=0,"",SUM(O128:O136))</f>
        <v/>
      </c>
      <c r="P137" s="180" t="str">
        <f t="shared" si="94"/>
        <v/>
      </c>
      <c r="Q137" s="180" t="str">
        <f t="shared" si="94"/>
        <v/>
      </c>
      <c r="R137" s="180" t="str">
        <f t="shared" si="94"/>
        <v/>
      </c>
      <c r="S137" s="180" t="str">
        <f t="shared" si="94"/>
        <v/>
      </c>
      <c r="T137" s="180" t="str">
        <f t="shared" si="94"/>
        <v/>
      </c>
      <c r="U137" s="180" t="str">
        <f t="shared" si="94"/>
        <v/>
      </c>
      <c r="V137" s="180" t="str">
        <f t="shared" si="94"/>
        <v/>
      </c>
      <c r="W137" s="180" t="str">
        <f t="shared" si="94"/>
        <v/>
      </c>
      <c r="X137" s="180" t="str">
        <f t="shared" si="94"/>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747"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748"/>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749"/>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5">F142</f>
        <v/>
      </c>
      <c r="G143" s="180" t="str">
        <f t="shared" si="95"/>
        <v/>
      </c>
      <c r="H143" s="180" t="str">
        <f t="shared" si="95"/>
        <v/>
      </c>
      <c r="I143" s="180" t="str">
        <f t="shared" ref="I143:N143" si="96">I142</f>
        <v/>
      </c>
      <c r="J143" s="180" t="str">
        <f t="shared" si="96"/>
        <v/>
      </c>
      <c r="K143" s="180" t="str">
        <f t="shared" si="96"/>
        <v/>
      </c>
      <c r="L143" s="180" t="str">
        <f t="shared" si="96"/>
        <v/>
      </c>
      <c r="M143" s="180" t="str">
        <f t="shared" si="96"/>
        <v/>
      </c>
      <c r="N143" s="180" t="str">
        <f t="shared" si="96"/>
        <v/>
      </c>
      <c r="O143" s="180" t="str">
        <f t="shared" ref="O143:X143" si="97">O142</f>
        <v/>
      </c>
      <c r="P143" s="180" t="str">
        <f t="shared" si="97"/>
        <v/>
      </c>
      <c r="Q143" s="180" t="str">
        <f t="shared" si="97"/>
        <v/>
      </c>
      <c r="R143" s="180" t="str">
        <f t="shared" si="97"/>
        <v/>
      </c>
      <c r="S143" s="180" t="str">
        <f t="shared" si="97"/>
        <v/>
      </c>
      <c r="T143" s="180" t="str">
        <f t="shared" si="97"/>
        <v/>
      </c>
      <c r="U143" s="180" t="str">
        <f t="shared" si="97"/>
        <v/>
      </c>
      <c r="V143" s="180" t="str">
        <f t="shared" si="97"/>
        <v/>
      </c>
      <c r="W143" s="180" t="str">
        <f t="shared" si="97"/>
        <v/>
      </c>
      <c r="X143" s="180" t="str">
        <f t="shared" si="97"/>
        <v/>
      </c>
    </row>
    <row r="144" spans="1:24" customFormat="1" ht="3.75" customHeight="1"/>
    <row r="145" spans="1:24" s="5" customFormat="1">
      <c r="A145" s="79"/>
      <c r="B145" s="163"/>
      <c r="C145" s="96" t="s">
        <v>122</v>
      </c>
      <c r="D145" s="159"/>
      <c r="E145" s="161">
        <f>IF(E143="",E137,SUM(E143,E137))</f>
        <v>178.78353418106133</v>
      </c>
      <c r="F145" s="161">
        <f t="shared" ref="F145:H145" si="98">IF(F143="",F137,SUM(F143,F137))</f>
        <v>226.94600154019312</v>
      </c>
      <c r="G145" s="160">
        <f t="shared" si="98"/>
        <v>473.54493141233343</v>
      </c>
      <c r="H145" s="464" t="str">
        <f t="shared" si="98"/>
        <v/>
      </c>
      <c r="I145" s="464" t="str">
        <f t="shared" ref="I145:N145" si="99">IF(I143="",I137,SUM(I143,I137))</f>
        <v/>
      </c>
      <c r="J145" s="464" t="str">
        <f t="shared" si="99"/>
        <v/>
      </c>
      <c r="K145" s="464" t="str">
        <f t="shared" si="99"/>
        <v/>
      </c>
      <c r="L145" s="464" t="str">
        <f t="shared" si="99"/>
        <v/>
      </c>
      <c r="M145" s="464" t="str">
        <f t="shared" si="99"/>
        <v/>
      </c>
      <c r="N145" s="464" t="str">
        <f t="shared" si="99"/>
        <v/>
      </c>
      <c r="O145" s="464" t="str">
        <f t="shared" ref="O145:X145" si="100">IF(O143="",O137,SUM(O143,O137))</f>
        <v/>
      </c>
      <c r="P145" s="464" t="str">
        <f t="shared" si="100"/>
        <v/>
      </c>
      <c r="Q145" s="464" t="str">
        <f t="shared" si="100"/>
        <v/>
      </c>
      <c r="R145" s="464" t="str">
        <f t="shared" si="100"/>
        <v/>
      </c>
      <c r="S145" s="464" t="str">
        <f t="shared" si="100"/>
        <v/>
      </c>
      <c r="T145" s="464" t="str">
        <f t="shared" si="100"/>
        <v/>
      </c>
      <c r="U145" s="464" t="str">
        <f t="shared" si="100"/>
        <v/>
      </c>
      <c r="V145" s="464" t="str">
        <f t="shared" si="100"/>
        <v/>
      </c>
      <c r="W145" s="464" t="str">
        <f t="shared" si="100"/>
        <v/>
      </c>
      <c r="X145" s="464" t="str">
        <f t="shared" si="100"/>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491</v>
      </c>
      <c r="D147" s="97"/>
      <c r="E147" s="379"/>
      <c r="F147" s="379"/>
      <c r="G147" s="379"/>
      <c r="H147" s="379"/>
      <c r="I147" s="379"/>
      <c r="J147" s="379"/>
      <c r="K147" s="379"/>
      <c r="L147" s="379"/>
      <c r="M147" s="379"/>
      <c r="N147" s="379"/>
      <c r="O147" s="379"/>
      <c r="P147" s="379"/>
      <c r="Q147" s="379"/>
      <c r="R147" s="379"/>
      <c r="S147" s="379"/>
      <c r="T147" s="379"/>
      <c r="U147" s="379"/>
      <c r="V147" s="379"/>
      <c r="W147" s="379"/>
      <c r="X147" s="379"/>
    </row>
    <row r="148" spans="1:24" s="6" customFormat="1">
      <c r="A148" s="84"/>
      <c r="B148" s="93" t="s">
        <v>2</v>
      </c>
      <c r="C148" s="321" t="s">
        <v>224</v>
      </c>
      <c r="D148" s="417"/>
      <c r="E148" s="105">
        <f>IF(E18="","",ROUND(IF($D$148&lt;&gt;"",$D$148*SUM(E61,E114,E123,E145),IFERROR('Mat Individual e Uniformes'!J4/Proposta!$J$6,"")),2))</f>
        <v>99</v>
      </c>
      <c r="F148" s="105">
        <f>IF(F18="","",ROUND(IF($D$148&lt;&gt;"",$D$148*SUM(F61,F114,F123,F145),IFERROR('Mat Individual e Uniformes'!K4/Proposta!$J$6,"")),2))</f>
        <v>99</v>
      </c>
      <c r="G148" s="105">
        <f>IF(G18="","",ROUND(IF($D$148&lt;&gt;"",$D$148*SUM(G61,G114,G123,G145),IFERROR('Mat Individual e Uniformes'!L4/Proposta!$J$6,"")),2))</f>
        <v>0</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21" t="s">
        <v>225</v>
      </c>
      <c r="D149" s="417"/>
      <c r="E149" s="105">
        <f>IFERROR(
IF(E18="","",ROUND(
IF($D$149&lt;&gt;"",$D$149*SUM(E61,E114,E123,E145,E148),
0),2)),0)</f>
        <v>0</v>
      </c>
      <c r="F149" s="105">
        <f t="shared" ref="F149:N149" si="101">IFERROR(
IF(F18="","",ROUND(
IF($D$149&lt;&gt;"",$D$149*SUM(F61,F114,F123,F145,F148),
0),2)),0)</f>
        <v>0</v>
      </c>
      <c r="G149" s="105">
        <f t="shared" si="101"/>
        <v>0</v>
      </c>
      <c r="H149" s="105" t="str">
        <f t="shared" si="101"/>
        <v/>
      </c>
      <c r="I149" s="105" t="str">
        <f t="shared" si="101"/>
        <v/>
      </c>
      <c r="J149" s="105" t="str">
        <f t="shared" si="101"/>
        <v/>
      </c>
      <c r="K149" s="105" t="str">
        <f t="shared" si="101"/>
        <v/>
      </c>
      <c r="L149" s="105" t="str">
        <f t="shared" si="101"/>
        <v/>
      </c>
      <c r="M149" s="105" t="str">
        <f t="shared" si="101"/>
        <v/>
      </c>
      <c r="N149" s="105" t="str">
        <f t="shared" si="101"/>
        <v/>
      </c>
      <c r="O149" s="105" t="str">
        <f t="shared" ref="O149:X149" si="102">IFERROR(
IF(O18="","",ROUND(
IF($D$149&lt;&gt;"",$D$149*SUM(O61,O114,O123,O145,O148),
0),2)),0)</f>
        <v/>
      </c>
      <c r="P149" s="105" t="str">
        <f t="shared" si="102"/>
        <v/>
      </c>
      <c r="Q149" s="105" t="str">
        <f t="shared" si="102"/>
        <v/>
      </c>
      <c r="R149" s="105" t="str">
        <f t="shared" si="102"/>
        <v/>
      </c>
      <c r="S149" s="105" t="str">
        <f t="shared" si="102"/>
        <v/>
      </c>
      <c r="T149" s="105" t="str">
        <f t="shared" si="102"/>
        <v/>
      </c>
      <c r="U149" s="105" t="str">
        <f t="shared" si="102"/>
        <v/>
      </c>
      <c r="V149" s="105" t="str">
        <f t="shared" si="102"/>
        <v/>
      </c>
      <c r="W149" s="105" t="str">
        <f t="shared" si="102"/>
        <v/>
      </c>
      <c r="X149" s="105" t="str">
        <f t="shared" si="102"/>
        <v/>
      </c>
    </row>
    <row r="150" spans="1:24" s="5" customFormat="1">
      <c r="A150" s="79"/>
      <c r="B150" s="163"/>
      <c r="C150" s="96" t="s">
        <v>219</v>
      </c>
      <c r="D150" s="159"/>
      <c r="E150" s="161">
        <f t="shared" ref="E150:N150" si="103">IF(E18="","",SUM(E148:E148))</f>
        <v>99</v>
      </c>
      <c r="F150" s="161">
        <f t="shared" si="103"/>
        <v>99</v>
      </c>
      <c r="G150" s="161">
        <f t="shared" si="103"/>
        <v>0</v>
      </c>
      <c r="H150" s="161" t="str">
        <f t="shared" si="103"/>
        <v/>
      </c>
      <c r="I150" s="161" t="str">
        <f t="shared" si="103"/>
        <v/>
      </c>
      <c r="J150" s="161" t="str">
        <f t="shared" si="103"/>
        <v/>
      </c>
      <c r="K150" s="161" t="str">
        <f t="shared" si="103"/>
        <v/>
      </c>
      <c r="L150" s="161" t="str">
        <f t="shared" si="103"/>
        <v/>
      </c>
      <c r="M150" s="161" t="str">
        <f t="shared" si="103"/>
        <v/>
      </c>
      <c r="N150" s="161" t="str">
        <f t="shared" si="103"/>
        <v/>
      </c>
      <c r="O150" s="161" t="str">
        <f t="shared" ref="O150:X150" si="104">IF(O18="","",SUM(O148:O148))</f>
        <v/>
      </c>
      <c r="P150" s="161" t="str">
        <f t="shared" si="104"/>
        <v/>
      </c>
      <c r="Q150" s="161" t="str">
        <f t="shared" si="104"/>
        <v/>
      </c>
      <c r="R150" s="161" t="str">
        <f t="shared" si="104"/>
        <v/>
      </c>
      <c r="S150" s="161" t="str">
        <f t="shared" si="104"/>
        <v/>
      </c>
      <c r="T150" s="161" t="str">
        <f t="shared" si="104"/>
        <v/>
      </c>
      <c r="U150" s="161" t="str">
        <f t="shared" si="104"/>
        <v/>
      </c>
      <c r="V150" s="161" t="str">
        <f t="shared" si="104"/>
        <v/>
      </c>
      <c r="W150" s="161" t="str">
        <f t="shared" si="104"/>
        <v/>
      </c>
      <c r="X150" s="161" t="str">
        <f t="shared" si="104"/>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9"/>
      <c r="F152" s="379"/>
      <c r="G152" s="379"/>
      <c r="H152" s="379"/>
      <c r="I152" s="379"/>
      <c r="J152" s="379"/>
      <c r="K152" s="379"/>
      <c r="L152" s="379"/>
      <c r="M152" s="379"/>
      <c r="N152" s="379"/>
      <c r="O152" s="379"/>
      <c r="P152" s="379"/>
      <c r="Q152" s="379"/>
      <c r="R152" s="379"/>
      <c r="S152" s="379"/>
      <c r="T152" s="379"/>
      <c r="U152" s="379"/>
      <c r="V152" s="379"/>
      <c r="W152" s="379"/>
      <c r="X152" s="379"/>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7">
        <v>0.05</v>
      </c>
      <c r="E155" s="105">
        <f t="shared" ref="E155:N155" si="105">IF(E18="","",IFERROR(ROUND($D$155*SUM(E61,E114,E123,E145,E150),2),""))</f>
        <v>255.5</v>
      </c>
      <c r="F155" s="105">
        <f t="shared" si="105"/>
        <v>318.60000000000002</v>
      </c>
      <c r="G155" s="105">
        <f t="shared" si="105"/>
        <v>620.4</v>
      </c>
      <c r="H155" s="105" t="str">
        <f t="shared" si="105"/>
        <v/>
      </c>
      <c r="I155" s="105" t="str">
        <f t="shared" si="105"/>
        <v/>
      </c>
      <c r="J155" s="105" t="str">
        <f t="shared" si="105"/>
        <v/>
      </c>
      <c r="K155" s="105" t="str">
        <f t="shared" si="105"/>
        <v/>
      </c>
      <c r="L155" s="105" t="str">
        <f t="shared" si="105"/>
        <v/>
      </c>
      <c r="M155" s="105" t="str">
        <f t="shared" si="105"/>
        <v/>
      </c>
      <c r="N155" s="105" t="str">
        <f t="shared" si="105"/>
        <v/>
      </c>
      <c r="O155" s="105" t="str">
        <f t="shared" ref="O155:X155" si="106">IF(O18="","",IFERROR(ROUND($D$155*SUM(O61,O114,O123,O145,O150),2),""))</f>
        <v/>
      </c>
      <c r="P155" s="105" t="str">
        <f t="shared" si="106"/>
        <v/>
      </c>
      <c r="Q155" s="105" t="str">
        <f t="shared" si="106"/>
        <v/>
      </c>
      <c r="R155" s="105" t="str">
        <f t="shared" si="106"/>
        <v/>
      </c>
      <c r="S155" s="105" t="str">
        <f t="shared" si="106"/>
        <v/>
      </c>
      <c r="T155" s="105" t="str">
        <f t="shared" si="106"/>
        <v/>
      </c>
      <c r="U155" s="105" t="str">
        <f t="shared" si="106"/>
        <v/>
      </c>
      <c r="V155" s="105" t="str">
        <f t="shared" si="106"/>
        <v/>
      </c>
      <c r="W155" s="105" t="str">
        <f t="shared" si="106"/>
        <v/>
      </c>
      <c r="X155" s="105" t="str">
        <f t="shared" si="106"/>
        <v/>
      </c>
    </row>
    <row r="156" spans="1:24">
      <c r="A156" s="84"/>
      <c r="B156" s="93" t="s">
        <v>1</v>
      </c>
      <c r="C156" s="94" t="s">
        <v>228</v>
      </c>
      <c r="D156" s="417">
        <f>IFERROR(INDEX('Apoio - Notas Explicativas'!Q:Q,MATCH(C156,'Apoio - Notas Explicativas'!C:C,0)),"")</f>
        <v>0.1</v>
      </c>
      <c r="E156" s="105">
        <f t="shared" ref="E156:N156" si="107">IF(E18="","",IFERROR(ROUND($D$156*SUM(E155,E61,E114,E123,E145,E150),2),""))</f>
        <v>536.54999999999995</v>
      </c>
      <c r="F156" s="105">
        <f t="shared" si="107"/>
        <v>669.06</v>
      </c>
      <c r="G156" s="105">
        <f t="shared" si="107"/>
        <v>1302.8399999999999</v>
      </c>
      <c r="H156" s="105" t="str">
        <f t="shared" si="107"/>
        <v/>
      </c>
      <c r="I156" s="105" t="str">
        <f t="shared" si="107"/>
        <v/>
      </c>
      <c r="J156" s="105" t="str">
        <f t="shared" si="107"/>
        <v/>
      </c>
      <c r="K156" s="105" t="str">
        <f t="shared" si="107"/>
        <v/>
      </c>
      <c r="L156" s="105" t="str">
        <f t="shared" si="107"/>
        <v/>
      </c>
      <c r="M156" s="105" t="str">
        <f t="shared" si="107"/>
        <v/>
      </c>
      <c r="N156" s="105" t="str">
        <f t="shared" si="107"/>
        <v/>
      </c>
      <c r="O156" s="105" t="str">
        <f t="shared" ref="O156:X156" si="108">IF(O18="","",IFERROR(ROUND($D$156*SUM(O155,O61,O114,O123,O145,O150),2),""))</f>
        <v/>
      </c>
      <c r="P156" s="105" t="str">
        <f t="shared" si="108"/>
        <v/>
      </c>
      <c r="Q156" s="105" t="str">
        <f t="shared" si="108"/>
        <v/>
      </c>
      <c r="R156" s="105" t="str">
        <f t="shared" si="108"/>
        <v/>
      </c>
      <c r="S156" s="105" t="str">
        <f t="shared" si="108"/>
        <v/>
      </c>
      <c r="T156" s="105" t="str">
        <f t="shared" si="108"/>
        <v/>
      </c>
      <c r="U156" s="105" t="str">
        <f t="shared" si="108"/>
        <v/>
      </c>
      <c r="V156" s="105" t="str">
        <f t="shared" si="108"/>
        <v/>
      </c>
      <c r="W156" s="105" t="str">
        <f t="shared" si="108"/>
        <v/>
      </c>
      <c r="X156" s="105" t="str">
        <f t="shared" si="108"/>
        <v/>
      </c>
    </row>
    <row r="157" spans="1:24" s="5" customFormat="1">
      <c r="A157" s="82"/>
      <c r="B157" s="177"/>
      <c r="C157" s="178" t="s">
        <v>231</v>
      </c>
      <c r="D157" s="181"/>
      <c r="E157" s="182">
        <f t="shared" ref="E157:N157" si="109">IF(E18="","",SUM(E155:E156))</f>
        <v>792.05</v>
      </c>
      <c r="F157" s="182">
        <f t="shared" si="109"/>
        <v>987.66</v>
      </c>
      <c r="G157" s="182">
        <f t="shared" si="109"/>
        <v>1923.2399999999998</v>
      </c>
      <c r="H157" s="182" t="str">
        <f t="shared" si="109"/>
        <v/>
      </c>
      <c r="I157" s="182" t="str">
        <f t="shared" si="109"/>
        <v/>
      </c>
      <c r="J157" s="182" t="str">
        <f t="shared" si="109"/>
        <v/>
      </c>
      <c r="K157" s="182" t="str">
        <f t="shared" si="109"/>
        <v/>
      </c>
      <c r="L157" s="182" t="str">
        <f t="shared" si="109"/>
        <v/>
      </c>
      <c r="M157" s="182" t="str">
        <f t="shared" si="109"/>
        <v/>
      </c>
      <c r="N157" s="182" t="str">
        <f t="shared" si="109"/>
        <v/>
      </c>
      <c r="O157" s="182" t="str">
        <f t="shared" ref="O157:X157" si="110">IF(O18="","",SUM(O155:O156))</f>
        <v/>
      </c>
      <c r="P157" s="182" t="str">
        <f t="shared" si="110"/>
        <v/>
      </c>
      <c r="Q157" s="182" t="str">
        <f t="shared" si="110"/>
        <v/>
      </c>
      <c r="R157" s="182" t="str">
        <f t="shared" si="110"/>
        <v/>
      </c>
      <c r="S157" s="182" t="str">
        <f t="shared" si="110"/>
        <v/>
      </c>
      <c r="T157" s="182" t="str">
        <f t="shared" si="110"/>
        <v/>
      </c>
      <c r="U157" s="182" t="str">
        <f t="shared" si="110"/>
        <v/>
      </c>
      <c r="V157" s="182" t="str">
        <f t="shared" si="110"/>
        <v/>
      </c>
      <c r="W157" s="182" t="str">
        <f t="shared" si="110"/>
        <v/>
      </c>
      <c r="X157" s="182" t="str">
        <f t="shared" si="110"/>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2">
        <f>IFERROR(INDEX('Apoio - Notas Explicativas'!Q:Q,MATCH(C160,'Apoio - Notas Explicativas'!C:C,0)),"")</f>
        <v>0.03</v>
      </c>
      <c r="E160" s="105">
        <f t="shared" ref="E160:N160" si="111">IF(E18="","",IFERROR(ROUND(SUM(E$157,E$61,E$114,E$123,E$145,E$150)*$D160/(1-SUM($D$160:$D$165,E$163)),2),""))</f>
        <v>193.83</v>
      </c>
      <c r="F160" s="105">
        <f t="shared" si="111"/>
        <v>241.7</v>
      </c>
      <c r="G160" s="105">
        <f t="shared" si="111"/>
        <v>470.65</v>
      </c>
      <c r="H160" s="105" t="str">
        <f t="shared" si="111"/>
        <v/>
      </c>
      <c r="I160" s="105" t="str">
        <f t="shared" si="111"/>
        <v/>
      </c>
      <c r="J160" s="105" t="str">
        <f t="shared" si="111"/>
        <v/>
      </c>
      <c r="K160" s="105" t="str">
        <f t="shared" si="111"/>
        <v/>
      </c>
      <c r="L160" s="105" t="str">
        <f t="shared" si="111"/>
        <v/>
      </c>
      <c r="M160" s="105" t="str">
        <f t="shared" si="111"/>
        <v/>
      </c>
      <c r="N160" s="105" t="str">
        <f t="shared" si="111"/>
        <v/>
      </c>
      <c r="O160" s="105" t="str">
        <f t="shared" ref="O160:X160" si="112">IF(O18="","",IFERROR(ROUND(SUM(O$157,O$61,O$114,O$123,O$145,O$150)*$D160/(1-SUM($D$160:$D$165,O$163)),2),""))</f>
        <v/>
      </c>
      <c r="P160" s="105" t="str">
        <f t="shared" si="112"/>
        <v/>
      </c>
      <c r="Q160" s="105" t="str">
        <f t="shared" si="112"/>
        <v/>
      </c>
      <c r="R160" s="105" t="str">
        <f t="shared" si="112"/>
        <v/>
      </c>
      <c r="S160" s="105" t="str">
        <f t="shared" si="112"/>
        <v/>
      </c>
      <c r="T160" s="105" t="str">
        <f t="shared" si="112"/>
        <v/>
      </c>
      <c r="U160" s="105" t="str">
        <f t="shared" si="112"/>
        <v/>
      </c>
      <c r="V160" s="105" t="str">
        <f t="shared" si="112"/>
        <v/>
      </c>
      <c r="W160" s="105" t="str">
        <f t="shared" si="112"/>
        <v/>
      </c>
      <c r="X160" s="105" t="str">
        <f t="shared" si="112"/>
        <v/>
      </c>
    </row>
    <row r="161" spans="1:24">
      <c r="A161" s="85"/>
      <c r="B161" s="93" t="s">
        <v>1</v>
      </c>
      <c r="C161" s="94" t="s">
        <v>107</v>
      </c>
      <c r="D161" s="402">
        <f>IFERROR(INDEX('Apoio - Notas Explicativas'!Q:Q,MATCH(C161,'Apoio - Notas Explicativas'!C:C,0)),"")</f>
        <v>6.4999999999999997E-3</v>
      </c>
      <c r="E161" s="105">
        <f t="shared" ref="E161:N161" si="113">IF(E20="","",IFERROR(ROUND(SUM(E$157,E$61,E$114,E$123,E$145,E$150)*$D161/(1-SUM($D$160:$D$165,E$163)),2),""))</f>
        <v>42</v>
      </c>
      <c r="F161" s="105">
        <f t="shared" si="113"/>
        <v>52.37</v>
      </c>
      <c r="G161" s="105" t="str">
        <f t="shared" si="113"/>
        <v/>
      </c>
      <c r="H161" s="105" t="str">
        <f t="shared" si="113"/>
        <v/>
      </c>
      <c r="I161" s="105" t="str">
        <f t="shared" si="113"/>
        <v/>
      </c>
      <c r="J161" s="105" t="str">
        <f t="shared" si="113"/>
        <v/>
      </c>
      <c r="K161" s="105" t="str">
        <f t="shared" si="113"/>
        <v/>
      </c>
      <c r="L161" s="105" t="str">
        <f t="shared" si="113"/>
        <v/>
      </c>
      <c r="M161" s="105" t="str">
        <f t="shared" si="113"/>
        <v/>
      </c>
      <c r="N161" s="105" t="str">
        <f t="shared" si="113"/>
        <v/>
      </c>
      <c r="O161" s="105" t="str">
        <f t="shared" ref="O161:X161" si="114">IF(O20="","",IFERROR(ROUND(SUM(O$157,O$61,O$114,O$123,O$145,O$150)*$D161/(1-SUM($D$160:$D$165,O$163)),2),""))</f>
        <v/>
      </c>
      <c r="P161" s="105" t="str">
        <f t="shared" si="114"/>
        <v/>
      </c>
      <c r="Q161" s="105" t="str">
        <f t="shared" si="114"/>
        <v/>
      </c>
      <c r="R161" s="105" t="str">
        <f t="shared" si="114"/>
        <v/>
      </c>
      <c r="S161" s="105" t="str">
        <f t="shared" si="114"/>
        <v/>
      </c>
      <c r="T161" s="105" t="str">
        <f t="shared" si="114"/>
        <v/>
      </c>
      <c r="U161" s="105" t="str">
        <f t="shared" si="114"/>
        <v/>
      </c>
      <c r="V161" s="105" t="str">
        <f t="shared" si="114"/>
        <v/>
      </c>
      <c r="W161" s="105" t="str">
        <f t="shared" si="114"/>
        <v/>
      </c>
      <c r="X161" s="105" t="str">
        <f t="shared" si="114"/>
        <v/>
      </c>
    </row>
    <row r="162" spans="1:24">
      <c r="A162" s="85"/>
      <c r="B162" s="750" t="s">
        <v>0</v>
      </c>
      <c r="C162" s="166" t="s">
        <v>44</v>
      </c>
      <c r="D162" s="425"/>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51"/>
      <c r="C163" s="142" t="s">
        <v>353</v>
      </c>
      <c r="D163" s="187"/>
      <c r="E163" s="398">
        <f>IF(E18="","",
IF($D$13="Simples",INDEX('Apoio - Notas Explicativas'!$Q:$Q,MATCH($C$162,'Apoio - Notas Explicativas'!$C:$C,0)),
IFERROR(VLOOKUP(E$18,'Apoio - Posto'!$A:$AA,20,FALSE),
INDEX('Apoio - Notas Explicativas'!$Q:$Q,MATCH($C$162,'Apoio - Notas Explicativas'!$C:$C,0))
)))</f>
        <v>0.05</v>
      </c>
      <c r="F163" s="398">
        <f>IF(F18="","",
IF($D$13="Simples",INDEX('Apoio - Notas Explicativas'!$Q:$Q,MATCH($C$162,'Apoio - Notas Explicativas'!$C:$C,0)),
IFERROR(VLOOKUP(F$18,'Apoio - Posto'!$A:$AA,20,FALSE),
INDEX('Apoio - Notas Explicativas'!$Q:$Q,MATCH($C$162,'Apoio - Notas Explicativas'!$C:$C,0))
)))</f>
        <v>0.05</v>
      </c>
      <c r="G163" s="398">
        <f>IF(G18="","",
IF($D$13="Simples",INDEX('Apoio - Notas Explicativas'!$Q:$Q,MATCH($C$162,'Apoio - Notas Explicativas'!$C:$C,0)),
IFERROR(VLOOKUP(G$18,'Apoio - Posto'!$A:$AA,20,FALSE),
INDEX('Apoio - Notas Explicativas'!$Q:$Q,MATCH($C$162,'Apoio - Notas Explicativas'!$C:$C,0))
)))</f>
        <v>0.05</v>
      </c>
      <c r="H163" s="398" t="str">
        <f>IF(H18="","",
IF($D$13="Simples",INDEX('Apoio - Notas Explicativas'!$Q:$Q,MATCH($C$162,'Apoio - Notas Explicativas'!$C:$C,0)),
IFERROR(VLOOKUP(H$18,'Apoio - Posto'!$A:$AA,20,FALSE),
INDEX('Apoio - Notas Explicativas'!$Q:$Q,MATCH($C$162,'Apoio - Notas Explicativas'!$C:$C,0))
)))</f>
        <v/>
      </c>
      <c r="I163" s="398" t="str">
        <f>IF(I18="","",
IF($D$13="Simples",INDEX('Apoio - Notas Explicativas'!$Q:$Q,MATCH($C$162,'Apoio - Notas Explicativas'!$C:$C,0)),
IFERROR(VLOOKUP(I$18,'Apoio - Posto'!$A:$AA,20,FALSE),
INDEX('Apoio - Notas Explicativas'!$Q:$Q,MATCH($C$162,'Apoio - Notas Explicativas'!$C:$C,0))
)))</f>
        <v/>
      </c>
      <c r="J163" s="398" t="str">
        <f>IF(J18="","",
IF($D$13="Simples",INDEX('Apoio - Notas Explicativas'!$Q:$Q,MATCH($C$162,'Apoio - Notas Explicativas'!$C:$C,0)),
IFERROR(VLOOKUP(J$18,'Apoio - Posto'!$A:$AA,20,FALSE),
INDEX('Apoio - Notas Explicativas'!$Q:$Q,MATCH($C$162,'Apoio - Notas Explicativas'!$C:$C,0))
)))</f>
        <v/>
      </c>
      <c r="K163" s="398" t="str">
        <f>IF(K18="","",
IF($D$13="Simples",INDEX('Apoio - Notas Explicativas'!$Q:$Q,MATCH($C$162,'Apoio - Notas Explicativas'!$C:$C,0)),
IFERROR(VLOOKUP(K$18,'Apoio - Posto'!$A:$AA,20,FALSE),
INDEX('Apoio - Notas Explicativas'!$Q:$Q,MATCH($C$162,'Apoio - Notas Explicativas'!$C:$C,0))
)))</f>
        <v/>
      </c>
      <c r="L163" s="398" t="str">
        <f>IF(L18="","",
IF($D$13="Simples",INDEX('Apoio - Notas Explicativas'!$Q:$Q,MATCH($C$162,'Apoio - Notas Explicativas'!$C:$C,0)),
IFERROR(VLOOKUP(L$18,'Apoio - Posto'!$A:$AA,20,FALSE),
INDEX('Apoio - Notas Explicativas'!$Q:$Q,MATCH($C$162,'Apoio - Notas Explicativas'!$C:$C,0))
)))</f>
        <v/>
      </c>
      <c r="M163" s="398" t="str">
        <f>IF(M18="","",
IF($D$13="Simples",INDEX('Apoio - Notas Explicativas'!$Q:$Q,MATCH($C$162,'Apoio - Notas Explicativas'!$C:$C,0)),
IFERROR(VLOOKUP(M$18,'Apoio - Posto'!$A:$AA,20,FALSE),
INDEX('Apoio - Notas Explicativas'!$Q:$Q,MATCH($C$162,'Apoio - Notas Explicativas'!$C:$C,0))
)))</f>
        <v/>
      </c>
      <c r="N163" s="398" t="str">
        <f>IF(N18="","",
IF($D$13="Simples",INDEX('Apoio - Notas Explicativas'!$Q:$Q,MATCH($C$162,'Apoio - Notas Explicativas'!$C:$C,0)),
IFERROR(VLOOKUP(N$18,'Apoio - Posto'!$A:$AA,20,FALSE),
INDEX('Apoio - Notas Explicativas'!$Q:$Q,MATCH($C$162,'Apoio - Notas Explicativas'!$C:$C,0))
)))</f>
        <v/>
      </c>
      <c r="O163" s="398" t="str">
        <f>IF(O18="","",
IF($D$13="Simples",INDEX('Apoio - Notas Explicativas'!$Q:$Q,MATCH($C$162,'Apoio - Notas Explicativas'!$C:$C,0)),
IFERROR(VLOOKUP(O$18,'Apoio - Posto'!$A:$AA,20,FALSE),
INDEX('Apoio - Notas Explicativas'!$Q:$Q,MATCH($C$162,'Apoio - Notas Explicativas'!$C:$C,0))
)))</f>
        <v/>
      </c>
      <c r="P163" s="398" t="str">
        <f>IF(P18="","",
IF($D$13="Simples",INDEX('Apoio - Notas Explicativas'!$Q:$Q,MATCH($C$162,'Apoio - Notas Explicativas'!$C:$C,0)),
IFERROR(VLOOKUP(P$18,'Apoio - Posto'!$A:$AA,20,FALSE),
INDEX('Apoio - Notas Explicativas'!$Q:$Q,MATCH($C$162,'Apoio - Notas Explicativas'!$C:$C,0))
)))</f>
        <v/>
      </c>
      <c r="Q163" s="398" t="str">
        <f>IF(Q18="","",
IF($D$13="Simples",INDEX('Apoio - Notas Explicativas'!$Q:$Q,MATCH($C$162,'Apoio - Notas Explicativas'!$C:$C,0)),
IFERROR(VLOOKUP(Q$18,'Apoio - Posto'!$A:$AA,20,FALSE),
INDEX('Apoio - Notas Explicativas'!$Q:$Q,MATCH($C$162,'Apoio - Notas Explicativas'!$C:$C,0))
)))</f>
        <v/>
      </c>
      <c r="R163" s="398" t="str">
        <f>IF(R18="","",
IF($D$13="Simples",INDEX('Apoio - Notas Explicativas'!$Q:$Q,MATCH($C$162,'Apoio - Notas Explicativas'!$C:$C,0)),
IFERROR(VLOOKUP(R$18,'Apoio - Posto'!$A:$AA,20,FALSE),
INDEX('Apoio - Notas Explicativas'!$Q:$Q,MATCH($C$162,'Apoio - Notas Explicativas'!$C:$C,0))
)))</f>
        <v/>
      </c>
      <c r="S163" s="398" t="str">
        <f>IF(S18="","",
IF($D$13="Simples",INDEX('Apoio - Notas Explicativas'!$Q:$Q,MATCH($C$162,'Apoio - Notas Explicativas'!$C:$C,0)),
IFERROR(VLOOKUP(S$18,'Apoio - Posto'!$A:$AA,20,FALSE),
INDEX('Apoio - Notas Explicativas'!$Q:$Q,MATCH($C$162,'Apoio - Notas Explicativas'!$C:$C,0))
)))</f>
        <v/>
      </c>
      <c r="T163" s="398" t="str">
        <f>IF(T18="","",
IF($D$13="Simples",INDEX('Apoio - Notas Explicativas'!$Q:$Q,MATCH($C$162,'Apoio - Notas Explicativas'!$C:$C,0)),
IFERROR(VLOOKUP(T$18,'Apoio - Posto'!$A:$AA,20,FALSE),
INDEX('Apoio - Notas Explicativas'!$Q:$Q,MATCH($C$162,'Apoio - Notas Explicativas'!$C:$C,0))
)))</f>
        <v/>
      </c>
      <c r="U163" s="398" t="str">
        <f>IF(U18="","",
IF($D$13="Simples",INDEX('Apoio - Notas Explicativas'!$Q:$Q,MATCH($C$162,'Apoio - Notas Explicativas'!$C:$C,0)),
IFERROR(VLOOKUP(U$18,'Apoio - Posto'!$A:$AA,20,FALSE),
INDEX('Apoio - Notas Explicativas'!$Q:$Q,MATCH($C$162,'Apoio - Notas Explicativas'!$C:$C,0))
)))</f>
        <v/>
      </c>
      <c r="V163" s="398" t="str">
        <f>IF(V18="","",
IF($D$13="Simples",INDEX('Apoio - Notas Explicativas'!$Q:$Q,MATCH($C$162,'Apoio - Notas Explicativas'!$C:$C,0)),
IFERROR(VLOOKUP(V$18,'Apoio - Posto'!$A:$AA,20,FALSE),
INDEX('Apoio - Notas Explicativas'!$Q:$Q,MATCH($C$162,'Apoio - Notas Explicativas'!$C:$C,0))
)))</f>
        <v/>
      </c>
      <c r="W163" s="398" t="str">
        <f>IF(W18="","",
IF($D$13="Simples",INDEX('Apoio - Notas Explicativas'!$Q:$Q,MATCH($C$162,'Apoio - Notas Explicativas'!$C:$C,0)),
IFERROR(VLOOKUP(W$18,'Apoio - Posto'!$A:$AA,20,FALSE),
INDEX('Apoio - Notas Explicativas'!$Q:$Q,MATCH($C$162,'Apoio - Notas Explicativas'!$C:$C,0))
)))</f>
        <v/>
      </c>
      <c r="X163" s="398" t="str">
        <f>IF(X18="","",
IF($D$13="Simples",INDEX('Apoio - Notas Explicativas'!$Q:$Q,MATCH($C$162,'Apoio - Notas Explicativas'!$C:$C,0)),
IFERROR(VLOOKUP(X$18,'Apoio - Posto'!$A:$AA,20,FALSE),
INDEX('Apoio - Notas Explicativas'!$Q:$Q,MATCH($C$162,'Apoio - Notas Explicativas'!$C:$C,0))
)))</f>
        <v/>
      </c>
    </row>
    <row r="164" spans="1:24">
      <c r="A164" s="84"/>
      <c r="B164" s="752"/>
      <c r="C164" s="94"/>
      <c r="D164" s="426" t="s">
        <v>41</v>
      </c>
      <c r="E164" s="153">
        <f t="shared" ref="E164:N164" si="115">IF(E21="","",IFERROR(ROUND(SUM(E$157,E$61,E$114,E$123,E$145,E$150)*E163/(1-SUM($D$160:$D$165,E163)),2),""))</f>
        <v>323.05</v>
      </c>
      <c r="F164" s="153">
        <f t="shared" si="115"/>
        <v>402.83</v>
      </c>
      <c r="G164" s="153">
        <f t="shared" si="115"/>
        <v>784.41</v>
      </c>
      <c r="H164" s="153" t="str">
        <f t="shared" si="115"/>
        <v/>
      </c>
      <c r="I164" s="153" t="str">
        <f t="shared" si="115"/>
        <v/>
      </c>
      <c r="J164" s="153" t="str">
        <f t="shared" si="115"/>
        <v/>
      </c>
      <c r="K164" s="153" t="str">
        <f t="shared" si="115"/>
        <v/>
      </c>
      <c r="L164" s="153" t="str">
        <f t="shared" si="115"/>
        <v/>
      </c>
      <c r="M164" s="153" t="str">
        <f t="shared" si="115"/>
        <v/>
      </c>
      <c r="N164" s="153" t="str">
        <f t="shared" si="115"/>
        <v/>
      </c>
      <c r="O164" s="153" t="str">
        <f t="shared" ref="O164:X164" si="116">IF(O21="","",IFERROR(ROUND(SUM(O$157,O$61,O$114,O$123,O$145,O$150)*O163/(1-SUM($D$160:$D$165,O163)),2),""))</f>
        <v/>
      </c>
      <c r="P164" s="153" t="str">
        <f t="shared" si="116"/>
        <v/>
      </c>
      <c r="Q164" s="153" t="str">
        <f t="shared" si="116"/>
        <v/>
      </c>
      <c r="R164" s="153" t="str">
        <f t="shared" si="116"/>
        <v/>
      </c>
      <c r="S164" s="153" t="str">
        <f t="shared" si="116"/>
        <v/>
      </c>
      <c r="T164" s="153" t="str">
        <f t="shared" si="116"/>
        <v/>
      </c>
      <c r="U164" s="153" t="str">
        <f t="shared" si="116"/>
        <v/>
      </c>
      <c r="V164" s="153" t="str">
        <f t="shared" si="116"/>
        <v/>
      </c>
      <c r="W164" s="153" t="str">
        <f t="shared" si="116"/>
        <v/>
      </c>
      <c r="X164" s="153" t="str">
        <f t="shared" si="116"/>
        <v/>
      </c>
    </row>
    <row r="165" spans="1:24">
      <c r="A165" s="84"/>
      <c r="B165" s="400" t="s">
        <v>3</v>
      </c>
      <c r="C165" s="401" t="s">
        <v>303</v>
      </c>
      <c r="D165" s="402">
        <v>0</v>
      </c>
      <c r="E165" s="105">
        <f t="shared" ref="E165:N165" si="117">IF(E22="","",IFERROR(ROUND(SUM(E$157,E$61,E$114,E$123,E$145,E$150)*$D165/(1-SUM($D$160:$D$165,E$163)),2),""))</f>
        <v>0</v>
      </c>
      <c r="F165" s="105">
        <f t="shared" si="117"/>
        <v>0</v>
      </c>
      <c r="G165" s="105">
        <f t="shared" si="117"/>
        <v>0</v>
      </c>
      <c r="H165" s="105" t="str">
        <f t="shared" si="117"/>
        <v/>
      </c>
      <c r="I165" s="105" t="str">
        <f t="shared" si="117"/>
        <v/>
      </c>
      <c r="J165" s="105" t="str">
        <f t="shared" si="117"/>
        <v/>
      </c>
      <c r="K165" s="105" t="str">
        <f t="shared" si="117"/>
        <v/>
      </c>
      <c r="L165" s="105" t="str">
        <f t="shared" si="117"/>
        <v/>
      </c>
      <c r="M165" s="105" t="str">
        <f t="shared" si="117"/>
        <v/>
      </c>
      <c r="N165" s="105" t="str">
        <f t="shared" si="117"/>
        <v/>
      </c>
      <c r="O165" s="105" t="str">
        <f t="shared" ref="O165:X165" si="118">IF(O22="","",IFERROR(ROUND(SUM(O$157,O$61,O$114,O$123,O$145,O$150)*$D165/(1-SUM($D$160:$D$165,O$163)),2),""))</f>
        <v/>
      </c>
      <c r="P165" s="105" t="str">
        <f t="shared" si="118"/>
        <v/>
      </c>
      <c r="Q165" s="105" t="str">
        <f t="shared" si="118"/>
        <v/>
      </c>
      <c r="R165" s="105" t="str">
        <f t="shared" si="118"/>
        <v/>
      </c>
      <c r="S165" s="105" t="str">
        <f t="shared" si="118"/>
        <v/>
      </c>
      <c r="T165" s="105" t="str">
        <f t="shared" si="118"/>
        <v/>
      </c>
      <c r="U165" s="105" t="str">
        <f t="shared" si="118"/>
        <v/>
      </c>
      <c r="V165" s="105" t="str">
        <f t="shared" si="118"/>
        <v/>
      </c>
      <c r="W165" s="105" t="str">
        <f t="shared" si="118"/>
        <v/>
      </c>
      <c r="X165" s="105" t="str">
        <f t="shared" si="118"/>
        <v/>
      </c>
    </row>
    <row r="166" spans="1:24" s="5" customFormat="1">
      <c r="A166" s="82"/>
      <c r="B166" s="177"/>
      <c r="C166" s="178" t="s">
        <v>232</v>
      </c>
      <c r="D166" s="181"/>
      <c r="E166" s="198">
        <f t="shared" ref="E166:N166" si="119">IF(E18="","",SUM(E160:E161,E164:E165))</f>
        <v>558.88</v>
      </c>
      <c r="F166" s="198">
        <f t="shared" si="119"/>
        <v>696.9</v>
      </c>
      <c r="G166" s="198">
        <f t="shared" si="119"/>
        <v>1255.06</v>
      </c>
      <c r="H166" s="198" t="str">
        <f t="shared" si="119"/>
        <v/>
      </c>
      <c r="I166" s="198" t="str">
        <f t="shared" si="119"/>
        <v/>
      </c>
      <c r="J166" s="198" t="str">
        <f t="shared" si="119"/>
        <v/>
      </c>
      <c r="K166" s="198" t="str">
        <f t="shared" si="119"/>
        <v/>
      </c>
      <c r="L166" s="198" t="str">
        <f t="shared" si="119"/>
        <v/>
      </c>
      <c r="M166" s="198" t="str">
        <f t="shared" si="119"/>
        <v/>
      </c>
      <c r="N166" s="198" t="str">
        <f t="shared" si="119"/>
        <v/>
      </c>
      <c r="O166" s="198" t="str">
        <f t="shared" ref="O166:X166" si="120">IF(O18="","",SUM(O160:O161,O164:O165))</f>
        <v/>
      </c>
      <c r="P166" s="198" t="str">
        <f t="shared" si="120"/>
        <v/>
      </c>
      <c r="Q166" s="198" t="str">
        <f t="shared" si="120"/>
        <v/>
      </c>
      <c r="R166" s="198" t="str">
        <f t="shared" si="120"/>
        <v/>
      </c>
      <c r="S166" s="198" t="str">
        <f t="shared" si="120"/>
        <v/>
      </c>
      <c r="T166" s="198" t="str">
        <f t="shared" si="120"/>
        <v/>
      </c>
      <c r="U166" s="198" t="str">
        <f t="shared" si="120"/>
        <v/>
      </c>
      <c r="V166" s="198" t="str">
        <f t="shared" si="120"/>
        <v/>
      </c>
      <c r="W166" s="198" t="str">
        <f t="shared" si="120"/>
        <v/>
      </c>
      <c r="X166" s="198" t="str">
        <f t="shared" si="120"/>
        <v/>
      </c>
    </row>
    <row r="167" spans="1:24" customFormat="1" ht="3.75" customHeight="1"/>
    <row r="168" spans="1:24" s="5" customFormat="1">
      <c r="A168" s="79"/>
      <c r="B168" s="163"/>
      <c r="C168" s="96" t="s">
        <v>220</v>
      </c>
      <c r="D168" s="159"/>
      <c r="E168" s="161">
        <f t="shared" ref="E168:N168" si="121">IF(E18="","",SUM(E166,E157))</f>
        <v>1350.9299999999998</v>
      </c>
      <c r="F168" s="161">
        <f t="shared" si="121"/>
        <v>1684.56</v>
      </c>
      <c r="G168" s="161">
        <f t="shared" si="121"/>
        <v>3178.2999999999997</v>
      </c>
      <c r="H168" s="161" t="str">
        <f t="shared" si="121"/>
        <v/>
      </c>
      <c r="I168" s="161" t="str">
        <f t="shared" si="121"/>
        <v/>
      </c>
      <c r="J168" s="161" t="str">
        <f t="shared" si="121"/>
        <v/>
      </c>
      <c r="K168" s="161" t="str">
        <f t="shared" si="121"/>
        <v/>
      </c>
      <c r="L168" s="161" t="str">
        <f t="shared" si="121"/>
        <v/>
      </c>
      <c r="M168" s="161" t="str">
        <f t="shared" si="121"/>
        <v/>
      </c>
      <c r="N168" s="161" t="str">
        <f t="shared" si="121"/>
        <v/>
      </c>
      <c r="O168" s="161" t="str">
        <f t="shared" ref="O168:X168" si="122">IF(O18="","",SUM(O166,O157))</f>
        <v/>
      </c>
      <c r="P168" s="161" t="str">
        <f t="shared" si="122"/>
        <v/>
      </c>
      <c r="Q168" s="161" t="str">
        <f t="shared" si="122"/>
        <v/>
      </c>
      <c r="R168" s="161" t="str">
        <f t="shared" si="122"/>
        <v/>
      </c>
      <c r="S168" s="161" t="str">
        <f t="shared" si="122"/>
        <v/>
      </c>
      <c r="T168" s="161" t="str">
        <f t="shared" si="122"/>
        <v/>
      </c>
      <c r="U168" s="161" t="str">
        <f t="shared" si="122"/>
        <v/>
      </c>
      <c r="V168" s="161" t="str">
        <f t="shared" si="122"/>
        <v/>
      </c>
      <c r="W168" s="161" t="str">
        <f t="shared" si="122"/>
        <v/>
      </c>
      <c r="X168" s="161" t="str">
        <f t="shared" si="122"/>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9"/>
      <c r="F170" s="379"/>
      <c r="G170" s="379"/>
      <c r="H170" s="379"/>
      <c r="I170" s="379"/>
      <c r="J170" s="379"/>
      <c r="K170" s="379"/>
      <c r="L170" s="379"/>
      <c r="M170" s="379"/>
      <c r="N170" s="379"/>
      <c r="O170" s="379"/>
      <c r="P170" s="379"/>
      <c r="Q170" s="379"/>
      <c r="R170" s="379"/>
      <c r="S170" s="379"/>
      <c r="T170" s="379"/>
      <c r="U170" s="379"/>
      <c r="V170" s="379"/>
      <c r="W170" s="379"/>
      <c r="X170" s="379"/>
    </row>
    <row r="171" spans="1:24" ht="3.75" customHeight="1">
      <c r="A171" s="296"/>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6"/>
      <c r="B172" s="177"/>
      <c r="C172" s="178" t="s">
        <v>438</v>
      </c>
      <c r="D172" s="298"/>
      <c r="E172" s="406"/>
      <c r="F172" s="406"/>
      <c r="G172" s="406"/>
      <c r="H172" s="406"/>
      <c r="I172" s="406"/>
      <c r="J172" s="406"/>
      <c r="K172" s="406"/>
      <c r="L172" s="406"/>
      <c r="M172" s="406"/>
      <c r="N172" s="406"/>
      <c r="O172" s="406"/>
      <c r="P172" s="406"/>
      <c r="Q172" s="406"/>
      <c r="R172" s="406"/>
      <c r="S172" s="406"/>
      <c r="T172" s="406"/>
      <c r="U172" s="406"/>
      <c r="V172" s="406"/>
      <c r="W172" s="406"/>
      <c r="X172" s="406"/>
    </row>
    <row r="173" spans="1:24">
      <c r="A173" s="86"/>
      <c r="B173" s="93" t="s">
        <v>2</v>
      </c>
      <c r="C173" s="94" t="s">
        <v>375</v>
      </c>
      <c r="D173" s="183"/>
      <c r="E173" s="105">
        <f>IFERROR(IF(E18="","",ROUND(E175/SUM(E52,INDEX('Apoio - Regime de Trabalho'!$I:$I,MATCH(E26,'Apoio - Regime de Trabalho'!$A:$A,0))),2)),"")</f>
        <v>35.89</v>
      </c>
      <c r="F173" s="105">
        <f>IFERROR(IF(F18="","",ROUND(F175/SUM(F52,INDEX('Apoio - Regime de Trabalho'!$I:$I,MATCH(F26,'Apoio - Regime de Trabalho'!$A:$A,0))),2)),"")</f>
        <v>44.76</v>
      </c>
      <c r="G173" s="105">
        <f>IFERROR(IF(G18="","",ROUND(G175/SUM(G52,INDEX('Apoio - Regime de Trabalho'!$I:$I,MATCH(G26,'Apoio - Regime de Trabalho'!$A:$A,0))),2)),"")</f>
        <v>118.08</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430.73</v>
      </c>
      <c r="F174" s="105">
        <f>IF(F18="","",ROUND(SUM(F61,F114,F123,F145,F150,F168)/INDEX('Apoio - Regime de Trabalho'!$G:$G,MATCH(F26,'Apoio - Regime de Trabalho'!$A:$A,0)),2))</f>
        <v>537.1</v>
      </c>
      <c r="G174" s="105">
        <f>IF(G18="","",ROUND(SUM(G61,G114,G123,G145,G150,G168)/INDEX('Apoio - Regime de Trabalho'!$G:$G,MATCH(G26,'Apoio - Regime de Trabalho'!$A:$A,0)),2))</f>
        <v>708.47</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3">IF(E18="","",ROUND(SUM(E61,E114,E123,E145,E150,E168),2))</f>
        <v>6460.94</v>
      </c>
      <c r="F175" s="105">
        <f t="shared" si="123"/>
        <v>8056.54</v>
      </c>
      <c r="G175" s="105">
        <f t="shared" si="123"/>
        <v>15586.31</v>
      </c>
      <c r="H175" s="105" t="str">
        <f t="shared" si="123"/>
        <v/>
      </c>
      <c r="I175" s="105" t="str">
        <f t="shared" si="123"/>
        <v/>
      </c>
      <c r="J175" s="105" t="str">
        <f t="shared" si="123"/>
        <v/>
      </c>
      <c r="K175" s="105" t="str">
        <f t="shared" si="123"/>
        <v/>
      </c>
      <c r="L175" s="105" t="str">
        <f t="shared" si="123"/>
        <v/>
      </c>
      <c r="M175" s="105" t="str">
        <f t="shared" si="123"/>
        <v/>
      </c>
      <c r="N175" s="105" t="str">
        <f t="shared" si="123"/>
        <v/>
      </c>
      <c r="O175" s="105" t="str">
        <f t="shared" ref="O175:X175" si="124">IF(O18="","",ROUND(SUM(O61,O114,O123,O145,O150,O168),2))</f>
        <v/>
      </c>
      <c r="P175" s="105" t="str">
        <f t="shared" si="124"/>
        <v/>
      </c>
      <c r="Q175" s="105" t="str">
        <f t="shared" si="124"/>
        <v/>
      </c>
      <c r="R175" s="105" t="str">
        <f t="shared" si="124"/>
        <v/>
      </c>
      <c r="S175" s="105" t="str">
        <f t="shared" si="124"/>
        <v/>
      </c>
      <c r="T175" s="105" t="str">
        <f t="shared" si="124"/>
        <v/>
      </c>
      <c r="U175" s="105" t="str">
        <f t="shared" si="124"/>
        <v/>
      </c>
      <c r="V175" s="105" t="str">
        <f t="shared" si="124"/>
        <v/>
      </c>
      <c r="W175" s="105" t="str">
        <f t="shared" si="124"/>
        <v/>
      </c>
      <c r="X175" s="105" t="str">
        <f t="shared" si="124"/>
        <v/>
      </c>
    </row>
    <row r="176" spans="1:24">
      <c r="A176" s="86"/>
      <c r="B176" s="93" t="s">
        <v>3</v>
      </c>
      <c r="C176" s="94" t="s">
        <v>440</v>
      </c>
      <c r="D176" s="183"/>
      <c r="E176" s="105">
        <f t="shared" ref="E176:N176" si="125">IFERROR(ROUND(E175*E28,2),"")</f>
        <v>12921.88</v>
      </c>
      <c r="F176" s="105">
        <f t="shared" si="125"/>
        <v>16113.08</v>
      </c>
      <c r="G176" s="105">
        <f t="shared" si="125"/>
        <v>15586.31</v>
      </c>
      <c r="H176" s="105" t="str">
        <f t="shared" si="125"/>
        <v/>
      </c>
      <c r="I176" s="105" t="str">
        <f t="shared" si="125"/>
        <v/>
      </c>
      <c r="J176" s="105" t="str">
        <f t="shared" si="125"/>
        <v/>
      </c>
      <c r="K176" s="105" t="str">
        <f t="shared" si="125"/>
        <v/>
      </c>
      <c r="L176" s="105" t="str">
        <f t="shared" si="125"/>
        <v/>
      </c>
      <c r="M176" s="105" t="str">
        <f t="shared" si="125"/>
        <v/>
      </c>
      <c r="N176" s="105" t="str">
        <f t="shared" si="125"/>
        <v/>
      </c>
      <c r="O176" s="105" t="str">
        <f t="shared" ref="O176:X176" si="126">IFERROR(ROUND(O175*O28,2),"")</f>
        <v/>
      </c>
      <c r="P176" s="105" t="str">
        <f t="shared" si="126"/>
        <v/>
      </c>
      <c r="Q176" s="105" t="str">
        <f t="shared" si="126"/>
        <v/>
      </c>
      <c r="R176" s="105" t="str">
        <f t="shared" si="126"/>
        <v/>
      </c>
      <c r="S176" s="105" t="str">
        <f t="shared" si="126"/>
        <v/>
      </c>
      <c r="T176" s="105" t="str">
        <f t="shared" si="126"/>
        <v/>
      </c>
      <c r="U176" s="105" t="str">
        <f t="shared" si="126"/>
        <v/>
      </c>
      <c r="V176" s="105" t="str">
        <f t="shared" si="126"/>
        <v/>
      </c>
      <c r="W176" s="105" t="str">
        <f t="shared" si="126"/>
        <v/>
      </c>
      <c r="X176" s="105" t="str">
        <f t="shared" si="126"/>
        <v/>
      </c>
    </row>
    <row r="177" spans="1:24" ht="3.75" customHeight="1">
      <c r="A177" s="296"/>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6"/>
      <c r="B178" s="177"/>
      <c r="C178" s="178" t="s">
        <v>469</v>
      </c>
      <c r="D178" s="298"/>
      <c r="E178" s="406"/>
      <c r="F178" s="406"/>
      <c r="G178" s="406"/>
      <c r="H178" s="406"/>
      <c r="I178" s="406"/>
      <c r="J178" s="406"/>
      <c r="K178" s="406"/>
      <c r="L178" s="406"/>
      <c r="M178" s="406"/>
      <c r="N178" s="406"/>
      <c r="O178" s="406"/>
      <c r="P178" s="406"/>
      <c r="Q178" s="406"/>
      <c r="R178" s="406"/>
      <c r="S178" s="406"/>
      <c r="T178" s="406"/>
      <c r="U178" s="406"/>
      <c r="V178" s="406"/>
      <c r="W178" s="406"/>
      <c r="X178" s="406"/>
    </row>
    <row r="179" spans="1:24">
      <c r="A179" s="86"/>
      <c r="B179" s="93" t="s">
        <v>2</v>
      </c>
      <c r="C179" s="94" t="s">
        <v>376</v>
      </c>
      <c r="D179" s="183"/>
      <c r="E179" s="105">
        <f>IFERROR(ROUND(SUM(E61,E114,E123,E145),2)*E29,"")</f>
        <v>10022.02</v>
      </c>
      <c r="F179" s="105">
        <f t="shared" ref="F179:N179" si="127">IFERROR(ROUND(SUM(F61,F114,F123,F145),2)*F29,"")</f>
        <v>12545.96</v>
      </c>
      <c r="G179" s="105">
        <f t="shared" si="127"/>
        <v>0</v>
      </c>
      <c r="H179" s="105" t="str">
        <f t="shared" si="127"/>
        <v/>
      </c>
      <c r="I179" s="105" t="str">
        <f t="shared" si="127"/>
        <v/>
      </c>
      <c r="J179" s="105" t="str">
        <f t="shared" si="127"/>
        <v/>
      </c>
      <c r="K179" s="105" t="str">
        <f t="shared" si="127"/>
        <v/>
      </c>
      <c r="L179" s="105" t="str">
        <f t="shared" si="127"/>
        <v/>
      </c>
      <c r="M179" s="105" t="str">
        <f t="shared" si="127"/>
        <v/>
      </c>
      <c r="N179" s="105" t="str">
        <f t="shared" si="127"/>
        <v/>
      </c>
      <c r="O179" s="105" t="str">
        <f t="shared" ref="O179:X179" si="128">IFERROR(ROUND(SUM(O61,O114,O123,O145),2)*O29,"")</f>
        <v/>
      </c>
      <c r="P179" s="105" t="str">
        <f t="shared" si="128"/>
        <v/>
      </c>
      <c r="Q179" s="105" t="str">
        <f t="shared" si="128"/>
        <v/>
      </c>
      <c r="R179" s="105" t="str">
        <f t="shared" si="128"/>
        <v/>
      </c>
      <c r="S179" s="105" t="str">
        <f t="shared" si="128"/>
        <v/>
      </c>
      <c r="T179" s="105" t="str">
        <f t="shared" si="128"/>
        <v/>
      </c>
      <c r="U179" s="105" t="str">
        <f t="shared" si="128"/>
        <v/>
      </c>
      <c r="V179" s="105" t="str">
        <f t="shared" si="128"/>
        <v/>
      </c>
      <c r="W179" s="105" t="str">
        <f t="shared" si="128"/>
        <v/>
      </c>
      <c r="X179" s="105" t="str">
        <f t="shared" si="128"/>
        <v/>
      </c>
    </row>
    <row r="180" spans="1:24">
      <c r="A180" s="86"/>
      <c r="B180" s="93" t="s">
        <v>1</v>
      </c>
      <c r="C180" s="94" t="s">
        <v>435</v>
      </c>
      <c r="D180" s="183"/>
      <c r="E180" s="105">
        <f t="shared" ref="E180:N180" si="129">IFERROR(ROUND(E150*E29,2),"")</f>
        <v>198</v>
      </c>
      <c r="F180" s="105">
        <f t="shared" si="129"/>
        <v>198</v>
      </c>
      <c r="G180" s="105">
        <f t="shared" si="129"/>
        <v>0</v>
      </c>
      <c r="H180" s="105" t="str">
        <f t="shared" si="129"/>
        <v/>
      </c>
      <c r="I180" s="105" t="str">
        <f t="shared" si="129"/>
        <v/>
      </c>
      <c r="J180" s="105" t="str">
        <f t="shared" si="129"/>
        <v/>
      </c>
      <c r="K180" s="105" t="str">
        <f t="shared" si="129"/>
        <v/>
      </c>
      <c r="L180" s="105" t="str">
        <f t="shared" si="129"/>
        <v/>
      </c>
      <c r="M180" s="105" t="str">
        <f t="shared" si="129"/>
        <v/>
      </c>
      <c r="N180" s="105" t="str">
        <f t="shared" si="129"/>
        <v/>
      </c>
      <c r="O180" s="105" t="str">
        <f t="shared" ref="O180:X180" si="130">IFERROR(ROUND(O150*O29,2),"")</f>
        <v/>
      </c>
      <c r="P180" s="105" t="str">
        <f t="shared" si="130"/>
        <v/>
      </c>
      <c r="Q180" s="105" t="str">
        <f t="shared" si="130"/>
        <v/>
      </c>
      <c r="R180" s="105" t="str">
        <f t="shared" si="130"/>
        <v/>
      </c>
      <c r="S180" s="105" t="str">
        <f t="shared" si="130"/>
        <v/>
      </c>
      <c r="T180" s="105" t="str">
        <f t="shared" si="130"/>
        <v/>
      </c>
      <c r="U180" s="105" t="str">
        <f t="shared" si="130"/>
        <v/>
      </c>
      <c r="V180" s="105" t="str">
        <f t="shared" si="130"/>
        <v/>
      </c>
      <c r="W180" s="105" t="str">
        <f t="shared" si="130"/>
        <v/>
      </c>
      <c r="X180" s="105" t="str">
        <f t="shared" si="130"/>
        <v/>
      </c>
    </row>
    <row r="181" spans="1:24">
      <c r="A181" s="87"/>
      <c r="B181" s="93" t="s">
        <v>0</v>
      </c>
      <c r="C181" s="94" t="s">
        <v>174</v>
      </c>
      <c r="D181" s="183"/>
      <c r="E181" s="105">
        <f t="shared" ref="E181:N181" si="131">IFERROR(ROUND(E168*E29,2),"")</f>
        <v>2701.86</v>
      </c>
      <c r="F181" s="105">
        <f t="shared" si="131"/>
        <v>3369.12</v>
      </c>
      <c r="G181" s="105">
        <f t="shared" si="131"/>
        <v>0</v>
      </c>
      <c r="H181" s="105" t="str">
        <f t="shared" si="131"/>
        <v/>
      </c>
      <c r="I181" s="105" t="str">
        <f t="shared" si="131"/>
        <v/>
      </c>
      <c r="J181" s="105" t="str">
        <f t="shared" si="131"/>
        <v/>
      </c>
      <c r="K181" s="105" t="str">
        <f t="shared" si="131"/>
        <v/>
      </c>
      <c r="L181" s="105" t="str">
        <f t="shared" si="131"/>
        <v/>
      </c>
      <c r="M181" s="105" t="str">
        <f t="shared" si="131"/>
        <v/>
      </c>
      <c r="N181" s="105" t="str">
        <f t="shared" si="131"/>
        <v/>
      </c>
      <c r="O181" s="105" t="str">
        <f t="shared" ref="O181:X181" si="132">IFERROR(ROUND(O168*O29,2),"")</f>
        <v/>
      </c>
      <c r="P181" s="105" t="str">
        <f t="shared" si="132"/>
        <v/>
      </c>
      <c r="Q181" s="105" t="str">
        <f t="shared" si="132"/>
        <v/>
      </c>
      <c r="R181" s="105" t="str">
        <f t="shared" si="132"/>
        <v/>
      </c>
      <c r="S181" s="105" t="str">
        <f t="shared" si="132"/>
        <v/>
      </c>
      <c r="T181" s="105" t="str">
        <f t="shared" si="132"/>
        <v/>
      </c>
      <c r="U181" s="105" t="str">
        <f t="shared" si="132"/>
        <v/>
      </c>
      <c r="V181" s="105" t="str">
        <f t="shared" si="132"/>
        <v/>
      </c>
      <c r="W181" s="105" t="str">
        <f t="shared" si="132"/>
        <v/>
      </c>
      <c r="X181" s="105" t="str">
        <f t="shared" si="132"/>
        <v/>
      </c>
    </row>
    <row r="182" spans="1:24">
      <c r="A182" s="87"/>
      <c r="B182" s="93" t="s">
        <v>3</v>
      </c>
      <c r="C182" s="94" t="s">
        <v>468</v>
      </c>
      <c r="D182" s="183"/>
      <c r="E182" s="105">
        <f>IFERROR(ROUND((E179+E180+E181),2),"")</f>
        <v>12921.88</v>
      </c>
      <c r="F182" s="105">
        <f t="shared" ref="F182:H182" si="133">IFERROR(ROUND((F179+F180+F181),2),"")</f>
        <v>16113.08</v>
      </c>
      <c r="G182" s="105">
        <f t="shared" si="133"/>
        <v>0</v>
      </c>
      <c r="H182" s="105" t="str">
        <f t="shared" si="133"/>
        <v/>
      </c>
      <c r="I182" s="105" t="str">
        <f t="shared" ref="I182:N182" si="134">IFERROR(ROUND((I179+I180+I181),2),"")</f>
        <v/>
      </c>
      <c r="J182" s="105" t="str">
        <f t="shared" si="134"/>
        <v/>
      </c>
      <c r="K182" s="105" t="str">
        <f t="shared" si="134"/>
        <v/>
      </c>
      <c r="L182" s="105" t="str">
        <f t="shared" si="134"/>
        <v/>
      </c>
      <c r="M182" s="105" t="str">
        <f t="shared" si="134"/>
        <v/>
      </c>
      <c r="N182" s="105" t="str">
        <f t="shared" si="134"/>
        <v/>
      </c>
      <c r="O182" s="105" t="str">
        <f t="shared" ref="O182:X182" si="135">IFERROR(ROUND((O179+O180+O181),2),"")</f>
        <v/>
      </c>
      <c r="P182" s="105" t="str">
        <f t="shared" si="135"/>
        <v/>
      </c>
      <c r="Q182" s="105" t="str">
        <f t="shared" si="135"/>
        <v/>
      </c>
      <c r="R182" s="105" t="str">
        <f t="shared" si="135"/>
        <v/>
      </c>
      <c r="S182" s="105" t="str">
        <f t="shared" si="135"/>
        <v/>
      </c>
      <c r="T182" s="105" t="str">
        <f t="shared" si="135"/>
        <v/>
      </c>
      <c r="U182" s="105" t="str">
        <f t="shared" si="135"/>
        <v/>
      </c>
      <c r="V182" s="105" t="str">
        <f t="shared" si="135"/>
        <v/>
      </c>
      <c r="W182" s="105" t="str">
        <f t="shared" si="135"/>
        <v/>
      </c>
      <c r="X182" s="105" t="str">
        <f t="shared" si="135"/>
        <v/>
      </c>
    </row>
    <row r="183" spans="1:24" ht="3.75" customHeight="1">
      <c r="A183" s="296"/>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6"/>
      <c r="B184" s="177"/>
      <c r="C184" s="178" t="s">
        <v>439</v>
      </c>
      <c r="D184" s="298"/>
      <c r="E184" s="406"/>
      <c r="F184" s="406"/>
      <c r="G184" s="406"/>
      <c r="H184" s="406"/>
      <c r="I184" s="406"/>
      <c r="J184" s="406"/>
      <c r="K184" s="406"/>
      <c r="L184" s="406"/>
      <c r="M184" s="406"/>
      <c r="N184" s="406"/>
      <c r="O184" s="406"/>
      <c r="P184" s="406"/>
      <c r="Q184" s="406"/>
      <c r="R184" s="406"/>
      <c r="S184" s="406"/>
      <c r="T184" s="406"/>
      <c r="U184" s="406"/>
      <c r="V184" s="406"/>
      <c r="W184" s="406"/>
      <c r="X184" s="406"/>
    </row>
    <row r="185" spans="1:24">
      <c r="A185" s="87"/>
      <c r="B185" s="93" t="s">
        <v>2</v>
      </c>
      <c r="C185" s="94" t="s">
        <v>376</v>
      </c>
      <c r="D185" s="183"/>
      <c r="E185" s="105">
        <f>IFERROR(ROUND(E179*$D$12,2),"")</f>
        <v>120264.24</v>
      </c>
      <c r="F185" s="105">
        <f t="shared" ref="F185:N185" si="136">IFERROR(ROUND(F179*$D$12,2),"")</f>
        <v>150551.51999999999</v>
      </c>
      <c r="G185" s="105">
        <f t="shared" si="136"/>
        <v>0</v>
      </c>
      <c r="H185" s="105" t="str">
        <f t="shared" si="136"/>
        <v/>
      </c>
      <c r="I185" s="105" t="str">
        <f t="shared" si="136"/>
        <v/>
      </c>
      <c r="J185" s="105" t="str">
        <f t="shared" si="136"/>
        <v/>
      </c>
      <c r="K185" s="105" t="str">
        <f t="shared" si="136"/>
        <v/>
      </c>
      <c r="L185" s="105" t="str">
        <f t="shared" si="136"/>
        <v/>
      </c>
      <c r="M185" s="105" t="str">
        <f t="shared" si="136"/>
        <v/>
      </c>
      <c r="N185" s="105" t="str">
        <f t="shared" si="136"/>
        <v/>
      </c>
      <c r="O185" s="105" t="str">
        <f t="shared" ref="O185:X185" si="137">IFERROR(ROUND(O179*$D$12,2),"")</f>
        <v/>
      </c>
      <c r="P185" s="105" t="str">
        <f t="shared" si="137"/>
        <v/>
      </c>
      <c r="Q185" s="105" t="str">
        <f t="shared" si="137"/>
        <v/>
      </c>
      <c r="R185" s="105" t="str">
        <f t="shared" si="137"/>
        <v/>
      </c>
      <c r="S185" s="105" t="str">
        <f t="shared" si="137"/>
        <v/>
      </c>
      <c r="T185" s="105" t="str">
        <f t="shared" si="137"/>
        <v/>
      </c>
      <c r="U185" s="105" t="str">
        <f t="shared" si="137"/>
        <v/>
      </c>
      <c r="V185" s="105" t="str">
        <f t="shared" si="137"/>
        <v/>
      </c>
      <c r="W185" s="105" t="str">
        <f t="shared" si="137"/>
        <v/>
      </c>
      <c r="X185" s="105" t="str">
        <f t="shared" si="137"/>
        <v/>
      </c>
    </row>
    <row r="186" spans="1:24">
      <c r="A186" s="87"/>
      <c r="B186" s="93" t="s">
        <v>1</v>
      </c>
      <c r="C186" s="94" t="s">
        <v>435</v>
      </c>
      <c r="D186" s="183"/>
      <c r="E186" s="105">
        <f>IFERROR(ROUND(E180*$D$12,2),"")</f>
        <v>2376</v>
      </c>
      <c r="F186" s="105">
        <f t="shared" ref="F186:N186" si="138">IFERROR(ROUND(F180*$D$12,2),"")</f>
        <v>2376</v>
      </c>
      <c r="G186" s="105">
        <f t="shared" si="138"/>
        <v>0</v>
      </c>
      <c r="H186" s="105" t="str">
        <f t="shared" si="138"/>
        <v/>
      </c>
      <c r="I186" s="105" t="str">
        <f t="shared" si="138"/>
        <v/>
      </c>
      <c r="J186" s="105" t="str">
        <f t="shared" si="138"/>
        <v/>
      </c>
      <c r="K186" s="105" t="str">
        <f t="shared" si="138"/>
        <v/>
      </c>
      <c r="L186" s="105" t="str">
        <f t="shared" si="138"/>
        <v/>
      </c>
      <c r="M186" s="105" t="str">
        <f t="shared" si="138"/>
        <v/>
      </c>
      <c r="N186" s="105" t="str">
        <f t="shared" si="138"/>
        <v/>
      </c>
      <c r="O186" s="105" t="str">
        <f t="shared" ref="O186:X186" si="139">IFERROR(ROUND(O180*$D$12,2),"")</f>
        <v/>
      </c>
      <c r="P186" s="105" t="str">
        <f t="shared" si="139"/>
        <v/>
      </c>
      <c r="Q186" s="105" t="str">
        <f t="shared" si="139"/>
        <v/>
      </c>
      <c r="R186" s="105" t="str">
        <f t="shared" si="139"/>
        <v/>
      </c>
      <c r="S186" s="105" t="str">
        <f t="shared" si="139"/>
        <v/>
      </c>
      <c r="T186" s="105" t="str">
        <f t="shared" si="139"/>
        <v/>
      </c>
      <c r="U186" s="105" t="str">
        <f t="shared" si="139"/>
        <v/>
      </c>
      <c r="V186" s="105" t="str">
        <f t="shared" si="139"/>
        <v/>
      </c>
      <c r="W186" s="105" t="str">
        <f t="shared" si="139"/>
        <v/>
      </c>
      <c r="X186" s="105" t="str">
        <f t="shared" si="139"/>
        <v/>
      </c>
    </row>
    <row r="187" spans="1:24">
      <c r="A187" s="87"/>
      <c r="B187" s="93" t="s">
        <v>0</v>
      </c>
      <c r="C187" s="94" t="s">
        <v>174</v>
      </c>
      <c r="D187" s="183"/>
      <c r="E187" s="105">
        <f>IFERROR(ROUND(E181*$D$12,2),"")</f>
        <v>32422.32</v>
      </c>
      <c r="F187" s="105">
        <f t="shared" ref="F187:N187" si="140">IFERROR(ROUND(F181*$D$12,2),"")</f>
        <v>40429.440000000002</v>
      </c>
      <c r="G187" s="105">
        <f t="shared" si="140"/>
        <v>0</v>
      </c>
      <c r="H187" s="105" t="str">
        <f t="shared" si="140"/>
        <v/>
      </c>
      <c r="I187" s="105" t="str">
        <f t="shared" si="140"/>
        <v/>
      </c>
      <c r="J187" s="105" t="str">
        <f t="shared" si="140"/>
        <v/>
      </c>
      <c r="K187" s="105" t="str">
        <f t="shared" si="140"/>
        <v/>
      </c>
      <c r="L187" s="105" t="str">
        <f t="shared" si="140"/>
        <v/>
      </c>
      <c r="M187" s="105" t="str">
        <f t="shared" si="140"/>
        <v/>
      </c>
      <c r="N187" s="105" t="str">
        <f t="shared" si="140"/>
        <v/>
      </c>
      <c r="O187" s="105" t="str">
        <f t="shared" ref="O187:X187" si="141">IFERROR(ROUND(O181*$D$12,2),"")</f>
        <v/>
      </c>
      <c r="P187" s="105" t="str">
        <f t="shared" si="141"/>
        <v/>
      </c>
      <c r="Q187" s="105" t="str">
        <f t="shared" si="141"/>
        <v/>
      </c>
      <c r="R187" s="105" t="str">
        <f t="shared" si="141"/>
        <v/>
      </c>
      <c r="S187" s="105" t="str">
        <f t="shared" si="141"/>
        <v/>
      </c>
      <c r="T187" s="105" t="str">
        <f t="shared" si="141"/>
        <v/>
      </c>
      <c r="U187" s="105" t="str">
        <f t="shared" si="141"/>
        <v/>
      </c>
      <c r="V187" s="105" t="str">
        <f t="shared" si="141"/>
        <v/>
      </c>
      <c r="W187" s="105" t="str">
        <f t="shared" si="141"/>
        <v/>
      </c>
      <c r="X187" s="105" t="str">
        <f t="shared" si="141"/>
        <v/>
      </c>
    </row>
    <row r="188" spans="1:24">
      <c r="A188" s="87"/>
      <c r="B188" s="93" t="s">
        <v>3</v>
      </c>
      <c r="C188" s="94" t="s">
        <v>436</v>
      </c>
      <c r="D188" s="183"/>
      <c r="E188" s="105">
        <f>IFERROR(ROUND(E182*$D$12,2),"")</f>
        <v>155062.56</v>
      </c>
      <c r="F188" s="105">
        <f t="shared" ref="F188:N188" si="142">IFERROR(ROUND(F182*$D$12,2),"")</f>
        <v>193356.96</v>
      </c>
      <c r="G188" s="105">
        <f t="shared" si="142"/>
        <v>0</v>
      </c>
      <c r="H188" s="105" t="str">
        <f t="shared" si="142"/>
        <v/>
      </c>
      <c r="I188" s="105" t="str">
        <f t="shared" si="142"/>
        <v/>
      </c>
      <c r="J188" s="105" t="str">
        <f t="shared" si="142"/>
        <v/>
      </c>
      <c r="K188" s="105" t="str">
        <f t="shared" si="142"/>
        <v/>
      </c>
      <c r="L188" s="105" t="str">
        <f t="shared" si="142"/>
        <v/>
      </c>
      <c r="M188" s="105" t="str">
        <f t="shared" si="142"/>
        <v/>
      </c>
      <c r="N188" s="105" t="str">
        <f t="shared" si="142"/>
        <v/>
      </c>
      <c r="O188" s="105" t="str">
        <f t="shared" ref="O188:X188" si="143">IFERROR(ROUND(O182*$D$12,2),"")</f>
        <v/>
      </c>
      <c r="P188" s="105" t="str">
        <f t="shared" si="143"/>
        <v/>
      </c>
      <c r="Q188" s="105" t="str">
        <f t="shared" si="143"/>
        <v/>
      </c>
      <c r="R188" s="105" t="str">
        <f t="shared" si="143"/>
        <v/>
      </c>
      <c r="S188" s="105" t="str">
        <f t="shared" si="143"/>
        <v/>
      </c>
      <c r="T188" s="105" t="str">
        <f t="shared" si="143"/>
        <v/>
      </c>
      <c r="U188" s="105" t="str">
        <f t="shared" si="143"/>
        <v/>
      </c>
      <c r="V188" s="105" t="str">
        <f t="shared" si="143"/>
        <v/>
      </c>
      <c r="W188" s="105" t="str">
        <f t="shared" si="143"/>
        <v/>
      </c>
      <c r="X188" s="105" t="str">
        <f t="shared" si="143"/>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XIdYoxCC0v+hDiC4OzAJjf4eAKUIJQbjkj3GSoHqtVjhn/SHu7OCPhUfSO91EH1uwEb1CD02HYZ/+XniqKduyA==" saltValue="6ePw9wwJ88mF37A9f0+VVg==" spinCount="100000" sheet="1" formatCells="0" formatColumns="0" formatRows="0" insertColumns="0" autoFilter="0"/>
  <dataConsolidate link="1"/>
  <mergeCells count="27">
    <mergeCell ref="A2:I2"/>
    <mergeCell ref="D9:E9"/>
    <mergeCell ref="D5:E5"/>
    <mergeCell ref="D6:E6"/>
    <mergeCell ref="D7:E7"/>
    <mergeCell ref="D8:E8"/>
    <mergeCell ref="B50:B53"/>
    <mergeCell ref="D10:E10"/>
    <mergeCell ref="D11:E11"/>
    <mergeCell ref="D12:E12"/>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E18:X27 E34:X34 E37:X38 E41:X41 E44:X45 E59:X60 E87:X90 E93:X95 E98:X99 E104:X105 E141:X141">
    <cfRule type="expression" dxfId="22" priority="6">
      <formula>$H$5=1</formula>
    </cfRule>
  </conditionalFormatting>
  <conditionalFormatting sqref="D9:D10 D13:D15 E20:X25 E34:X34 E37:X38 E41:X41 E44:X45 E59:X60 D79:D80 E88:X90 E93:X95 E98:X99 E104:X105 D128:D136 E141:X141">
    <cfRule type="expression" dxfId="21" priority="7">
      <formula>$H$5=2</formula>
    </cfRule>
  </conditionalFormatting>
  <conditionalFormatting sqref="D15 E21:X21 E24:X25 E87:X87 E93:X93 E98:X98 E101:X102 E104:X104 E107:X107 E109:X109">
    <cfRule type="expression" dxfId="20" priority="5">
      <formula>$H$5=4</formula>
    </cfRule>
  </conditionalFormatting>
  <conditionalFormatting sqref="E51:X52">
    <cfRule type="expression" dxfId="19" priority="3">
      <formula>$H$5=1</formula>
    </cfRule>
    <cfRule type="expression" dxfId="18" priority="4">
      <formula>$H$5=2</formula>
    </cfRule>
  </conditionalFormatting>
  <conditionalFormatting sqref="E163:X163">
    <cfRule type="expression" dxfId="17" priority="1">
      <formula>$H$5=1</formula>
    </cfRule>
    <cfRule type="expression" dxfId="16" priority="2">
      <formula>$H$5=2</formula>
    </cfRule>
  </conditionalFormatting>
  <dataValidations count="14">
    <dataValidation type="list" allowBlank="1" sqref="E51:X51">
      <formula1>"0%,50%,100%"</formula1>
    </dataValidation>
    <dataValidation type="list" allowBlank="1" sqref="E38:X38">
      <formula1>"0%,10%,20%,40%"</formula1>
    </dataValidation>
    <dataValidation type="list" sqref="E38:X38">
      <formula1>"0,10%,20%,40%"</formula1>
    </dataValidation>
    <dataValidation type="list" sqref="E37:X37">
      <formula1>"Salário Base, Salário Mínimo,Não incide"</formula1>
    </dataValidation>
    <dataValidation sqref="E40:X41 E43:X43 E47:X47 E50:X50 E54:X54 E33:X33 E36:X36"/>
    <dataValidation type="list" sqref="E34:X34">
      <formula1>"0%,30%"</formula1>
    </dataValidation>
    <dataValidation type="list" allowBlank="1" showInputMessage="1" sqref="E22:X22">
      <formula1>"180,200,220"</formula1>
    </dataValidation>
    <dataValidation type="list" allowBlank="1" showInputMessage="1" sqref="D11:E11">
      <formula1>"Valor Global,Mês,Dia,Hora"</formula1>
    </dataValidation>
    <dataValidation type="whole" allowBlank="1" showInputMessage="1" showErrorMessage="1" errorTitle="Erro de entrada" error="Informar a duração do contrato em meses" sqref="D12:E12">
      <formula1>1</formula1>
      <formula2>360</formula2>
    </dataValidation>
    <dataValidation type="list" showInputMessage="1" sqref="D139:D141">
      <formula1>"Indenização,Rendição,Não"</formula1>
    </dataValidation>
    <dataValidation type="list" allowBlank="1" showInputMessage="1" showErrorMessage="1" sqref="D56">
      <formula1>"Sim,Não"</formula1>
    </dataValidation>
    <dataValidation showInputMessage="1" sqref="D142 D164"/>
    <dataValidation type="list" showInputMessage="1" sqref="E141:X141">
      <formula1>"Indenização,Rendição"</formula1>
    </dataValidation>
    <dataValidation allowBlank="1" sqref="A19:XFD19"/>
  </dataValidations>
  <hyperlinks>
    <hyperlink ref="C148" location="'Mat Individual e Uniformes func'!A1" display="Material Individual e Uniformes"/>
    <hyperlink ref="E25:H25" r:id="rId1" display="http://www3.mte.gov.br/sistemas/mediador/ConsultarInstColetivo"/>
    <hyperlink ref="I25" r:id="rId2" display="http://www3.mte.gov.br/sistemas/mediador/ConsultarInstColetivo"/>
    <hyperlink ref="J25" r:id="rId3" display="http://www3.mte.gov.br/sistemas/mediador/ConsultarInstColetivo"/>
    <hyperlink ref="K25" r:id="rId4" display="http://www3.mte.gov.br/sistemas/mediador/ConsultarInstColetivo"/>
    <hyperlink ref="L25" r:id="rId5" display="http://www3.mte.gov.br/sistemas/mediador/ConsultarInstColetivo"/>
    <hyperlink ref="M25" r:id="rId6" display="http://www3.mte.gov.br/sistemas/mediador/ConsultarInstColetivo"/>
    <hyperlink ref="N25" r:id="rId7" display="http://www3.mte.gov.br/sistemas/mediador/ConsultarInstColetivo"/>
    <hyperlink ref="C149" location="'Mat Coletivo e Equipamentos'!A1" display="Material Coletivo e Equipamentos"/>
    <hyperlink ref="O25" r:id="rId8" display="http://www3.mte.gov.br/sistemas/mediador/ConsultarInstColetivo"/>
    <hyperlink ref="P25" r:id="rId9" display="http://www3.mte.gov.br/sistemas/mediador/ConsultarInstColetivo"/>
    <hyperlink ref="Q25" r:id="rId10" display="http://www3.mte.gov.br/sistemas/mediador/ConsultarInstColetivo"/>
    <hyperlink ref="R25" r:id="rId11" display="http://www3.mte.gov.br/sistemas/mediador/ConsultarInstColetivo"/>
    <hyperlink ref="S25" r:id="rId12" display="http://www3.mte.gov.br/sistemas/mediador/ConsultarInstColetivo"/>
    <hyperlink ref="T25" r:id="rId13" display="http://www3.mte.gov.br/sistemas/mediador/ConsultarInstColetivo"/>
    <hyperlink ref="U25" r:id="rId14" display="http://www3.mte.gov.br/sistemas/mediador/ConsultarInstColetivo"/>
    <hyperlink ref="V25" r:id="rId15" display="http://www3.mte.gov.br/sistemas/mediador/ConsultarInstColetivo"/>
    <hyperlink ref="W25" r:id="rId16" display="http://www3.mte.gov.br/sistemas/mediador/ConsultarInstColetivo"/>
    <hyperlink ref="X25" r:id="rId17" display="http://www3.mte.gov.br/sistemas/mediador/ConsultarInstColetivo"/>
    <hyperlink ref="F25" r:id="rId18"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19"/>
  <headerFooter>
    <oddFooter>&amp;R&amp;P/&amp;N</oddFooter>
  </headerFooter>
  <drawing r:id="rId20"/>
  <legacyDrawing r:id="rId21"/>
  <mc:AlternateContent xmlns:mc="http://schemas.openxmlformats.org/markup-compatibility/2006">
    <mc:Choice Requires="x14">
      <controls>
        <mc:AlternateContent xmlns:mc="http://schemas.openxmlformats.org/markup-compatibility/2006">
          <mc:Choice Requires="x14">
            <control shapeId="30721" r:id="rId22" name="Group Box 1">
              <controlPr defaultSize="0" autoFill="0" autoPict="0">
                <anchor>
                  <from>
                    <xdr:col>5</xdr:col>
                    <xdr:colOff>333375</xdr:colOff>
                    <xdr:row>2</xdr:row>
                    <xdr:rowOff>238125</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3" name="Option Button 2">
              <controlPr defaultSize="0" autoFill="0" autoLine="0" autoPict="0" altText="Formação de Preços">
                <anchor>
                  <from>
                    <xdr:col>5</xdr:col>
                    <xdr:colOff>485775</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4" name="Option Button 3">
              <controlPr defaultSize="0" autoFill="0" autoLine="0" autoPict="0">
                <anchor moveWithCells="1">
                  <from>
                    <xdr:col>5</xdr:col>
                    <xdr:colOff>485775</xdr:colOff>
                    <xdr:row>5</xdr:row>
                    <xdr:rowOff>114300</xdr:rowOff>
                  </from>
                  <to>
                    <xdr:col>6</xdr:col>
                    <xdr:colOff>542925</xdr:colOff>
                    <xdr:row>7</xdr:row>
                    <xdr:rowOff>9525</xdr:rowOff>
                  </to>
                </anchor>
              </controlPr>
            </control>
          </mc:Choice>
        </mc:AlternateContent>
        <mc:AlternateContent xmlns:mc="http://schemas.openxmlformats.org/markup-compatibility/2006">
          <mc:Choice Requires="x14">
            <control shapeId="30724" r:id="rId25" name="Option Button 4">
              <controlPr defaultSize="0" autoFill="0" autoLine="0" autoPict="0">
                <anchor moveWithCells="1">
                  <from>
                    <xdr:col>5</xdr:col>
                    <xdr:colOff>476250</xdr:colOff>
                    <xdr:row>8</xdr:row>
                    <xdr:rowOff>161925</xdr:rowOff>
                  </from>
                  <to>
                    <xdr:col>6</xdr:col>
                    <xdr:colOff>542925</xdr:colOff>
                    <xdr:row>10</xdr:row>
                    <xdr:rowOff>66675</xdr:rowOff>
                  </to>
                </anchor>
              </controlPr>
            </control>
          </mc:Choice>
        </mc:AlternateContent>
        <mc:AlternateContent xmlns:mc="http://schemas.openxmlformats.org/markup-compatibility/2006">
          <mc:Choice Requires="x14">
            <control shapeId="30725" r:id="rId26" name="Option Button 5">
              <controlPr defaultSize="0" autoFill="0" autoLine="0" autoPict="0" altText="Formação de Preços">
                <anchor>
                  <from>
                    <xdr:col>5</xdr:col>
                    <xdr:colOff>476250</xdr:colOff>
                    <xdr:row>7</xdr:row>
                    <xdr:rowOff>47625</xdr:rowOff>
                  </from>
                  <to>
                    <xdr:col>6</xdr:col>
                    <xdr:colOff>542925</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14:formula1>
            <xm:f>'Apoio - Posto'!$B:$B</xm:f>
          </x14:formula1>
          <xm:sqref>E20:X20</xm:sqref>
        </x14:dataValidation>
        <x14:dataValidation type="list" allowBlank="1">
          <x14:formula1>
            <xm:f>'Apoio - Posto'!$A:$A</xm:f>
          </x14:formula1>
          <xm:sqref>E18:X18</xm:sqref>
        </x14:dataValidation>
        <x14:dataValidation type="list">
          <x14:formula1>
            <xm:f>'Apoio - Posto'!$C:$C</xm:f>
          </x14:formula1>
          <xm:sqref>E23:X23</xm:sqref>
        </x14:dataValidation>
        <x14:dataValidation type="list" allowBlank="1">
          <x14:formula1>
            <xm:f>'Apoio - Dados'!$A:$A</xm:f>
          </x14:formula1>
          <xm:sqref>D5:E5</xm:sqref>
        </x14:dataValidation>
        <x14:dataValidation type="list" allowBlank="1" showInputMessage="1" showErrorMessage="1">
          <x14:formula1>
            <xm:f>'Apoio - Notas Explicativas'!$H$15:$K$15</xm:f>
          </x14:formula1>
          <xm:sqref>D13</xm:sqref>
        </x14:dataValidation>
        <x14:dataValidation type="list" allowBlank="1" showInputMessage="1" showErrorMessage="1">
          <x14:formula1>
            <xm:f>'Apoio - Posto'!#REF!</xm:f>
          </x14:formula1>
          <xm:sqref>G10:G11</xm:sqref>
        </x14:dataValidation>
        <x14:dataValidation type="list" allowBlank="1" showInputMessage="1" showErrorMessage="1">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dimension ref="B1:EN402"/>
  <sheetViews>
    <sheetView showGridLines="0" topLeftCell="B1" zoomScale="87" zoomScaleNormal="87" workbookViewId="0">
      <selection activeCell="F9" sqref="F9"/>
    </sheetView>
  </sheetViews>
  <sheetFormatPr defaultRowHeight="15"/>
  <cols>
    <col min="1" max="1" width="1.42578125" customWidth="1"/>
    <col min="2" max="2" width="7.42578125" customWidth="1"/>
    <col min="3" max="3" width="10.7109375" style="12" customWidth="1"/>
    <col min="4" max="4" width="48.42578125" customWidth="1"/>
    <col min="5" max="5" width="14" style="2" customWidth="1"/>
    <col min="6" max="6" width="15" customWidth="1"/>
    <col min="7" max="7" width="11.7109375" bestFit="1" customWidth="1"/>
    <col min="8" max="8" width="18.140625" customWidth="1"/>
    <col min="9" max="9" width="0.7109375" customWidth="1"/>
    <col min="10" max="10" width="14.7109375" customWidth="1"/>
    <col min="11" max="11" width="13.5703125" customWidth="1"/>
    <col min="12" max="14" width="12.28515625" customWidth="1"/>
    <col min="15" max="19" width="10.5703125" style="44" hidden="1" customWidth="1"/>
    <col min="20" max="29" width="0" style="44" hidden="1" customWidth="1"/>
    <col min="30" max="144" width="9.140625" style="44"/>
  </cols>
  <sheetData>
    <row r="1" spans="2:144" ht="9.75" customHeight="1"/>
    <row r="2" spans="2:144">
      <c r="B2" s="777" t="s">
        <v>352</v>
      </c>
      <c r="C2" s="778"/>
      <c r="D2" s="778"/>
      <c r="E2" s="778"/>
      <c r="F2" s="778"/>
      <c r="G2" s="779"/>
      <c r="H2" s="416"/>
      <c r="J2" s="780" t="s">
        <v>401</v>
      </c>
      <c r="K2" s="781"/>
      <c r="L2" s="781"/>
      <c r="M2" s="781"/>
      <c r="N2" s="781"/>
      <c r="O2" s="781"/>
      <c r="P2" s="781"/>
      <c r="Q2" s="781"/>
      <c r="R2" s="781"/>
      <c r="S2" s="781"/>
      <c r="T2" s="781"/>
      <c r="U2" s="781"/>
      <c r="V2" s="781"/>
      <c r="W2" s="781"/>
      <c r="X2" s="781"/>
      <c r="Y2" s="781"/>
      <c r="Z2" s="781"/>
      <c r="AA2" s="781"/>
      <c r="AB2" s="781"/>
      <c r="AC2" s="782"/>
    </row>
    <row r="3" spans="2:144" ht="45">
      <c r="B3" s="415" t="s">
        <v>184</v>
      </c>
      <c r="C3" s="415" t="s">
        <v>40</v>
      </c>
      <c r="D3" s="260" t="s">
        <v>494</v>
      </c>
      <c r="E3" s="415" t="s">
        <v>493</v>
      </c>
      <c r="F3" s="415" t="s">
        <v>41</v>
      </c>
      <c r="G3" s="655" t="s">
        <v>486</v>
      </c>
      <c r="H3" s="655" t="s">
        <v>487</v>
      </c>
      <c r="J3" s="415" t="str">
        <f xml:space="preserve">
IF(IFERROR(SUM(Produtividade!$L$193:$L$218)&gt;0,FALSE()),Produtividade!E17,'Mão de Obra'!E17)</f>
        <v>Posto A</v>
      </c>
      <c r="K3" s="415" t="str">
        <f xml:space="preserve">
IF(IFERROR(SUM(Produtividade!$L$193:$L$218)&gt;0,FALSE()),Produtividade!F17,'Mão de Obra'!F17)</f>
        <v>Posto B</v>
      </c>
      <c r="L3" s="415" t="str">
        <f xml:space="preserve">
IF(IFERROR(SUM(Produtividade!$L$193:$L$218)&gt;0,FALSE()),Produtividade!G17,'Mão de Obra'!G17)</f>
        <v>Posto C</v>
      </c>
      <c r="M3" s="415" t="str">
        <f xml:space="preserve">
IF(IFERROR(SUM(Produtividade!$L$193:$L$218)&gt;0,FALSE()),Produtividade!H17,'Mão de Obra'!H17)</f>
        <v>Posto D</v>
      </c>
      <c r="N3" s="415" t="str">
        <f xml:space="preserve">
IF(IFERROR(SUM(Produtividade!$L$193:$L$218)&gt;0,FALSE()),Produtividade!I17,'Mão de Obra'!I17)</f>
        <v>Posto E</v>
      </c>
      <c r="O3" s="415" t="str">
        <f xml:space="preserve">
IF(IFERROR(SUM(Produtividade!$L$193:$L$218)&gt;0,FALSE()),Produtividade!J17,'Mão de Obra'!J17)</f>
        <v>Posto F</v>
      </c>
      <c r="P3" s="415" t="str">
        <f xml:space="preserve">
IF(IFERROR(SUM(Produtividade!$L$193:$L$218)&gt;0,FALSE()),Produtividade!K17,'Mão de Obra'!K17)</f>
        <v>Posto G</v>
      </c>
      <c r="Q3" s="415" t="str">
        <f xml:space="preserve">
IF(IFERROR(SUM(Produtividade!$L$193:$L$218)&gt;0,FALSE()),Produtividade!L17,'Mão de Obra'!L17)</f>
        <v>Posto H</v>
      </c>
      <c r="R3" s="415" t="str">
        <f xml:space="preserve">
IF(IFERROR(SUM(Produtividade!$L$193:$L$218)&gt;0,FALSE()),Produtividade!M17,'Mão de Obra'!M17)</f>
        <v>Posto I</v>
      </c>
      <c r="S3" s="415" t="str">
        <f xml:space="preserve">
IF(IFERROR(SUM(Produtividade!$L$193:$L$218)&gt;0,FALSE()),Produtividade!N17,'Mão de Obra'!N17)</f>
        <v>Posto J</v>
      </c>
      <c r="T3" s="415" t="str">
        <f xml:space="preserve">
IF(IFERROR(SUM(Produtividade!$L$193:$L$218)&gt;0,FALSE()),Produtividade!O17,'Mão de Obra'!O17)</f>
        <v>Posto K</v>
      </c>
      <c r="U3" s="415" t="str">
        <f xml:space="preserve">
IF(IFERROR(SUM(Produtividade!$L$193:$L$218)&gt;0,FALSE()),Produtividade!P17,'Mão de Obra'!P17)</f>
        <v>Posto L</v>
      </c>
      <c r="V3" s="415" t="str">
        <f xml:space="preserve">
IF(IFERROR(SUM(Produtividade!$L$193:$L$218)&gt;0,FALSE()),Produtividade!Q17,'Mão de Obra'!Q17)</f>
        <v>Posto M</v>
      </c>
      <c r="W3" s="415" t="str">
        <f xml:space="preserve">
IF(IFERROR(SUM(Produtividade!$L$193:$L$218)&gt;0,FALSE()),Produtividade!R17,'Mão de Obra'!R17)</f>
        <v>Posto N</v>
      </c>
      <c r="X3" s="415" t="str">
        <f xml:space="preserve">
IF(IFERROR(SUM(Produtividade!$L$193:$L$218)&gt;0,FALSE()),Produtividade!S17,'Mão de Obra'!S17)</f>
        <v>Posto O</v>
      </c>
      <c r="Y3" s="415" t="str">
        <f xml:space="preserve">
IF(IFERROR(SUM(Produtividade!$L$193:$L$218)&gt;0,FALSE()),Produtividade!T17,'Mão de Obra'!T17)</f>
        <v>Posto P</v>
      </c>
      <c r="Z3" s="415" t="str">
        <f xml:space="preserve">
IF(IFERROR(SUM(Produtividade!$L$193:$L$218)&gt;0,FALSE()),Produtividade!U17,'Mão de Obra'!U17)</f>
        <v>Posto Q</v>
      </c>
      <c r="AA3" s="415" t="str">
        <f xml:space="preserve">
IF(IFERROR(SUM(Produtividade!$L$193:$L$218)&gt;0,FALSE()),Produtividade!V17,'Mão de Obra'!V17)</f>
        <v>Posto R</v>
      </c>
      <c r="AB3" s="415" t="str">
        <f xml:space="preserve">
IF(IFERROR(SUM(Produtividade!$L$193:$L$218)&gt;0,FALSE()),Produtividade!W17,'Mão de Obra'!W17)</f>
        <v>Posto S</v>
      </c>
      <c r="AC3" s="415" t="str">
        <f xml:space="preserve">
IF(IFERROR(SUM(Produtividade!$L$193:$L$218)&gt;0,FALSE()),Produtividade!X17,'Mão de Obra'!X17)</f>
        <v>Posto T</v>
      </c>
    </row>
    <row r="4" spans="2:144" s="44" customFormat="1">
      <c r="C4" s="299"/>
      <c r="E4" s="306"/>
      <c r="F4" s="774" t="s">
        <v>554</v>
      </c>
      <c r="G4" s="775"/>
      <c r="H4" s="776"/>
      <c r="I4"/>
      <c r="J4" s="259">
        <f t="shared" ref="J4:AC4" si="0">IFERROR(ROUND(SUMPRODUCT(J6:J1002,$H$6:$H$1002),2),"")</f>
        <v>1188.04</v>
      </c>
      <c r="K4" s="259">
        <f t="shared" si="0"/>
        <v>1188.04</v>
      </c>
      <c r="L4" s="259">
        <f t="shared" si="0"/>
        <v>0</v>
      </c>
      <c r="M4" s="259">
        <f t="shared" si="0"/>
        <v>0</v>
      </c>
      <c r="N4" s="259">
        <f t="shared" si="0"/>
        <v>0</v>
      </c>
      <c r="O4" s="259">
        <f t="shared" si="0"/>
        <v>0</v>
      </c>
      <c r="P4" s="259">
        <f t="shared" si="0"/>
        <v>0</v>
      </c>
      <c r="Q4" s="259">
        <f t="shared" si="0"/>
        <v>0</v>
      </c>
      <c r="R4" s="259">
        <f t="shared" si="0"/>
        <v>0</v>
      </c>
      <c r="S4" s="259">
        <f t="shared" si="0"/>
        <v>0</v>
      </c>
      <c r="T4" s="259">
        <f t="shared" si="0"/>
        <v>0</v>
      </c>
      <c r="U4" s="259">
        <f t="shared" si="0"/>
        <v>0</v>
      </c>
      <c r="V4" s="259">
        <f t="shared" si="0"/>
        <v>0</v>
      </c>
      <c r="W4" s="259">
        <f t="shared" si="0"/>
        <v>0</v>
      </c>
      <c r="X4" s="259">
        <f t="shared" si="0"/>
        <v>0</v>
      </c>
      <c r="Y4" s="259">
        <f t="shared" si="0"/>
        <v>0</v>
      </c>
      <c r="Z4" s="259">
        <f t="shared" si="0"/>
        <v>0</v>
      </c>
      <c r="AA4" s="259">
        <f t="shared" si="0"/>
        <v>0</v>
      </c>
      <c r="AB4" s="259">
        <f t="shared" si="0"/>
        <v>0</v>
      </c>
      <c r="AC4" s="259">
        <f t="shared" si="0"/>
        <v>0</v>
      </c>
    </row>
    <row r="5" spans="2:144">
      <c r="C5"/>
      <c r="E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row>
    <row r="6" spans="2:144" s="44" customFormat="1">
      <c r="B6" s="255">
        <v>1</v>
      </c>
      <c r="C6" s="256"/>
      <c r="D6" s="257" t="s">
        <v>671</v>
      </c>
      <c r="E6" s="255" t="s">
        <v>676</v>
      </c>
      <c r="F6" s="258">
        <v>53.24</v>
      </c>
      <c r="G6" s="662"/>
      <c r="H6" s="258">
        <f>IFERROR(IF(ISNUMBER(G6),G6*'Mão de Obra'!$D$12/12,1)*F6,"")</f>
        <v>53.24</v>
      </c>
      <c r="J6" s="255">
        <v>1</v>
      </c>
      <c r="K6" s="255">
        <v>1</v>
      </c>
      <c r="L6" s="255"/>
      <c r="M6" s="255"/>
      <c r="N6" s="255"/>
      <c r="O6" s="255"/>
      <c r="P6" s="255"/>
      <c r="Q6" s="255"/>
      <c r="R6" s="255"/>
      <c r="S6" s="255"/>
      <c r="T6" s="255"/>
      <c r="U6" s="255"/>
      <c r="V6" s="255"/>
      <c r="W6" s="255"/>
      <c r="X6" s="255"/>
      <c r="Y6" s="255"/>
      <c r="Z6" s="255"/>
      <c r="AA6" s="255"/>
      <c r="AB6" s="255"/>
      <c r="AC6" s="255"/>
    </row>
    <row r="7" spans="2:144" s="44" customFormat="1">
      <c r="B7" s="255">
        <v>2</v>
      </c>
      <c r="C7" s="256"/>
      <c r="D7" s="257" t="s">
        <v>672</v>
      </c>
      <c r="E7" s="255" t="s">
        <v>493</v>
      </c>
      <c r="F7" s="258">
        <v>69.489999999999995</v>
      </c>
      <c r="G7" s="662"/>
      <c r="H7" s="258">
        <f>IFERROR(IF(ISNUMBER(G7),G7*'Mão de Obra'!$D$12/12,1)*F7,"")</f>
        <v>69.489999999999995</v>
      </c>
      <c r="J7" s="255">
        <v>2</v>
      </c>
      <c r="K7" s="255">
        <v>2</v>
      </c>
      <c r="L7" s="255"/>
      <c r="M7" s="255"/>
      <c r="N7" s="255"/>
      <c r="O7" s="255"/>
      <c r="P7" s="255"/>
      <c r="Q7" s="255"/>
      <c r="R7" s="255"/>
      <c r="S7" s="255"/>
      <c r="T7" s="255"/>
      <c r="U7" s="255"/>
      <c r="V7" s="255"/>
      <c r="W7" s="255"/>
      <c r="X7" s="255"/>
      <c r="Y7" s="255"/>
      <c r="Z7" s="255"/>
      <c r="AA7" s="255"/>
      <c r="AB7" s="255"/>
      <c r="AC7" s="255"/>
    </row>
    <row r="8" spans="2:144" s="44" customFormat="1">
      <c r="B8" s="255">
        <v>3</v>
      </c>
      <c r="C8" s="256"/>
      <c r="D8" s="257" t="s">
        <v>673</v>
      </c>
      <c r="E8" s="255" t="s">
        <v>493</v>
      </c>
      <c r="F8" s="258">
        <v>3.57</v>
      </c>
      <c r="G8" s="662"/>
      <c r="H8" s="258">
        <f>IFERROR(IF(ISNUMBER(G8),G8*'Mão de Obra'!$D$12/12,1)*F8,"")</f>
        <v>3.57</v>
      </c>
      <c r="J8" s="255">
        <v>1</v>
      </c>
      <c r="K8" s="255">
        <v>1</v>
      </c>
      <c r="L8" s="255"/>
      <c r="M8" s="255"/>
      <c r="N8" s="255"/>
      <c r="O8" s="255"/>
      <c r="P8" s="255"/>
      <c r="Q8" s="255"/>
      <c r="R8" s="255"/>
      <c r="S8" s="255"/>
      <c r="T8" s="255"/>
      <c r="U8" s="255"/>
      <c r="V8" s="255"/>
      <c r="W8" s="255"/>
      <c r="X8" s="255"/>
      <c r="Y8" s="255"/>
      <c r="Z8" s="255"/>
      <c r="AA8" s="255"/>
      <c r="AB8" s="255"/>
      <c r="AC8" s="255"/>
    </row>
    <row r="9" spans="2:144" s="44" customFormat="1">
      <c r="B9" s="255">
        <v>4</v>
      </c>
      <c r="C9" s="256"/>
      <c r="D9" s="257" t="s">
        <v>674</v>
      </c>
      <c r="E9" s="255" t="s">
        <v>493</v>
      </c>
      <c r="F9" s="258">
        <v>72.05</v>
      </c>
      <c r="G9" s="662"/>
      <c r="H9" s="258">
        <f>IFERROR(IF(ISNUMBER(G9),G9*'Mão de Obra'!$D$12/12,1)*F9,"")</f>
        <v>72.05</v>
      </c>
      <c r="J9" s="255">
        <v>2</v>
      </c>
      <c r="K9" s="255">
        <v>2</v>
      </c>
      <c r="L9" s="255"/>
      <c r="M9" s="255"/>
      <c r="N9" s="255"/>
      <c r="O9" s="255"/>
      <c r="P9" s="255"/>
      <c r="Q9" s="255"/>
      <c r="R9" s="255"/>
      <c r="S9" s="255"/>
      <c r="T9" s="255"/>
      <c r="U9" s="255"/>
      <c r="V9" s="255"/>
      <c r="W9" s="255"/>
      <c r="X9" s="255"/>
      <c r="Y9" s="255"/>
      <c r="Z9" s="255"/>
      <c r="AA9" s="255"/>
      <c r="AB9" s="255"/>
      <c r="AC9" s="255"/>
    </row>
    <row r="10" spans="2:144" s="44" customFormat="1">
      <c r="B10" s="255">
        <v>5</v>
      </c>
      <c r="C10" s="256"/>
      <c r="D10" s="257" t="s">
        <v>675</v>
      </c>
      <c r="E10" s="255" t="s">
        <v>676</v>
      </c>
      <c r="F10" s="258">
        <v>11.55</v>
      </c>
      <c r="G10" s="662"/>
      <c r="H10" s="258">
        <v>11.55</v>
      </c>
      <c r="J10" s="255">
        <v>1</v>
      </c>
      <c r="K10" s="255">
        <v>1</v>
      </c>
      <c r="L10" s="255"/>
      <c r="M10" s="255"/>
      <c r="N10" s="255"/>
      <c r="O10" s="255"/>
      <c r="P10" s="255"/>
      <c r="Q10" s="255"/>
      <c r="R10" s="255"/>
      <c r="S10" s="255"/>
      <c r="T10" s="255"/>
      <c r="U10" s="255"/>
      <c r="V10" s="255"/>
      <c r="W10" s="255"/>
      <c r="X10" s="255"/>
      <c r="Y10" s="255"/>
      <c r="Z10" s="255"/>
      <c r="AA10" s="255"/>
      <c r="AB10" s="255"/>
      <c r="AC10" s="255"/>
    </row>
    <row r="11" spans="2:144" s="44" customFormat="1">
      <c r="B11" s="255">
        <v>6</v>
      </c>
      <c r="C11" s="256"/>
      <c r="D11" s="257" t="s">
        <v>677</v>
      </c>
      <c r="E11" s="255" t="s">
        <v>676</v>
      </c>
      <c r="F11" s="258">
        <v>15.37</v>
      </c>
      <c r="G11" s="662"/>
      <c r="H11" s="258">
        <f>IFERROR(IF(ISNUMBER(G11),G11*'Mão de Obra'!$D$12/12,1)*F11,"")</f>
        <v>15.37</v>
      </c>
      <c r="J11" s="255">
        <v>1</v>
      </c>
      <c r="K11" s="255">
        <v>1</v>
      </c>
      <c r="L11" s="255"/>
      <c r="M11" s="255"/>
      <c r="N11" s="255"/>
      <c r="O11" s="255"/>
      <c r="P11" s="255"/>
      <c r="Q11" s="255"/>
      <c r="R11" s="255"/>
      <c r="S11" s="255"/>
      <c r="T11" s="255"/>
      <c r="U11" s="255"/>
      <c r="V11" s="255"/>
      <c r="W11" s="255"/>
      <c r="X11" s="255"/>
      <c r="Y11" s="255"/>
      <c r="Z11" s="255"/>
      <c r="AA11" s="255"/>
      <c r="AB11" s="255"/>
      <c r="AC11" s="255"/>
    </row>
    <row r="12" spans="2:144" s="44" customFormat="1">
      <c r="B12" s="255">
        <v>7</v>
      </c>
      <c r="C12" s="256"/>
      <c r="D12" s="257" t="s">
        <v>678</v>
      </c>
      <c r="E12" s="255" t="s">
        <v>493</v>
      </c>
      <c r="F12" s="258">
        <v>8.1199999999999992</v>
      </c>
      <c r="G12" s="662"/>
      <c r="H12" s="258">
        <f>IFERROR(IF(ISNUMBER(G12),G12*'Mão de Obra'!$D$12/12,1)*F12,"")</f>
        <v>8.1199999999999992</v>
      </c>
      <c r="J12" s="255">
        <v>1</v>
      </c>
      <c r="K12" s="255">
        <v>1</v>
      </c>
      <c r="L12" s="255"/>
      <c r="M12" s="255"/>
      <c r="N12" s="255"/>
      <c r="O12" s="255"/>
      <c r="P12" s="255"/>
      <c r="Q12" s="255"/>
      <c r="R12" s="255"/>
      <c r="S12" s="255"/>
      <c r="T12" s="255"/>
      <c r="U12" s="255"/>
      <c r="V12" s="255"/>
      <c r="W12" s="255"/>
      <c r="X12" s="255"/>
      <c r="Y12" s="255"/>
      <c r="Z12" s="255"/>
      <c r="AA12" s="255"/>
      <c r="AB12" s="255"/>
      <c r="AC12" s="255"/>
    </row>
    <row r="13" spans="2:144" s="44" customFormat="1">
      <c r="B13" s="255">
        <v>8</v>
      </c>
      <c r="C13" s="256"/>
      <c r="D13" s="257" t="s">
        <v>679</v>
      </c>
      <c r="E13" s="255" t="s">
        <v>493</v>
      </c>
      <c r="F13" s="258">
        <v>13.3</v>
      </c>
      <c r="G13" s="662"/>
      <c r="H13" s="258">
        <f>IFERROR(IF(ISNUMBER(G13),G13*'Mão de Obra'!$D$12/12,1)*F13,"")</f>
        <v>13.3</v>
      </c>
      <c r="J13" s="255">
        <v>1</v>
      </c>
      <c r="K13" s="255">
        <v>1</v>
      </c>
      <c r="L13" s="255"/>
      <c r="M13" s="255"/>
      <c r="N13" s="255"/>
      <c r="O13" s="255"/>
      <c r="P13" s="255"/>
      <c r="Q13" s="255"/>
      <c r="R13" s="255"/>
      <c r="S13" s="255"/>
      <c r="T13" s="255"/>
      <c r="U13" s="255"/>
      <c r="V13" s="255"/>
      <c r="W13" s="255"/>
      <c r="X13" s="255"/>
      <c r="Y13" s="255"/>
      <c r="Z13" s="255"/>
      <c r="AA13" s="255"/>
      <c r="AB13" s="255"/>
      <c r="AC13" s="255"/>
    </row>
    <row r="14" spans="2:144" s="44" customFormat="1">
      <c r="B14" s="255">
        <v>9</v>
      </c>
      <c r="C14" s="256"/>
      <c r="D14" s="257" t="s">
        <v>669</v>
      </c>
      <c r="E14" s="255" t="s">
        <v>670</v>
      </c>
      <c r="F14" s="258">
        <f>6.7</f>
        <v>6.7</v>
      </c>
      <c r="G14" s="662"/>
      <c r="H14" s="258">
        <f>IFERROR(IF(ISNUMBER(G14),G14*'Mão de Obra'!$D$12/12,1)*F14,"")</f>
        <v>6.7</v>
      </c>
      <c r="J14" s="255">
        <v>12</v>
      </c>
      <c r="K14" s="255">
        <v>12</v>
      </c>
      <c r="L14" s="255"/>
      <c r="M14" s="255"/>
      <c r="N14" s="255"/>
      <c r="O14" s="255"/>
      <c r="P14" s="255"/>
      <c r="Q14" s="255"/>
      <c r="R14" s="255"/>
      <c r="S14" s="255"/>
      <c r="T14" s="255"/>
      <c r="U14" s="255"/>
      <c r="V14" s="255"/>
      <c r="W14" s="255"/>
      <c r="X14" s="255"/>
      <c r="Y14" s="255"/>
      <c r="Z14" s="255"/>
      <c r="AA14" s="255"/>
      <c r="AB14" s="255"/>
      <c r="AC14" s="255"/>
    </row>
    <row r="15" spans="2:144" s="44" customFormat="1">
      <c r="B15" s="255">
        <v>10</v>
      </c>
      <c r="C15" s="256"/>
      <c r="D15" s="257" t="s">
        <v>680</v>
      </c>
      <c r="E15" s="255" t="s">
        <v>681</v>
      </c>
      <c r="F15" s="258">
        <v>4.4000000000000004</v>
      </c>
      <c r="G15" s="662"/>
      <c r="H15" s="258">
        <f>IFERROR(IF(ISNUMBER(G15),G15*'Mão de Obra'!$D$12/12,1)*F15,"")</f>
        <v>4.4000000000000004</v>
      </c>
      <c r="J15" s="255">
        <v>2</v>
      </c>
      <c r="K15" s="255">
        <v>2</v>
      </c>
      <c r="L15" s="255"/>
      <c r="M15" s="255"/>
      <c r="N15" s="255"/>
      <c r="O15" s="255"/>
      <c r="P15" s="255"/>
      <c r="Q15" s="255"/>
      <c r="R15" s="255"/>
      <c r="S15" s="255"/>
      <c r="T15" s="255"/>
      <c r="U15" s="255"/>
      <c r="V15" s="255"/>
      <c r="W15" s="255"/>
      <c r="X15" s="255"/>
      <c r="Y15" s="255"/>
      <c r="Z15" s="255"/>
      <c r="AA15" s="255"/>
      <c r="AB15" s="255"/>
      <c r="AC15" s="255"/>
    </row>
    <row r="16" spans="2:144" s="44" customFormat="1">
      <c r="B16" s="255">
        <v>11</v>
      </c>
      <c r="C16" s="256"/>
      <c r="D16" s="257" t="s">
        <v>682</v>
      </c>
      <c r="E16" s="255" t="s">
        <v>683</v>
      </c>
      <c r="F16" s="258">
        <v>87.78</v>
      </c>
      <c r="G16" s="662"/>
      <c r="H16" s="258">
        <f>IFERROR(IF(ISNUMBER(G16),G16*'Mão de Obra'!$D$12/12,1)*F16,"")</f>
        <v>87.78</v>
      </c>
      <c r="J16" s="255">
        <v>1</v>
      </c>
      <c r="K16" s="255">
        <v>1</v>
      </c>
      <c r="L16" s="255"/>
      <c r="M16" s="255"/>
      <c r="N16" s="255"/>
      <c r="O16" s="255"/>
      <c r="P16" s="255"/>
      <c r="Q16" s="255"/>
      <c r="R16" s="255"/>
      <c r="S16" s="255"/>
      <c r="T16" s="255"/>
      <c r="U16" s="255"/>
      <c r="V16" s="255"/>
      <c r="W16" s="255"/>
      <c r="X16" s="255"/>
      <c r="Y16" s="255"/>
      <c r="Z16" s="255"/>
      <c r="AA16" s="255"/>
      <c r="AB16" s="255"/>
      <c r="AC16" s="255"/>
    </row>
    <row r="17" spans="2:29" s="44" customFormat="1">
      <c r="B17" s="255">
        <v>12</v>
      </c>
      <c r="C17" s="256"/>
      <c r="D17" s="257" t="s">
        <v>684</v>
      </c>
      <c r="E17" s="255" t="s">
        <v>493</v>
      </c>
      <c r="F17" s="258">
        <v>46.7</v>
      </c>
      <c r="G17" s="662"/>
      <c r="H17" s="258">
        <f>IFERROR(IF(ISNUMBER(G17),G17*'Mão de Obra'!$D$12/12,1)*F17,"")</f>
        <v>46.7</v>
      </c>
      <c r="J17" s="255">
        <v>1</v>
      </c>
      <c r="K17" s="255">
        <v>1</v>
      </c>
      <c r="L17" s="255"/>
      <c r="M17" s="255"/>
      <c r="N17" s="255"/>
      <c r="O17" s="255"/>
      <c r="P17" s="255"/>
      <c r="Q17" s="255"/>
      <c r="R17" s="255"/>
      <c r="S17" s="255"/>
      <c r="T17" s="255"/>
      <c r="U17" s="255"/>
      <c r="V17" s="255"/>
      <c r="W17" s="255"/>
      <c r="X17" s="255"/>
      <c r="Y17" s="255"/>
      <c r="Z17" s="255"/>
      <c r="AA17" s="255"/>
      <c r="AB17" s="255"/>
      <c r="AC17" s="255"/>
    </row>
    <row r="18" spans="2:29" s="44" customFormat="1">
      <c r="B18" s="255">
        <v>13</v>
      </c>
      <c r="C18" s="256"/>
      <c r="D18" s="257" t="s">
        <v>685</v>
      </c>
      <c r="E18" s="255" t="s">
        <v>493</v>
      </c>
      <c r="F18" s="258">
        <v>36.28</v>
      </c>
      <c r="G18" s="662"/>
      <c r="H18" s="258">
        <f>IFERROR(IF(ISNUMBER(G18),G18*'Mão de Obra'!$D$12/12,1)*F18,"")</f>
        <v>36.28</v>
      </c>
      <c r="J18" s="255">
        <v>1</v>
      </c>
      <c r="K18" s="255">
        <v>1</v>
      </c>
      <c r="L18" s="255"/>
      <c r="M18" s="255"/>
      <c r="N18" s="255"/>
      <c r="O18" s="255"/>
      <c r="P18" s="255"/>
      <c r="Q18" s="255"/>
      <c r="R18" s="255"/>
      <c r="S18" s="255"/>
      <c r="T18" s="255"/>
      <c r="U18" s="255"/>
      <c r="V18" s="255"/>
      <c r="W18" s="255"/>
      <c r="X18" s="255"/>
      <c r="Y18" s="255"/>
      <c r="Z18" s="255"/>
      <c r="AA18" s="255"/>
      <c r="AB18" s="255"/>
      <c r="AC18" s="255"/>
    </row>
    <row r="19" spans="2:29" s="44" customFormat="1">
      <c r="B19" s="255">
        <v>14</v>
      </c>
      <c r="C19" s="256"/>
      <c r="D19" s="257" t="s">
        <v>689</v>
      </c>
      <c r="E19" s="255" t="s">
        <v>493</v>
      </c>
      <c r="F19" s="258">
        <v>41.26</v>
      </c>
      <c r="G19" s="662"/>
      <c r="H19" s="258">
        <v>41.26</v>
      </c>
      <c r="J19" s="255">
        <v>1</v>
      </c>
      <c r="K19" s="255">
        <v>1</v>
      </c>
      <c r="L19" s="255"/>
      <c r="M19" s="255"/>
      <c r="N19" s="255"/>
      <c r="O19" s="255"/>
      <c r="P19" s="255"/>
      <c r="Q19" s="255"/>
      <c r="R19" s="255"/>
      <c r="S19" s="255"/>
      <c r="T19" s="255"/>
      <c r="U19" s="255"/>
      <c r="V19" s="255"/>
      <c r="W19" s="255"/>
      <c r="X19" s="255"/>
      <c r="Y19" s="255"/>
      <c r="Z19" s="255"/>
      <c r="AA19" s="255"/>
      <c r="AB19" s="255"/>
      <c r="AC19" s="255"/>
    </row>
    <row r="20" spans="2:29" s="44" customFormat="1">
      <c r="B20" s="255">
        <v>15</v>
      </c>
      <c r="C20" s="256"/>
      <c r="D20" s="257" t="s">
        <v>686</v>
      </c>
      <c r="E20" s="255" t="s">
        <v>683</v>
      </c>
      <c r="F20" s="258">
        <v>67.47</v>
      </c>
      <c r="G20" s="662"/>
      <c r="H20" s="258">
        <f>IFERROR(IF(ISNUMBER(G20),G20*'Mão de Obra'!$D$12/12,1)*F20,"")</f>
        <v>67.47</v>
      </c>
      <c r="J20" s="255">
        <v>1</v>
      </c>
      <c r="K20" s="255">
        <v>1</v>
      </c>
      <c r="L20" s="255"/>
      <c r="M20" s="255"/>
      <c r="N20" s="255"/>
      <c r="O20" s="255"/>
      <c r="P20" s="255"/>
      <c r="Q20" s="255"/>
      <c r="R20" s="255"/>
      <c r="S20" s="255"/>
      <c r="T20" s="255"/>
      <c r="U20" s="255"/>
      <c r="V20" s="255"/>
      <c r="W20" s="255"/>
      <c r="X20" s="255"/>
      <c r="Y20" s="255"/>
      <c r="Z20" s="255"/>
      <c r="AA20" s="255"/>
      <c r="AB20" s="255"/>
      <c r="AC20" s="255"/>
    </row>
    <row r="21" spans="2:29" s="44" customFormat="1">
      <c r="B21" s="255">
        <v>16</v>
      </c>
      <c r="C21" s="256"/>
      <c r="D21" s="257" t="s">
        <v>690</v>
      </c>
      <c r="E21" s="255" t="s">
        <v>683</v>
      </c>
      <c r="F21" s="258">
        <v>67.72</v>
      </c>
      <c r="G21" s="662"/>
      <c r="H21" s="258">
        <v>67.72</v>
      </c>
      <c r="J21" s="255">
        <v>1</v>
      </c>
      <c r="K21" s="255">
        <v>1</v>
      </c>
      <c r="L21" s="255"/>
      <c r="M21" s="255"/>
      <c r="N21" s="255"/>
      <c r="O21" s="255"/>
      <c r="P21" s="255"/>
      <c r="Q21" s="255"/>
      <c r="R21" s="255"/>
      <c r="S21" s="255"/>
      <c r="T21" s="255"/>
      <c r="U21" s="255"/>
      <c r="V21" s="255"/>
      <c r="W21" s="255"/>
      <c r="X21" s="255"/>
      <c r="Y21" s="255"/>
      <c r="Z21" s="255"/>
      <c r="AA21" s="255"/>
      <c r="AB21" s="255"/>
      <c r="AC21" s="255"/>
    </row>
    <row r="22" spans="2:29" s="44" customFormat="1">
      <c r="B22" s="255">
        <v>17</v>
      </c>
      <c r="C22" s="256"/>
      <c r="D22" s="257" t="s">
        <v>687</v>
      </c>
      <c r="E22" s="255" t="s">
        <v>493</v>
      </c>
      <c r="F22" s="258">
        <v>322.23</v>
      </c>
      <c r="G22" s="662"/>
      <c r="H22" s="258">
        <f>IFERROR(IF(ISNUMBER(G22),G22*'Mão de Obra'!$D$12/12,1)*F22,"")</f>
        <v>322.23</v>
      </c>
      <c r="J22" s="255">
        <v>1</v>
      </c>
      <c r="K22" s="255">
        <v>1</v>
      </c>
      <c r="L22" s="255"/>
      <c r="M22" s="255"/>
      <c r="N22" s="255"/>
      <c r="O22" s="255"/>
      <c r="P22" s="255"/>
      <c r="Q22" s="255"/>
      <c r="R22" s="255"/>
      <c r="S22" s="255"/>
      <c r="T22" s="255"/>
      <c r="U22" s="255"/>
      <c r="V22" s="255"/>
      <c r="W22" s="255"/>
      <c r="X22" s="255"/>
      <c r="Y22" s="255"/>
      <c r="Z22" s="255"/>
      <c r="AA22" s="255"/>
      <c r="AB22" s="255"/>
      <c r="AC22" s="255"/>
    </row>
    <row r="23" spans="2:29" s="44" customFormat="1">
      <c r="B23" s="255">
        <v>18</v>
      </c>
      <c r="C23" s="256"/>
      <c r="D23" s="257" t="s">
        <v>688</v>
      </c>
      <c r="E23" s="255"/>
      <c r="F23" s="258">
        <v>41.17</v>
      </c>
      <c r="G23" s="662"/>
      <c r="H23" s="258">
        <f>IFERROR(IF(ISNUMBER(G23),G23*'Mão de Obra'!$D$12/12,1)*F23,"")</f>
        <v>41.17</v>
      </c>
      <c r="J23" s="255">
        <v>1</v>
      </c>
      <c r="K23" s="255">
        <v>1</v>
      </c>
      <c r="L23" s="255"/>
      <c r="M23" s="255"/>
      <c r="N23" s="255"/>
      <c r="O23" s="255"/>
      <c r="P23" s="255"/>
      <c r="Q23" s="255"/>
      <c r="R23" s="255"/>
      <c r="S23" s="255"/>
      <c r="T23" s="255"/>
      <c r="U23" s="255"/>
      <c r="V23" s="255"/>
      <c r="W23" s="255"/>
      <c r="X23" s="255"/>
      <c r="Y23" s="255"/>
      <c r="Z23" s="255"/>
      <c r="AA23" s="255"/>
      <c r="AB23" s="255"/>
      <c r="AC23" s="255"/>
    </row>
    <row r="24" spans="2:29" s="44" customFormat="1">
      <c r="B24" s="255"/>
      <c r="C24" s="256"/>
      <c r="D24" s="257"/>
      <c r="E24" s="255"/>
      <c r="F24" s="258"/>
      <c r="G24" s="662"/>
      <c r="H24" s="258"/>
      <c r="J24" s="255"/>
      <c r="K24" s="255"/>
      <c r="L24" s="255"/>
      <c r="M24" s="255"/>
      <c r="N24" s="255"/>
      <c r="O24" s="255"/>
      <c r="P24" s="255"/>
      <c r="Q24" s="255"/>
      <c r="R24" s="255"/>
      <c r="S24" s="255"/>
      <c r="T24" s="255"/>
      <c r="U24" s="255"/>
      <c r="V24" s="255"/>
      <c r="W24" s="255"/>
      <c r="X24" s="255"/>
      <c r="Y24" s="255"/>
      <c r="Z24" s="255"/>
      <c r="AA24" s="255"/>
      <c r="AB24" s="255"/>
      <c r="AC24" s="255"/>
    </row>
    <row r="25" spans="2:29" s="44" customFormat="1">
      <c r="B25" s="255"/>
      <c r="C25" s="256"/>
      <c r="D25" s="257"/>
      <c r="E25" s="255"/>
      <c r="F25" s="258"/>
      <c r="G25" s="662"/>
      <c r="H25" s="258"/>
      <c r="J25" s="255"/>
      <c r="K25" s="255"/>
      <c r="L25" s="255"/>
      <c r="M25" s="255"/>
      <c r="N25" s="255"/>
      <c r="O25" s="255"/>
      <c r="P25" s="255"/>
      <c r="Q25" s="255"/>
      <c r="R25" s="255"/>
      <c r="S25" s="255"/>
      <c r="T25" s="255"/>
      <c r="U25" s="255"/>
      <c r="V25" s="255"/>
      <c r="W25" s="255"/>
      <c r="X25" s="255"/>
      <c r="Y25" s="255"/>
      <c r="Z25" s="255"/>
      <c r="AA25" s="255"/>
      <c r="AB25" s="255"/>
      <c r="AC25" s="255"/>
    </row>
    <row r="26" spans="2:29" s="44" customFormat="1">
      <c r="B26" s="255"/>
      <c r="C26" s="256"/>
      <c r="D26" s="257"/>
      <c r="E26" s="255"/>
      <c r="F26" s="258"/>
      <c r="G26" s="662"/>
      <c r="H26" s="258"/>
      <c r="J26" s="255"/>
      <c r="K26" s="255"/>
      <c r="L26" s="255"/>
      <c r="M26" s="255"/>
      <c r="N26" s="255"/>
      <c r="O26" s="255"/>
      <c r="P26" s="255"/>
      <c r="Q26" s="255"/>
      <c r="R26" s="255"/>
      <c r="S26" s="255"/>
      <c r="T26" s="255"/>
      <c r="U26" s="255"/>
      <c r="V26" s="255"/>
      <c r="W26" s="255"/>
      <c r="X26" s="255"/>
      <c r="Y26" s="255"/>
      <c r="Z26" s="255"/>
      <c r="AA26" s="255"/>
      <c r="AB26" s="255"/>
      <c r="AC26" s="255"/>
    </row>
    <row r="27" spans="2:29" s="44" customFormat="1">
      <c r="B27" s="255"/>
      <c r="C27" s="256"/>
      <c r="D27" s="257"/>
      <c r="E27" s="255"/>
      <c r="F27" s="258"/>
      <c r="G27" s="662"/>
      <c r="H27" s="258"/>
      <c r="J27" s="255"/>
      <c r="K27" s="255"/>
      <c r="L27" s="255"/>
      <c r="M27" s="255"/>
      <c r="N27" s="255"/>
      <c r="O27" s="255"/>
      <c r="P27" s="255"/>
      <c r="Q27" s="255"/>
      <c r="R27" s="255"/>
      <c r="S27" s="255"/>
      <c r="T27" s="255"/>
      <c r="U27" s="255"/>
      <c r="V27" s="255"/>
      <c r="W27" s="255"/>
      <c r="X27" s="255"/>
      <c r="Y27" s="255"/>
      <c r="Z27" s="255"/>
      <c r="AA27" s="255"/>
      <c r="AB27" s="255"/>
      <c r="AC27" s="255"/>
    </row>
    <row r="28" spans="2:29" s="44" customFormat="1">
      <c r="C28" s="299"/>
      <c r="E28" s="306"/>
    </row>
    <row r="29" spans="2:29" s="44" customFormat="1">
      <c r="C29" s="299"/>
      <c r="E29" s="306"/>
    </row>
    <row r="30" spans="2:29" s="44" customFormat="1">
      <c r="C30" s="299"/>
      <c r="E30" s="306"/>
    </row>
    <row r="31" spans="2:29" s="44" customFormat="1">
      <c r="C31" s="299"/>
      <c r="E31" s="306"/>
    </row>
    <row r="32" spans="2:29" s="44" customFormat="1">
      <c r="C32" s="299"/>
      <c r="E32" s="306"/>
    </row>
    <row r="33" spans="3:5" s="44" customFormat="1">
      <c r="C33" s="299"/>
      <c r="E33" s="306"/>
    </row>
    <row r="34" spans="3:5" s="44" customFormat="1">
      <c r="C34" s="299"/>
      <c r="E34" s="306"/>
    </row>
    <row r="35" spans="3:5" s="44" customFormat="1">
      <c r="C35" s="299"/>
      <c r="E35" s="306"/>
    </row>
    <row r="36" spans="3:5" s="44" customFormat="1">
      <c r="C36" s="299"/>
      <c r="E36" s="306"/>
    </row>
    <row r="37" spans="3:5" s="44" customFormat="1">
      <c r="C37" s="299"/>
      <c r="E37" s="306"/>
    </row>
    <row r="38" spans="3:5" s="44" customFormat="1">
      <c r="C38" s="299"/>
      <c r="E38" s="306"/>
    </row>
    <row r="39" spans="3:5" s="44" customFormat="1">
      <c r="C39" s="299"/>
      <c r="E39" s="306"/>
    </row>
    <row r="40" spans="3:5" s="44" customFormat="1">
      <c r="C40" s="299"/>
      <c r="E40" s="306"/>
    </row>
    <row r="41" spans="3:5" s="44" customFormat="1">
      <c r="C41" s="299"/>
      <c r="E41" s="306"/>
    </row>
    <row r="42" spans="3:5" s="44" customFormat="1">
      <c r="C42" s="299"/>
      <c r="E42" s="306"/>
    </row>
    <row r="43" spans="3:5" s="44" customFormat="1">
      <c r="C43" s="299"/>
      <c r="E43" s="306"/>
    </row>
    <row r="44" spans="3:5" s="44" customFormat="1">
      <c r="C44" s="299"/>
      <c r="E44" s="306"/>
    </row>
    <row r="45" spans="3:5" s="44" customFormat="1">
      <c r="C45" s="299"/>
      <c r="E45" s="306"/>
    </row>
    <row r="46" spans="3:5" s="44" customFormat="1">
      <c r="C46" s="299"/>
      <c r="E46" s="306"/>
    </row>
    <row r="47" spans="3:5" s="44" customFormat="1">
      <c r="C47" s="299"/>
      <c r="E47" s="306"/>
    </row>
    <row r="48" spans="3:5" s="44" customFormat="1">
      <c r="C48" s="299"/>
      <c r="E48" s="306"/>
    </row>
    <row r="49" spans="3:5" s="44" customFormat="1">
      <c r="C49" s="299"/>
      <c r="E49" s="306"/>
    </row>
    <row r="50" spans="3:5" s="44" customFormat="1">
      <c r="C50" s="299"/>
      <c r="E50" s="306"/>
    </row>
    <row r="51" spans="3:5" s="44" customFormat="1">
      <c r="C51" s="299"/>
      <c r="E51" s="306"/>
    </row>
    <row r="52" spans="3:5" s="44" customFormat="1">
      <c r="C52" s="299"/>
      <c r="E52" s="306"/>
    </row>
    <row r="53" spans="3:5" s="44" customFormat="1">
      <c r="C53" s="299"/>
      <c r="E53" s="306"/>
    </row>
    <row r="54" spans="3:5" s="44" customFormat="1">
      <c r="C54" s="299"/>
      <c r="E54" s="306"/>
    </row>
    <row r="55" spans="3:5" s="44" customFormat="1">
      <c r="C55" s="299"/>
      <c r="E55" s="306"/>
    </row>
    <row r="56" spans="3:5" s="44" customFormat="1">
      <c r="C56" s="299"/>
      <c r="E56" s="306"/>
    </row>
    <row r="57" spans="3:5" s="44" customFormat="1">
      <c r="C57" s="299"/>
      <c r="E57" s="306"/>
    </row>
    <row r="58" spans="3:5" s="44" customFormat="1">
      <c r="C58" s="299"/>
      <c r="E58" s="306"/>
    </row>
    <row r="59" spans="3:5" s="44" customFormat="1">
      <c r="C59" s="299"/>
      <c r="E59" s="306"/>
    </row>
    <row r="60" spans="3:5" s="44" customFormat="1">
      <c r="C60" s="299"/>
      <c r="E60" s="306"/>
    </row>
    <row r="61" spans="3:5" s="44" customFormat="1">
      <c r="C61" s="299"/>
      <c r="E61" s="306"/>
    </row>
    <row r="62" spans="3:5" s="44" customFormat="1">
      <c r="C62" s="299"/>
      <c r="E62" s="306"/>
    </row>
    <row r="63" spans="3:5" s="44" customFormat="1">
      <c r="C63" s="299"/>
      <c r="E63" s="306"/>
    </row>
    <row r="64" spans="3:5" s="44" customFormat="1">
      <c r="C64" s="299"/>
      <c r="E64" s="306"/>
    </row>
    <row r="65" spans="3:5" s="44" customFormat="1">
      <c r="C65" s="299"/>
      <c r="E65" s="306"/>
    </row>
    <row r="66" spans="3:5" s="44" customFormat="1">
      <c r="C66" s="299"/>
      <c r="E66" s="306"/>
    </row>
    <row r="67" spans="3:5" s="44" customFormat="1">
      <c r="C67" s="299"/>
      <c r="E67" s="306"/>
    </row>
    <row r="68" spans="3:5" s="44" customFormat="1">
      <c r="C68" s="299"/>
      <c r="E68" s="306"/>
    </row>
    <row r="69" spans="3:5" s="44" customFormat="1">
      <c r="C69" s="299"/>
      <c r="E69" s="306"/>
    </row>
    <row r="70" spans="3:5" s="44" customFormat="1">
      <c r="C70" s="299"/>
      <c r="E70" s="306"/>
    </row>
    <row r="71" spans="3:5" s="44" customFormat="1">
      <c r="C71" s="299"/>
      <c r="E71" s="306"/>
    </row>
    <row r="72" spans="3:5" s="44" customFormat="1">
      <c r="C72" s="299"/>
      <c r="E72" s="306"/>
    </row>
    <row r="73" spans="3:5" s="44" customFormat="1">
      <c r="C73" s="299"/>
      <c r="E73" s="306"/>
    </row>
    <row r="74" spans="3:5" s="44" customFormat="1">
      <c r="C74" s="299"/>
      <c r="E74" s="306"/>
    </row>
    <row r="75" spans="3:5" s="44" customFormat="1">
      <c r="C75" s="299"/>
      <c r="E75" s="306"/>
    </row>
    <row r="76" spans="3:5" s="44" customFormat="1">
      <c r="C76" s="299"/>
      <c r="E76" s="306"/>
    </row>
    <row r="77" spans="3:5" s="44" customFormat="1">
      <c r="C77" s="299"/>
      <c r="E77" s="306"/>
    </row>
    <row r="78" spans="3:5" s="44" customFormat="1">
      <c r="C78" s="299"/>
      <c r="E78" s="306"/>
    </row>
    <row r="79" spans="3:5" s="44" customFormat="1">
      <c r="C79" s="299"/>
      <c r="E79" s="306"/>
    </row>
    <row r="80" spans="3:5" s="44" customFormat="1">
      <c r="C80" s="299"/>
      <c r="E80" s="306"/>
    </row>
    <row r="81" spans="3:5" s="44" customFormat="1">
      <c r="C81" s="299"/>
      <c r="E81" s="306"/>
    </row>
    <row r="82" spans="3:5" s="44" customFormat="1">
      <c r="C82" s="299"/>
      <c r="E82" s="306"/>
    </row>
    <row r="83" spans="3:5" s="44" customFormat="1">
      <c r="C83" s="299"/>
      <c r="E83" s="306"/>
    </row>
    <row r="84" spans="3:5" s="44" customFormat="1">
      <c r="C84" s="299"/>
      <c r="E84" s="306"/>
    </row>
    <row r="85" spans="3:5" s="44" customFormat="1">
      <c r="C85" s="299"/>
      <c r="E85" s="306"/>
    </row>
    <row r="86" spans="3:5" s="44" customFormat="1">
      <c r="C86" s="299"/>
      <c r="E86" s="306"/>
    </row>
    <row r="87" spans="3:5" s="44" customFormat="1">
      <c r="C87" s="299"/>
      <c r="E87" s="306"/>
    </row>
    <row r="88" spans="3:5" s="44" customFormat="1">
      <c r="C88" s="299"/>
      <c r="E88" s="306"/>
    </row>
    <row r="89" spans="3:5" s="44" customFormat="1">
      <c r="C89" s="299"/>
      <c r="E89" s="306"/>
    </row>
    <row r="90" spans="3:5" s="44" customFormat="1">
      <c r="C90" s="299"/>
      <c r="E90" s="306"/>
    </row>
    <row r="91" spans="3:5" s="44" customFormat="1">
      <c r="C91" s="299"/>
      <c r="E91" s="306"/>
    </row>
    <row r="92" spans="3:5" s="44" customFormat="1">
      <c r="C92" s="299"/>
      <c r="E92" s="306"/>
    </row>
    <row r="93" spans="3:5" s="44" customFormat="1">
      <c r="C93" s="299"/>
      <c r="E93" s="306"/>
    </row>
    <row r="94" spans="3:5" s="44" customFormat="1">
      <c r="C94" s="299"/>
      <c r="E94" s="306"/>
    </row>
    <row r="95" spans="3:5" s="44" customFormat="1">
      <c r="C95" s="299"/>
      <c r="E95" s="306"/>
    </row>
    <row r="96" spans="3:5" s="44" customFormat="1">
      <c r="C96" s="299"/>
      <c r="E96" s="306"/>
    </row>
    <row r="97" spans="3:5" s="44" customFormat="1">
      <c r="C97" s="299"/>
      <c r="E97" s="306"/>
    </row>
    <row r="98" spans="3:5" s="44" customFormat="1">
      <c r="C98" s="299"/>
      <c r="E98" s="306"/>
    </row>
    <row r="99" spans="3:5" s="44" customFormat="1">
      <c r="C99" s="299"/>
      <c r="E99" s="306"/>
    </row>
    <row r="100" spans="3:5" s="44" customFormat="1">
      <c r="C100" s="299"/>
      <c r="E100" s="306"/>
    </row>
    <row r="101" spans="3:5" s="44" customFormat="1">
      <c r="C101" s="299"/>
      <c r="E101" s="306"/>
    </row>
    <row r="102" spans="3:5" s="44" customFormat="1">
      <c r="C102" s="299"/>
      <c r="E102" s="306"/>
    </row>
    <row r="103" spans="3:5" s="44" customFormat="1">
      <c r="C103" s="299"/>
      <c r="E103" s="306"/>
    </row>
    <row r="104" spans="3:5" s="44" customFormat="1">
      <c r="C104" s="299"/>
      <c r="E104" s="306"/>
    </row>
    <row r="105" spans="3:5" s="44" customFormat="1">
      <c r="C105" s="299"/>
      <c r="E105" s="306"/>
    </row>
    <row r="106" spans="3:5" s="44" customFormat="1">
      <c r="C106" s="299"/>
      <c r="E106" s="306"/>
    </row>
    <row r="107" spans="3:5" s="44" customFormat="1">
      <c r="C107" s="299"/>
      <c r="E107" s="306"/>
    </row>
    <row r="108" spans="3:5" s="44" customFormat="1">
      <c r="C108" s="299"/>
      <c r="E108" s="306"/>
    </row>
    <row r="109" spans="3:5" s="44" customFormat="1">
      <c r="C109" s="299"/>
      <c r="E109" s="306"/>
    </row>
    <row r="110" spans="3:5" s="44" customFormat="1">
      <c r="C110" s="299"/>
      <c r="E110" s="306"/>
    </row>
    <row r="111" spans="3:5" s="44" customFormat="1">
      <c r="C111" s="299"/>
      <c r="E111" s="306"/>
    </row>
    <row r="112" spans="3:5" s="44" customFormat="1">
      <c r="C112" s="299"/>
      <c r="E112" s="306"/>
    </row>
    <row r="113" spans="3:5" s="44" customFormat="1">
      <c r="C113" s="299"/>
      <c r="E113" s="306"/>
    </row>
    <row r="114" spans="3:5" s="44" customFormat="1">
      <c r="C114" s="299"/>
      <c r="E114" s="306"/>
    </row>
    <row r="115" spans="3:5" s="44" customFormat="1">
      <c r="C115" s="299"/>
      <c r="E115" s="306"/>
    </row>
    <row r="116" spans="3:5" s="44" customFormat="1">
      <c r="C116" s="299"/>
      <c r="E116" s="306"/>
    </row>
    <row r="117" spans="3:5" s="44" customFormat="1">
      <c r="C117" s="299"/>
      <c r="E117" s="306"/>
    </row>
    <row r="118" spans="3:5" s="44" customFormat="1">
      <c r="C118" s="299"/>
      <c r="E118" s="306"/>
    </row>
    <row r="119" spans="3:5" s="44" customFormat="1">
      <c r="C119" s="299"/>
      <c r="E119" s="306"/>
    </row>
    <row r="120" spans="3:5" s="44" customFormat="1">
      <c r="C120" s="299"/>
      <c r="E120" s="306"/>
    </row>
    <row r="121" spans="3:5" s="44" customFormat="1">
      <c r="C121" s="299"/>
      <c r="E121" s="306"/>
    </row>
    <row r="122" spans="3:5" s="44" customFormat="1">
      <c r="C122" s="299"/>
      <c r="E122" s="306"/>
    </row>
    <row r="123" spans="3:5" s="44" customFormat="1">
      <c r="C123" s="299"/>
      <c r="E123" s="306"/>
    </row>
    <row r="124" spans="3:5" s="44" customFormat="1">
      <c r="C124" s="299"/>
      <c r="E124" s="306"/>
    </row>
    <row r="125" spans="3:5" s="44" customFormat="1">
      <c r="C125" s="299"/>
      <c r="E125" s="306"/>
    </row>
    <row r="126" spans="3:5" s="44" customFormat="1">
      <c r="C126" s="299"/>
      <c r="E126" s="306"/>
    </row>
    <row r="127" spans="3:5" s="44" customFormat="1">
      <c r="C127" s="299"/>
      <c r="E127" s="306"/>
    </row>
    <row r="128" spans="3:5" s="44" customFormat="1">
      <c r="C128" s="299"/>
      <c r="E128" s="306"/>
    </row>
    <row r="129" spans="3:5" s="44" customFormat="1">
      <c r="C129" s="299"/>
      <c r="E129" s="306"/>
    </row>
    <row r="130" spans="3:5" s="44" customFormat="1">
      <c r="C130" s="299"/>
      <c r="E130" s="306"/>
    </row>
    <row r="131" spans="3:5" s="44" customFormat="1">
      <c r="C131" s="299"/>
      <c r="E131" s="306"/>
    </row>
    <row r="132" spans="3:5" s="44" customFormat="1">
      <c r="C132" s="299"/>
      <c r="E132" s="306"/>
    </row>
    <row r="133" spans="3:5" s="44" customFormat="1">
      <c r="C133" s="299"/>
      <c r="E133" s="306"/>
    </row>
    <row r="134" spans="3:5" s="44" customFormat="1">
      <c r="C134" s="299"/>
      <c r="E134" s="306"/>
    </row>
    <row r="135" spans="3:5" s="44" customFormat="1">
      <c r="C135" s="299"/>
      <c r="E135" s="306"/>
    </row>
    <row r="136" spans="3:5" s="44" customFormat="1">
      <c r="C136" s="299"/>
      <c r="E136" s="306"/>
    </row>
    <row r="137" spans="3:5" s="44" customFormat="1">
      <c r="C137" s="299"/>
      <c r="E137" s="306"/>
    </row>
    <row r="138" spans="3:5" s="44" customFormat="1">
      <c r="C138" s="299"/>
      <c r="E138" s="306"/>
    </row>
    <row r="139" spans="3:5" s="44" customFormat="1">
      <c r="C139" s="299"/>
      <c r="E139" s="306"/>
    </row>
    <row r="140" spans="3:5" s="44" customFormat="1">
      <c r="C140" s="299"/>
      <c r="E140" s="306"/>
    </row>
    <row r="141" spans="3:5" s="44" customFormat="1">
      <c r="C141" s="299"/>
      <c r="E141" s="306"/>
    </row>
    <row r="142" spans="3:5" s="44" customFormat="1">
      <c r="C142" s="299"/>
      <c r="E142" s="306"/>
    </row>
    <row r="143" spans="3:5" s="44" customFormat="1">
      <c r="C143" s="299"/>
      <c r="E143" s="306"/>
    </row>
    <row r="144" spans="3:5" s="44" customFormat="1">
      <c r="C144" s="299"/>
      <c r="E144" s="306"/>
    </row>
    <row r="145" spans="3:5" s="44" customFormat="1">
      <c r="C145" s="299"/>
      <c r="E145" s="306"/>
    </row>
    <row r="146" spans="3:5" s="44" customFormat="1">
      <c r="C146" s="299"/>
      <c r="E146" s="306"/>
    </row>
    <row r="147" spans="3:5" s="44" customFormat="1">
      <c r="C147" s="299"/>
      <c r="E147" s="306"/>
    </row>
    <row r="148" spans="3:5" s="44" customFormat="1">
      <c r="C148" s="299"/>
      <c r="E148" s="306"/>
    </row>
    <row r="149" spans="3:5" s="44" customFormat="1">
      <c r="C149" s="299"/>
      <c r="E149" s="306"/>
    </row>
    <row r="150" spans="3:5" s="44" customFormat="1">
      <c r="C150" s="299"/>
      <c r="E150" s="306"/>
    </row>
    <row r="151" spans="3:5" s="44" customFormat="1">
      <c r="C151" s="299"/>
      <c r="E151" s="306"/>
    </row>
    <row r="152" spans="3:5" s="44" customFormat="1">
      <c r="C152" s="299"/>
      <c r="E152" s="306"/>
    </row>
    <row r="153" spans="3:5" s="44" customFormat="1">
      <c r="C153" s="299"/>
      <c r="E153" s="306"/>
    </row>
    <row r="154" spans="3:5" s="44" customFormat="1">
      <c r="C154" s="299"/>
      <c r="E154" s="306"/>
    </row>
    <row r="155" spans="3:5" s="44" customFormat="1">
      <c r="C155" s="299"/>
      <c r="E155" s="306"/>
    </row>
    <row r="156" spans="3:5" s="44" customFormat="1">
      <c r="C156" s="299"/>
      <c r="E156" s="306"/>
    </row>
    <row r="157" spans="3:5" s="44" customFormat="1">
      <c r="C157" s="299"/>
      <c r="E157" s="306"/>
    </row>
    <row r="158" spans="3:5" s="44" customFormat="1">
      <c r="C158" s="299"/>
      <c r="E158" s="306"/>
    </row>
    <row r="159" spans="3:5" s="44" customFormat="1">
      <c r="C159" s="299"/>
      <c r="E159" s="306"/>
    </row>
    <row r="160" spans="3:5" s="44" customFormat="1">
      <c r="C160" s="299"/>
      <c r="E160" s="306"/>
    </row>
    <row r="161" spans="3:5" s="44" customFormat="1">
      <c r="C161" s="299"/>
      <c r="E161" s="306"/>
    </row>
    <row r="162" spans="3:5" s="44" customFormat="1">
      <c r="C162" s="299"/>
      <c r="E162" s="306"/>
    </row>
    <row r="163" spans="3:5" s="44" customFormat="1">
      <c r="C163" s="299"/>
      <c r="E163" s="306"/>
    </row>
    <row r="164" spans="3:5" s="44" customFormat="1">
      <c r="C164" s="299"/>
      <c r="E164" s="306"/>
    </row>
    <row r="165" spans="3:5" s="44" customFormat="1">
      <c r="C165" s="299"/>
      <c r="E165" s="306"/>
    </row>
    <row r="166" spans="3:5" s="44" customFormat="1">
      <c r="C166" s="299"/>
      <c r="E166" s="306"/>
    </row>
    <row r="167" spans="3:5" s="44" customFormat="1">
      <c r="C167" s="299"/>
      <c r="E167" s="306"/>
    </row>
    <row r="168" spans="3:5" s="44" customFormat="1">
      <c r="C168" s="299"/>
      <c r="E168" s="306"/>
    </row>
    <row r="169" spans="3:5" s="44" customFormat="1">
      <c r="C169" s="299"/>
      <c r="E169" s="306"/>
    </row>
    <row r="170" spans="3:5" s="44" customFormat="1">
      <c r="C170" s="299"/>
      <c r="E170" s="306"/>
    </row>
    <row r="171" spans="3:5" s="44" customFormat="1">
      <c r="C171" s="299"/>
      <c r="E171" s="306"/>
    </row>
    <row r="172" spans="3:5" s="44" customFormat="1">
      <c r="C172" s="299"/>
      <c r="E172" s="306"/>
    </row>
    <row r="173" spans="3:5" s="44" customFormat="1">
      <c r="C173" s="299"/>
      <c r="E173" s="306"/>
    </row>
    <row r="174" spans="3:5" s="44" customFormat="1">
      <c r="C174" s="299"/>
      <c r="E174" s="306"/>
    </row>
    <row r="175" spans="3:5" s="44" customFormat="1">
      <c r="C175" s="299"/>
      <c r="E175" s="306"/>
    </row>
    <row r="176" spans="3:5" s="44" customFormat="1">
      <c r="C176" s="299"/>
      <c r="E176" s="306"/>
    </row>
    <row r="177" spans="3:5" s="44" customFormat="1">
      <c r="C177" s="299"/>
      <c r="E177" s="306"/>
    </row>
    <row r="178" spans="3:5" s="44" customFormat="1">
      <c r="C178" s="299"/>
      <c r="E178" s="306"/>
    </row>
    <row r="179" spans="3:5" s="44" customFormat="1">
      <c r="C179" s="299"/>
      <c r="E179" s="306"/>
    </row>
    <row r="180" spans="3:5" s="44" customFormat="1">
      <c r="C180" s="299"/>
      <c r="E180" s="306"/>
    </row>
    <row r="181" spans="3:5" s="44" customFormat="1">
      <c r="C181" s="299"/>
      <c r="E181" s="306"/>
    </row>
    <row r="182" spans="3:5" s="44" customFormat="1">
      <c r="C182" s="299"/>
      <c r="E182" s="306"/>
    </row>
    <row r="183" spans="3:5" s="44" customFormat="1">
      <c r="C183" s="299"/>
      <c r="E183" s="306"/>
    </row>
    <row r="184" spans="3:5" s="44" customFormat="1">
      <c r="C184" s="299"/>
      <c r="E184" s="306"/>
    </row>
    <row r="185" spans="3:5" s="44" customFormat="1">
      <c r="C185" s="299"/>
      <c r="E185" s="306"/>
    </row>
    <row r="186" spans="3:5" s="44" customFormat="1">
      <c r="C186" s="299"/>
      <c r="E186" s="306"/>
    </row>
    <row r="187" spans="3:5" s="44" customFormat="1">
      <c r="C187" s="299"/>
      <c r="E187" s="306"/>
    </row>
    <row r="188" spans="3:5" s="44" customFormat="1">
      <c r="C188" s="299"/>
      <c r="E188" s="306"/>
    </row>
    <row r="189" spans="3:5" s="44" customFormat="1">
      <c r="C189" s="299"/>
      <c r="E189" s="306"/>
    </row>
    <row r="190" spans="3:5" s="44" customFormat="1">
      <c r="C190" s="299"/>
      <c r="E190" s="306"/>
    </row>
    <row r="191" spans="3:5" s="44" customFormat="1">
      <c r="C191" s="299"/>
      <c r="E191" s="306"/>
    </row>
    <row r="192" spans="3:5" s="44" customFormat="1">
      <c r="C192" s="299"/>
      <c r="E192" s="306"/>
    </row>
    <row r="193" spans="3:5" s="44" customFormat="1">
      <c r="C193" s="299"/>
      <c r="E193" s="306"/>
    </row>
    <row r="194" spans="3:5" s="44" customFormat="1">
      <c r="C194" s="299"/>
      <c r="E194" s="306"/>
    </row>
    <row r="195" spans="3:5" s="44" customFormat="1">
      <c r="C195" s="299"/>
      <c r="E195" s="306"/>
    </row>
    <row r="196" spans="3:5" s="44" customFormat="1">
      <c r="C196" s="299"/>
      <c r="E196" s="306"/>
    </row>
    <row r="197" spans="3:5" s="44" customFormat="1">
      <c r="C197" s="299"/>
      <c r="E197" s="306"/>
    </row>
    <row r="198" spans="3:5" s="44" customFormat="1">
      <c r="C198" s="299"/>
      <c r="E198" s="306"/>
    </row>
    <row r="199" spans="3:5" s="44" customFormat="1">
      <c r="C199" s="299"/>
      <c r="E199" s="306"/>
    </row>
    <row r="200" spans="3:5" s="44" customFormat="1">
      <c r="C200" s="299"/>
      <c r="E200" s="306"/>
    </row>
    <row r="201" spans="3:5" s="44" customFormat="1">
      <c r="C201" s="299"/>
      <c r="E201" s="306"/>
    </row>
    <row r="202" spans="3:5" s="44" customFormat="1">
      <c r="C202" s="299"/>
      <c r="E202" s="306"/>
    </row>
    <row r="203" spans="3:5" s="44" customFormat="1">
      <c r="C203" s="299"/>
      <c r="E203" s="306"/>
    </row>
    <row r="204" spans="3:5" s="44" customFormat="1">
      <c r="C204" s="299"/>
      <c r="E204" s="306"/>
    </row>
    <row r="205" spans="3:5" s="44" customFormat="1">
      <c r="C205" s="299"/>
      <c r="E205" s="306"/>
    </row>
    <row r="206" spans="3:5" s="44" customFormat="1">
      <c r="C206" s="299"/>
      <c r="E206" s="306"/>
    </row>
    <row r="207" spans="3:5" s="44" customFormat="1">
      <c r="C207" s="299"/>
      <c r="E207" s="306"/>
    </row>
    <row r="208" spans="3:5" s="44" customFormat="1">
      <c r="C208" s="299"/>
      <c r="E208" s="306"/>
    </row>
    <row r="209" spans="3:5" s="44" customFormat="1">
      <c r="C209" s="299"/>
      <c r="E209" s="306"/>
    </row>
    <row r="210" spans="3:5" s="44" customFormat="1">
      <c r="C210" s="299"/>
      <c r="E210" s="306"/>
    </row>
    <row r="211" spans="3:5" s="44" customFormat="1">
      <c r="C211" s="299"/>
      <c r="E211" s="306"/>
    </row>
    <row r="212" spans="3:5" s="44" customFormat="1">
      <c r="C212" s="299"/>
      <c r="E212" s="306"/>
    </row>
    <row r="213" spans="3:5" s="44" customFormat="1">
      <c r="C213" s="299"/>
      <c r="E213" s="306"/>
    </row>
    <row r="214" spans="3:5" s="44" customFormat="1">
      <c r="C214" s="299"/>
      <c r="E214" s="306"/>
    </row>
    <row r="215" spans="3:5" s="44" customFormat="1">
      <c r="C215" s="299"/>
      <c r="E215" s="306"/>
    </row>
    <row r="216" spans="3:5" s="44" customFormat="1">
      <c r="C216" s="299"/>
      <c r="E216" s="306"/>
    </row>
    <row r="217" spans="3:5" s="44" customFormat="1">
      <c r="C217" s="299"/>
      <c r="E217" s="306"/>
    </row>
    <row r="218" spans="3:5" s="44" customFormat="1">
      <c r="C218" s="299"/>
      <c r="E218" s="306"/>
    </row>
    <row r="219" spans="3:5" s="44" customFormat="1">
      <c r="C219" s="299"/>
      <c r="E219" s="306"/>
    </row>
    <row r="220" spans="3:5" s="44" customFormat="1">
      <c r="C220" s="299"/>
      <c r="E220" s="306"/>
    </row>
    <row r="221" spans="3:5" s="44" customFormat="1">
      <c r="C221" s="299"/>
      <c r="E221" s="306"/>
    </row>
    <row r="222" spans="3:5" s="44" customFormat="1">
      <c r="C222" s="299"/>
      <c r="E222" s="306"/>
    </row>
    <row r="223" spans="3:5" s="44" customFormat="1">
      <c r="C223" s="299"/>
      <c r="E223" s="306"/>
    </row>
    <row r="224" spans="3:5" s="44" customFormat="1">
      <c r="C224" s="299"/>
      <c r="E224" s="306"/>
    </row>
    <row r="225" spans="3:5" s="44" customFormat="1">
      <c r="C225" s="299"/>
      <c r="E225" s="306"/>
    </row>
    <row r="226" spans="3:5" s="44" customFormat="1">
      <c r="C226" s="299"/>
      <c r="E226" s="306"/>
    </row>
    <row r="227" spans="3:5" s="44" customFormat="1">
      <c r="C227" s="299"/>
      <c r="E227" s="306"/>
    </row>
    <row r="228" spans="3:5" s="44" customFormat="1">
      <c r="C228" s="299"/>
      <c r="E228" s="306"/>
    </row>
    <row r="229" spans="3:5" s="44" customFormat="1">
      <c r="C229" s="299"/>
      <c r="E229" s="306"/>
    </row>
    <row r="230" spans="3:5" s="44" customFormat="1">
      <c r="C230" s="299"/>
      <c r="E230" s="306"/>
    </row>
    <row r="231" spans="3:5" s="44" customFormat="1">
      <c r="C231" s="299"/>
      <c r="E231" s="306"/>
    </row>
    <row r="232" spans="3:5" s="44" customFormat="1">
      <c r="C232" s="299"/>
      <c r="E232" s="306"/>
    </row>
    <row r="233" spans="3:5" s="44" customFormat="1">
      <c r="C233" s="299"/>
      <c r="E233" s="306"/>
    </row>
    <row r="234" spans="3:5" s="44" customFormat="1">
      <c r="C234" s="299"/>
      <c r="E234" s="306"/>
    </row>
    <row r="235" spans="3:5" s="44" customFormat="1">
      <c r="C235" s="299"/>
      <c r="E235" s="306"/>
    </row>
    <row r="236" spans="3:5" s="44" customFormat="1">
      <c r="C236" s="299"/>
      <c r="E236" s="306"/>
    </row>
    <row r="237" spans="3:5" s="44" customFormat="1">
      <c r="C237" s="299"/>
      <c r="E237" s="306"/>
    </row>
    <row r="238" spans="3:5" s="44" customFormat="1">
      <c r="C238" s="299"/>
      <c r="E238" s="306"/>
    </row>
    <row r="239" spans="3:5" s="44" customFormat="1">
      <c r="C239" s="299"/>
      <c r="E239" s="306"/>
    </row>
    <row r="240" spans="3:5" s="44" customFormat="1">
      <c r="C240" s="299"/>
      <c r="E240" s="306"/>
    </row>
    <row r="241" spans="3:5" s="44" customFormat="1">
      <c r="C241" s="299"/>
      <c r="E241" s="306"/>
    </row>
    <row r="242" spans="3:5" s="44" customFormat="1">
      <c r="C242" s="299"/>
      <c r="E242" s="306"/>
    </row>
    <row r="243" spans="3:5" s="44" customFormat="1">
      <c r="C243" s="299"/>
      <c r="E243" s="306"/>
    </row>
    <row r="244" spans="3:5" s="44" customFormat="1">
      <c r="C244" s="299"/>
      <c r="E244" s="306"/>
    </row>
    <row r="245" spans="3:5" s="44" customFormat="1">
      <c r="C245" s="299"/>
      <c r="E245" s="306"/>
    </row>
    <row r="246" spans="3:5" s="44" customFormat="1">
      <c r="C246" s="299"/>
      <c r="E246" s="306"/>
    </row>
    <row r="247" spans="3:5" s="44" customFormat="1">
      <c r="C247" s="299"/>
      <c r="E247" s="306"/>
    </row>
    <row r="248" spans="3:5" s="44" customFormat="1">
      <c r="C248" s="299"/>
      <c r="E248" s="306"/>
    </row>
    <row r="249" spans="3:5" s="44" customFormat="1">
      <c r="C249" s="299"/>
      <c r="E249" s="306"/>
    </row>
    <row r="250" spans="3:5" s="44" customFormat="1">
      <c r="C250" s="299"/>
      <c r="E250" s="306"/>
    </row>
    <row r="251" spans="3:5" s="44" customFormat="1">
      <c r="C251" s="299"/>
      <c r="E251" s="306"/>
    </row>
    <row r="252" spans="3:5" s="44" customFormat="1">
      <c r="C252" s="299"/>
      <c r="E252" s="306"/>
    </row>
    <row r="253" spans="3:5" s="44" customFormat="1">
      <c r="C253" s="299"/>
      <c r="E253" s="306"/>
    </row>
    <row r="254" spans="3:5" s="44" customFormat="1">
      <c r="C254" s="299"/>
      <c r="E254" s="306"/>
    </row>
    <row r="255" spans="3:5" s="44" customFormat="1">
      <c r="C255" s="299"/>
      <c r="E255" s="306"/>
    </row>
    <row r="256" spans="3:5" s="44" customFormat="1">
      <c r="C256" s="299"/>
      <c r="E256" s="306"/>
    </row>
    <row r="257" spans="3:5" s="44" customFormat="1">
      <c r="C257" s="299"/>
      <c r="E257" s="306"/>
    </row>
    <row r="258" spans="3:5" s="44" customFormat="1">
      <c r="C258" s="299"/>
      <c r="E258" s="306"/>
    </row>
    <row r="259" spans="3:5" s="44" customFormat="1">
      <c r="C259" s="299"/>
      <c r="E259" s="306"/>
    </row>
    <row r="260" spans="3:5" s="44" customFormat="1">
      <c r="C260" s="299"/>
      <c r="E260" s="306"/>
    </row>
    <row r="261" spans="3:5" s="44" customFormat="1">
      <c r="C261" s="299"/>
      <c r="E261" s="306"/>
    </row>
    <row r="262" spans="3:5" s="44" customFormat="1">
      <c r="C262" s="299"/>
      <c r="E262" s="306"/>
    </row>
    <row r="263" spans="3:5" s="44" customFormat="1">
      <c r="C263" s="299"/>
      <c r="E263" s="306"/>
    </row>
    <row r="264" spans="3:5" s="44" customFormat="1">
      <c r="C264" s="299"/>
      <c r="E264" s="306"/>
    </row>
    <row r="265" spans="3:5" s="44" customFormat="1">
      <c r="C265" s="299"/>
      <c r="E265" s="306"/>
    </row>
    <row r="266" spans="3:5" s="44" customFormat="1">
      <c r="C266" s="299"/>
      <c r="E266" s="306"/>
    </row>
    <row r="267" spans="3:5" s="44" customFormat="1">
      <c r="C267" s="299"/>
      <c r="E267" s="306"/>
    </row>
    <row r="268" spans="3:5" s="44" customFormat="1">
      <c r="C268" s="299"/>
      <c r="E268" s="306"/>
    </row>
    <row r="269" spans="3:5" s="44" customFormat="1">
      <c r="C269" s="299"/>
      <c r="E269" s="306"/>
    </row>
    <row r="270" spans="3:5" s="44" customFormat="1">
      <c r="C270" s="299"/>
      <c r="E270" s="306"/>
    </row>
    <row r="271" spans="3:5" s="44" customFormat="1">
      <c r="C271" s="299"/>
      <c r="E271" s="306"/>
    </row>
    <row r="272" spans="3:5" s="44" customFormat="1">
      <c r="C272" s="299"/>
      <c r="E272" s="306"/>
    </row>
    <row r="273" spans="3:5" s="44" customFormat="1">
      <c r="C273" s="299"/>
      <c r="E273" s="306"/>
    </row>
    <row r="274" spans="3:5" s="44" customFormat="1">
      <c r="C274" s="299"/>
      <c r="E274" s="306"/>
    </row>
    <row r="275" spans="3:5" s="44" customFormat="1">
      <c r="C275" s="299"/>
      <c r="E275" s="306"/>
    </row>
    <row r="276" spans="3:5" s="44" customFormat="1">
      <c r="C276" s="299"/>
      <c r="E276" s="306"/>
    </row>
    <row r="277" spans="3:5" s="44" customFormat="1">
      <c r="C277" s="299"/>
      <c r="E277" s="306"/>
    </row>
    <row r="278" spans="3:5" s="44" customFormat="1">
      <c r="C278" s="299"/>
      <c r="E278" s="306"/>
    </row>
    <row r="279" spans="3:5" s="44" customFormat="1">
      <c r="C279" s="299"/>
      <c r="E279" s="306"/>
    </row>
    <row r="280" spans="3:5" s="44" customFormat="1">
      <c r="C280" s="299"/>
      <c r="E280" s="306"/>
    </row>
    <row r="281" spans="3:5" s="44" customFormat="1">
      <c r="C281" s="299"/>
      <c r="E281" s="306"/>
    </row>
    <row r="282" spans="3:5" s="44" customFormat="1">
      <c r="C282" s="299"/>
      <c r="E282" s="306"/>
    </row>
    <row r="283" spans="3:5" s="44" customFormat="1">
      <c r="C283" s="299"/>
      <c r="E283" s="306"/>
    </row>
    <row r="284" spans="3:5" s="44" customFormat="1">
      <c r="C284" s="299"/>
      <c r="E284" s="306"/>
    </row>
    <row r="285" spans="3:5" s="44" customFormat="1">
      <c r="C285" s="299"/>
      <c r="E285" s="306"/>
    </row>
    <row r="286" spans="3:5" s="44" customFormat="1">
      <c r="C286" s="299"/>
      <c r="E286" s="306"/>
    </row>
    <row r="287" spans="3:5" s="44" customFormat="1">
      <c r="C287" s="299"/>
      <c r="E287" s="306"/>
    </row>
    <row r="288" spans="3:5" s="44" customFormat="1">
      <c r="C288" s="299"/>
      <c r="E288" s="306"/>
    </row>
    <row r="289" spans="3:5" s="44" customFormat="1">
      <c r="C289" s="299"/>
      <c r="E289" s="306"/>
    </row>
    <row r="290" spans="3:5" s="44" customFormat="1">
      <c r="C290" s="299"/>
      <c r="E290" s="306"/>
    </row>
    <row r="291" spans="3:5" s="44" customFormat="1">
      <c r="C291" s="299"/>
      <c r="E291" s="306"/>
    </row>
    <row r="292" spans="3:5" s="44" customFormat="1">
      <c r="C292" s="299"/>
      <c r="E292" s="306"/>
    </row>
    <row r="293" spans="3:5" s="44" customFormat="1">
      <c r="C293" s="299"/>
      <c r="E293" s="306"/>
    </row>
    <row r="294" spans="3:5" s="44" customFormat="1">
      <c r="C294" s="299"/>
      <c r="E294" s="306"/>
    </row>
    <row r="295" spans="3:5" s="44" customFormat="1">
      <c r="C295" s="299"/>
      <c r="E295" s="306"/>
    </row>
    <row r="296" spans="3:5" s="44" customFormat="1">
      <c r="C296" s="299"/>
      <c r="E296" s="306"/>
    </row>
    <row r="297" spans="3:5" s="44" customFormat="1">
      <c r="C297" s="299"/>
      <c r="E297" s="306"/>
    </row>
    <row r="298" spans="3:5" s="44" customFormat="1">
      <c r="C298" s="299"/>
      <c r="E298" s="306"/>
    </row>
    <row r="299" spans="3:5" s="44" customFormat="1">
      <c r="C299" s="299"/>
      <c r="E299" s="306"/>
    </row>
    <row r="300" spans="3:5" s="44" customFormat="1">
      <c r="C300" s="299"/>
      <c r="E300" s="306"/>
    </row>
    <row r="301" spans="3:5" s="44" customFormat="1">
      <c r="C301" s="299"/>
      <c r="E301" s="306"/>
    </row>
    <row r="302" spans="3:5" s="44" customFormat="1">
      <c r="C302" s="299"/>
      <c r="E302" s="306"/>
    </row>
    <row r="303" spans="3:5" s="44" customFormat="1">
      <c r="C303" s="299"/>
      <c r="E303" s="306"/>
    </row>
    <row r="304" spans="3:5" s="44" customFormat="1">
      <c r="C304" s="299"/>
      <c r="E304" s="306"/>
    </row>
    <row r="305" spans="3:5" s="44" customFormat="1">
      <c r="C305" s="299"/>
      <c r="E305" s="306"/>
    </row>
    <row r="306" spans="3:5" s="44" customFormat="1">
      <c r="C306" s="299"/>
      <c r="E306" s="306"/>
    </row>
    <row r="307" spans="3:5" s="44" customFormat="1">
      <c r="C307" s="299"/>
      <c r="E307" s="306"/>
    </row>
    <row r="308" spans="3:5" s="44" customFormat="1">
      <c r="C308" s="299"/>
      <c r="E308" s="306"/>
    </row>
    <row r="309" spans="3:5" s="44" customFormat="1">
      <c r="C309" s="299"/>
      <c r="E309" s="306"/>
    </row>
    <row r="310" spans="3:5" s="44" customFormat="1">
      <c r="C310" s="299"/>
      <c r="E310" s="306"/>
    </row>
    <row r="311" spans="3:5" s="44" customFormat="1">
      <c r="C311" s="299"/>
      <c r="E311" s="306"/>
    </row>
    <row r="312" spans="3:5" s="44" customFormat="1">
      <c r="C312" s="299"/>
      <c r="E312" s="306"/>
    </row>
    <row r="313" spans="3:5" s="44" customFormat="1">
      <c r="C313" s="299"/>
      <c r="E313" s="306"/>
    </row>
    <row r="314" spans="3:5" s="44" customFormat="1">
      <c r="C314" s="299"/>
      <c r="E314" s="306"/>
    </row>
    <row r="315" spans="3:5" s="44" customFormat="1">
      <c r="C315" s="299"/>
      <c r="E315" s="306"/>
    </row>
    <row r="316" spans="3:5" s="44" customFormat="1">
      <c r="C316" s="299"/>
      <c r="E316" s="306"/>
    </row>
    <row r="317" spans="3:5" s="44" customFormat="1">
      <c r="C317" s="299"/>
      <c r="E317" s="306"/>
    </row>
    <row r="318" spans="3:5" s="44" customFormat="1">
      <c r="C318" s="299"/>
      <c r="E318" s="306"/>
    </row>
    <row r="319" spans="3:5" s="44" customFormat="1">
      <c r="C319" s="299"/>
      <c r="E319" s="306"/>
    </row>
    <row r="320" spans="3:5" s="44" customFormat="1">
      <c r="C320" s="299"/>
      <c r="E320" s="306"/>
    </row>
    <row r="321" spans="3:5" s="44" customFormat="1">
      <c r="C321" s="299"/>
      <c r="E321" s="306"/>
    </row>
    <row r="322" spans="3:5" s="44" customFormat="1">
      <c r="C322" s="299"/>
      <c r="E322" s="306"/>
    </row>
    <row r="323" spans="3:5" s="44" customFormat="1">
      <c r="C323" s="299"/>
      <c r="E323" s="306"/>
    </row>
    <row r="324" spans="3:5" s="44" customFormat="1">
      <c r="C324" s="299"/>
      <c r="E324" s="306"/>
    </row>
    <row r="325" spans="3:5" s="44" customFormat="1">
      <c r="C325" s="299"/>
      <c r="E325" s="306"/>
    </row>
    <row r="326" spans="3:5" s="44" customFormat="1">
      <c r="C326" s="299"/>
      <c r="E326" s="306"/>
    </row>
    <row r="327" spans="3:5" s="44" customFormat="1">
      <c r="C327" s="299"/>
      <c r="E327" s="306"/>
    </row>
    <row r="328" spans="3:5" s="44" customFormat="1">
      <c r="C328" s="299"/>
      <c r="E328" s="306"/>
    </row>
    <row r="329" spans="3:5" s="44" customFormat="1">
      <c r="C329" s="299"/>
      <c r="E329" s="306"/>
    </row>
    <row r="330" spans="3:5" s="44" customFormat="1">
      <c r="C330" s="299"/>
      <c r="E330" s="306"/>
    </row>
    <row r="331" spans="3:5" s="44" customFormat="1">
      <c r="C331" s="299"/>
      <c r="E331" s="306"/>
    </row>
    <row r="332" spans="3:5" s="44" customFormat="1">
      <c r="C332" s="299"/>
      <c r="E332" s="306"/>
    </row>
    <row r="333" spans="3:5" s="44" customFormat="1">
      <c r="C333" s="299"/>
      <c r="E333" s="306"/>
    </row>
    <row r="334" spans="3:5" s="44" customFormat="1">
      <c r="C334" s="299"/>
      <c r="E334" s="306"/>
    </row>
    <row r="335" spans="3:5" s="44" customFormat="1">
      <c r="C335" s="299"/>
      <c r="E335" s="306"/>
    </row>
    <row r="336" spans="3:5" s="44" customFormat="1">
      <c r="C336" s="299"/>
      <c r="E336" s="306"/>
    </row>
    <row r="337" spans="3:5" s="44" customFormat="1">
      <c r="C337" s="299"/>
      <c r="E337" s="306"/>
    </row>
    <row r="338" spans="3:5" s="44" customFormat="1">
      <c r="C338" s="299"/>
      <c r="E338" s="306"/>
    </row>
    <row r="339" spans="3:5" s="44" customFormat="1">
      <c r="C339" s="299"/>
      <c r="E339" s="306"/>
    </row>
    <row r="340" spans="3:5" s="44" customFormat="1">
      <c r="C340" s="299"/>
      <c r="E340" s="306"/>
    </row>
    <row r="341" spans="3:5" s="44" customFormat="1">
      <c r="C341" s="299"/>
      <c r="E341" s="306"/>
    </row>
    <row r="342" spans="3:5" s="44" customFormat="1">
      <c r="C342" s="299"/>
      <c r="E342" s="306"/>
    </row>
    <row r="343" spans="3:5" s="44" customFormat="1">
      <c r="C343" s="299"/>
      <c r="E343" s="306"/>
    </row>
    <row r="344" spans="3:5" s="44" customFormat="1">
      <c r="C344" s="299"/>
      <c r="E344" s="306"/>
    </row>
    <row r="345" spans="3:5" s="44" customFormat="1">
      <c r="C345" s="299"/>
      <c r="E345" s="306"/>
    </row>
    <row r="346" spans="3:5" s="44" customFormat="1">
      <c r="C346" s="299"/>
      <c r="E346" s="306"/>
    </row>
    <row r="347" spans="3:5" s="44" customFormat="1">
      <c r="C347" s="299"/>
      <c r="E347" s="306"/>
    </row>
    <row r="348" spans="3:5" s="44" customFormat="1">
      <c r="C348" s="299"/>
      <c r="E348" s="306"/>
    </row>
    <row r="349" spans="3:5" s="44" customFormat="1">
      <c r="C349" s="299"/>
      <c r="E349" s="306"/>
    </row>
    <row r="350" spans="3:5" s="44" customFormat="1">
      <c r="C350" s="299"/>
      <c r="E350" s="306"/>
    </row>
    <row r="351" spans="3:5" s="44" customFormat="1">
      <c r="C351" s="299"/>
      <c r="E351" s="306"/>
    </row>
    <row r="352" spans="3:5" s="44" customFormat="1">
      <c r="C352" s="299"/>
      <c r="E352" s="306"/>
    </row>
    <row r="353" spans="3:5" s="44" customFormat="1">
      <c r="C353" s="299"/>
      <c r="E353" s="306"/>
    </row>
    <row r="354" spans="3:5" s="44" customFormat="1">
      <c r="C354" s="299"/>
      <c r="E354" s="306"/>
    </row>
    <row r="355" spans="3:5" s="44" customFormat="1">
      <c r="C355" s="299"/>
      <c r="E355" s="306"/>
    </row>
    <row r="356" spans="3:5" s="44" customFormat="1">
      <c r="C356" s="299"/>
      <c r="E356" s="306"/>
    </row>
    <row r="357" spans="3:5" s="44" customFormat="1">
      <c r="C357" s="299"/>
      <c r="E357" s="306"/>
    </row>
    <row r="358" spans="3:5" s="44" customFormat="1">
      <c r="C358" s="299"/>
      <c r="E358" s="306"/>
    </row>
    <row r="359" spans="3:5" s="44" customFormat="1">
      <c r="C359" s="299"/>
      <c r="E359" s="306"/>
    </row>
    <row r="360" spans="3:5" s="44" customFormat="1">
      <c r="C360" s="299"/>
      <c r="E360" s="306"/>
    </row>
    <row r="361" spans="3:5" s="44" customFormat="1">
      <c r="C361" s="299"/>
      <c r="E361" s="306"/>
    </row>
    <row r="362" spans="3:5" s="44" customFormat="1">
      <c r="C362" s="299"/>
      <c r="E362" s="306"/>
    </row>
    <row r="363" spans="3:5" s="44" customFormat="1">
      <c r="C363" s="299"/>
      <c r="E363" s="306"/>
    </row>
    <row r="364" spans="3:5" s="44" customFormat="1">
      <c r="C364" s="299"/>
      <c r="E364" s="306"/>
    </row>
    <row r="365" spans="3:5" s="44" customFormat="1">
      <c r="C365" s="299"/>
      <c r="E365" s="306"/>
    </row>
    <row r="366" spans="3:5" s="44" customFormat="1">
      <c r="C366" s="299"/>
      <c r="E366" s="306"/>
    </row>
    <row r="367" spans="3:5" s="44" customFormat="1">
      <c r="C367" s="299"/>
      <c r="E367" s="306"/>
    </row>
    <row r="368" spans="3:5" s="44" customFormat="1">
      <c r="C368" s="299"/>
      <c r="E368" s="306"/>
    </row>
    <row r="369" spans="3:5" s="44" customFormat="1">
      <c r="C369" s="299"/>
      <c r="E369" s="306"/>
    </row>
    <row r="370" spans="3:5" s="44" customFormat="1">
      <c r="C370" s="299"/>
      <c r="E370" s="306"/>
    </row>
    <row r="371" spans="3:5" s="44" customFormat="1">
      <c r="C371" s="299"/>
      <c r="E371" s="306"/>
    </row>
    <row r="372" spans="3:5" s="44" customFormat="1">
      <c r="C372" s="299"/>
      <c r="E372" s="306"/>
    </row>
    <row r="373" spans="3:5" s="44" customFormat="1">
      <c r="C373" s="299"/>
      <c r="E373" s="306"/>
    </row>
    <row r="374" spans="3:5" s="44" customFormat="1">
      <c r="C374" s="299"/>
      <c r="E374" s="306"/>
    </row>
    <row r="375" spans="3:5" s="44" customFormat="1">
      <c r="C375" s="299"/>
      <c r="E375" s="306"/>
    </row>
    <row r="376" spans="3:5" s="44" customFormat="1">
      <c r="C376" s="299"/>
      <c r="E376" s="306"/>
    </row>
    <row r="377" spans="3:5" s="44" customFormat="1">
      <c r="C377" s="299"/>
      <c r="E377" s="306"/>
    </row>
    <row r="378" spans="3:5" s="44" customFormat="1">
      <c r="C378" s="299"/>
      <c r="E378" s="306"/>
    </row>
    <row r="379" spans="3:5" s="44" customFormat="1">
      <c r="C379" s="299"/>
      <c r="E379" s="306"/>
    </row>
    <row r="380" spans="3:5" s="44" customFormat="1">
      <c r="C380" s="299"/>
      <c r="E380" s="306"/>
    </row>
    <row r="381" spans="3:5" s="44" customFormat="1">
      <c r="C381" s="299"/>
      <c r="E381" s="306"/>
    </row>
    <row r="382" spans="3:5" s="44" customFormat="1">
      <c r="C382" s="299"/>
      <c r="E382" s="306"/>
    </row>
    <row r="383" spans="3:5" s="44" customFormat="1">
      <c r="C383" s="299"/>
      <c r="E383" s="306"/>
    </row>
    <row r="384" spans="3:5" s="44" customFormat="1">
      <c r="C384" s="299"/>
      <c r="E384" s="306"/>
    </row>
    <row r="385" spans="3:5" s="44" customFormat="1">
      <c r="C385" s="299"/>
      <c r="E385" s="306"/>
    </row>
    <row r="386" spans="3:5" s="44" customFormat="1">
      <c r="C386" s="299"/>
      <c r="E386" s="306"/>
    </row>
    <row r="387" spans="3:5" s="44" customFormat="1">
      <c r="C387" s="299"/>
      <c r="E387" s="306"/>
    </row>
    <row r="388" spans="3:5" s="44" customFormat="1">
      <c r="C388" s="299"/>
      <c r="E388" s="306"/>
    </row>
    <row r="389" spans="3:5" s="44" customFormat="1">
      <c r="C389" s="299"/>
      <c r="E389" s="306"/>
    </row>
    <row r="390" spans="3:5" s="44" customFormat="1">
      <c r="C390" s="299"/>
      <c r="E390" s="306"/>
    </row>
    <row r="391" spans="3:5" s="44" customFormat="1">
      <c r="C391" s="299"/>
      <c r="E391" s="306"/>
    </row>
    <row r="392" spans="3:5" s="44" customFormat="1">
      <c r="C392" s="299"/>
      <c r="E392" s="306"/>
    </row>
    <row r="393" spans="3:5" s="44" customFormat="1">
      <c r="C393" s="299"/>
      <c r="E393" s="306"/>
    </row>
    <row r="394" spans="3:5" s="44" customFormat="1">
      <c r="C394" s="299"/>
      <c r="E394" s="306"/>
    </row>
    <row r="395" spans="3:5" s="44" customFormat="1">
      <c r="C395" s="299"/>
      <c r="E395" s="306"/>
    </row>
    <row r="396" spans="3:5" s="44" customFormat="1">
      <c r="C396" s="299"/>
      <c r="E396" s="306"/>
    </row>
    <row r="397" spans="3:5" s="44" customFormat="1">
      <c r="C397" s="299"/>
      <c r="E397" s="306"/>
    </row>
    <row r="398" spans="3:5" s="44" customFormat="1">
      <c r="C398" s="299"/>
      <c r="E398" s="306"/>
    </row>
    <row r="399" spans="3:5" s="44" customFormat="1">
      <c r="C399" s="299"/>
      <c r="E399" s="306"/>
    </row>
    <row r="400" spans="3:5" s="44" customFormat="1">
      <c r="C400" s="299"/>
      <c r="E400" s="306"/>
    </row>
    <row r="401" spans="3:5" s="44" customFormat="1">
      <c r="C401" s="299"/>
      <c r="E401" s="306"/>
    </row>
    <row r="402" spans="3:5" s="44" customFormat="1">
      <c r="C402" s="299"/>
      <c r="E402" s="306"/>
    </row>
  </sheetData>
  <sheetProtection algorithmName="SHA-512" hashValue="vu/3zfqQPB9Hk7bXwGs8Ig+TXpvZ8geGlJwYjC9naXFEeTPG7qJbnlx9s3vasD0wRGeEBSGycRKQScgWGTuTqg==" saltValue="JoCMTqdrjHcvZiEIj3So0Q==" spinCount="100000" sheet="1" formatCells="0" formatColumns="0" formatRows="0" insertColumns="0" insertRows="0" insertHyperlinks="0" deleteColumns="0" deleteRows="0" sort="0" autoFilter="0" pivotTables="0"/>
  <mergeCells count="3">
    <mergeCell ref="F4:H4"/>
    <mergeCell ref="B2:G2"/>
    <mergeCell ref="J2:AC2"/>
  </mergeCells>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B1:J205"/>
  <sheetViews>
    <sheetView showGridLines="0" zoomScale="90" zoomScaleNormal="90" workbookViewId="0">
      <selection activeCell="F3" sqref="F3"/>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783" t="s">
        <v>485</v>
      </c>
      <c r="C2" s="784"/>
      <c r="D2" s="784"/>
      <c r="E2" s="784"/>
      <c r="F2" s="784"/>
      <c r="G2" s="784"/>
      <c r="H2" s="784"/>
      <c r="I2" s="784"/>
      <c r="J2" s="785"/>
    </row>
    <row r="3" spans="2:10" ht="45">
      <c r="B3" s="260" t="s">
        <v>184</v>
      </c>
      <c r="C3" s="260" t="s">
        <v>40</v>
      </c>
      <c r="D3" s="260" t="s">
        <v>494</v>
      </c>
      <c r="E3" s="415" t="s">
        <v>493</v>
      </c>
      <c r="F3" s="260" t="s">
        <v>310</v>
      </c>
      <c r="G3" s="415" t="s">
        <v>41</v>
      </c>
      <c r="H3" s="655" t="s">
        <v>486</v>
      </c>
      <c r="I3" s="261" t="s">
        <v>495</v>
      </c>
      <c r="J3" s="260" t="s">
        <v>496</v>
      </c>
    </row>
    <row r="4" spans="2:10">
      <c r="C4"/>
      <c r="G4"/>
      <c r="I4" s="307">
        <f>SUM(I5:I251)</f>
        <v>0</v>
      </c>
      <c r="J4" s="307">
        <f>SUM(J5:J251)</f>
        <v>0</v>
      </c>
    </row>
    <row r="5" spans="2:10" ht="3.75" customHeight="1">
      <c r="C5"/>
      <c r="G5"/>
      <c r="I5"/>
      <c r="J5"/>
    </row>
    <row r="6" spans="2:10">
      <c r="B6" s="256">
        <v>1</v>
      </c>
      <c r="C6" s="256"/>
      <c r="D6" s="396"/>
      <c r="E6" s="256"/>
      <c r="F6" s="461"/>
      <c r="G6" s="262"/>
      <c r="H6" s="656"/>
      <c r="I6" s="651">
        <f>IFERROR(J6/'Mão de Obra'!$D$12,"")</f>
        <v>0</v>
      </c>
      <c r="J6" s="651">
        <f>IFERROR(IF(ISNUMBER(H6),H6*'Mão de Obra'!$D$12/12,1)*G6*F6,"")</f>
        <v>0</v>
      </c>
    </row>
    <row r="7" spans="2:10">
      <c r="B7" s="256">
        <v>2</v>
      </c>
      <c r="C7" s="256"/>
      <c r="D7" s="396"/>
      <c r="E7" s="256"/>
      <c r="F7" s="461"/>
      <c r="G7" s="262"/>
      <c r="H7" s="656"/>
      <c r="I7" s="651">
        <f>IFERROR(J7/'Mão de Obra'!$D$12,"")</f>
        <v>0</v>
      </c>
      <c r="J7" s="651">
        <f>IFERROR(IF(ISNUMBER(H7),H7*'Mão de Obra'!$D$12/12,1)*G7*F7,"")</f>
        <v>0</v>
      </c>
    </row>
    <row r="8" spans="2:10">
      <c r="B8" s="256">
        <v>3</v>
      </c>
      <c r="C8" s="256"/>
      <c r="D8" s="396"/>
      <c r="E8" s="256"/>
      <c r="F8" s="461"/>
      <c r="G8" s="262"/>
      <c r="H8" s="656"/>
      <c r="I8" s="651">
        <f>IFERROR(J8/'Mão de Obra'!$D$12,"")</f>
        <v>0</v>
      </c>
      <c r="J8" s="651">
        <f>IFERROR(IF(ISNUMBER(H8),H8*'Mão de Obra'!$D$12/12,1)*G8*F8,"")</f>
        <v>0</v>
      </c>
    </row>
    <row r="9" spans="2:10">
      <c r="B9" s="256">
        <v>4</v>
      </c>
      <c r="C9" s="256"/>
      <c r="D9" s="396"/>
      <c r="E9" s="256"/>
      <c r="F9" s="461"/>
      <c r="G9" s="262"/>
      <c r="H9" s="656"/>
      <c r="I9" s="651">
        <f>IFERROR(J9/'Mão de Obra'!$D$12,"")</f>
        <v>0</v>
      </c>
      <c r="J9" s="651">
        <f>IFERROR(IF(ISNUMBER(H9),H9*'Mão de Obra'!$D$12/12,1)*G9*F9,"")</f>
        <v>0</v>
      </c>
    </row>
    <row r="10" spans="2:10">
      <c r="B10" s="256">
        <v>5</v>
      </c>
      <c r="C10" s="256"/>
      <c r="D10" s="396"/>
      <c r="E10" s="256"/>
      <c r="F10" s="461"/>
      <c r="G10" s="262"/>
      <c r="H10" s="656"/>
      <c r="I10" s="651">
        <f>IFERROR(J10/'Mão de Obra'!$D$12,"")</f>
        <v>0</v>
      </c>
      <c r="J10" s="651">
        <f>IFERROR(IF(ISNUMBER(H10),H10*'Mão de Obra'!$D$12/12,1)*G10*F10,"")</f>
        <v>0</v>
      </c>
    </row>
    <row r="11" spans="2:10">
      <c r="B11" s="256">
        <v>6</v>
      </c>
      <c r="C11" s="256"/>
      <c r="D11" s="396"/>
      <c r="E11" s="256"/>
      <c r="F11" s="461"/>
      <c r="G11" s="262"/>
      <c r="H11" s="656"/>
      <c r="I11" s="651">
        <f>IFERROR(J11/'Mão de Obra'!$D$12,"")</f>
        <v>0</v>
      </c>
      <c r="J11" s="651">
        <f>IFERROR(IF(ISNUMBER(H11),H11*'Mão de Obra'!$D$12/12,1)*G11*F11,"")</f>
        <v>0</v>
      </c>
    </row>
    <row r="12" spans="2:10">
      <c r="B12" s="256">
        <v>7</v>
      </c>
      <c r="C12" s="256"/>
      <c r="D12" s="396"/>
      <c r="E12" s="256"/>
      <c r="F12" s="461"/>
      <c r="G12" s="262"/>
      <c r="H12" s="656"/>
      <c r="I12" s="651">
        <f>IFERROR(J12/'Mão de Obra'!$D$12,"")</f>
        <v>0</v>
      </c>
      <c r="J12" s="651">
        <f>IFERROR(IF(ISNUMBER(H12),H12*'Mão de Obra'!$D$12/12,1)*G12*F12,"")</f>
        <v>0</v>
      </c>
    </row>
    <row r="13" spans="2:10">
      <c r="B13" s="256">
        <v>8</v>
      </c>
      <c r="C13" s="256"/>
      <c r="D13" s="396"/>
      <c r="E13" s="256"/>
      <c r="F13" s="461"/>
      <c r="G13" s="262"/>
      <c r="H13" s="656"/>
      <c r="I13" s="651">
        <f>IFERROR(J13/'Mão de Obra'!$D$12,"")</f>
        <v>0</v>
      </c>
      <c r="J13" s="651">
        <f>IFERROR(IF(ISNUMBER(H13),H13*'Mão de Obra'!$D$12/12,1)*G13*F13,"")</f>
        <v>0</v>
      </c>
    </row>
    <row r="14" spans="2:10">
      <c r="B14" s="256">
        <v>9</v>
      </c>
      <c r="C14" s="256"/>
      <c r="D14" s="396"/>
      <c r="E14" s="256"/>
      <c r="F14" s="461"/>
      <c r="G14" s="262"/>
      <c r="H14" s="656"/>
      <c r="I14" s="651">
        <f>IFERROR(J14/'Mão de Obra'!$D$12,"")</f>
        <v>0</v>
      </c>
      <c r="J14" s="651">
        <f>IFERROR(IF(ISNUMBER(H14),H14*'Mão de Obra'!$D$12/12,1)*G14*F14,"")</f>
        <v>0</v>
      </c>
    </row>
    <row r="15" spans="2:10">
      <c r="B15" s="256">
        <v>10</v>
      </c>
      <c r="C15" s="256"/>
      <c r="D15" s="396"/>
      <c r="E15" s="256"/>
      <c r="F15" s="461"/>
      <c r="G15" s="262"/>
      <c r="H15" s="656"/>
      <c r="I15" s="651">
        <f>IFERROR(J15/'Mão de Obra'!$D$12,"")</f>
        <v>0</v>
      </c>
      <c r="J15" s="651">
        <f>IFERROR(IF(ISNUMBER(H15),H15*'Mão de Obra'!$D$12/12,1)*G15*F15,"")</f>
        <v>0</v>
      </c>
    </row>
    <row r="16" spans="2:10">
      <c r="B16" s="256">
        <v>11</v>
      </c>
      <c r="C16" s="256"/>
      <c r="D16" s="396"/>
      <c r="E16" s="256"/>
      <c r="F16" s="461"/>
      <c r="G16" s="262"/>
      <c r="H16" s="656"/>
      <c r="I16" s="651">
        <f>IFERROR(J16/'Mão de Obra'!$D$12,"")</f>
        <v>0</v>
      </c>
      <c r="J16" s="651">
        <f>IFERROR(IF(ISNUMBER(H16),H16*'Mão de Obra'!$D$12/12,1)*G16*F16,"")</f>
        <v>0</v>
      </c>
    </row>
    <row r="17" spans="2:10">
      <c r="B17" s="256">
        <v>12</v>
      </c>
      <c r="C17" s="256"/>
      <c r="D17" s="396"/>
      <c r="E17" s="256"/>
      <c r="F17" s="461"/>
      <c r="G17" s="262"/>
      <c r="H17" s="656"/>
      <c r="I17" s="651">
        <f>IFERROR(J17/'Mão de Obra'!$D$12,"")</f>
        <v>0</v>
      </c>
      <c r="J17" s="651">
        <f>IFERROR(IF(ISNUMBER(H17),H17*'Mão de Obra'!$D$12/12,1)*G17*F17,"")</f>
        <v>0</v>
      </c>
    </row>
    <row r="18" spans="2:10">
      <c r="B18" s="256">
        <v>13</v>
      </c>
      <c r="C18" s="256"/>
      <c r="D18" s="396"/>
      <c r="E18" s="256"/>
      <c r="F18" s="461"/>
      <c r="G18" s="262"/>
      <c r="H18" s="656"/>
      <c r="I18" s="651">
        <f>IFERROR(J18/'Mão de Obra'!$D$12,"")</f>
        <v>0</v>
      </c>
      <c r="J18" s="651">
        <f>IFERROR(IF(ISNUMBER(H18),H18*'Mão de Obra'!$D$12/12,1)*G18*F18,"")</f>
        <v>0</v>
      </c>
    </row>
    <row r="19" spans="2:10">
      <c r="B19" s="256">
        <v>14</v>
      </c>
      <c r="C19" s="256"/>
      <c r="D19" s="396"/>
      <c r="E19" s="256"/>
      <c r="F19" s="461"/>
      <c r="G19" s="262"/>
      <c r="H19" s="656"/>
      <c r="I19" s="651">
        <f>IFERROR(J19/'Mão de Obra'!$D$12,"")</f>
        <v>0</v>
      </c>
      <c r="J19" s="651">
        <f>IFERROR(IF(ISNUMBER(H19),H19*'Mão de Obra'!$D$12/12,1)*G19*F19,"")</f>
        <v>0</v>
      </c>
    </row>
    <row r="20" spans="2:10">
      <c r="B20" s="256">
        <v>15</v>
      </c>
      <c r="C20" s="256"/>
      <c r="D20" s="396"/>
      <c r="E20" s="256"/>
      <c r="F20" s="461"/>
      <c r="G20" s="262"/>
      <c r="H20" s="656"/>
      <c r="I20" s="651">
        <f>IFERROR(J20/'Mão de Obra'!$D$12,"")</f>
        <v>0</v>
      </c>
      <c r="J20" s="651">
        <f>IFERROR(IF(ISNUMBER(H20),H20*'Mão de Obra'!$D$12/12,1)*G20*F20,"")</f>
        <v>0</v>
      </c>
    </row>
    <row r="21" spans="2:10">
      <c r="B21" s="256">
        <v>16</v>
      </c>
      <c r="C21" s="256"/>
      <c r="D21" s="396"/>
      <c r="E21" s="256"/>
      <c r="F21" s="461"/>
      <c r="G21" s="262"/>
      <c r="H21" s="656"/>
      <c r="I21" s="651">
        <f>IFERROR(J21/'Mão de Obra'!$D$12,"")</f>
        <v>0</v>
      </c>
      <c r="J21" s="651">
        <f>IFERROR(IF(ISNUMBER(H21),H21*'Mão de Obra'!$D$12/12,1)*G21*F21,"")</f>
        <v>0</v>
      </c>
    </row>
    <row r="22" spans="2:10">
      <c r="B22" s="256">
        <v>17</v>
      </c>
      <c r="C22" s="256"/>
      <c r="D22" s="396"/>
      <c r="E22" s="256"/>
      <c r="F22" s="461"/>
      <c r="G22" s="262"/>
      <c r="H22" s="656"/>
      <c r="I22" s="651">
        <f>IFERROR(J22/'Mão de Obra'!$D$12,"")</f>
        <v>0</v>
      </c>
      <c r="J22" s="651">
        <f>IFERROR(IF(ISNUMBER(H22),H22*'Mão de Obra'!$D$12/12,1)*G22*F22,"")</f>
        <v>0</v>
      </c>
    </row>
    <row r="23" spans="2:10">
      <c r="B23" s="256">
        <v>18</v>
      </c>
      <c r="C23" s="256"/>
      <c r="D23" s="396"/>
      <c r="E23" s="256"/>
      <c r="F23" s="461"/>
      <c r="G23" s="262"/>
      <c r="H23" s="656"/>
      <c r="I23" s="651">
        <f>IFERROR(J23/'Mão de Obra'!$D$12,"")</f>
        <v>0</v>
      </c>
      <c r="J23" s="651">
        <f>IFERROR(IF(ISNUMBER(H23),H23*'Mão de Obra'!$D$12/12,1)*G23*F23,"")</f>
        <v>0</v>
      </c>
    </row>
    <row r="24" spans="2:10">
      <c r="B24" s="256">
        <v>19</v>
      </c>
      <c r="C24" s="256"/>
      <c r="D24" s="396"/>
      <c r="E24" s="256"/>
      <c r="F24" s="461"/>
      <c r="G24" s="262"/>
      <c r="H24" s="656"/>
      <c r="I24" s="651">
        <f>IFERROR(J24/'Mão de Obra'!$D$12,"")</f>
        <v>0</v>
      </c>
      <c r="J24" s="651">
        <f>IFERROR(IF(ISNUMBER(H24),H24*'Mão de Obra'!$D$12/12,1)*G24*F24,"")</f>
        <v>0</v>
      </c>
    </row>
    <row r="25" spans="2:10">
      <c r="B25" s="256">
        <v>20</v>
      </c>
      <c r="C25" s="256"/>
      <c r="D25" s="396"/>
      <c r="E25" s="256"/>
      <c r="F25" s="461"/>
      <c r="G25" s="262"/>
      <c r="H25" s="656"/>
      <c r="I25" s="651">
        <f>IFERROR(J25/'Mão de Obra'!$D$12,"")</f>
        <v>0</v>
      </c>
      <c r="J25" s="651">
        <f>IFERROR(IF(ISNUMBER(H25),H25*'Mão de Obra'!$D$12/12,1)*G25*F25,"")</f>
        <v>0</v>
      </c>
    </row>
    <row r="26" spans="2:10">
      <c r="B26" s="256">
        <v>21</v>
      </c>
      <c r="C26" s="256"/>
      <c r="D26" s="396"/>
      <c r="E26" s="256"/>
      <c r="F26" s="461"/>
      <c r="G26" s="262"/>
      <c r="H26" s="656"/>
      <c r="I26" s="651">
        <f>IFERROR(J26/'Mão de Obra'!$D$12,"")</f>
        <v>0</v>
      </c>
      <c r="J26" s="651">
        <f>IFERROR(IF(ISNUMBER(H26),H26*'Mão de Obra'!$D$12/12,1)*G26*F26,"")</f>
        <v>0</v>
      </c>
    </row>
    <row r="27" spans="2:10" s="44" customFormat="1">
      <c r="B27" s="256">
        <v>22</v>
      </c>
      <c r="C27" s="256"/>
      <c r="D27" s="396"/>
      <c r="E27" s="256"/>
      <c r="F27" s="461"/>
      <c r="G27" s="262"/>
      <c r="H27" s="656"/>
      <c r="I27" s="651">
        <f>IFERROR(J27/'Mão de Obra'!$D$12,"")</f>
        <v>0</v>
      </c>
      <c r="J27" s="651">
        <f>IFERROR(IF(ISNUMBER(H27),H27*'Mão de Obra'!$D$12/12,1)*G27*F27,"")</f>
        <v>0</v>
      </c>
    </row>
    <row r="28" spans="2:10" s="44" customFormat="1">
      <c r="B28" s="256">
        <v>23</v>
      </c>
      <c r="C28" s="256"/>
      <c r="D28" s="396"/>
      <c r="E28" s="256"/>
      <c r="F28" s="461"/>
      <c r="G28" s="262"/>
      <c r="H28" s="656"/>
      <c r="I28" s="651">
        <f>IFERROR(J28/'Mão de Obra'!$D$12,"")</f>
        <v>0</v>
      </c>
      <c r="J28" s="651">
        <f>IFERROR(IF(ISNUMBER(H28),H28*'Mão de Obra'!$D$12/12,1)*G28*F28,"")</f>
        <v>0</v>
      </c>
    </row>
    <row r="29" spans="2:10" s="44" customFormat="1">
      <c r="B29" s="256">
        <v>24</v>
      </c>
      <c r="C29" s="256"/>
      <c r="D29" s="396"/>
      <c r="E29" s="256"/>
      <c r="F29" s="461"/>
      <c r="G29" s="262"/>
      <c r="H29" s="656"/>
      <c r="I29" s="651">
        <f>IFERROR(J29/'Mão de Obra'!$D$12,"")</f>
        <v>0</v>
      </c>
      <c r="J29" s="651">
        <f>IFERROR(IF(ISNUMBER(H29),H29*'Mão de Obra'!$D$12/12,1)*G29*F29,"")</f>
        <v>0</v>
      </c>
    </row>
    <row r="30" spans="2:10" s="44" customFormat="1">
      <c r="B30" s="256">
        <v>25</v>
      </c>
      <c r="C30" s="256"/>
      <c r="D30" s="396"/>
      <c r="E30" s="256"/>
      <c r="F30" s="461"/>
      <c r="G30" s="262"/>
      <c r="H30" s="656"/>
      <c r="I30" s="651">
        <f>IFERROR(J30/'Mão de Obra'!$D$12,"")</f>
        <v>0</v>
      </c>
      <c r="J30" s="651">
        <f>IFERROR(IF(ISNUMBER(H30),H30*'Mão de Obra'!$D$12/12,1)*G30*F30,"")</f>
        <v>0</v>
      </c>
    </row>
    <row r="31" spans="2:10" s="44" customFormat="1">
      <c r="B31" s="256">
        <v>26</v>
      </c>
      <c r="C31" s="256"/>
      <c r="D31" s="396"/>
      <c r="E31" s="256"/>
      <c r="F31" s="461"/>
      <c r="G31" s="262"/>
      <c r="H31" s="656"/>
      <c r="I31" s="651">
        <f>IFERROR(J31/'Mão de Obra'!$D$12,"")</f>
        <v>0</v>
      </c>
      <c r="J31" s="651">
        <f>IFERROR(IF(ISNUMBER(H31),H31*'Mão de Obra'!$D$12/12,1)*G31*F31,"")</f>
        <v>0</v>
      </c>
    </row>
    <row r="32" spans="2:10" s="44" customFormat="1">
      <c r="B32" s="256">
        <v>27</v>
      </c>
      <c r="C32" s="256"/>
      <c r="D32" s="396"/>
      <c r="E32" s="256"/>
      <c r="F32" s="461"/>
      <c r="G32" s="262"/>
      <c r="H32" s="656"/>
      <c r="I32" s="651">
        <f>IFERROR(J32/'Mão de Obra'!$D$12,"")</f>
        <v>0</v>
      </c>
      <c r="J32" s="651">
        <f>IFERROR(IF(ISNUMBER(H32),H32*'Mão de Obra'!$D$12/12,1)*G32*F32,"")</f>
        <v>0</v>
      </c>
    </row>
    <row r="33" spans="2:10" s="44" customFormat="1">
      <c r="B33" s="256">
        <v>28</v>
      </c>
      <c r="C33" s="256"/>
      <c r="D33" s="396"/>
      <c r="E33" s="256"/>
      <c r="F33" s="461"/>
      <c r="G33" s="262"/>
      <c r="H33" s="656"/>
      <c r="I33" s="651">
        <f>IFERROR(J33/'Mão de Obra'!$D$12,"")</f>
        <v>0</v>
      </c>
      <c r="J33" s="651">
        <f>IFERROR(IF(ISNUMBER(H33),H33*'Mão de Obra'!$D$12/12,1)*G33*F33,"")</f>
        <v>0</v>
      </c>
    </row>
    <row r="34" spans="2:10" s="44" customFormat="1">
      <c r="B34" s="256">
        <v>29</v>
      </c>
      <c r="C34" s="256"/>
      <c r="D34" s="396"/>
      <c r="E34" s="256"/>
      <c r="F34" s="461"/>
      <c r="G34" s="262"/>
      <c r="H34" s="656"/>
      <c r="I34" s="651">
        <f>IFERROR(J34/'Mão de Obra'!$D$12,"")</f>
        <v>0</v>
      </c>
      <c r="J34" s="651">
        <f>IFERROR(IF(ISNUMBER(H34),H34*'Mão de Obra'!$D$12/12,1)*G34*F34,"")</f>
        <v>0</v>
      </c>
    </row>
    <row r="35" spans="2:10" s="44" customFormat="1">
      <c r="B35" s="256">
        <v>30</v>
      </c>
      <c r="C35" s="256"/>
      <c r="D35" s="396"/>
      <c r="E35" s="256"/>
      <c r="F35" s="461"/>
      <c r="G35" s="262"/>
      <c r="H35" s="656"/>
      <c r="I35" s="651">
        <f>IFERROR(J35/'Mão de Obra'!$D$12,"")</f>
        <v>0</v>
      </c>
      <c r="J35" s="651">
        <f>IFERROR(IF(ISNUMBER(H35),H35*'Mão de Obra'!$D$12/12,1)*G35*F35,"")</f>
        <v>0</v>
      </c>
    </row>
    <row r="36" spans="2:10" s="44" customFormat="1">
      <c r="B36" s="256">
        <v>31</v>
      </c>
      <c r="C36" s="256"/>
      <c r="D36" s="396"/>
      <c r="E36" s="256"/>
      <c r="F36" s="461"/>
      <c r="G36" s="262"/>
      <c r="H36" s="656"/>
      <c r="I36" s="651">
        <f>IFERROR(J36/'Mão de Obra'!$D$12,"")</f>
        <v>0</v>
      </c>
      <c r="J36" s="651">
        <f>IFERROR(IF(ISNUMBER(H36),H36*'Mão de Obra'!$D$12/12,1)*G36*F36,"")</f>
        <v>0</v>
      </c>
    </row>
    <row r="37" spans="2:10" s="44" customFormat="1">
      <c r="B37" s="256">
        <v>32</v>
      </c>
      <c r="C37" s="256"/>
      <c r="D37" s="396"/>
      <c r="E37" s="256"/>
      <c r="F37" s="461"/>
      <c r="G37" s="262"/>
      <c r="H37" s="656"/>
      <c r="I37" s="651">
        <f>IFERROR(J37/'Mão de Obra'!$D$12,"")</f>
        <v>0</v>
      </c>
      <c r="J37" s="651">
        <f>IFERROR(IF(ISNUMBER(H37),H37*'Mão de Obra'!$D$12/12,1)*G37*F37,"")</f>
        <v>0</v>
      </c>
    </row>
    <row r="38" spans="2:10" s="44" customFormat="1">
      <c r="B38" s="256">
        <v>33</v>
      </c>
      <c r="C38" s="256"/>
      <c r="D38" s="396"/>
      <c r="E38" s="256"/>
      <c r="F38" s="461"/>
      <c r="G38" s="262"/>
      <c r="H38" s="656"/>
      <c r="I38" s="651">
        <f>IFERROR(J38/'Mão de Obra'!$D$12,"")</f>
        <v>0</v>
      </c>
      <c r="J38" s="651">
        <f>IFERROR(IF(ISNUMBER(H38),H38*'Mão de Obra'!$D$12/12,1)*G38*F38,"")</f>
        <v>0</v>
      </c>
    </row>
    <row r="39" spans="2:10" s="44" customFormat="1">
      <c r="B39" s="256">
        <v>34</v>
      </c>
      <c r="C39" s="256"/>
      <c r="D39" s="396"/>
      <c r="E39" s="256"/>
      <c r="F39" s="461"/>
      <c r="G39" s="262"/>
      <c r="H39" s="656"/>
      <c r="I39" s="651">
        <f>IFERROR(J39/'Mão de Obra'!$D$12,"")</f>
        <v>0</v>
      </c>
      <c r="J39" s="651">
        <f>IFERROR(IF(ISNUMBER(H39),H39*'Mão de Obra'!$D$12/12,1)*G39*F39,"")</f>
        <v>0</v>
      </c>
    </row>
    <row r="40" spans="2:10" s="44" customFormat="1">
      <c r="B40" s="256">
        <v>35</v>
      </c>
      <c r="C40" s="256"/>
      <c r="D40" s="396"/>
      <c r="E40" s="256"/>
      <c r="F40" s="461"/>
      <c r="G40" s="262"/>
      <c r="H40" s="656"/>
      <c r="I40" s="651">
        <f>IFERROR(J40/'Mão de Obra'!$D$12,"")</f>
        <v>0</v>
      </c>
      <c r="J40" s="651">
        <f>IFERROR(IF(ISNUMBER(H40),H40*'Mão de Obra'!$D$12/12,1)*G40*F40,"")</f>
        <v>0</v>
      </c>
    </row>
    <row r="41" spans="2:10" s="44" customFormat="1">
      <c r="B41" s="256">
        <v>36</v>
      </c>
      <c r="C41" s="256"/>
      <c r="D41" s="396"/>
      <c r="E41" s="256"/>
      <c r="F41" s="461"/>
      <c r="G41" s="262"/>
      <c r="H41" s="656"/>
      <c r="I41" s="651">
        <f>IFERROR(J41/'Mão de Obra'!$D$12,"")</f>
        <v>0</v>
      </c>
      <c r="J41" s="651">
        <f>IFERROR(IF(ISNUMBER(H41),H41*'Mão de Obra'!$D$12/12,1)*G41*F41,"")</f>
        <v>0</v>
      </c>
    </row>
    <row r="42" spans="2:10" s="44" customFormat="1">
      <c r="B42" s="256">
        <v>37</v>
      </c>
      <c r="C42" s="256"/>
      <c r="D42" s="396"/>
      <c r="E42" s="256"/>
      <c r="F42" s="461"/>
      <c r="G42" s="262"/>
      <c r="H42" s="656"/>
      <c r="I42" s="651">
        <f>IFERROR(J42/'Mão de Obra'!$D$12,"")</f>
        <v>0</v>
      </c>
      <c r="J42" s="651">
        <f>IFERROR(IF(ISNUMBER(H42),H42*'Mão de Obra'!$D$12/12,1)*G42*F42,"")</f>
        <v>0</v>
      </c>
    </row>
    <row r="43" spans="2:10" s="44" customFormat="1">
      <c r="B43" s="256">
        <v>38</v>
      </c>
      <c r="C43" s="256"/>
      <c r="D43" s="396"/>
      <c r="E43" s="256"/>
      <c r="F43" s="461"/>
      <c r="G43" s="262"/>
      <c r="H43" s="656"/>
      <c r="I43" s="651">
        <f>IFERROR(J43/'Mão de Obra'!$D$12,"")</f>
        <v>0</v>
      </c>
      <c r="J43" s="651">
        <f>IFERROR(IF(ISNUMBER(H43),H43*'Mão de Obra'!$D$12/12,1)*G43*F43,"")</f>
        <v>0</v>
      </c>
    </row>
    <row r="44" spans="2:10" s="44" customFormat="1">
      <c r="B44" s="256">
        <v>39</v>
      </c>
      <c r="C44" s="256"/>
      <c r="D44" s="396"/>
      <c r="E44" s="256"/>
      <c r="F44" s="461"/>
      <c r="G44" s="262"/>
      <c r="H44" s="656"/>
      <c r="I44" s="651">
        <f>IFERROR(J44/'Mão de Obra'!$D$12,"")</f>
        <v>0</v>
      </c>
      <c r="J44" s="651">
        <f>IFERROR(IF(ISNUMBER(H44),H44*'Mão de Obra'!$D$12/12,1)*G44*F44,"")</f>
        <v>0</v>
      </c>
    </row>
    <row r="45" spans="2:10" s="44" customFormat="1">
      <c r="B45" s="256">
        <v>40</v>
      </c>
      <c r="C45" s="256"/>
      <c r="D45" s="396"/>
      <c r="E45" s="256"/>
      <c r="F45" s="461"/>
      <c r="G45" s="262"/>
      <c r="H45" s="656"/>
      <c r="I45" s="651">
        <f>IFERROR(J45/'Mão de Obra'!$D$12,"")</f>
        <v>0</v>
      </c>
      <c r="J45" s="651">
        <f>IFERROR(IF(ISNUMBER(H45),H45*'Mão de Obra'!$D$12/12,1)*G45*F45,"")</f>
        <v>0</v>
      </c>
    </row>
    <row r="46" spans="2:10" s="44" customFormat="1">
      <c r="B46" s="256">
        <v>41</v>
      </c>
      <c r="C46" s="256"/>
      <c r="D46" s="396"/>
      <c r="E46" s="256"/>
      <c r="F46" s="461"/>
      <c r="G46" s="262"/>
      <c r="H46" s="656"/>
      <c r="I46" s="651">
        <f>IFERROR(J46/'Mão de Obra'!$D$12,"")</f>
        <v>0</v>
      </c>
      <c r="J46" s="651">
        <f>IFERROR(IF(ISNUMBER(H46),H46*'Mão de Obra'!$D$12/12,1)*G46*F46,"")</f>
        <v>0</v>
      </c>
    </row>
    <row r="47" spans="2:10" s="44" customFormat="1">
      <c r="B47" s="256">
        <v>42</v>
      </c>
      <c r="C47" s="256"/>
      <c r="D47" s="396"/>
      <c r="E47" s="256"/>
      <c r="F47" s="461"/>
      <c r="G47" s="262"/>
      <c r="H47" s="656"/>
      <c r="I47" s="651">
        <f>IFERROR(J47/'Mão de Obra'!$D$12,"")</f>
        <v>0</v>
      </c>
      <c r="J47" s="651">
        <f>IFERROR(IF(ISNUMBER(H47),H47*'Mão de Obra'!$D$12/12,1)*G47*F47,"")</f>
        <v>0</v>
      </c>
    </row>
    <row r="48" spans="2:10" s="44" customFormat="1">
      <c r="B48" s="256">
        <v>43</v>
      </c>
      <c r="C48" s="256"/>
      <c r="D48" s="396"/>
      <c r="E48" s="256"/>
      <c r="F48" s="461"/>
      <c r="G48" s="262"/>
      <c r="H48" s="656"/>
      <c r="I48" s="651">
        <f>IFERROR(J48/'Mão de Obra'!$D$12,"")</f>
        <v>0</v>
      </c>
      <c r="J48" s="651">
        <f>IFERROR(IF(ISNUMBER(H48),H48*'Mão de Obra'!$D$12/12,1)*G48*F48,"")</f>
        <v>0</v>
      </c>
    </row>
    <row r="49" spans="2:10" s="44" customFormat="1">
      <c r="B49" s="256">
        <v>44</v>
      </c>
      <c r="C49" s="256"/>
      <c r="D49" s="396"/>
      <c r="E49" s="256"/>
      <c r="F49" s="461"/>
      <c r="G49" s="262"/>
      <c r="H49" s="656"/>
      <c r="I49" s="651">
        <f>IFERROR(J49/'Mão de Obra'!$D$12,"")</f>
        <v>0</v>
      </c>
      <c r="J49" s="651">
        <f>IFERROR(IF(ISNUMBER(H49),H49*'Mão de Obra'!$D$12/12,1)*G49*F49,"")</f>
        <v>0</v>
      </c>
    </row>
    <row r="50" spans="2:10" s="44" customFormat="1">
      <c r="B50" s="256">
        <v>45</v>
      </c>
      <c r="C50" s="256"/>
      <c r="D50" s="396"/>
      <c r="E50" s="256"/>
      <c r="F50" s="461"/>
      <c r="G50" s="262"/>
      <c r="H50" s="656"/>
      <c r="I50" s="651">
        <f>IFERROR(J50/'Mão de Obra'!$D$12,"")</f>
        <v>0</v>
      </c>
      <c r="J50" s="651">
        <f>IFERROR(IF(ISNUMBER(H50),H50*'Mão de Obra'!$D$12/12,1)*G50*F50,"")</f>
        <v>0</v>
      </c>
    </row>
    <row r="51" spans="2:10" s="44" customFormat="1">
      <c r="B51" s="256">
        <v>46</v>
      </c>
      <c r="C51" s="256"/>
      <c r="D51" s="396"/>
      <c r="E51" s="256"/>
      <c r="F51" s="461"/>
      <c r="G51" s="262"/>
      <c r="H51" s="656"/>
      <c r="I51" s="651">
        <f>IFERROR(J51/'Mão de Obra'!$D$12,"")</f>
        <v>0</v>
      </c>
      <c r="J51" s="651">
        <f>IFERROR(IF(ISNUMBER(H51),H51*'Mão de Obra'!$D$12/12,1)*G51*F51,"")</f>
        <v>0</v>
      </c>
    </row>
    <row r="52" spans="2:10" s="44" customFormat="1">
      <c r="B52" s="256">
        <v>47</v>
      </c>
      <c r="C52" s="256"/>
      <c r="D52" s="396"/>
      <c r="E52" s="256"/>
      <c r="F52" s="461"/>
      <c r="G52" s="262"/>
      <c r="H52" s="656"/>
      <c r="I52" s="651">
        <f>IFERROR(J52/'Mão de Obra'!$D$12,"")</f>
        <v>0</v>
      </c>
      <c r="J52" s="651">
        <f>IFERROR(IF(ISNUMBER(H52),H52*'Mão de Obra'!$D$12/12,1)*G52*F52,"")</f>
        <v>0</v>
      </c>
    </row>
    <row r="53" spans="2:10" s="44" customFormat="1">
      <c r="B53" s="256">
        <v>48</v>
      </c>
      <c r="C53" s="256"/>
      <c r="D53" s="396"/>
      <c r="E53" s="256"/>
      <c r="F53" s="461"/>
      <c r="G53" s="262"/>
      <c r="H53" s="656"/>
      <c r="I53" s="651">
        <f>IFERROR(J53/'Mão de Obra'!$D$12,"")</f>
        <v>0</v>
      </c>
      <c r="J53" s="651">
        <f>IFERROR(IF(ISNUMBER(H53),H53*'Mão de Obra'!$D$12/12,1)*G53*F53,"")</f>
        <v>0</v>
      </c>
    </row>
    <row r="54" spans="2:10" s="44" customFormat="1">
      <c r="B54" s="256">
        <v>49</v>
      </c>
      <c r="C54" s="256"/>
      <c r="D54" s="396"/>
      <c r="E54" s="256"/>
      <c r="F54" s="461"/>
      <c r="G54" s="262"/>
      <c r="H54" s="656"/>
      <c r="I54" s="651">
        <f>IFERROR(J54/'Mão de Obra'!$D$12,"")</f>
        <v>0</v>
      </c>
      <c r="J54" s="651">
        <f>IFERROR(IF(ISNUMBER(H54),H54*'Mão de Obra'!$D$12/12,1)*G54*F54,"")</f>
        <v>0</v>
      </c>
    </row>
    <row r="55" spans="2:10" s="44" customFormat="1">
      <c r="B55" s="256">
        <v>50</v>
      </c>
      <c r="C55" s="256"/>
      <c r="D55" s="396"/>
      <c r="E55" s="256"/>
      <c r="F55" s="461"/>
      <c r="G55" s="262"/>
      <c r="H55" s="656"/>
      <c r="I55" s="651">
        <f>IFERROR(J55/'Mão de Obra'!$D$12,"")</f>
        <v>0</v>
      </c>
      <c r="J55" s="651">
        <f>IFERROR(IF(ISNUMBER(H55),H55*'Mão de Obra'!$D$12/12,1)*G55*F55,"")</f>
        <v>0</v>
      </c>
    </row>
    <row r="56" spans="2:10" s="44" customFormat="1">
      <c r="B56" s="256">
        <v>51</v>
      </c>
      <c r="C56" s="256"/>
      <c r="D56" s="396"/>
      <c r="E56" s="256"/>
      <c r="F56" s="461"/>
      <c r="G56" s="262"/>
      <c r="H56" s="656"/>
      <c r="I56" s="651">
        <f>IFERROR(J56/'Mão de Obra'!$D$12,"")</f>
        <v>0</v>
      </c>
      <c r="J56" s="651">
        <f>IFERROR(IF(ISNUMBER(H56),H56*'Mão de Obra'!$D$12/12,1)*G56*F56,"")</f>
        <v>0</v>
      </c>
    </row>
    <row r="57" spans="2:10" s="44" customFormat="1">
      <c r="B57" s="256">
        <v>52</v>
      </c>
      <c r="C57" s="256"/>
      <c r="D57" s="396"/>
      <c r="E57" s="256"/>
      <c r="F57" s="461"/>
      <c r="G57" s="262"/>
      <c r="H57" s="656"/>
      <c r="I57" s="651">
        <f>IFERROR(J57/'Mão de Obra'!$D$12,"")</f>
        <v>0</v>
      </c>
      <c r="J57" s="651">
        <f>IFERROR(IF(ISNUMBER(H57),H57*'Mão de Obra'!$D$12/12,1)*G57*F57,"")</f>
        <v>0</v>
      </c>
    </row>
    <row r="58" spans="2:10" s="44" customFormat="1">
      <c r="B58" s="256">
        <v>53</v>
      </c>
      <c r="C58" s="256"/>
      <c r="D58" s="396"/>
      <c r="E58" s="256"/>
      <c r="F58" s="461"/>
      <c r="G58" s="262"/>
      <c r="H58" s="656"/>
      <c r="I58" s="651">
        <f>IFERROR(J58/'Mão de Obra'!$D$12,"")</f>
        <v>0</v>
      </c>
      <c r="J58" s="651">
        <f>IFERROR(IF(ISNUMBER(H58),H58*'Mão de Obra'!$D$12/12,1)*G58*F58,"")</f>
        <v>0</v>
      </c>
    </row>
    <row r="59" spans="2:10" s="44" customFormat="1">
      <c r="B59" s="256">
        <v>54</v>
      </c>
      <c r="C59" s="256"/>
      <c r="D59" s="396"/>
      <c r="E59" s="256"/>
      <c r="F59" s="461"/>
      <c r="G59" s="262"/>
      <c r="H59" s="656"/>
      <c r="I59" s="651">
        <f>IFERROR(J59/'Mão de Obra'!$D$12,"")</f>
        <v>0</v>
      </c>
      <c r="J59" s="651">
        <f>IFERROR(IF(ISNUMBER(H59),H59*'Mão de Obra'!$D$12/12,1)*G59*F59,"")</f>
        <v>0</v>
      </c>
    </row>
    <row r="60" spans="2:10" s="44" customFormat="1">
      <c r="B60" s="256">
        <v>55</v>
      </c>
      <c r="C60" s="256"/>
      <c r="D60" s="396"/>
      <c r="E60" s="256"/>
      <c r="F60" s="461"/>
      <c r="G60" s="262"/>
      <c r="H60" s="656"/>
      <c r="I60" s="651">
        <f>IFERROR(J60/'Mão de Obra'!$D$12,"")</f>
        <v>0</v>
      </c>
      <c r="J60" s="651">
        <f>IFERROR(IF(ISNUMBER(H60),H60*'Mão de Obra'!$D$12/12,1)*G60*F60,"")</f>
        <v>0</v>
      </c>
    </row>
    <row r="61" spans="2:10" s="44" customFormat="1">
      <c r="B61" s="256">
        <v>56</v>
      </c>
      <c r="C61" s="256"/>
      <c r="D61" s="396"/>
      <c r="E61" s="256"/>
      <c r="F61" s="461"/>
      <c r="G61" s="262"/>
      <c r="H61" s="656"/>
      <c r="I61" s="651">
        <f>IFERROR(J61/'Mão de Obra'!$D$12,"")</f>
        <v>0</v>
      </c>
      <c r="J61" s="651">
        <f>IFERROR(IF(ISNUMBER(H61),H61*'Mão de Obra'!$D$12/12,1)*G61*F61,"")</f>
        <v>0</v>
      </c>
    </row>
    <row r="62" spans="2:10" s="44" customFormat="1">
      <c r="B62" s="256">
        <v>57</v>
      </c>
      <c r="C62" s="256"/>
      <c r="D62" s="396"/>
      <c r="E62" s="256"/>
      <c r="F62" s="461"/>
      <c r="G62" s="262"/>
      <c r="H62" s="656"/>
      <c r="I62" s="651">
        <f>IFERROR(J62/'Mão de Obra'!$D$12,"")</f>
        <v>0</v>
      </c>
      <c r="J62" s="651">
        <f>IFERROR(IF(ISNUMBER(H62),H62*'Mão de Obra'!$D$12/12,1)*G62*F62,"")</f>
        <v>0</v>
      </c>
    </row>
    <row r="63" spans="2:10" s="44" customFormat="1">
      <c r="B63" s="256">
        <v>58</v>
      </c>
      <c r="C63" s="256"/>
      <c r="D63" s="396"/>
      <c r="E63" s="256"/>
      <c r="F63" s="461"/>
      <c r="G63" s="262"/>
      <c r="H63" s="656"/>
      <c r="I63" s="651">
        <f>IFERROR(J63/'Mão de Obra'!$D$12,"")</f>
        <v>0</v>
      </c>
      <c r="J63" s="651">
        <f>IFERROR(IF(ISNUMBER(H63),H63*'Mão de Obra'!$D$12/12,1)*G63*F63,"")</f>
        <v>0</v>
      </c>
    </row>
    <row r="64" spans="2:10" s="44" customFormat="1">
      <c r="B64" s="256">
        <v>59</v>
      </c>
      <c r="C64" s="256"/>
      <c r="D64" s="396"/>
      <c r="E64" s="256"/>
      <c r="F64" s="461"/>
      <c r="G64" s="262"/>
      <c r="H64" s="656"/>
      <c r="I64" s="651">
        <f>IFERROR(J64/'Mão de Obra'!$D$12,"")</f>
        <v>0</v>
      </c>
      <c r="J64" s="651">
        <f>IFERROR(IF(ISNUMBER(H64),H64*'Mão de Obra'!$D$12/12,1)*G64*F64,"")</f>
        <v>0</v>
      </c>
    </row>
    <row r="65" spans="2:10" s="44" customFormat="1">
      <c r="B65" s="256">
        <v>60</v>
      </c>
      <c r="C65" s="256"/>
      <c r="D65" s="396"/>
      <c r="E65" s="256"/>
      <c r="F65" s="461"/>
      <c r="G65" s="262"/>
      <c r="H65" s="656"/>
      <c r="I65" s="651">
        <f>IFERROR(J65/'Mão de Obra'!$D$12,"")</f>
        <v>0</v>
      </c>
      <c r="J65" s="651">
        <f>IFERROR(IF(ISNUMBER(H65),H65*'Mão de Obra'!$D$12/12,1)*G65*F65,"")</f>
        <v>0</v>
      </c>
    </row>
    <row r="66" spans="2:10" s="44" customFormat="1">
      <c r="B66" s="256">
        <v>61</v>
      </c>
      <c r="C66" s="256"/>
      <c r="D66" s="396"/>
      <c r="E66" s="256"/>
      <c r="F66" s="461"/>
      <c r="G66" s="262"/>
      <c r="H66" s="656"/>
      <c r="I66" s="651">
        <f>IFERROR(J66/'Mão de Obra'!$D$12,"")</f>
        <v>0</v>
      </c>
      <c r="J66" s="651">
        <f>IFERROR(IF(ISNUMBER(H66),H66*'Mão de Obra'!$D$12/12,1)*G66*F66,"")</f>
        <v>0</v>
      </c>
    </row>
    <row r="67" spans="2:10" s="44" customFormat="1">
      <c r="B67" s="256">
        <v>62</v>
      </c>
      <c r="C67" s="256"/>
      <c r="D67" s="396"/>
      <c r="E67" s="256"/>
      <c r="F67" s="461"/>
      <c r="G67" s="262"/>
      <c r="H67" s="656"/>
      <c r="I67" s="651">
        <f>IFERROR(J67/'Mão de Obra'!$D$12,"")</f>
        <v>0</v>
      </c>
      <c r="J67" s="651">
        <f>IFERROR(IF(ISNUMBER(H67),H67*'Mão de Obra'!$D$12/12,1)*G67*F67,"")</f>
        <v>0</v>
      </c>
    </row>
    <row r="68" spans="2:10" s="44" customFormat="1">
      <c r="B68" s="256">
        <v>63</v>
      </c>
      <c r="C68" s="256"/>
      <c r="D68" s="396"/>
      <c r="E68" s="256"/>
      <c r="F68" s="461"/>
      <c r="G68" s="262"/>
      <c r="H68" s="656"/>
      <c r="I68" s="651">
        <f>IFERROR(J68/'Mão de Obra'!$D$12,"")</f>
        <v>0</v>
      </c>
      <c r="J68" s="651">
        <f>IFERROR(IF(ISNUMBER(H68),H68*'Mão de Obra'!$D$12/12,1)*G68*F68,"")</f>
        <v>0</v>
      </c>
    </row>
    <row r="69" spans="2:10" s="44" customFormat="1">
      <c r="B69" s="256">
        <v>64</v>
      </c>
      <c r="C69" s="256"/>
      <c r="D69" s="396"/>
      <c r="E69" s="256"/>
      <c r="F69" s="461"/>
      <c r="G69" s="262"/>
      <c r="H69" s="656"/>
      <c r="I69" s="651">
        <f>IFERROR(J69/'Mão de Obra'!$D$12,"")</f>
        <v>0</v>
      </c>
      <c r="J69" s="651">
        <f>IFERROR(IF(ISNUMBER(H69),H69*'Mão de Obra'!$D$12/12,1)*G69*F69,"")</f>
        <v>0</v>
      </c>
    </row>
    <row r="70" spans="2:10" s="44" customFormat="1">
      <c r="B70" s="256">
        <v>65</v>
      </c>
      <c r="C70" s="256"/>
      <c r="D70" s="396"/>
      <c r="E70" s="256"/>
      <c r="F70" s="461"/>
      <c r="G70" s="262"/>
      <c r="H70" s="656"/>
      <c r="I70" s="651">
        <f>IFERROR(J70/'Mão de Obra'!$D$12,"")</f>
        <v>0</v>
      </c>
      <c r="J70" s="651">
        <f>IFERROR(IF(ISNUMBER(H70),H70*'Mão de Obra'!$D$12/12,1)*G70*F70,"")</f>
        <v>0</v>
      </c>
    </row>
    <row r="71" spans="2:10" s="44" customFormat="1">
      <c r="B71" s="256">
        <v>66</v>
      </c>
      <c r="C71" s="256"/>
      <c r="D71" s="396"/>
      <c r="E71" s="256"/>
      <c r="F71" s="461"/>
      <c r="G71" s="262"/>
      <c r="H71" s="656"/>
      <c r="I71" s="651">
        <f>IFERROR(J71/'Mão de Obra'!$D$12,"")</f>
        <v>0</v>
      </c>
      <c r="J71" s="651">
        <f>IFERROR(IF(ISNUMBER(H71),H71*'Mão de Obra'!$D$12/12,1)*G71*F71,"")</f>
        <v>0</v>
      </c>
    </row>
    <row r="72" spans="2:10" s="44" customFormat="1">
      <c r="B72" s="256">
        <v>67</v>
      </c>
      <c r="C72" s="256"/>
      <c r="D72" s="396"/>
      <c r="E72" s="256"/>
      <c r="F72" s="461"/>
      <c r="G72" s="262"/>
      <c r="H72" s="656"/>
      <c r="I72" s="651">
        <f>IFERROR(J72/'Mão de Obra'!$D$12,"")</f>
        <v>0</v>
      </c>
      <c r="J72" s="651">
        <f>IFERROR(IF(ISNUMBER(H72),H72*'Mão de Obra'!$D$12/12,1)*G72*F72,"")</f>
        <v>0</v>
      </c>
    </row>
    <row r="73" spans="2:10" s="44" customFormat="1">
      <c r="B73" s="256">
        <v>68</v>
      </c>
      <c r="C73" s="256"/>
      <c r="D73" s="396"/>
      <c r="E73" s="256"/>
      <c r="F73" s="461"/>
      <c r="G73" s="262"/>
      <c r="H73" s="656"/>
      <c r="I73" s="651">
        <f>IFERROR(J73/'Mão de Obra'!$D$12,"")</f>
        <v>0</v>
      </c>
      <c r="J73" s="651">
        <f>IFERROR(IF(ISNUMBER(H73),H73*'Mão de Obra'!$D$12/12,1)*G73*F73,"")</f>
        <v>0</v>
      </c>
    </row>
    <row r="74" spans="2:10" s="44" customFormat="1">
      <c r="B74" s="256">
        <v>69</v>
      </c>
      <c r="C74" s="256"/>
      <c r="D74" s="396"/>
      <c r="E74" s="256"/>
      <c r="F74" s="461"/>
      <c r="G74" s="262"/>
      <c r="H74" s="656"/>
      <c r="I74" s="651">
        <f>IFERROR(J74/'Mão de Obra'!$D$12,"")</f>
        <v>0</v>
      </c>
      <c r="J74" s="651">
        <f>IFERROR(IF(ISNUMBER(H74),H74*'Mão de Obra'!$D$12/12,1)*G74*F74,"")</f>
        <v>0</v>
      </c>
    </row>
    <row r="75" spans="2:10" s="44" customFormat="1">
      <c r="B75" s="256">
        <v>70</v>
      </c>
      <c r="C75" s="256"/>
      <c r="D75" s="396"/>
      <c r="E75" s="256"/>
      <c r="F75" s="461"/>
      <c r="G75" s="262"/>
      <c r="H75" s="656"/>
      <c r="I75" s="651">
        <f>IFERROR(J75/'Mão de Obra'!$D$12,"")</f>
        <v>0</v>
      </c>
      <c r="J75" s="651">
        <f>IFERROR(IF(ISNUMBER(H75),H75*'Mão de Obra'!$D$12/12,1)*G75*F75,"")</f>
        <v>0</v>
      </c>
    </row>
    <row r="76" spans="2:10" s="44" customFormat="1">
      <c r="B76" s="256">
        <v>71</v>
      </c>
      <c r="C76" s="256"/>
      <c r="D76" s="396"/>
      <c r="E76" s="256"/>
      <c r="F76" s="461"/>
      <c r="G76" s="262"/>
      <c r="H76" s="656"/>
      <c r="I76" s="651">
        <f>IFERROR(J76/'Mão de Obra'!$D$12,"")</f>
        <v>0</v>
      </c>
      <c r="J76" s="651">
        <f>IFERROR(IF(ISNUMBER(H76),H76*'Mão de Obra'!$D$12/12,1)*G76*F76,"")</f>
        <v>0</v>
      </c>
    </row>
    <row r="77" spans="2:10" s="44" customFormat="1">
      <c r="B77" s="256">
        <v>72</v>
      </c>
      <c r="C77" s="256"/>
      <c r="D77" s="396"/>
      <c r="E77" s="256"/>
      <c r="F77" s="461"/>
      <c r="G77" s="262"/>
      <c r="H77" s="656"/>
      <c r="I77" s="651">
        <f>IFERROR(J77/'Mão de Obra'!$D$12,"")</f>
        <v>0</v>
      </c>
      <c r="J77" s="651">
        <f>IFERROR(IF(ISNUMBER(H77),H77*'Mão de Obra'!$D$12/12,1)*G77*F77,"")</f>
        <v>0</v>
      </c>
    </row>
    <row r="78" spans="2:10" s="44" customFormat="1">
      <c r="B78" s="256">
        <v>73</v>
      </c>
      <c r="C78" s="256"/>
      <c r="D78" s="396"/>
      <c r="E78" s="256"/>
      <c r="F78" s="461"/>
      <c r="G78" s="262"/>
      <c r="H78" s="656"/>
      <c r="I78" s="651">
        <f>IFERROR(J78/'Mão de Obra'!$D$12,"")</f>
        <v>0</v>
      </c>
      <c r="J78" s="651">
        <f>IFERROR(IF(ISNUMBER(H78),H78*'Mão de Obra'!$D$12/12,1)*G78*F78,"")</f>
        <v>0</v>
      </c>
    </row>
    <row r="79" spans="2:10" s="44" customFormat="1">
      <c r="B79" s="256">
        <v>74</v>
      </c>
      <c r="C79" s="256"/>
      <c r="D79" s="396"/>
      <c r="E79" s="256"/>
      <c r="F79" s="461"/>
      <c r="G79" s="262"/>
      <c r="H79" s="656"/>
      <c r="I79" s="651">
        <f>IFERROR(J79/'Mão de Obra'!$D$12,"")</f>
        <v>0</v>
      </c>
      <c r="J79" s="651">
        <f>IFERROR(IF(ISNUMBER(H79),H79*'Mão de Obra'!$D$12/12,1)*G79*F79,"")</f>
        <v>0</v>
      </c>
    </row>
    <row r="80" spans="2:10" s="44" customFormat="1">
      <c r="B80" s="256">
        <v>75</v>
      </c>
      <c r="C80" s="256"/>
      <c r="D80" s="396"/>
      <c r="E80" s="256"/>
      <c r="F80" s="461"/>
      <c r="G80" s="262"/>
      <c r="H80" s="656"/>
      <c r="I80" s="651">
        <f>IFERROR(J80/'Mão de Obra'!$D$12,"")</f>
        <v>0</v>
      </c>
      <c r="J80" s="651">
        <f>IFERROR(IF(ISNUMBER(H80),H80*'Mão de Obra'!$D$12/12,1)*G80*F80,"")</f>
        <v>0</v>
      </c>
    </row>
    <row r="81" spans="2:10" s="44" customFormat="1">
      <c r="B81" s="256">
        <v>76</v>
      </c>
      <c r="C81" s="256"/>
      <c r="D81" s="396"/>
      <c r="E81" s="256"/>
      <c r="F81" s="461"/>
      <c r="G81" s="262"/>
      <c r="H81" s="656"/>
      <c r="I81" s="651">
        <f>IFERROR(J81/'Mão de Obra'!$D$12,"")</f>
        <v>0</v>
      </c>
      <c r="J81" s="651">
        <f>IFERROR(IF(ISNUMBER(H81),H81*'Mão de Obra'!$D$12/12,1)*G81*F81,"")</f>
        <v>0</v>
      </c>
    </row>
    <row r="82" spans="2:10" s="44" customFormat="1">
      <c r="B82" s="256">
        <v>77</v>
      </c>
      <c r="C82" s="256"/>
      <c r="D82" s="396"/>
      <c r="E82" s="256"/>
      <c r="F82" s="461"/>
      <c r="G82" s="262"/>
      <c r="H82" s="656"/>
      <c r="I82" s="651">
        <f>IFERROR(J82/'Mão de Obra'!$D$12,"")</f>
        <v>0</v>
      </c>
      <c r="J82" s="651">
        <f>IFERROR(IF(ISNUMBER(H82),H82*'Mão de Obra'!$D$12/12,1)*G82*F82,"")</f>
        <v>0</v>
      </c>
    </row>
    <row r="83" spans="2:10" s="44" customFormat="1">
      <c r="B83" s="256">
        <v>78</v>
      </c>
      <c r="C83" s="256"/>
      <c r="D83" s="396"/>
      <c r="E83" s="256"/>
      <c r="F83" s="461"/>
      <c r="G83" s="262"/>
      <c r="H83" s="656"/>
      <c r="I83" s="651">
        <f>IFERROR(J83/'Mão de Obra'!$D$12,"")</f>
        <v>0</v>
      </c>
      <c r="J83" s="651">
        <f>IFERROR(IF(ISNUMBER(H83),H83*'Mão de Obra'!$D$12/12,1)*G83*F83,"")</f>
        <v>0</v>
      </c>
    </row>
    <row r="84" spans="2:10" s="44" customFormat="1">
      <c r="B84" s="256">
        <v>79</v>
      </c>
      <c r="C84" s="256"/>
      <c r="D84" s="396"/>
      <c r="E84" s="256"/>
      <c r="F84" s="461"/>
      <c r="G84" s="262"/>
      <c r="H84" s="656"/>
      <c r="I84" s="651">
        <f>IFERROR(J84/'Mão de Obra'!$D$12,"")</f>
        <v>0</v>
      </c>
      <c r="J84" s="651">
        <f>IFERROR(IF(ISNUMBER(H84),H84*'Mão de Obra'!$D$12/12,1)*G84*F84,"")</f>
        <v>0</v>
      </c>
    </row>
    <row r="85" spans="2:10" s="44" customFormat="1">
      <c r="B85" s="256">
        <v>80</v>
      </c>
      <c r="C85" s="256"/>
      <c r="D85" s="396"/>
      <c r="E85" s="256"/>
      <c r="F85" s="461"/>
      <c r="G85" s="262"/>
      <c r="H85" s="656"/>
      <c r="I85" s="651">
        <f>IFERROR(J85/'Mão de Obra'!$D$12,"")</f>
        <v>0</v>
      </c>
      <c r="J85" s="651">
        <f>IFERROR(IF(ISNUMBER(H85),H85*'Mão de Obra'!$D$12/12,1)*G85*F85,"")</f>
        <v>0</v>
      </c>
    </row>
    <row r="86" spans="2:10" s="44" customFormat="1">
      <c r="B86" s="256">
        <v>81</v>
      </c>
      <c r="C86" s="256"/>
      <c r="D86" s="396"/>
      <c r="E86" s="256"/>
      <c r="F86" s="461"/>
      <c r="G86" s="262"/>
      <c r="H86" s="656"/>
      <c r="I86" s="651">
        <f>IFERROR(J86/'Mão de Obra'!$D$12,"")</f>
        <v>0</v>
      </c>
      <c r="J86" s="651">
        <f>IFERROR(IF(ISNUMBER(H86),H86*'Mão de Obra'!$D$12/12,1)*G86*F86,"")</f>
        <v>0</v>
      </c>
    </row>
    <row r="87" spans="2:10" s="44" customFormat="1">
      <c r="B87" s="256">
        <v>82</v>
      </c>
      <c r="C87" s="256"/>
      <c r="D87" s="396"/>
      <c r="E87" s="256"/>
      <c r="F87" s="461"/>
      <c r="G87" s="262"/>
      <c r="H87" s="656"/>
      <c r="I87" s="651">
        <f>IFERROR(J87/'Mão de Obra'!$D$12,"")</f>
        <v>0</v>
      </c>
      <c r="J87" s="651">
        <f>IFERROR(IF(ISNUMBER(H87),H87*'Mão de Obra'!$D$12/12,1)*G87*F87,"")</f>
        <v>0</v>
      </c>
    </row>
    <row r="88" spans="2:10" s="44" customFormat="1">
      <c r="B88" s="256">
        <v>83</v>
      </c>
      <c r="C88" s="256"/>
      <c r="D88" s="396"/>
      <c r="E88" s="256"/>
      <c r="F88" s="461"/>
      <c r="G88" s="262"/>
      <c r="H88" s="656"/>
      <c r="I88" s="651">
        <f>IFERROR(J88/'Mão de Obra'!$D$12,"")</f>
        <v>0</v>
      </c>
      <c r="J88" s="651">
        <f>IFERROR(IF(ISNUMBER(H88),H88*'Mão de Obra'!$D$12/12,1)*G88*F88,"")</f>
        <v>0</v>
      </c>
    </row>
    <row r="89" spans="2:10" s="44" customFormat="1">
      <c r="B89" s="256">
        <v>84</v>
      </c>
      <c r="C89" s="256"/>
      <c r="D89" s="396"/>
      <c r="E89" s="256"/>
      <c r="F89" s="461"/>
      <c r="G89" s="262"/>
      <c r="H89" s="656"/>
      <c r="I89" s="651">
        <f>IFERROR(J89/'Mão de Obra'!$D$12,"")</f>
        <v>0</v>
      </c>
      <c r="J89" s="651">
        <f>IFERROR(IF(ISNUMBER(H89),H89*'Mão de Obra'!$D$12/12,1)*G89*F89,"")</f>
        <v>0</v>
      </c>
    </row>
    <row r="90" spans="2:10" s="44" customFormat="1">
      <c r="B90" s="256">
        <v>85</v>
      </c>
      <c r="C90" s="256"/>
      <c r="D90" s="396"/>
      <c r="E90" s="256"/>
      <c r="F90" s="461"/>
      <c r="G90" s="262"/>
      <c r="H90" s="656"/>
      <c r="I90" s="651">
        <f>IFERROR(J90/'Mão de Obra'!$D$12,"")</f>
        <v>0</v>
      </c>
      <c r="J90" s="651">
        <f>IFERROR(IF(ISNUMBER(H90),H90*'Mão de Obra'!$D$12/12,1)*G90*F90,"")</f>
        <v>0</v>
      </c>
    </row>
    <row r="91" spans="2:10" s="44" customFormat="1">
      <c r="B91" s="256">
        <v>86</v>
      </c>
      <c r="C91" s="256"/>
      <c r="D91" s="396"/>
      <c r="E91" s="256"/>
      <c r="F91" s="461"/>
      <c r="G91" s="262"/>
      <c r="H91" s="656"/>
      <c r="I91" s="651">
        <f>IFERROR(J91/'Mão de Obra'!$D$12,"")</f>
        <v>0</v>
      </c>
      <c r="J91" s="651">
        <f>IFERROR(IF(ISNUMBER(H91),H91*'Mão de Obra'!$D$12/12,1)*G91*F91,"")</f>
        <v>0</v>
      </c>
    </row>
    <row r="92" spans="2:10" s="44" customFormat="1">
      <c r="B92" s="256">
        <v>87</v>
      </c>
      <c r="C92" s="256"/>
      <c r="D92" s="396"/>
      <c r="E92" s="256"/>
      <c r="F92" s="461"/>
      <c r="G92" s="262"/>
      <c r="H92" s="656"/>
      <c r="I92" s="651">
        <f>IFERROR(J92/'Mão de Obra'!$D$12,"")</f>
        <v>0</v>
      </c>
      <c r="J92" s="651">
        <f>IFERROR(IF(ISNUMBER(H92),H92*'Mão de Obra'!$D$12/12,1)*G92*F92,"")</f>
        <v>0</v>
      </c>
    </row>
    <row r="93" spans="2:10" s="44" customFormat="1">
      <c r="B93" s="256">
        <v>88</v>
      </c>
      <c r="C93" s="256"/>
      <c r="D93" s="396"/>
      <c r="E93" s="256"/>
      <c r="F93" s="461"/>
      <c r="G93" s="262"/>
      <c r="H93" s="656"/>
      <c r="I93" s="651">
        <f>IFERROR(J93/'Mão de Obra'!$D$12,"")</f>
        <v>0</v>
      </c>
      <c r="J93" s="651">
        <f>IFERROR(IF(ISNUMBER(H93),H93*'Mão de Obra'!$D$12/12,1)*G93*F93,"")</f>
        <v>0</v>
      </c>
    </row>
    <row r="94" spans="2:10" s="44" customFormat="1">
      <c r="B94" s="256">
        <v>89</v>
      </c>
      <c r="C94" s="256"/>
      <c r="D94" s="396"/>
      <c r="E94" s="256"/>
      <c r="F94" s="461"/>
      <c r="G94" s="262"/>
      <c r="H94" s="656"/>
      <c r="I94" s="651">
        <f>IFERROR(J94/'Mão de Obra'!$D$12,"")</f>
        <v>0</v>
      </c>
      <c r="J94" s="651">
        <f>IFERROR(IF(ISNUMBER(H94),H94*'Mão de Obra'!$D$12/12,1)*G94*F94,"")</f>
        <v>0</v>
      </c>
    </row>
    <row r="95" spans="2:10" s="44" customFormat="1">
      <c r="B95" s="256">
        <v>90</v>
      </c>
      <c r="C95" s="256"/>
      <c r="D95" s="396"/>
      <c r="E95" s="256"/>
      <c r="F95" s="461"/>
      <c r="G95" s="262"/>
      <c r="H95" s="656"/>
      <c r="I95" s="651">
        <f>IFERROR(J95/'Mão de Obra'!$D$12,"")</f>
        <v>0</v>
      </c>
      <c r="J95" s="651">
        <f>IFERROR(IF(ISNUMBER(H95),H95*'Mão de Obra'!$D$12/12,1)*G95*F95,"")</f>
        <v>0</v>
      </c>
    </row>
    <row r="96" spans="2:10" s="44" customFormat="1">
      <c r="B96" s="256">
        <v>91</v>
      </c>
      <c r="C96" s="256"/>
      <c r="D96" s="396"/>
      <c r="E96" s="256"/>
      <c r="F96" s="461"/>
      <c r="G96" s="262"/>
      <c r="H96" s="656"/>
      <c r="I96" s="651">
        <f>IFERROR(J96/'Mão de Obra'!$D$12,"")</f>
        <v>0</v>
      </c>
      <c r="J96" s="651">
        <f>IFERROR(IF(ISNUMBER(H96),H96*'Mão de Obra'!$D$12/12,1)*G96*F96,"")</f>
        <v>0</v>
      </c>
    </row>
    <row r="97" spans="2:10" s="44" customFormat="1">
      <c r="B97" s="256">
        <v>92</v>
      </c>
      <c r="C97" s="256"/>
      <c r="D97" s="396"/>
      <c r="E97" s="256"/>
      <c r="F97" s="461"/>
      <c r="G97" s="262"/>
      <c r="H97" s="656"/>
      <c r="I97" s="651">
        <f>IFERROR(J97/'Mão de Obra'!$D$12,"")</f>
        <v>0</v>
      </c>
      <c r="J97" s="651">
        <f>IFERROR(IF(ISNUMBER(H97),H97*'Mão de Obra'!$D$12/12,1)*G97*F97,"")</f>
        <v>0</v>
      </c>
    </row>
    <row r="98" spans="2:10" s="44" customFormat="1">
      <c r="B98" s="256">
        <v>93</v>
      </c>
      <c r="C98" s="256"/>
      <c r="D98" s="396"/>
      <c r="E98" s="256"/>
      <c r="F98" s="461"/>
      <c r="G98" s="262"/>
      <c r="H98" s="656"/>
      <c r="I98" s="651">
        <f>IFERROR(J98/'Mão de Obra'!$D$12,"")</f>
        <v>0</v>
      </c>
      <c r="J98" s="651">
        <f>IFERROR(IF(ISNUMBER(H98),H98*'Mão de Obra'!$D$12/12,1)*G98*F98,"")</f>
        <v>0</v>
      </c>
    </row>
    <row r="99" spans="2:10" s="44" customFormat="1">
      <c r="B99" s="256">
        <v>94</v>
      </c>
      <c r="C99" s="256"/>
      <c r="D99" s="396"/>
      <c r="E99" s="256"/>
      <c r="F99" s="461"/>
      <c r="G99" s="262"/>
      <c r="H99" s="656"/>
      <c r="I99" s="651">
        <f>IFERROR(J99/'Mão de Obra'!$D$12,"")</f>
        <v>0</v>
      </c>
      <c r="J99" s="651">
        <f>IFERROR(IF(ISNUMBER(H99),H99*'Mão de Obra'!$D$12/12,1)*G99*F99,"")</f>
        <v>0</v>
      </c>
    </row>
    <row r="100" spans="2:10" s="44" customFormat="1">
      <c r="B100" s="256">
        <v>95</v>
      </c>
      <c r="C100" s="256"/>
      <c r="D100" s="396"/>
      <c r="E100" s="256"/>
      <c r="F100" s="461"/>
      <c r="G100" s="262"/>
      <c r="H100" s="656"/>
      <c r="I100" s="651">
        <f>IFERROR(J100/'Mão de Obra'!$D$12,"")</f>
        <v>0</v>
      </c>
      <c r="J100" s="651">
        <f>IFERROR(IF(ISNUMBER(H100),H100*'Mão de Obra'!$D$12/12,1)*G100*F100,"")</f>
        <v>0</v>
      </c>
    </row>
    <row r="101" spans="2:10" s="44" customFormat="1">
      <c r="B101" s="256">
        <v>96</v>
      </c>
      <c r="C101" s="256"/>
      <c r="D101" s="396"/>
      <c r="E101" s="256"/>
      <c r="F101" s="461"/>
      <c r="G101" s="262"/>
      <c r="H101" s="656"/>
      <c r="I101" s="651">
        <f>IFERROR(J101/'Mão de Obra'!$D$12,"")</f>
        <v>0</v>
      </c>
      <c r="J101" s="651">
        <f>IFERROR(IF(ISNUMBER(H101),H101*'Mão de Obra'!$D$12/12,1)*G101*F101,"")</f>
        <v>0</v>
      </c>
    </row>
    <row r="102" spans="2:10" s="44" customFormat="1">
      <c r="B102" s="256">
        <v>97</v>
      </c>
      <c r="C102" s="256"/>
      <c r="D102" s="396"/>
      <c r="E102" s="256"/>
      <c r="F102" s="461"/>
      <c r="G102" s="262"/>
      <c r="H102" s="656"/>
      <c r="I102" s="651">
        <f>IFERROR(J102/'Mão de Obra'!$D$12,"")</f>
        <v>0</v>
      </c>
      <c r="J102" s="651">
        <f>IFERROR(IF(ISNUMBER(H102),H102*'Mão de Obra'!$D$12/12,1)*G102*F102,"")</f>
        <v>0</v>
      </c>
    </row>
    <row r="103" spans="2:10" s="44" customFormat="1">
      <c r="B103" s="256">
        <v>98</v>
      </c>
      <c r="C103" s="256"/>
      <c r="D103" s="396"/>
      <c r="E103" s="256"/>
      <c r="F103" s="461"/>
      <c r="G103" s="262"/>
      <c r="H103" s="656"/>
      <c r="I103" s="651">
        <f>IFERROR(J103/'Mão de Obra'!$D$12,"")</f>
        <v>0</v>
      </c>
      <c r="J103" s="651">
        <f>IFERROR(IF(ISNUMBER(H103),H103*'Mão de Obra'!$D$12/12,1)*G103*F103,"")</f>
        <v>0</v>
      </c>
    </row>
    <row r="104" spans="2:10" s="44" customFormat="1">
      <c r="B104" s="256">
        <v>99</v>
      </c>
      <c r="C104" s="256"/>
      <c r="D104" s="396"/>
      <c r="E104" s="256"/>
      <c r="F104" s="461"/>
      <c r="G104" s="262"/>
      <c r="H104" s="656"/>
      <c r="I104" s="651">
        <f>IFERROR(J104/'Mão de Obra'!$D$12,"")</f>
        <v>0</v>
      </c>
      <c r="J104" s="651">
        <f>IFERROR(IF(ISNUMBER(H104),H104*'Mão de Obra'!$D$12/12,1)*G104*F104,"")</f>
        <v>0</v>
      </c>
    </row>
    <row r="105" spans="2:10" s="44" customFormat="1">
      <c r="B105" s="256">
        <v>100</v>
      </c>
      <c r="C105" s="256"/>
      <c r="D105" s="396"/>
      <c r="E105" s="256"/>
      <c r="F105" s="461"/>
      <c r="G105" s="262"/>
      <c r="H105" s="656"/>
      <c r="I105" s="651">
        <f>IFERROR(J105/'Mão de Obra'!$D$12,"")</f>
        <v>0</v>
      </c>
      <c r="J105" s="651">
        <f>IFERROR(IF(ISNUMBER(H105),H105*'Mão de Obra'!$D$12/12,1)*G105*F105,"")</f>
        <v>0</v>
      </c>
    </row>
    <row r="106" spans="2:10" s="44" customFormat="1">
      <c r="B106" s="256">
        <v>101</v>
      </c>
      <c r="C106" s="256"/>
      <c r="D106" s="396"/>
      <c r="E106" s="256"/>
      <c r="F106" s="461"/>
      <c r="G106" s="262"/>
      <c r="H106" s="656"/>
      <c r="I106" s="651">
        <f>IFERROR(J106/'Mão de Obra'!$D$12,"")</f>
        <v>0</v>
      </c>
      <c r="J106" s="651">
        <f>IFERROR(IF(ISNUMBER(H106),H106*'Mão de Obra'!$D$12/12,1)*G106*F106,"")</f>
        <v>0</v>
      </c>
    </row>
    <row r="107" spans="2:10" s="44" customFormat="1">
      <c r="B107" s="256">
        <v>102</v>
      </c>
      <c r="C107" s="256"/>
      <c r="D107" s="396"/>
      <c r="E107" s="256"/>
      <c r="F107" s="461"/>
      <c r="G107" s="262"/>
      <c r="H107" s="656"/>
      <c r="I107" s="651">
        <f>IFERROR(J107/'Mão de Obra'!$D$12,"")</f>
        <v>0</v>
      </c>
      <c r="J107" s="651">
        <f>IFERROR(IF(ISNUMBER(H107),H107*'Mão de Obra'!$D$12/12,1)*G107*F107,"")</f>
        <v>0</v>
      </c>
    </row>
    <row r="108" spans="2:10" s="44" customFormat="1">
      <c r="B108" s="256">
        <v>103</v>
      </c>
      <c r="C108" s="256"/>
      <c r="D108" s="396"/>
      <c r="E108" s="256"/>
      <c r="F108" s="461"/>
      <c r="G108" s="262"/>
      <c r="H108" s="656"/>
      <c r="I108" s="651">
        <f>IFERROR(J108/'Mão de Obra'!$D$12,"")</f>
        <v>0</v>
      </c>
      <c r="J108" s="651">
        <f>IFERROR(IF(ISNUMBER(H108),H108*'Mão de Obra'!$D$12/12,1)*G108*F108,"")</f>
        <v>0</v>
      </c>
    </row>
    <row r="109" spans="2:10" s="44" customFormat="1">
      <c r="B109" s="256">
        <v>104</v>
      </c>
      <c r="C109" s="256"/>
      <c r="D109" s="396"/>
      <c r="E109" s="256"/>
      <c r="F109" s="461"/>
      <c r="G109" s="262"/>
      <c r="H109" s="656"/>
      <c r="I109" s="651">
        <f>IFERROR(J109/'Mão de Obra'!$D$12,"")</f>
        <v>0</v>
      </c>
      <c r="J109" s="651">
        <f>IFERROR(IF(ISNUMBER(H109),H109*'Mão de Obra'!$D$12/12,1)*G109*F109,"")</f>
        <v>0</v>
      </c>
    </row>
    <row r="110" spans="2:10" s="44" customFormat="1">
      <c r="B110" s="256">
        <v>105</v>
      </c>
      <c r="C110" s="256"/>
      <c r="D110" s="396"/>
      <c r="E110" s="256"/>
      <c r="F110" s="461"/>
      <c r="G110" s="262"/>
      <c r="H110" s="656"/>
      <c r="I110" s="651">
        <f>IFERROR(J110/'Mão de Obra'!$D$12,"")</f>
        <v>0</v>
      </c>
      <c r="J110" s="651">
        <f>IFERROR(IF(ISNUMBER(H110),H110*'Mão de Obra'!$D$12/12,1)*G110*F110,"")</f>
        <v>0</v>
      </c>
    </row>
    <row r="111" spans="2:10" s="44" customFormat="1">
      <c r="B111" s="256">
        <v>106</v>
      </c>
      <c r="C111" s="256"/>
      <c r="D111" s="396"/>
      <c r="E111" s="256"/>
      <c r="F111" s="461"/>
      <c r="G111" s="262"/>
      <c r="H111" s="656"/>
      <c r="I111" s="651">
        <f>IFERROR(J111/'Mão de Obra'!$D$12,"")</f>
        <v>0</v>
      </c>
      <c r="J111" s="651">
        <f>IFERROR(IF(ISNUMBER(H111),H111*'Mão de Obra'!$D$12/12,1)*G111*F111,"")</f>
        <v>0</v>
      </c>
    </row>
    <row r="112" spans="2:10" s="44" customFormat="1">
      <c r="B112" s="256">
        <v>107</v>
      </c>
      <c r="C112" s="256"/>
      <c r="D112" s="396"/>
      <c r="E112" s="256"/>
      <c r="F112" s="461"/>
      <c r="G112" s="262"/>
      <c r="H112" s="656"/>
      <c r="I112" s="651">
        <f>IFERROR(J112/'Mão de Obra'!$D$12,"")</f>
        <v>0</v>
      </c>
      <c r="J112" s="651">
        <f>IFERROR(IF(ISNUMBER(H112),H112*'Mão de Obra'!$D$12/12,1)*G112*F112,"")</f>
        <v>0</v>
      </c>
    </row>
    <row r="113" spans="2:10" s="44" customFormat="1">
      <c r="B113" s="256">
        <v>108</v>
      </c>
      <c r="C113" s="256"/>
      <c r="D113" s="396"/>
      <c r="E113" s="256"/>
      <c r="F113" s="461"/>
      <c r="G113" s="262"/>
      <c r="H113" s="656"/>
      <c r="I113" s="651">
        <f>IFERROR(J113/'Mão de Obra'!$D$12,"")</f>
        <v>0</v>
      </c>
      <c r="J113" s="651">
        <f>IFERROR(IF(ISNUMBER(H113),H113*'Mão de Obra'!$D$12/12,1)*G113*F113,"")</f>
        <v>0</v>
      </c>
    </row>
    <row r="114" spans="2:10" s="44" customFormat="1">
      <c r="B114" s="256">
        <v>109</v>
      </c>
      <c r="C114" s="256"/>
      <c r="D114" s="396"/>
      <c r="E114" s="256"/>
      <c r="F114" s="461"/>
      <c r="G114" s="262"/>
      <c r="H114" s="656"/>
      <c r="I114" s="651">
        <f>IFERROR(J114/'Mão de Obra'!$D$12,"")</f>
        <v>0</v>
      </c>
      <c r="J114" s="651">
        <f>IFERROR(IF(ISNUMBER(H114),H114*'Mão de Obra'!$D$12/12,1)*G114*F114,"")</f>
        <v>0</v>
      </c>
    </row>
    <row r="115" spans="2:10" s="44" customFormat="1">
      <c r="B115" s="256">
        <v>110</v>
      </c>
      <c r="C115" s="256"/>
      <c r="D115" s="396"/>
      <c r="E115" s="256"/>
      <c r="F115" s="461"/>
      <c r="G115" s="262"/>
      <c r="H115" s="656"/>
      <c r="I115" s="651">
        <f>IFERROR(J115/'Mão de Obra'!$D$12,"")</f>
        <v>0</v>
      </c>
      <c r="J115" s="651">
        <f>IFERROR(IF(ISNUMBER(H115),H115*'Mão de Obra'!$D$12/12,1)*G115*F115,"")</f>
        <v>0</v>
      </c>
    </row>
    <row r="116" spans="2:10" s="44" customFormat="1">
      <c r="B116" s="256">
        <v>111</v>
      </c>
      <c r="C116" s="256"/>
      <c r="D116" s="396"/>
      <c r="E116" s="256"/>
      <c r="F116" s="461"/>
      <c r="G116" s="262"/>
      <c r="H116" s="656"/>
      <c r="I116" s="651">
        <f>IFERROR(J116/'Mão de Obra'!$D$12,"")</f>
        <v>0</v>
      </c>
      <c r="J116" s="651">
        <f>IFERROR(IF(ISNUMBER(H116),H116*'Mão de Obra'!$D$12/12,1)*G116*F116,"")</f>
        <v>0</v>
      </c>
    </row>
    <row r="117" spans="2:10" s="44" customFormat="1">
      <c r="B117" s="256">
        <v>112</v>
      </c>
      <c r="C117" s="256"/>
      <c r="D117" s="396"/>
      <c r="E117" s="256"/>
      <c r="F117" s="461"/>
      <c r="G117" s="262"/>
      <c r="H117" s="656"/>
      <c r="I117" s="651">
        <f>IFERROR(J117/'Mão de Obra'!$D$12,"")</f>
        <v>0</v>
      </c>
      <c r="J117" s="651">
        <f>IFERROR(IF(ISNUMBER(H117),H117*'Mão de Obra'!$D$12/12,1)*G117*F117,"")</f>
        <v>0</v>
      </c>
    </row>
    <row r="118" spans="2:10" s="44" customFormat="1">
      <c r="B118" s="256">
        <v>113</v>
      </c>
      <c r="C118" s="256"/>
      <c r="D118" s="396"/>
      <c r="E118" s="256"/>
      <c r="F118" s="461"/>
      <c r="G118" s="262"/>
      <c r="H118" s="656"/>
      <c r="I118" s="651">
        <f>IFERROR(J118/'Mão de Obra'!$D$12,"")</f>
        <v>0</v>
      </c>
      <c r="J118" s="651">
        <f>IFERROR(IF(ISNUMBER(H118),H118*'Mão de Obra'!$D$12/12,1)*G118*F118,"")</f>
        <v>0</v>
      </c>
    </row>
    <row r="119" spans="2:10" s="44" customFormat="1">
      <c r="B119" s="256">
        <v>114</v>
      </c>
      <c r="C119" s="256"/>
      <c r="D119" s="396"/>
      <c r="E119" s="256"/>
      <c r="F119" s="461"/>
      <c r="G119" s="262"/>
      <c r="H119" s="656"/>
      <c r="I119" s="651">
        <f>IFERROR(J119/'Mão de Obra'!$D$12,"")</f>
        <v>0</v>
      </c>
      <c r="J119" s="651">
        <f>IFERROR(IF(ISNUMBER(H119),H119*'Mão de Obra'!$D$12/12,1)*G119*F119,"")</f>
        <v>0</v>
      </c>
    </row>
    <row r="120" spans="2:10" s="44" customFormat="1">
      <c r="B120" s="256">
        <v>115</v>
      </c>
      <c r="C120" s="256"/>
      <c r="D120" s="396"/>
      <c r="E120" s="256"/>
      <c r="F120" s="461"/>
      <c r="G120" s="262"/>
      <c r="H120" s="656"/>
      <c r="I120" s="651">
        <f>IFERROR(J120/'Mão de Obra'!$D$12,"")</f>
        <v>0</v>
      </c>
      <c r="J120" s="651">
        <f>IFERROR(IF(ISNUMBER(H120),H120*'Mão de Obra'!$D$12/12,1)*G120*F120,"")</f>
        <v>0</v>
      </c>
    </row>
    <row r="121" spans="2:10" s="44" customFormat="1">
      <c r="B121" s="256">
        <v>116</v>
      </c>
      <c r="C121" s="256"/>
      <c r="D121" s="396"/>
      <c r="E121" s="256"/>
      <c r="F121" s="461"/>
      <c r="G121" s="262"/>
      <c r="H121" s="656"/>
      <c r="I121" s="651">
        <f>IFERROR(J121/'Mão de Obra'!$D$12,"")</f>
        <v>0</v>
      </c>
      <c r="J121" s="651">
        <f>IFERROR(IF(ISNUMBER(H121),H121*'Mão de Obra'!$D$12/12,1)*G121*F121,"")</f>
        <v>0</v>
      </c>
    </row>
    <row r="122" spans="2:10" s="44" customFormat="1">
      <c r="B122" s="256">
        <v>117</v>
      </c>
      <c r="C122" s="256"/>
      <c r="D122" s="396"/>
      <c r="E122" s="256"/>
      <c r="F122" s="461"/>
      <c r="G122" s="262"/>
      <c r="H122" s="656"/>
      <c r="I122" s="651">
        <f>IFERROR(J122/'Mão de Obra'!$D$12,"")</f>
        <v>0</v>
      </c>
      <c r="J122" s="651">
        <f>IFERROR(IF(ISNUMBER(H122),H122*'Mão de Obra'!$D$12/12,1)*G122*F122,"")</f>
        <v>0</v>
      </c>
    </row>
    <row r="123" spans="2:10" s="44" customFormat="1">
      <c r="B123" s="256">
        <v>118</v>
      </c>
      <c r="C123" s="256"/>
      <c r="D123" s="396"/>
      <c r="E123" s="256"/>
      <c r="F123" s="461"/>
      <c r="G123" s="262"/>
      <c r="H123" s="656"/>
      <c r="I123" s="651">
        <f>IFERROR(J123/'Mão de Obra'!$D$12,"")</f>
        <v>0</v>
      </c>
      <c r="J123" s="651">
        <f>IFERROR(IF(ISNUMBER(H123),H123*'Mão de Obra'!$D$12/12,1)*G123*F123,"")</f>
        <v>0</v>
      </c>
    </row>
    <row r="124" spans="2:10" s="44" customFormat="1">
      <c r="B124" s="256">
        <v>119</v>
      </c>
      <c r="C124" s="256"/>
      <c r="D124" s="396"/>
      <c r="E124" s="256"/>
      <c r="F124" s="461"/>
      <c r="G124" s="262"/>
      <c r="H124" s="656"/>
      <c r="I124" s="651">
        <f>IFERROR(J124/'Mão de Obra'!$D$12,"")</f>
        <v>0</v>
      </c>
      <c r="J124" s="651">
        <f>IFERROR(IF(ISNUMBER(H124),H124*'Mão de Obra'!$D$12/12,1)*G124*F124,"")</f>
        <v>0</v>
      </c>
    </row>
    <row r="125" spans="2:10" s="44" customFormat="1">
      <c r="B125" s="256">
        <v>120</v>
      </c>
      <c r="C125" s="256"/>
      <c r="D125" s="396"/>
      <c r="E125" s="256"/>
      <c r="F125" s="461"/>
      <c r="G125" s="262"/>
      <c r="H125" s="656"/>
      <c r="I125" s="651">
        <f>IFERROR(J125/'Mão de Obra'!$D$12,"")</f>
        <v>0</v>
      </c>
      <c r="J125" s="651">
        <f>IFERROR(IF(ISNUMBER(H125),H125*'Mão de Obra'!$D$12/12,1)*G125*F125,"")</f>
        <v>0</v>
      </c>
    </row>
    <row r="126" spans="2:10" s="44" customFormat="1">
      <c r="B126" s="256">
        <v>121</v>
      </c>
      <c r="C126" s="256"/>
      <c r="D126" s="396"/>
      <c r="E126" s="256"/>
      <c r="F126" s="461"/>
      <c r="G126" s="262"/>
      <c r="H126" s="656"/>
      <c r="I126" s="651">
        <f>IFERROR(J126/'Mão de Obra'!$D$12,"")</f>
        <v>0</v>
      </c>
      <c r="J126" s="651">
        <f>IFERROR(IF(ISNUMBER(H126),H126*'Mão de Obra'!$D$12/12,1)*G126*F126,"")</f>
        <v>0</v>
      </c>
    </row>
    <row r="127" spans="2:10" s="44" customFormat="1">
      <c r="B127" s="256">
        <v>122</v>
      </c>
      <c r="C127" s="256"/>
      <c r="D127" s="396"/>
      <c r="E127" s="256"/>
      <c r="F127" s="461"/>
      <c r="G127" s="262"/>
      <c r="H127" s="656"/>
      <c r="I127" s="651">
        <f>IFERROR(J127/'Mão de Obra'!$D$12,"")</f>
        <v>0</v>
      </c>
      <c r="J127" s="651">
        <f>IFERROR(IF(ISNUMBER(H127),H127*'Mão de Obra'!$D$12/12,1)*G127*F127,"")</f>
        <v>0</v>
      </c>
    </row>
    <row r="128" spans="2:10" s="44" customFormat="1">
      <c r="B128" s="256">
        <v>123</v>
      </c>
      <c r="C128" s="256"/>
      <c r="D128" s="396"/>
      <c r="E128" s="256"/>
      <c r="F128" s="461"/>
      <c r="G128" s="262"/>
      <c r="H128" s="656"/>
      <c r="I128" s="651">
        <f>IFERROR(J128/'Mão de Obra'!$D$12,"")</f>
        <v>0</v>
      </c>
      <c r="J128" s="651">
        <f>IFERROR(IF(ISNUMBER(H128),H128*'Mão de Obra'!$D$12/12,1)*G128*F128,"")</f>
        <v>0</v>
      </c>
    </row>
    <row r="129" spans="2:10" s="44" customFormat="1">
      <c r="B129" s="256">
        <v>124</v>
      </c>
      <c r="C129" s="256"/>
      <c r="D129" s="396"/>
      <c r="E129" s="256"/>
      <c r="F129" s="461"/>
      <c r="G129" s="262"/>
      <c r="H129" s="656"/>
      <c r="I129" s="651">
        <f>IFERROR(J129/'Mão de Obra'!$D$12,"")</f>
        <v>0</v>
      </c>
      <c r="J129" s="651">
        <f>IFERROR(IF(ISNUMBER(H129),H129*'Mão de Obra'!$D$12/12,1)*G129*F129,"")</f>
        <v>0</v>
      </c>
    </row>
    <row r="130" spans="2:10" s="44" customFormat="1">
      <c r="B130" s="256">
        <v>125</v>
      </c>
      <c r="C130" s="256"/>
      <c r="D130" s="396"/>
      <c r="E130" s="256"/>
      <c r="F130" s="461"/>
      <c r="G130" s="262"/>
      <c r="H130" s="656"/>
      <c r="I130" s="651">
        <f>IFERROR(J130/'Mão de Obra'!$D$12,"")</f>
        <v>0</v>
      </c>
      <c r="J130" s="651">
        <f>IFERROR(IF(ISNUMBER(H130),H130*'Mão de Obra'!$D$12/12,1)*G130*F130,"")</f>
        <v>0</v>
      </c>
    </row>
    <row r="131" spans="2:10" s="44" customFormat="1">
      <c r="B131" s="256">
        <v>126</v>
      </c>
      <c r="C131" s="256"/>
      <c r="D131" s="396"/>
      <c r="E131" s="256"/>
      <c r="F131" s="461"/>
      <c r="G131" s="262"/>
      <c r="H131" s="656"/>
      <c r="I131" s="651">
        <f>IFERROR(J131/'Mão de Obra'!$D$12,"")</f>
        <v>0</v>
      </c>
      <c r="J131" s="651">
        <f>IFERROR(IF(ISNUMBER(H131),H131*'Mão de Obra'!$D$12/12,1)*G131*F131,"")</f>
        <v>0</v>
      </c>
    </row>
    <row r="132" spans="2:10" s="44" customFormat="1">
      <c r="B132" s="256">
        <v>127</v>
      </c>
      <c r="C132" s="256"/>
      <c r="D132" s="396"/>
      <c r="E132" s="256"/>
      <c r="F132" s="461"/>
      <c r="G132" s="262"/>
      <c r="H132" s="656"/>
      <c r="I132" s="651">
        <f>IFERROR(J132/'Mão de Obra'!$D$12,"")</f>
        <v>0</v>
      </c>
      <c r="J132" s="651">
        <f>IFERROR(IF(ISNUMBER(H132),H132*'Mão de Obra'!$D$12/12,1)*G132*F132,"")</f>
        <v>0</v>
      </c>
    </row>
    <row r="133" spans="2:10" s="44" customFormat="1">
      <c r="B133" s="256">
        <v>128</v>
      </c>
      <c r="C133" s="256"/>
      <c r="D133" s="396"/>
      <c r="E133" s="256"/>
      <c r="F133" s="461"/>
      <c r="G133" s="262"/>
      <c r="H133" s="656"/>
      <c r="I133" s="651">
        <f>IFERROR(J133/'Mão de Obra'!$D$12,"")</f>
        <v>0</v>
      </c>
      <c r="J133" s="651">
        <f>IFERROR(IF(ISNUMBER(H133),H133*'Mão de Obra'!$D$12/12,1)*G133*F133,"")</f>
        <v>0</v>
      </c>
    </row>
    <row r="134" spans="2:10" s="44" customFormat="1">
      <c r="B134" s="256">
        <v>129</v>
      </c>
      <c r="C134" s="256"/>
      <c r="D134" s="396"/>
      <c r="E134" s="256"/>
      <c r="F134" s="461"/>
      <c r="G134" s="262"/>
      <c r="H134" s="656"/>
      <c r="I134" s="651">
        <f>IFERROR(J134/'Mão de Obra'!$D$12,"")</f>
        <v>0</v>
      </c>
      <c r="J134" s="651">
        <f>IFERROR(IF(ISNUMBER(H134),H134*'Mão de Obra'!$D$12/12,1)*G134*F134,"")</f>
        <v>0</v>
      </c>
    </row>
    <row r="135" spans="2:10" s="44" customFormat="1">
      <c r="B135" s="256">
        <v>130</v>
      </c>
      <c r="C135" s="256"/>
      <c r="D135" s="396"/>
      <c r="E135" s="256"/>
      <c r="F135" s="461"/>
      <c r="G135" s="262"/>
      <c r="H135" s="656"/>
      <c r="I135" s="651">
        <f>IFERROR(J135/'Mão de Obra'!$D$12,"")</f>
        <v>0</v>
      </c>
      <c r="J135" s="651">
        <f>IFERROR(IF(ISNUMBER(H135),H135*'Mão de Obra'!$D$12/12,1)*G135*F135,"")</f>
        <v>0</v>
      </c>
    </row>
    <row r="136" spans="2:10" s="44" customFormat="1">
      <c r="B136" s="256">
        <v>131</v>
      </c>
      <c r="C136" s="256"/>
      <c r="D136" s="396"/>
      <c r="E136" s="256"/>
      <c r="F136" s="461"/>
      <c r="G136" s="262"/>
      <c r="H136" s="656"/>
      <c r="I136" s="651">
        <f>IFERROR(J136/'Mão de Obra'!$D$12,"")</f>
        <v>0</v>
      </c>
      <c r="J136" s="651">
        <f>IFERROR(IF(ISNUMBER(H136),H136*'Mão de Obra'!$D$12/12,1)*G136*F136,"")</f>
        <v>0</v>
      </c>
    </row>
    <row r="137" spans="2:10" s="44" customFormat="1">
      <c r="B137" s="256">
        <v>132</v>
      </c>
      <c r="C137" s="256"/>
      <c r="D137" s="396"/>
      <c r="E137" s="256"/>
      <c r="F137" s="461"/>
      <c r="G137" s="262"/>
      <c r="H137" s="656"/>
      <c r="I137" s="651">
        <f>IFERROR(J137/'Mão de Obra'!$D$12,"")</f>
        <v>0</v>
      </c>
      <c r="J137" s="651">
        <f>IFERROR(IF(ISNUMBER(H137),H137*'Mão de Obra'!$D$12/12,1)*G137*F137,"")</f>
        <v>0</v>
      </c>
    </row>
    <row r="138" spans="2:10" s="44" customFormat="1">
      <c r="B138" s="256">
        <v>133</v>
      </c>
      <c r="C138" s="256"/>
      <c r="D138" s="396"/>
      <c r="E138" s="256"/>
      <c r="F138" s="461"/>
      <c r="G138" s="262"/>
      <c r="H138" s="656"/>
      <c r="I138" s="651">
        <f>IFERROR(J138/'Mão de Obra'!$D$12,"")</f>
        <v>0</v>
      </c>
      <c r="J138" s="651">
        <f>IFERROR(IF(ISNUMBER(H138),H138*'Mão de Obra'!$D$12/12,1)*G138*F138,"")</f>
        <v>0</v>
      </c>
    </row>
    <row r="139" spans="2:10" s="44" customFormat="1">
      <c r="B139" s="256">
        <v>134</v>
      </c>
      <c r="C139" s="256"/>
      <c r="D139" s="396"/>
      <c r="E139" s="256"/>
      <c r="F139" s="461"/>
      <c r="G139" s="262"/>
      <c r="H139" s="656"/>
      <c r="I139" s="651">
        <f>IFERROR(J139/'Mão de Obra'!$D$12,"")</f>
        <v>0</v>
      </c>
      <c r="J139" s="651">
        <f>IFERROR(IF(ISNUMBER(H139),H139*'Mão de Obra'!$D$12/12,1)*G139*F139,"")</f>
        <v>0</v>
      </c>
    </row>
    <row r="140" spans="2:10" s="44" customFormat="1">
      <c r="B140" s="256">
        <v>135</v>
      </c>
      <c r="C140" s="256"/>
      <c r="D140" s="396"/>
      <c r="E140" s="256"/>
      <c r="F140" s="461"/>
      <c r="G140" s="262"/>
      <c r="H140" s="656"/>
      <c r="I140" s="651">
        <f>IFERROR(J140/'Mão de Obra'!$D$12,"")</f>
        <v>0</v>
      </c>
      <c r="J140" s="651">
        <f>IFERROR(IF(ISNUMBER(H140),H140*'Mão de Obra'!$D$12/12,1)*G140*F140,"")</f>
        <v>0</v>
      </c>
    </row>
    <row r="141" spans="2:10" s="44" customFormat="1">
      <c r="B141" s="256">
        <v>136</v>
      </c>
      <c r="C141" s="256"/>
      <c r="D141" s="396"/>
      <c r="E141" s="256"/>
      <c r="F141" s="461"/>
      <c r="G141" s="262"/>
      <c r="H141" s="656"/>
      <c r="I141" s="651">
        <f>IFERROR(J141/'Mão de Obra'!$D$12,"")</f>
        <v>0</v>
      </c>
      <c r="J141" s="651">
        <f>IFERROR(IF(ISNUMBER(H141),H141*'Mão de Obra'!$D$12/12,1)*G141*F141,"")</f>
        <v>0</v>
      </c>
    </row>
    <row r="142" spans="2:10" s="44" customFormat="1">
      <c r="B142" s="256">
        <v>137</v>
      </c>
      <c r="C142" s="256"/>
      <c r="D142" s="396"/>
      <c r="E142" s="256"/>
      <c r="F142" s="461"/>
      <c r="G142" s="262"/>
      <c r="H142" s="656"/>
      <c r="I142" s="651">
        <f>IFERROR(J142/'Mão de Obra'!$D$12,"")</f>
        <v>0</v>
      </c>
      <c r="J142" s="651">
        <f>IFERROR(IF(ISNUMBER(H142),H142*'Mão de Obra'!$D$12/12,1)*G142*F142,"")</f>
        <v>0</v>
      </c>
    </row>
    <row r="143" spans="2:10" s="44" customFormat="1">
      <c r="B143" s="256">
        <v>138</v>
      </c>
      <c r="C143" s="256"/>
      <c r="D143" s="396"/>
      <c r="E143" s="256"/>
      <c r="F143" s="461"/>
      <c r="G143" s="262"/>
      <c r="H143" s="656"/>
      <c r="I143" s="651">
        <f>IFERROR(J143/'Mão de Obra'!$D$12,"")</f>
        <v>0</v>
      </c>
      <c r="J143" s="651">
        <f>IFERROR(IF(ISNUMBER(H143),H143*'Mão de Obra'!$D$12/12,1)*G143*F143,"")</f>
        <v>0</v>
      </c>
    </row>
    <row r="144" spans="2:10" s="44" customFormat="1">
      <c r="B144" s="256">
        <v>139</v>
      </c>
      <c r="C144" s="256"/>
      <c r="D144" s="396"/>
      <c r="E144" s="256"/>
      <c r="F144" s="461"/>
      <c r="G144" s="262"/>
      <c r="H144" s="656"/>
      <c r="I144" s="651">
        <f>IFERROR(J144/'Mão de Obra'!$D$12,"")</f>
        <v>0</v>
      </c>
      <c r="J144" s="651">
        <f>IFERROR(IF(ISNUMBER(H144),H144*'Mão de Obra'!$D$12/12,1)*G144*F144,"")</f>
        <v>0</v>
      </c>
    </row>
    <row r="145" spans="2:10">
      <c r="B145" s="256">
        <v>140</v>
      </c>
      <c r="C145" s="256"/>
      <c r="D145" s="396"/>
      <c r="E145" s="256"/>
      <c r="F145" s="461"/>
      <c r="G145" s="262"/>
      <c r="H145" s="656"/>
      <c r="I145" s="651">
        <f>IFERROR(J145/'Mão de Obra'!$D$12,"")</f>
        <v>0</v>
      </c>
      <c r="J145" s="651">
        <f>IFERROR(IF(ISNUMBER(H145),H145*'Mão de Obra'!$D$12/12,1)*G145*F145,"")</f>
        <v>0</v>
      </c>
    </row>
    <row r="146" spans="2:10">
      <c r="B146" s="256">
        <v>141</v>
      </c>
      <c r="C146" s="256"/>
      <c r="D146" s="396"/>
      <c r="E146" s="256"/>
      <c r="F146" s="461"/>
      <c r="G146" s="262"/>
      <c r="H146" s="656"/>
      <c r="I146" s="651">
        <f>IFERROR(J146/'Mão de Obra'!$D$12,"")</f>
        <v>0</v>
      </c>
      <c r="J146" s="651">
        <f>IFERROR(IF(ISNUMBER(H146),H146*'Mão de Obra'!$D$12/12,1)*G146*F146,"")</f>
        <v>0</v>
      </c>
    </row>
    <row r="147" spans="2:10">
      <c r="B147" s="256">
        <v>142</v>
      </c>
      <c r="C147" s="256"/>
      <c r="D147" s="396"/>
      <c r="E147" s="256"/>
      <c r="F147" s="461"/>
      <c r="G147" s="262"/>
      <c r="H147" s="656"/>
      <c r="I147" s="651">
        <f>IFERROR(J147/'Mão de Obra'!$D$12,"")</f>
        <v>0</v>
      </c>
      <c r="J147" s="651">
        <f>IFERROR(IF(ISNUMBER(H147),H147*'Mão de Obra'!$D$12/12,1)*G147*F147,"")</f>
        <v>0</v>
      </c>
    </row>
    <row r="148" spans="2:10">
      <c r="B148" s="256">
        <v>143</v>
      </c>
      <c r="C148" s="256"/>
      <c r="D148" s="396"/>
      <c r="E148" s="256"/>
      <c r="F148" s="461"/>
      <c r="G148" s="262"/>
      <c r="H148" s="656"/>
      <c r="I148" s="651">
        <f>IFERROR(J148/'Mão de Obra'!$D$12,"")</f>
        <v>0</v>
      </c>
      <c r="J148" s="651">
        <f>IFERROR(IF(ISNUMBER(H148),H148*'Mão de Obra'!$D$12/12,1)*G148*F148,"")</f>
        <v>0</v>
      </c>
    </row>
    <row r="149" spans="2:10">
      <c r="B149" s="256">
        <v>144</v>
      </c>
      <c r="C149" s="256"/>
      <c r="D149" s="396"/>
      <c r="E149" s="256"/>
      <c r="F149" s="461"/>
      <c r="G149" s="262"/>
      <c r="H149" s="656"/>
      <c r="I149" s="651">
        <f>IFERROR(J149/'Mão de Obra'!$D$12,"")</f>
        <v>0</v>
      </c>
      <c r="J149" s="651">
        <f>IFERROR(IF(ISNUMBER(H149),H149*'Mão de Obra'!$D$12/12,1)*G149*F149,"")</f>
        <v>0</v>
      </c>
    </row>
    <row r="150" spans="2:10">
      <c r="B150" s="256">
        <v>145</v>
      </c>
      <c r="C150" s="256"/>
      <c r="D150" s="396"/>
      <c r="E150" s="256"/>
      <c r="F150" s="461"/>
      <c r="G150" s="262"/>
      <c r="H150" s="656"/>
      <c r="I150" s="651">
        <f>IFERROR(J150/'Mão de Obra'!$D$12,"")</f>
        <v>0</v>
      </c>
      <c r="J150" s="651">
        <f>IFERROR(IF(ISNUMBER(H150),H150*'Mão de Obra'!$D$12/12,1)*G150*F150,"")</f>
        <v>0</v>
      </c>
    </row>
    <row r="151" spans="2:10">
      <c r="B151" s="256">
        <v>146</v>
      </c>
      <c r="C151" s="256"/>
      <c r="D151" s="396"/>
      <c r="E151" s="256"/>
      <c r="F151" s="461"/>
      <c r="G151" s="262"/>
      <c r="H151" s="656"/>
      <c r="I151" s="651">
        <f>IFERROR(J151/'Mão de Obra'!$D$12,"")</f>
        <v>0</v>
      </c>
      <c r="J151" s="651">
        <f>IFERROR(IF(ISNUMBER(H151),H151*'Mão de Obra'!$D$12/12,1)*G151*F151,"")</f>
        <v>0</v>
      </c>
    </row>
    <row r="152" spans="2:10">
      <c r="B152" s="256">
        <v>147</v>
      </c>
      <c r="C152" s="256"/>
      <c r="D152" s="396"/>
      <c r="E152" s="256"/>
      <c r="F152" s="461"/>
      <c r="G152" s="262"/>
      <c r="H152" s="656"/>
      <c r="I152" s="651">
        <f>IFERROR(J152/'Mão de Obra'!$D$12,"")</f>
        <v>0</v>
      </c>
      <c r="J152" s="651">
        <f>IFERROR(IF(ISNUMBER(H152),H152*'Mão de Obra'!$D$12/12,1)*G152*F152,"")</f>
        <v>0</v>
      </c>
    </row>
    <row r="153" spans="2:10">
      <c r="B153" s="256">
        <v>148</v>
      </c>
      <c r="C153" s="256"/>
      <c r="D153" s="396"/>
      <c r="E153" s="256"/>
      <c r="F153" s="461"/>
      <c r="G153" s="262"/>
      <c r="H153" s="656"/>
      <c r="I153" s="651">
        <f>IFERROR(J153/'Mão de Obra'!$D$12,"")</f>
        <v>0</v>
      </c>
      <c r="J153" s="651">
        <f>IFERROR(IF(ISNUMBER(H153),H153*'Mão de Obra'!$D$12/12,1)*G153*F153,"")</f>
        <v>0</v>
      </c>
    </row>
    <row r="154" spans="2:10">
      <c r="B154" s="256">
        <v>149</v>
      </c>
      <c r="C154" s="256"/>
      <c r="D154" s="396"/>
      <c r="E154" s="256"/>
      <c r="F154" s="461"/>
      <c r="G154" s="262"/>
      <c r="H154" s="656"/>
      <c r="I154" s="651">
        <f>IFERROR(J154/'Mão de Obra'!$D$12,"")</f>
        <v>0</v>
      </c>
      <c r="J154" s="651">
        <f>IFERROR(IF(ISNUMBER(H154),H154*'Mão de Obra'!$D$12/12,1)*G154*F154,"")</f>
        <v>0</v>
      </c>
    </row>
    <row r="155" spans="2:10">
      <c r="B155" s="256">
        <v>150</v>
      </c>
      <c r="C155" s="256"/>
      <c r="D155" s="396"/>
      <c r="E155" s="256"/>
      <c r="F155" s="461"/>
      <c r="G155" s="262"/>
      <c r="H155" s="656"/>
      <c r="I155" s="651">
        <f>IFERROR(J155/'Mão de Obra'!$D$12,"")</f>
        <v>0</v>
      </c>
      <c r="J155" s="651">
        <f>IFERROR(IF(ISNUMBER(H155),H155*'Mão de Obra'!$D$12/12,1)*G155*F155,"")</f>
        <v>0</v>
      </c>
    </row>
    <row r="156" spans="2:10">
      <c r="B156" s="256">
        <v>151</v>
      </c>
      <c r="C156" s="256"/>
      <c r="D156" s="396"/>
      <c r="E156" s="256"/>
      <c r="F156" s="461"/>
      <c r="G156" s="262"/>
      <c r="H156" s="656"/>
      <c r="I156" s="651">
        <f>IFERROR(J156/'Mão de Obra'!$D$12,"")</f>
        <v>0</v>
      </c>
      <c r="J156" s="651">
        <f>IFERROR(IF(ISNUMBER(H156),H156*'Mão de Obra'!$D$12/12,1)*G156*F156,"")</f>
        <v>0</v>
      </c>
    </row>
    <row r="157" spans="2:10">
      <c r="B157" s="256">
        <v>152</v>
      </c>
      <c r="C157" s="256"/>
      <c r="D157" s="396"/>
      <c r="E157" s="256"/>
      <c r="F157" s="461"/>
      <c r="G157" s="262"/>
      <c r="H157" s="656"/>
      <c r="I157" s="651">
        <f>IFERROR(J157/'Mão de Obra'!$D$12,"")</f>
        <v>0</v>
      </c>
      <c r="J157" s="651">
        <f>IFERROR(IF(ISNUMBER(H157),H157*'Mão de Obra'!$D$12/12,1)*G157*F157,"")</f>
        <v>0</v>
      </c>
    </row>
    <row r="158" spans="2:10">
      <c r="B158" s="256">
        <v>153</v>
      </c>
      <c r="C158" s="256"/>
      <c r="D158" s="396"/>
      <c r="E158" s="256"/>
      <c r="F158" s="461"/>
      <c r="G158" s="262"/>
      <c r="H158" s="656"/>
      <c r="I158" s="651">
        <f>IFERROR(J158/'Mão de Obra'!$D$12,"")</f>
        <v>0</v>
      </c>
      <c r="J158" s="651">
        <f>IFERROR(IF(ISNUMBER(H158),H158*'Mão de Obra'!$D$12/12,1)*G158*F158,"")</f>
        <v>0</v>
      </c>
    </row>
    <row r="159" spans="2:10">
      <c r="B159" s="256">
        <v>154</v>
      </c>
      <c r="C159" s="256"/>
      <c r="D159" s="396"/>
      <c r="E159" s="256"/>
      <c r="F159" s="461"/>
      <c r="G159" s="262"/>
      <c r="H159" s="656"/>
      <c r="I159" s="651">
        <f>IFERROR(J159/'Mão de Obra'!$D$12,"")</f>
        <v>0</v>
      </c>
      <c r="J159" s="651">
        <f>IFERROR(IF(ISNUMBER(H159),H159*'Mão de Obra'!$D$12/12,1)*G159*F159,"")</f>
        <v>0</v>
      </c>
    </row>
    <row r="160" spans="2:10">
      <c r="B160" s="256">
        <v>155</v>
      </c>
      <c r="C160" s="256"/>
      <c r="D160" s="396"/>
      <c r="E160" s="256"/>
      <c r="F160" s="461"/>
      <c r="G160" s="262"/>
      <c r="H160" s="656"/>
      <c r="I160" s="651">
        <f>IFERROR(J160/'Mão de Obra'!$D$12,"")</f>
        <v>0</v>
      </c>
      <c r="J160" s="651">
        <f>IFERROR(IF(ISNUMBER(H160),H160*'Mão de Obra'!$D$12/12,1)*G160*F160,"")</f>
        <v>0</v>
      </c>
    </row>
    <row r="161" spans="2:10">
      <c r="B161" s="256">
        <v>156</v>
      </c>
      <c r="C161" s="256"/>
      <c r="D161" s="396"/>
      <c r="E161" s="256"/>
      <c r="F161" s="461"/>
      <c r="G161" s="262"/>
      <c r="H161" s="656"/>
      <c r="I161" s="651">
        <f>IFERROR(J161/'Mão de Obra'!$D$12,"")</f>
        <v>0</v>
      </c>
      <c r="J161" s="651">
        <f>IFERROR(IF(ISNUMBER(H161),H161*'Mão de Obra'!$D$12/12,1)*G161*F161,"")</f>
        <v>0</v>
      </c>
    </row>
    <row r="162" spans="2:10">
      <c r="B162" s="256">
        <v>157</v>
      </c>
      <c r="C162" s="256"/>
      <c r="D162" s="396"/>
      <c r="E162" s="256"/>
      <c r="F162" s="461"/>
      <c r="G162" s="262"/>
      <c r="H162" s="656"/>
      <c r="I162" s="651">
        <f>IFERROR(J162/'Mão de Obra'!$D$12,"")</f>
        <v>0</v>
      </c>
      <c r="J162" s="651">
        <f>IFERROR(IF(ISNUMBER(H162),H162*'Mão de Obra'!$D$12/12,1)*G162*F162,"")</f>
        <v>0</v>
      </c>
    </row>
    <row r="163" spans="2:10">
      <c r="B163" s="256">
        <v>158</v>
      </c>
      <c r="C163" s="256"/>
      <c r="D163" s="396"/>
      <c r="E163" s="256"/>
      <c r="F163" s="461"/>
      <c r="G163" s="262"/>
      <c r="H163" s="656"/>
      <c r="I163" s="651">
        <f>IFERROR(J163/'Mão de Obra'!$D$12,"")</f>
        <v>0</v>
      </c>
      <c r="J163" s="651">
        <f>IFERROR(IF(ISNUMBER(H163),H163*'Mão de Obra'!$D$12/12,1)*G163*F163,"")</f>
        <v>0</v>
      </c>
    </row>
    <row r="164" spans="2:10">
      <c r="B164" s="256">
        <v>159</v>
      </c>
      <c r="C164" s="256"/>
      <c r="D164" s="396"/>
      <c r="E164" s="256"/>
      <c r="F164" s="461"/>
      <c r="G164" s="262"/>
      <c r="H164" s="656"/>
      <c r="I164" s="651">
        <f>IFERROR(J164/'Mão de Obra'!$D$12,"")</f>
        <v>0</v>
      </c>
      <c r="J164" s="651">
        <f>IFERROR(IF(ISNUMBER(H164),H164*'Mão de Obra'!$D$12/12,1)*G164*F164,"")</f>
        <v>0</v>
      </c>
    </row>
    <row r="165" spans="2:10">
      <c r="B165" s="256">
        <v>160</v>
      </c>
      <c r="C165" s="256"/>
      <c r="D165" s="396"/>
      <c r="E165" s="256"/>
      <c r="F165" s="461"/>
      <c r="G165" s="262"/>
      <c r="H165" s="656"/>
      <c r="I165" s="651">
        <f>IFERROR(J165/'Mão de Obra'!$D$12,"")</f>
        <v>0</v>
      </c>
      <c r="J165" s="651">
        <f>IFERROR(IF(ISNUMBER(H165),H165*'Mão de Obra'!$D$12/12,1)*G165*F165,"")</f>
        <v>0</v>
      </c>
    </row>
    <row r="166" spans="2:10">
      <c r="B166" s="256">
        <v>161</v>
      </c>
      <c r="C166" s="256"/>
      <c r="D166" s="396"/>
      <c r="E166" s="256"/>
      <c r="F166" s="461"/>
      <c r="G166" s="262"/>
      <c r="H166" s="656"/>
      <c r="I166" s="651">
        <f>IFERROR(J166/'Mão de Obra'!$D$12,"")</f>
        <v>0</v>
      </c>
      <c r="J166" s="651">
        <f>IFERROR(IF(ISNUMBER(H166),H166*'Mão de Obra'!$D$12/12,1)*G166*F166,"")</f>
        <v>0</v>
      </c>
    </row>
    <row r="167" spans="2:10">
      <c r="B167" s="256">
        <v>162</v>
      </c>
      <c r="C167" s="256"/>
      <c r="D167" s="396"/>
      <c r="E167" s="256"/>
      <c r="F167" s="461"/>
      <c r="G167" s="262"/>
      <c r="H167" s="656"/>
      <c r="I167" s="651">
        <f>IFERROR(J167/'Mão de Obra'!$D$12,"")</f>
        <v>0</v>
      </c>
      <c r="J167" s="651">
        <f>IFERROR(IF(ISNUMBER(H167),H167*'Mão de Obra'!$D$12/12,1)*G167*F167,"")</f>
        <v>0</v>
      </c>
    </row>
    <row r="168" spans="2:10">
      <c r="B168" s="256">
        <v>163</v>
      </c>
      <c r="C168" s="256"/>
      <c r="D168" s="396"/>
      <c r="E168" s="256"/>
      <c r="F168" s="461"/>
      <c r="G168" s="262"/>
      <c r="H168" s="656"/>
      <c r="I168" s="651">
        <f>IFERROR(J168/'Mão de Obra'!$D$12,"")</f>
        <v>0</v>
      </c>
      <c r="J168" s="651">
        <f>IFERROR(IF(ISNUMBER(H168),H168*'Mão de Obra'!$D$12/12,1)*G168*F168,"")</f>
        <v>0</v>
      </c>
    </row>
    <row r="169" spans="2:10">
      <c r="B169" s="256">
        <v>164</v>
      </c>
      <c r="C169" s="256"/>
      <c r="D169" s="396"/>
      <c r="E169" s="256"/>
      <c r="F169" s="461"/>
      <c r="G169" s="262"/>
      <c r="H169" s="656"/>
      <c r="I169" s="651">
        <f>IFERROR(J169/'Mão de Obra'!$D$12,"")</f>
        <v>0</v>
      </c>
      <c r="J169" s="651">
        <f>IFERROR(IF(ISNUMBER(H169),H169*'Mão de Obra'!$D$12/12,1)*G169*F169,"")</f>
        <v>0</v>
      </c>
    </row>
    <row r="170" spans="2:10">
      <c r="B170" s="256">
        <v>165</v>
      </c>
      <c r="C170" s="256"/>
      <c r="D170" s="396"/>
      <c r="E170" s="256"/>
      <c r="F170" s="461"/>
      <c r="G170" s="262"/>
      <c r="H170" s="656"/>
      <c r="I170" s="651">
        <f>IFERROR(J170/'Mão de Obra'!$D$12,"")</f>
        <v>0</v>
      </c>
      <c r="J170" s="651">
        <f>IFERROR(IF(ISNUMBER(H170),H170*'Mão de Obra'!$D$12/12,1)*G170*F170,"")</f>
        <v>0</v>
      </c>
    </row>
    <row r="171" spans="2:10">
      <c r="B171" s="256">
        <v>166</v>
      </c>
      <c r="C171" s="256"/>
      <c r="D171" s="396"/>
      <c r="E171" s="256"/>
      <c r="F171" s="461"/>
      <c r="G171" s="262"/>
      <c r="H171" s="656"/>
      <c r="I171" s="651">
        <f>IFERROR(J171/'Mão de Obra'!$D$12,"")</f>
        <v>0</v>
      </c>
      <c r="J171" s="651">
        <f>IFERROR(IF(ISNUMBER(H171),H171*'Mão de Obra'!$D$12/12,1)*G171*F171,"")</f>
        <v>0</v>
      </c>
    </row>
    <row r="172" spans="2:10">
      <c r="B172" s="256">
        <v>167</v>
      </c>
      <c r="C172" s="256"/>
      <c r="D172" s="396"/>
      <c r="E172" s="256"/>
      <c r="F172" s="461"/>
      <c r="G172" s="262"/>
      <c r="H172" s="656"/>
      <c r="I172" s="651">
        <f>IFERROR(J172/'Mão de Obra'!$D$12,"")</f>
        <v>0</v>
      </c>
      <c r="J172" s="651">
        <f>IFERROR(IF(ISNUMBER(H172),H172*'Mão de Obra'!$D$12/12,1)*G172*F172,"")</f>
        <v>0</v>
      </c>
    </row>
    <row r="173" spans="2:10">
      <c r="B173" s="256">
        <v>168</v>
      </c>
      <c r="C173" s="256"/>
      <c r="D173" s="396"/>
      <c r="E173" s="256"/>
      <c r="F173" s="461"/>
      <c r="G173" s="262"/>
      <c r="H173" s="656"/>
      <c r="I173" s="651">
        <f>IFERROR(J173/'Mão de Obra'!$D$12,"")</f>
        <v>0</v>
      </c>
      <c r="J173" s="651">
        <f>IFERROR(IF(ISNUMBER(H173),H173*'Mão de Obra'!$D$12/12,1)*G173*F173,"")</f>
        <v>0</v>
      </c>
    </row>
    <row r="174" spans="2:10">
      <c r="B174" s="256">
        <v>169</v>
      </c>
      <c r="C174" s="256"/>
      <c r="D174" s="396"/>
      <c r="E174" s="256"/>
      <c r="F174" s="461"/>
      <c r="G174" s="262"/>
      <c r="H174" s="656"/>
      <c r="I174" s="651">
        <f>IFERROR(J174/'Mão de Obra'!$D$12,"")</f>
        <v>0</v>
      </c>
      <c r="J174" s="651">
        <f>IFERROR(IF(ISNUMBER(H174),H174*'Mão de Obra'!$D$12/12,1)*G174*F174,"")</f>
        <v>0</v>
      </c>
    </row>
    <row r="175" spans="2:10">
      <c r="B175" s="256">
        <v>170</v>
      </c>
      <c r="C175" s="256"/>
      <c r="D175" s="396"/>
      <c r="E175" s="256"/>
      <c r="F175" s="461"/>
      <c r="G175" s="262"/>
      <c r="H175" s="656"/>
      <c r="I175" s="651">
        <f>IFERROR(J175/'Mão de Obra'!$D$12,"")</f>
        <v>0</v>
      </c>
      <c r="J175" s="651">
        <f>IFERROR(IF(ISNUMBER(H175),H175*'Mão de Obra'!$D$12/12,1)*G175*F175,"")</f>
        <v>0</v>
      </c>
    </row>
    <row r="176" spans="2:10">
      <c r="B176" s="256">
        <v>171</v>
      </c>
      <c r="C176" s="256"/>
      <c r="D176" s="396"/>
      <c r="E176" s="256"/>
      <c r="F176" s="461"/>
      <c r="G176" s="262"/>
      <c r="H176" s="656"/>
      <c r="I176" s="651">
        <f>IFERROR(J176/'Mão de Obra'!$D$12,"")</f>
        <v>0</v>
      </c>
      <c r="J176" s="651">
        <f>IFERROR(IF(ISNUMBER(H176),H176*'Mão de Obra'!$D$12/12,1)*G176*F176,"")</f>
        <v>0</v>
      </c>
    </row>
    <row r="177" spans="2:10">
      <c r="B177" s="256">
        <v>172</v>
      </c>
      <c r="C177" s="256"/>
      <c r="D177" s="396"/>
      <c r="E177" s="256"/>
      <c r="F177" s="461"/>
      <c r="G177" s="262"/>
      <c r="H177" s="656"/>
      <c r="I177" s="651">
        <f>IFERROR(J177/'Mão de Obra'!$D$12,"")</f>
        <v>0</v>
      </c>
      <c r="J177" s="651">
        <f>IFERROR(IF(ISNUMBER(H177),H177*'Mão de Obra'!$D$12/12,1)*G177*F177,"")</f>
        <v>0</v>
      </c>
    </row>
    <row r="178" spans="2:10">
      <c r="B178" s="256">
        <v>173</v>
      </c>
      <c r="C178" s="256"/>
      <c r="D178" s="396"/>
      <c r="E178" s="256"/>
      <c r="F178" s="461"/>
      <c r="G178" s="262"/>
      <c r="H178" s="656"/>
      <c r="I178" s="651">
        <f>IFERROR(J178/'Mão de Obra'!$D$12,"")</f>
        <v>0</v>
      </c>
      <c r="J178" s="651">
        <f>IFERROR(IF(ISNUMBER(H178),H178*'Mão de Obra'!$D$12/12,1)*G178*F178,"")</f>
        <v>0</v>
      </c>
    </row>
    <row r="179" spans="2:10">
      <c r="B179" s="256">
        <v>174</v>
      </c>
      <c r="C179" s="256"/>
      <c r="D179" s="396"/>
      <c r="E179" s="256"/>
      <c r="F179" s="461"/>
      <c r="G179" s="262"/>
      <c r="H179" s="656"/>
      <c r="I179" s="651">
        <f>IFERROR(J179/'Mão de Obra'!$D$12,"")</f>
        <v>0</v>
      </c>
      <c r="J179" s="651">
        <f>IFERROR(IF(ISNUMBER(H179),H179*'Mão de Obra'!$D$12/12,1)*G179*F179,"")</f>
        <v>0</v>
      </c>
    </row>
    <row r="180" spans="2:10">
      <c r="B180" s="256">
        <v>175</v>
      </c>
      <c r="C180" s="256"/>
      <c r="D180" s="396"/>
      <c r="E180" s="256"/>
      <c r="F180" s="461"/>
      <c r="G180" s="262"/>
      <c r="H180" s="656"/>
      <c r="I180" s="651">
        <f>IFERROR(J180/'Mão de Obra'!$D$12,"")</f>
        <v>0</v>
      </c>
      <c r="J180" s="651">
        <f>IFERROR(IF(ISNUMBER(H180),H180*'Mão de Obra'!$D$12/12,1)*G180*F180,"")</f>
        <v>0</v>
      </c>
    </row>
    <row r="181" spans="2:10">
      <c r="B181" s="256">
        <v>176</v>
      </c>
      <c r="C181" s="256"/>
      <c r="D181" s="396"/>
      <c r="E181" s="256"/>
      <c r="F181" s="461"/>
      <c r="G181" s="262"/>
      <c r="H181" s="656"/>
      <c r="I181" s="651">
        <f>IFERROR(J181/'Mão de Obra'!$D$12,"")</f>
        <v>0</v>
      </c>
      <c r="J181" s="651">
        <f>IFERROR(IF(ISNUMBER(H181),H181*'Mão de Obra'!$D$12/12,1)*G181*F181,"")</f>
        <v>0</v>
      </c>
    </row>
    <row r="182" spans="2:10">
      <c r="B182" s="256">
        <v>177</v>
      </c>
      <c r="C182" s="256"/>
      <c r="D182" s="396"/>
      <c r="E182" s="256"/>
      <c r="F182" s="461"/>
      <c r="G182" s="262"/>
      <c r="H182" s="656"/>
      <c r="I182" s="651">
        <f>IFERROR(J182/'Mão de Obra'!$D$12,"")</f>
        <v>0</v>
      </c>
      <c r="J182" s="651">
        <f>IFERROR(IF(ISNUMBER(H182),H182*'Mão de Obra'!$D$12/12,1)*G182*F182,"")</f>
        <v>0</v>
      </c>
    </row>
    <row r="183" spans="2:10">
      <c r="B183" s="256">
        <v>178</v>
      </c>
      <c r="C183" s="256"/>
      <c r="D183" s="396"/>
      <c r="E183" s="256"/>
      <c r="F183" s="461"/>
      <c r="G183" s="262"/>
      <c r="H183" s="656"/>
      <c r="I183" s="651">
        <f>IFERROR(J183/'Mão de Obra'!$D$12,"")</f>
        <v>0</v>
      </c>
      <c r="J183" s="651">
        <f>IFERROR(IF(ISNUMBER(H183),H183*'Mão de Obra'!$D$12/12,1)*G183*F183,"")</f>
        <v>0</v>
      </c>
    </row>
    <row r="184" spans="2:10">
      <c r="B184" s="256">
        <v>179</v>
      </c>
      <c r="C184" s="256"/>
      <c r="D184" s="396"/>
      <c r="E184" s="256"/>
      <c r="F184" s="461"/>
      <c r="G184" s="262"/>
      <c r="H184" s="656"/>
      <c r="I184" s="651">
        <f>IFERROR(J184/'Mão de Obra'!$D$12,"")</f>
        <v>0</v>
      </c>
      <c r="J184" s="651">
        <f>IFERROR(IF(ISNUMBER(H184),H184*'Mão de Obra'!$D$12/12,1)*G184*F184,"")</f>
        <v>0</v>
      </c>
    </row>
    <row r="185" spans="2:10">
      <c r="B185" s="256">
        <v>180</v>
      </c>
      <c r="C185" s="256"/>
      <c r="D185" s="396"/>
      <c r="E185" s="256"/>
      <c r="F185" s="461"/>
      <c r="G185" s="262"/>
      <c r="H185" s="656"/>
      <c r="I185" s="651">
        <f>IFERROR(J185/'Mão de Obra'!$D$12,"")</f>
        <v>0</v>
      </c>
      <c r="J185" s="651">
        <f>IFERROR(IF(ISNUMBER(H185),H185*'Mão de Obra'!$D$12/12,1)*G185*F185,"")</f>
        <v>0</v>
      </c>
    </row>
    <row r="186" spans="2:10">
      <c r="B186" s="256">
        <v>181</v>
      </c>
      <c r="C186" s="256"/>
      <c r="D186" s="396"/>
      <c r="E186" s="256"/>
      <c r="F186" s="461"/>
      <c r="G186" s="262"/>
      <c r="H186" s="656"/>
      <c r="I186" s="651">
        <f>IFERROR(J186/'Mão de Obra'!$D$12,"")</f>
        <v>0</v>
      </c>
      <c r="J186" s="651">
        <f>IFERROR(IF(ISNUMBER(H186),H186*'Mão de Obra'!$D$12/12,1)*G186*F186,"")</f>
        <v>0</v>
      </c>
    </row>
    <row r="187" spans="2:10">
      <c r="B187" s="256">
        <v>182</v>
      </c>
      <c r="C187" s="256"/>
      <c r="D187" s="396"/>
      <c r="E187" s="256"/>
      <c r="F187" s="461"/>
      <c r="G187" s="262"/>
      <c r="H187" s="656"/>
      <c r="I187" s="651">
        <f>IFERROR(J187/'Mão de Obra'!$D$12,"")</f>
        <v>0</v>
      </c>
      <c r="J187" s="651">
        <f>IFERROR(IF(ISNUMBER(H187),H187*'Mão de Obra'!$D$12/12,1)*G187*F187,"")</f>
        <v>0</v>
      </c>
    </row>
    <row r="188" spans="2:10">
      <c r="B188" s="256">
        <v>183</v>
      </c>
      <c r="C188" s="256"/>
      <c r="D188" s="396"/>
      <c r="E188" s="256"/>
      <c r="F188" s="461"/>
      <c r="G188" s="262"/>
      <c r="H188" s="656"/>
      <c r="I188" s="651">
        <f>IFERROR(J188/'Mão de Obra'!$D$12,"")</f>
        <v>0</v>
      </c>
      <c r="J188" s="651">
        <f>IFERROR(IF(ISNUMBER(H188),H188*'Mão de Obra'!$D$12/12,1)*G188*F188,"")</f>
        <v>0</v>
      </c>
    </row>
    <row r="189" spans="2:10">
      <c r="B189" s="256">
        <v>184</v>
      </c>
      <c r="C189" s="256"/>
      <c r="D189" s="396"/>
      <c r="E189" s="256"/>
      <c r="F189" s="461"/>
      <c r="G189" s="262"/>
      <c r="H189" s="656"/>
      <c r="I189" s="651">
        <f>IFERROR(J189/'Mão de Obra'!$D$12,"")</f>
        <v>0</v>
      </c>
      <c r="J189" s="651">
        <f>IFERROR(IF(ISNUMBER(H189),H189*'Mão de Obra'!$D$12/12,1)*G189*F189,"")</f>
        <v>0</v>
      </c>
    </row>
    <row r="190" spans="2:10">
      <c r="B190" s="256">
        <v>185</v>
      </c>
      <c r="C190" s="256"/>
      <c r="D190" s="396"/>
      <c r="E190" s="256"/>
      <c r="F190" s="461"/>
      <c r="G190" s="262"/>
      <c r="H190" s="656"/>
      <c r="I190" s="651">
        <f>IFERROR(J190/'Mão de Obra'!$D$12,"")</f>
        <v>0</v>
      </c>
      <c r="J190" s="651">
        <f>IFERROR(IF(ISNUMBER(H190),H190*'Mão de Obra'!$D$12/12,1)*G190*F190,"")</f>
        <v>0</v>
      </c>
    </row>
    <row r="191" spans="2:10">
      <c r="B191" s="256">
        <v>186</v>
      </c>
      <c r="C191" s="256"/>
      <c r="D191" s="396"/>
      <c r="E191" s="256"/>
      <c r="F191" s="461"/>
      <c r="G191" s="262"/>
      <c r="H191" s="656"/>
      <c r="I191" s="651">
        <f>IFERROR(J191/'Mão de Obra'!$D$12,"")</f>
        <v>0</v>
      </c>
      <c r="J191" s="651">
        <f>IFERROR(IF(ISNUMBER(H191),H191*'Mão de Obra'!$D$12/12,1)*G191*F191,"")</f>
        <v>0</v>
      </c>
    </row>
    <row r="192" spans="2:10">
      <c r="B192" s="256">
        <v>187</v>
      </c>
      <c r="C192" s="256"/>
      <c r="D192" s="396"/>
      <c r="E192" s="256"/>
      <c r="F192" s="461"/>
      <c r="G192" s="262"/>
      <c r="H192" s="656"/>
      <c r="I192" s="651">
        <f>IFERROR(J192/'Mão de Obra'!$D$12,"")</f>
        <v>0</v>
      </c>
      <c r="J192" s="651">
        <f>IFERROR(IF(ISNUMBER(H192),H192*'Mão de Obra'!$D$12/12,1)*G192*F192,"")</f>
        <v>0</v>
      </c>
    </row>
    <row r="193" spans="2:10">
      <c r="B193" s="256">
        <v>188</v>
      </c>
      <c r="C193" s="256"/>
      <c r="D193" s="396"/>
      <c r="E193" s="256"/>
      <c r="F193" s="461"/>
      <c r="G193" s="262"/>
      <c r="H193" s="656"/>
      <c r="I193" s="651">
        <f>IFERROR(J193/'Mão de Obra'!$D$12,"")</f>
        <v>0</v>
      </c>
      <c r="J193" s="651">
        <f>IFERROR(IF(ISNUMBER(H193),H193*'Mão de Obra'!$D$12/12,1)*G193*F193,"")</f>
        <v>0</v>
      </c>
    </row>
    <row r="194" spans="2:10">
      <c r="B194" s="256">
        <v>189</v>
      </c>
      <c r="C194" s="256"/>
      <c r="D194" s="396"/>
      <c r="E194" s="256"/>
      <c r="F194" s="461"/>
      <c r="G194" s="262"/>
      <c r="H194" s="656"/>
      <c r="I194" s="651">
        <f>IFERROR(J194/'Mão de Obra'!$D$12,"")</f>
        <v>0</v>
      </c>
      <c r="J194" s="651">
        <f>IFERROR(IF(ISNUMBER(H194),H194*'Mão de Obra'!$D$12/12,1)*G194*F194,"")</f>
        <v>0</v>
      </c>
    </row>
    <row r="195" spans="2:10">
      <c r="B195" s="256">
        <v>190</v>
      </c>
      <c r="C195" s="256"/>
      <c r="D195" s="396"/>
      <c r="E195" s="256"/>
      <c r="F195" s="461"/>
      <c r="G195" s="262"/>
      <c r="H195" s="656"/>
      <c r="I195" s="651">
        <f>IFERROR(J195/'Mão de Obra'!$D$12,"")</f>
        <v>0</v>
      </c>
      <c r="J195" s="651">
        <f>IFERROR(IF(ISNUMBER(H195),H195*'Mão de Obra'!$D$12/12,1)*G195*F195,"")</f>
        <v>0</v>
      </c>
    </row>
    <row r="196" spans="2:10">
      <c r="B196" s="256">
        <v>191</v>
      </c>
      <c r="C196" s="256"/>
      <c r="D196" s="396"/>
      <c r="E196" s="256"/>
      <c r="F196" s="461"/>
      <c r="G196" s="262"/>
      <c r="H196" s="656"/>
      <c r="I196" s="651">
        <f>IFERROR(J196/'Mão de Obra'!$D$12,"")</f>
        <v>0</v>
      </c>
      <c r="J196" s="651">
        <f>IFERROR(IF(ISNUMBER(H196),H196*'Mão de Obra'!$D$12/12,1)*G196*F196,"")</f>
        <v>0</v>
      </c>
    </row>
    <row r="197" spans="2:10">
      <c r="B197" s="256">
        <v>192</v>
      </c>
      <c r="C197" s="256"/>
      <c r="D197" s="396"/>
      <c r="E197" s="256"/>
      <c r="F197" s="461"/>
      <c r="G197" s="262"/>
      <c r="H197" s="656"/>
      <c r="I197" s="651">
        <f>IFERROR(J197/'Mão de Obra'!$D$12,"")</f>
        <v>0</v>
      </c>
      <c r="J197" s="651">
        <f>IFERROR(IF(ISNUMBER(H197),H197*'Mão de Obra'!$D$12/12,1)*G197*F197,"")</f>
        <v>0</v>
      </c>
    </row>
    <row r="198" spans="2:10">
      <c r="B198" s="256">
        <v>193</v>
      </c>
      <c r="C198" s="256"/>
      <c r="D198" s="396"/>
      <c r="E198" s="256"/>
      <c r="F198" s="461"/>
      <c r="G198" s="262"/>
      <c r="H198" s="656"/>
      <c r="I198" s="651">
        <f>IFERROR(J198/'Mão de Obra'!$D$12,"")</f>
        <v>0</v>
      </c>
      <c r="J198" s="651">
        <f>IFERROR(IF(ISNUMBER(H198),H198*'Mão de Obra'!$D$12/12,1)*G198*F198,"")</f>
        <v>0</v>
      </c>
    </row>
    <row r="199" spans="2:10">
      <c r="B199" s="256">
        <v>194</v>
      </c>
      <c r="C199" s="256"/>
      <c r="D199" s="396"/>
      <c r="E199" s="256"/>
      <c r="F199" s="461"/>
      <c r="G199" s="262"/>
      <c r="H199" s="656"/>
      <c r="I199" s="651">
        <f>IFERROR(J199/'Mão de Obra'!$D$12,"")</f>
        <v>0</v>
      </c>
      <c r="J199" s="651">
        <f>IFERROR(IF(ISNUMBER(H199),H199*'Mão de Obra'!$D$12/12,1)*G199*F199,"")</f>
        <v>0</v>
      </c>
    </row>
    <row r="200" spans="2:10">
      <c r="B200" s="256">
        <v>195</v>
      </c>
      <c r="C200" s="256"/>
      <c r="D200" s="396"/>
      <c r="E200" s="256"/>
      <c r="F200" s="461"/>
      <c r="G200" s="262"/>
      <c r="H200" s="656"/>
      <c r="I200" s="651">
        <f>IFERROR(J200/'Mão de Obra'!$D$12,"")</f>
        <v>0</v>
      </c>
      <c r="J200" s="651">
        <f>IFERROR(IF(ISNUMBER(H200),H200*'Mão de Obra'!$D$12/12,1)*G200*F200,"")</f>
        <v>0</v>
      </c>
    </row>
    <row r="201" spans="2:10">
      <c r="B201" s="256">
        <v>196</v>
      </c>
      <c r="C201" s="256"/>
      <c r="D201" s="396"/>
      <c r="E201" s="256"/>
      <c r="F201" s="461"/>
      <c r="G201" s="262"/>
      <c r="H201" s="656"/>
      <c r="I201" s="651">
        <f>IFERROR(J201/'Mão de Obra'!$D$12,"")</f>
        <v>0</v>
      </c>
      <c r="J201" s="651">
        <f>IFERROR(IF(ISNUMBER(H201),H201*'Mão de Obra'!$D$12/12,1)*G201*F201,"")</f>
        <v>0</v>
      </c>
    </row>
    <row r="202" spans="2:10">
      <c r="B202" s="256">
        <v>197</v>
      </c>
      <c r="C202" s="256"/>
      <c r="D202" s="396"/>
      <c r="E202" s="256"/>
      <c r="F202" s="461"/>
      <c r="G202" s="262"/>
      <c r="H202" s="656"/>
      <c r="I202" s="651">
        <f>IFERROR(J202/'Mão de Obra'!$D$12,"")</f>
        <v>0</v>
      </c>
      <c r="J202" s="651">
        <f>IFERROR(IF(ISNUMBER(H202),H202*'Mão de Obra'!$D$12/12,1)*G202*F202,"")</f>
        <v>0</v>
      </c>
    </row>
    <row r="203" spans="2:10">
      <c r="B203" s="256">
        <v>198</v>
      </c>
      <c r="C203" s="256"/>
      <c r="D203" s="396"/>
      <c r="E203" s="256"/>
      <c r="F203" s="461"/>
      <c r="G203" s="262"/>
      <c r="H203" s="656"/>
      <c r="I203" s="651">
        <f>IFERROR(J203/'Mão de Obra'!$D$12,"")</f>
        <v>0</v>
      </c>
      <c r="J203" s="651">
        <f>IFERROR(IF(ISNUMBER(H203),H203*'Mão de Obra'!$D$12/12,1)*G203*F203,"")</f>
        <v>0</v>
      </c>
    </row>
    <row r="204" spans="2:10">
      <c r="B204" s="256">
        <v>199</v>
      </c>
      <c r="C204" s="256"/>
      <c r="D204" s="396"/>
      <c r="E204" s="256"/>
      <c r="F204" s="461"/>
      <c r="G204" s="262"/>
      <c r="H204" s="656"/>
      <c r="I204" s="651">
        <f>IFERROR(J204/'Mão de Obra'!$D$12,"")</f>
        <v>0</v>
      </c>
      <c r="J204" s="651">
        <f>IFERROR(IF(ISNUMBER(H204),H204*'Mão de Obra'!$D$12/12,1)*G204*F204,"")</f>
        <v>0</v>
      </c>
    </row>
    <row r="205" spans="2:10">
      <c r="B205" s="256">
        <v>200</v>
      </c>
      <c r="C205" s="256"/>
      <c r="D205" s="396"/>
      <c r="E205" s="256"/>
      <c r="F205" s="461"/>
      <c r="G205" s="262"/>
      <c r="H205" s="656"/>
      <c r="I205" s="651">
        <f>IFERROR(J205/'Mão de Obra'!$D$12,"")</f>
        <v>0</v>
      </c>
      <c r="J205" s="651">
        <f>IFERROR(IF(ISNUMBER(H205),H205*'Mão de Obra'!$D$12/12,1)*G205*F205,"")</f>
        <v>0</v>
      </c>
    </row>
  </sheetData>
  <sheetProtection algorithmName="SHA-512" hashValue="9ojMh4wWYhdyPdmu8L6ZQwFP403OinyYtkqE1NjOHF0cqaORUsNMkondD3v8R2QNm1UyNztQW+Pe/bU3CUYPGA==" saltValue="t7dtyZOplA75D+XJfJC5cQ==" spinCount="100000" sheet="1" objects="1" scenarios="1" formatCells="0" formatColumns="0" formatRows="0" insertColumns="0" insertRows="0" deleteRows="0"/>
  <mergeCells count="1">
    <mergeCell ref="B2:J2"/>
  </mergeCells>
  <dataValidations count="1">
    <dataValidation allowBlank="1" sqref="D6:D205"/>
  </dataValidation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0"/>
  <dimension ref="A1:AA96"/>
  <sheetViews>
    <sheetView showGridLines="0" topLeftCell="A37" zoomScale="90" zoomScaleNormal="90" workbookViewId="0">
      <selection activeCell="D56" sqref="D56"/>
    </sheetView>
  </sheetViews>
  <sheetFormatPr defaultRowHeight="15"/>
  <cols>
    <col min="1" max="1" width="1.85546875" customWidth="1"/>
    <col min="2" max="2" width="4.85546875" style="308" customWidth="1"/>
    <col min="3" max="3" width="49" style="37" customWidth="1"/>
    <col min="4" max="4" width="21.28515625" style="37" customWidth="1"/>
    <col min="5" max="6" width="19.7109375" style="38" customWidth="1"/>
    <col min="7" max="9" width="19.7109375" customWidth="1"/>
    <col min="11" max="11" width="12.140625" bestFit="1" customWidth="1"/>
  </cols>
  <sheetData>
    <row r="1" spans="1:27" ht="9.75" customHeight="1">
      <c r="B1" s="345"/>
      <c r="C1" s="47"/>
      <c r="D1" s="47"/>
      <c r="E1" s="48"/>
      <c r="F1" s="48"/>
    </row>
    <row r="2" spans="1:27" s="12" customFormat="1">
      <c r="A2" s="78"/>
      <c r="B2" s="95"/>
      <c r="C2" s="96" t="s">
        <v>180</v>
      </c>
      <c r="D2" s="97"/>
      <c r="E2" s="161" t="s">
        <v>347</v>
      </c>
      <c r="F2" s="161" t="s">
        <v>348</v>
      </c>
      <c r="G2" s="161" t="s">
        <v>349</v>
      </c>
      <c r="H2" s="161" t="s">
        <v>350</v>
      </c>
      <c r="I2" s="161" t="s">
        <v>351</v>
      </c>
      <c r="J2" s="299"/>
      <c r="K2" s="299"/>
      <c r="L2" s="299"/>
      <c r="M2" s="299"/>
      <c r="N2" s="299"/>
      <c r="O2" s="299"/>
      <c r="P2" s="299"/>
      <c r="Q2" s="299"/>
      <c r="R2" s="299"/>
      <c r="S2" s="299"/>
      <c r="T2" s="299"/>
      <c r="U2" s="299"/>
      <c r="V2" s="299"/>
      <c r="W2" s="299"/>
      <c r="X2" s="299"/>
      <c r="Y2" s="299"/>
      <c r="Z2" s="299"/>
      <c r="AA2" s="299"/>
    </row>
    <row r="3" spans="1:27" s="3" customFormat="1">
      <c r="B3" s="322"/>
      <c r="C3" s="323" t="s">
        <v>250</v>
      </c>
      <c r="D3" s="328"/>
      <c r="E3" s="388"/>
      <c r="F3" s="389"/>
      <c r="G3" s="389"/>
      <c r="H3" s="389"/>
      <c r="I3" s="389"/>
      <c r="J3" s="490"/>
      <c r="K3" s="490"/>
      <c r="L3" s="490"/>
      <c r="M3" s="490"/>
      <c r="N3" s="490"/>
      <c r="O3" s="490"/>
      <c r="P3" s="490"/>
      <c r="Q3" s="490"/>
      <c r="R3" s="490"/>
      <c r="S3" s="490"/>
      <c r="T3" s="490"/>
      <c r="U3" s="490"/>
      <c r="V3" s="490"/>
      <c r="W3" s="490"/>
      <c r="X3" s="490"/>
      <c r="Y3" s="490"/>
      <c r="Z3" s="490"/>
      <c r="AA3" s="490"/>
    </row>
    <row r="4" spans="1:27">
      <c r="B4" s="324"/>
      <c r="C4" s="325" t="s">
        <v>241</v>
      </c>
      <c r="D4" s="130"/>
      <c r="E4" s="390"/>
      <c r="F4" s="390"/>
      <c r="G4" s="390"/>
      <c r="H4" s="390"/>
      <c r="I4" s="390"/>
      <c r="J4" s="44"/>
      <c r="K4" s="44"/>
      <c r="L4" s="44"/>
      <c r="M4" s="44"/>
      <c r="N4" s="44"/>
      <c r="O4" s="44"/>
      <c r="P4" s="44"/>
      <c r="Q4" s="44"/>
      <c r="R4" s="44"/>
      <c r="S4" s="44"/>
      <c r="T4" s="44"/>
      <c r="U4" s="44"/>
      <c r="V4" s="44"/>
      <c r="W4" s="44"/>
      <c r="X4" s="44"/>
      <c r="Y4" s="44"/>
      <c r="Z4" s="44"/>
      <c r="AA4" s="44"/>
    </row>
    <row r="5" spans="1:27">
      <c r="B5" s="326"/>
      <c r="C5" s="327" t="s">
        <v>245</v>
      </c>
      <c r="D5" s="329"/>
      <c r="E5" s="391"/>
      <c r="F5" s="392"/>
      <c r="G5" s="392"/>
      <c r="H5" s="392"/>
      <c r="I5" s="392"/>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557</v>
      </c>
      <c r="D7" s="97"/>
      <c r="E7" s="379"/>
      <c r="F7" s="379"/>
      <c r="G7" s="379"/>
      <c r="H7" s="379"/>
      <c r="I7" s="379"/>
      <c r="J7" s="299"/>
      <c r="K7" s="299"/>
      <c r="L7" s="299"/>
      <c r="M7" s="299"/>
      <c r="N7" s="299"/>
      <c r="O7" s="299"/>
      <c r="P7" s="299"/>
      <c r="Q7" s="299"/>
      <c r="R7" s="299"/>
      <c r="S7" s="299"/>
      <c r="T7" s="299"/>
      <c r="U7" s="299"/>
      <c r="V7" s="299"/>
      <c r="W7" s="299"/>
      <c r="X7" s="299"/>
      <c r="Y7" s="299"/>
      <c r="Z7" s="299"/>
      <c r="AA7" s="299"/>
    </row>
    <row r="8" spans="1:27">
      <c r="B8" s="786" t="s">
        <v>2</v>
      </c>
      <c r="C8" s="313" t="s">
        <v>238</v>
      </c>
      <c r="D8" s="314"/>
      <c r="E8" s="316"/>
      <c r="F8" s="316"/>
      <c r="G8" s="316"/>
      <c r="H8" s="316"/>
      <c r="I8" s="316"/>
      <c r="J8" s="44"/>
      <c r="K8" s="44"/>
      <c r="L8" s="44"/>
      <c r="M8" s="44"/>
      <c r="N8" s="44"/>
      <c r="O8" s="44"/>
      <c r="P8" s="44"/>
      <c r="Q8" s="44"/>
      <c r="R8" s="44"/>
      <c r="S8" s="44"/>
      <c r="T8" s="44"/>
      <c r="U8" s="44"/>
      <c r="V8" s="44"/>
      <c r="W8" s="44"/>
      <c r="X8" s="44"/>
      <c r="Y8" s="44"/>
      <c r="Z8" s="44"/>
      <c r="AA8" s="44"/>
    </row>
    <row r="9" spans="1:27">
      <c r="B9" s="787"/>
      <c r="C9" s="340" t="s">
        <v>234</v>
      </c>
      <c r="D9" s="334"/>
      <c r="E9" s="435"/>
      <c r="F9" s="435"/>
      <c r="G9" s="435"/>
      <c r="H9" s="435"/>
      <c r="I9" s="435"/>
      <c r="J9" s="44"/>
      <c r="K9" s="44"/>
      <c r="L9" s="44"/>
      <c r="M9" s="44"/>
      <c r="N9" s="44"/>
      <c r="O9" s="44"/>
      <c r="P9" s="44"/>
      <c r="Q9" s="44"/>
      <c r="R9" s="44"/>
      <c r="S9" s="44"/>
      <c r="T9" s="44"/>
      <c r="U9" s="44"/>
      <c r="V9" s="44"/>
      <c r="W9" s="44"/>
      <c r="X9" s="44"/>
      <c r="Y9" s="44"/>
      <c r="Z9" s="44"/>
      <c r="AA9" s="44"/>
    </row>
    <row r="10" spans="1:27">
      <c r="B10" s="787"/>
      <c r="C10" s="341" t="s">
        <v>235</v>
      </c>
      <c r="D10" s="335"/>
      <c r="E10" s="436"/>
      <c r="F10" s="436"/>
      <c r="G10" s="436"/>
      <c r="H10" s="436"/>
      <c r="I10" s="436"/>
      <c r="J10" s="44"/>
      <c r="K10" s="44"/>
      <c r="L10" s="44"/>
      <c r="M10" s="44"/>
      <c r="N10" s="44"/>
      <c r="O10" s="44"/>
      <c r="P10" s="44"/>
      <c r="Q10" s="44"/>
      <c r="R10" s="44"/>
      <c r="S10" s="44"/>
      <c r="T10" s="44"/>
      <c r="U10" s="44"/>
      <c r="V10" s="44"/>
      <c r="W10" s="44"/>
      <c r="X10" s="44"/>
      <c r="Y10" s="44"/>
      <c r="Z10" s="44"/>
      <c r="AA10" s="44"/>
    </row>
    <row r="11" spans="1:27">
      <c r="B11" s="787"/>
      <c r="C11" s="341" t="s">
        <v>236</v>
      </c>
      <c r="D11" s="335"/>
      <c r="E11" s="437"/>
      <c r="F11" s="437"/>
      <c r="G11" s="437"/>
      <c r="H11" s="437"/>
      <c r="I11" s="437"/>
      <c r="J11" s="44"/>
      <c r="K11" s="44"/>
      <c r="L11" s="44"/>
      <c r="M11" s="44"/>
      <c r="N11" s="44"/>
      <c r="O11" s="44"/>
      <c r="P11" s="44"/>
      <c r="Q11" s="44"/>
      <c r="R11" s="44"/>
      <c r="S11" s="44"/>
      <c r="T11" s="44"/>
      <c r="U11" s="44"/>
      <c r="V11" s="44"/>
      <c r="W11" s="44"/>
      <c r="X11" s="44"/>
      <c r="Y11" s="44"/>
      <c r="Z11" s="44"/>
      <c r="AA11" s="44"/>
    </row>
    <row r="12" spans="1:27">
      <c r="B12" s="788"/>
      <c r="C12" s="315"/>
      <c r="D12" s="315" t="s">
        <v>41</v>
      </c>
      <c r="E12" s="375" t="str">
        <f>IFERROR(E5*E11/E9,"")</f>
        <v/>
      </c>
      <c r="F12" s="375" t="str">
        <f t="shared" ref="F12:I12" si="0">IFERROR(F5*F11/F9,"")</f>
        <v/>
      </c>
      <c r="G12" s="375" t="str">
        <f t="shared" si="0"/>
        <v/>
      </c>
      <c r="H12" s="375" t="str">
        <f t="shared" si="0"/>
        <v/>
      </c>
      <c r="I12" s="375" t="str">
        <f t="shared" si="0"/>
        <v/>
      </c>
      <c r="J12" s="44"/>
      <c r="K12" s="44"/>
      <c r="L12" s="44"/>
      <c r="M12" s="44"/>
      <c r="N12" s="44"/>
      <c r="O12" s="44"/>
      <c r="P12" s="44"/>
      <c r="Q12" s="44"/>
      <c r="R12" s="44"/>
      <c r="S12" s="44"/>
      <c r="T12" s="44"/>
      <c r="U12" s="44"/>
      <c r="V12" s="44"/>
      <c r="W12" s="44"/>
      <c r="X12" s="44"/>
      <c r="Y12" s="44"/>
      <c r="Z12" s="44"/>
      <c r="AA12" s="44"/>
    </row>
    <row r="13" spans="1:27">
      <c r="B13" s="790" t="s">
        <v>1</v>
      </c>
      <c r="C13" s="342" t="s">
        <v>237</v>
      </c>
      <c r="D13" s="336"/>
      <c r="E13" s="317"/>
      <c r="F13" s="317"/>
      <c r="G13" s="317"/>
      <c r="H13" s="317"/>
      <c r="I13" s="317"/>
      <c r="J13" s="44"/>
      <c r="K13" s="44"/>
      <c r="L13" s="44"/>
      <c r="M13" s="44"/>
      <c r="N13" s="44"/>
      <c r="O13" s="44"/>
      <c r="P13" s="44"/>
      <c r="Q13" s="44"/>
      <c r="R13" s="44"/>
      <c r="S13" s="44"/>
      <c r="T13" s="44"/>
      <c r="U13" s="44"/>
      <c r="V13" s="44"/>
      <c r="W13" s="44"/>
      <c r="X13" s="44"/>
      <c r="Y13" s="44"/>
      <c r="Z13" s="44"/>
      <c r="AA13" s="44"/>
    </row>
    <row r="14" spans="1:27">
      <c r="B14" s="756"/>
      <c r="C14" s="343" t="s">
        <v>248</v>
      </c>
      <c r="D14" s="337"/>
      <c r="E14" s="438"/>
      <c r="F14" s="438"/>
      <c r="G14" s="438"/>
      <c r="H14" s="438"/>
      <c r="I14" s="438"/>
      <c r="J14" s="44"/>
      <c r="K14" s="44"/>
      <c r="L14" s="44"/>
      <c r="M14" s="44"/>
      <c r="N14" s="44"/>
      <c r="O14" s="44"/>
      <c r="P14" s="44"/>
      <c r="Q14" s="44"/>
      <c r="R14" s="44"/>
      <c r="S14" s="44"/>
      <c r="T14" s="44"/>
      <c r="U14" s="44"/>
      <c r="V14" s="44"/>
      <c r="W14" s="44"/>
      <c r="X14" s="44"/>
      <c r="Y14" s="44"/>
      <c r="Z14" s="44"/>
      <c r="AA14" s="44"/>
    </row>
    <row r="15" spans="1:27">
      <c r="B15" s="756"/>
      <c r="C15" s="226" t="s">
        <v>566</v>
      </c>
      <c r="D15" s="338"/>
      <c r="E15" s="439"/>
      <c r="F15" s="439"/>
      <c r="G15" s="439"/>
      <c r="H15" s="439"/>
      <c r="I15" s="439"/>
      <c r="J15" s="44"/>
      <c r="K15" s="44"/>
      <c r="L15" s="44"/>
      <c r="M15" s="44"/>
      <c r="N15" s="44"/>
      <c r="O15" s="44"/>
      <c r="P15" s="44"/>
      <c r="Q15" s="44"/>
      <c r="R15" s="44"/>
      <c r="S15" s="44"/>
      <c r="T15" s="44"/>
      <c r="U15" s="44"/>
      <c r="V15" s="44"/>
      <c r="W15" s="44"/>
      <c r="X15" s="44"/>
      <c r="Y15" s="44"/>
      <c r="Z15" s="44"/>
      <c r="AA15" s="44"/>
    </row>
    <row r="16" spans="1:27">
      <c r="B16" s="756"/>
      <c r="C16" s="226" t="s">
        <v>16</v>
      </c>
      <c r="D16" s="339"/>
      <c r="E16" s="440"/>
      <c r="F16" s="440"/>
      <c r="G16" s="440"/>
      <c r="H16" s="440"/>
      <c r="I16" s="440"/>
      <c r="J16" s="44"/>
      <c r="K16" s="44"/>
      <c r="L16" s="44"/>
      <c r="M16" s="44"/>
      <c r="N16" s="44"/>
      <c r="O16" s="44"/>
      <c r="P16" s="44"/>
      <c r="Q16" s="44"/>
      <c r="R16" s="44"/>
      <c r="S16" s="44"/>
      <c r="T16" s="44"/>
      <c r="U16" s="44"/>
      <c r="V16" s="44"/>
      <c r="W16" s="44"/>
      <c r="X16" s="44"/>
      <c r="Y16" s="44"/>
      <c r="Z16" s="44"/>
      <c r="AA16" s="44"/>
    </row>
    <row r="17" spans="2:27">
      <c r="B17" s="789"/>
      <c r="C17" s="315"/>
      <c r="D17" s="315" t="s">
        <v>41</v>
      </c>
      <c r="E17" s="374" t="str">
        <f>IFERROR(IF(E3="","",E16*E14*E5/E15),"")</f>
        <v/>
      </c>
      <c r="F17" s="374" t="str">
        <f t="shared" ref="F17:I17" si="1">IFERROR(IF(F3="","",F16*F14*F5/F15),"")</f>
        <v/>
      </c>
      <c r="G17" s="374" t="str">
        <f t="shared" si="1"/>
        <v/>
      </c>
      <c r="H17" s="374" t="str">
        <f t="shared" si="1"/>
        <v/>
      </c>
      <c r="I17" s="374" t="str">
        <f t="shared" si="1"/>
        <v/>
      </c>
      <c r="J17" s="44"/>
      <c r="K17" s="44"/>
      <c r="L17" s="44"/>
      <c r="M17" s="44"/>
      <c r="N17" s="44"/>
      <c r="O17" s="44"/>
      <c r="P17" s="44"/>
      <c r="Q17" s="44"/>
      <c r="R17" s="44"/>
      <c r="S17" s="44"/>
      <c r="T17" s="44"/>
      <c r="U17" s="44"/>
      <c r="V17" s="44"/>
      <c r="W17" s="44"/>
      <c r="X17" s="44"/>
      <c r="Y17" s="44"/>
      <c r="Z17" s="44"/>
      <c r="AA17" s="44"/>
    </row>
    <row r="18" spans="2:27">
      <c r="B18" s="756" t="s">
        <v>0</v>
      </c>
      <c r="C18" s="373" t="s">
        <v>331</v>
      </c>
      <c r="D18" s="376"/>
      <c r="E18" s="377"/>
      <c r="F18" s="377"/>
      <c r="G18" s="377"/>
      <c r="H18" s="377"/>
      <c r="I18" s="377"/>
      <c r="J18" s="44"/>
      <c r="K18" s="44"/>
      <c r="L18" s="44"/>
      <c r="M18" s="44"/>
      <c r="N18" s="44"/>
      <c r="O18" s="44"/>
      <c r="P18" s="44"/>
      <c r="Q18" s="44"/>
      <c r="R18" s="44"/>
      <c r="S18" s="44"/>
      <c r="T18" s="44"/>
      <c r="U18" s="44"/>
      <c r="V18" s="44"/>
      <c r="W18" s="44"/>
      <c r="X18" s="44"/>
      <c r="Y18" s="44"/>
      <c r="Z18" s="44"/>
      <c r="AA18" s="44"/>
    </row>
    <row r="19" spans="2:27">
      <c r="B19" s="756"/>
      <c r="C19" s="226" t="s">
        <v>566</v>
      </c>
      <c r="D19" s="654"/>
      <c r="E19" s="439"/>
      <c r="F19" s="439"/>
      <c r="G19" s="439"/>
      <c r="H19" s="439"/>
      <c r="I19" s="439"/>
      <c r="J19" s="44"/>
      <c r="K19" s="44"/>
      <c r="L19" s="44"/>
      <c r="M19" s="44"/>
      <c r="N19" s="44"/>
      <c r="O19" s="44"/>
      <c r="P19" s="44"/>
      <c r="Q19" s="44"/>
      <c r="R19" s="44"/>
      <c r="S19" s="44"/>
      <c r="T19" s="44"/>
      <c r="U19" s="44"/>
      <c r="V19" s="44"/>
      <c r="W19" s="44"/>
      <c r="X19" s="44"/>
      <c r="Y19" s="44"/>
      <c r="Z19" s="44"/>
      <c r="AA19" s="44"/>
    </row>
    <row r="20" spans="2:27">
      <c r="B20" s="756"/>
      <c r="C20" s="226" t="s">
        <v>337</v>
      </c>
      <c r="D20" s="339"/>
      <c r="E20" s="450"/>
      <c r="F20" s="450"/>
      <c r="G20" s="450"/>
      <c r="H20" s="450"/>
      <c r="I20" s="450"/>
      <c r="J20" s="44"/>
      <c r="K20" s="44"/>
      <c r="L20" s="44"/>
      <c r="M20" s="44"/>
      <c r="N20" s="44"/>
      <c r="O20" s="44"/>
      <c r="P20" s="44"/>
      <c r="Q20" s="44"/>
      <c r="R20" s="44"/>
      <c r="S20" s="44"/>
      <c r="T20" s="44"/>
      <c r="U20" s="44"/>
      <c r="V20" s="44"/>
      <c r="W20" s="44"/>
      <c r="X20" s="44"/>
      <c r="Y20" s="44"/>
      <c r="Z20" s="44"/>
      <c r="AA20" s="44"/>
    </row>
    <row r="21" spans="2:27">
      <c r="B21" s="789"/>
      <c r="C21" s="315"/>
      <c r="D21" s="315" t="s">
        <v>41</v>
      </c>
      <c r="E21" s="374" t="str">
        <f>IFERROR(IF(E3="","",E20*E5/E19),"")</f>
        <v/>
      </c>
      <c r="F21" s="374" t="str">
        <f t="shared" ref="F21:I21" si="2">IFERROR(IF(F3="","",F20*F5/F19),"")</f>
        <v/>
      </c>
      <c r="G21" s="374" t="str">
        <f t="shared" si="2"/>
        <v/>
      </c>
      <c r="H21" s="374" t="str">
        <f t="shared" si="2"/>
        <v/>
      </c>
      <c r="I21" s="374" t="str">
        <f t="shared" si="2"/>
        <v/>
      </c>
      <c r="J21" s="44"/>
      <c r="K21" s="44"/>
      <c r="L21" s="44"/>
      <c r="M21" s="44"/>
      <c r="N21" s="44"/>
      <c r="O21" s="44"/>
      <c r="P21" s="44"/>
      <c r="Q21" s="44"/>
      <c r="R21" s="44"/>
      <c r="S21" s="44"/>
      <c r="T21" s="44"/>
      <c r="U21" s="44"/>
      <c r="V21" s="44"/>
      <c r="W21" s="44"/>
      <c r="X21" s="44"/>
      <c r="Y21" s="44"/>
      <c r="Z21" s="44"/>
      <c r="AA21" s="44"/>
    </row>
    <row r="22" spans="2:27">
      <c r="B22" s="791" t="s">
        <v>3</v>
      </c>
      <c r="C22" s="373" t="s">
        <v>567</v>
      </c>
      <c r="D22" s="376"/>
      <c r="E22" s="377"/>
      <c r="F22" s="377"/>
      <c r="G22" s="377"/>
      <c r="H22" s="377"/>
      <c r="I22" s="377"/>
      <c r="J22" s="44"/>
      <c r="K22" s="44"/>
      <c r="L22" s="44"/>
      <c r="M22" s="44"/>
      <c r="N22" s="44"/>
      <c r="O22" s="44"/>
      <c r="P22" s="44"/>
      <c r="Q22" s="44"/>
      <c r="R22" s="44"/>
      <c r="S22" s="44"/>
      <c r="T22" s="44"/>
      <c r="U22" s="44"/>
      <c r="V22" s="44"/>
      <c r="W22" s="44"/>
      <c r="X22" s="44"/>
      <c r="Y22" s="44"/>
      <c r="Z22" s="44"/>
      <c r="AA22" s="44"/>
    </row>
    <row r="23" spans="2:27">
      <c r="B23" s="792"/>
      <c r="C23" s="330" t="s">
        <v>568</v>
      </c>
      <c r="D23" s="331"/>
      <c r="E23" s="441"/>
      <c r="F23" s="441"/>
      <c r="G23" s="441"/>
      <c r="H23" s="441"/>
      <c r="I23" s="441"/>
      <c r="J23" s="44"/>
      <c r="K23" s="44"/>
      <c r="L23" s="44"/>
      <c r="M23" s="44"/>
      <c r="N23" s="44"/>
      <c r="O23" s="44"/>
      <c r="P23" s="44"/>
      <c r="Q23" s="44"/>
      <c r="R23" s="44"/>
      <c r="S23" s="44"/>
      <c r="T23" s="44"/>
      <c r="U23" s="44"/>
      <c r="V23" s="44"/>
      <c r="W23" s="44"/>
      <c r="X23" s="44"/>
      <c r="Y23" s="44"/>
      <c r="Z23" s="44"/>
      <c r="AA23" s="44"/>
    </row>
    <row r="24" spans="2:27">
      <c r="B24" s="792"/>
      <c r="C24" s="332" t="s">
        <v>15</v>
      </c>
      <c r="D24" s="333"/>
      <c r="E24" s="442"/>
      <c r="F24" s="442"/>
      <c r="G24" s="442"/>
      <c r="H24" s="442"/>
      <c r="I24" s="442"/>
      <c r="J24" s="44"/>
      <c r="K24" s="44"/>
      <c r="L24" s="44"/>
      <c r="M24" s="44"/>
      <c r="N24" s="44"/>
      <c r="O24" s="44"/>
      <c r="P24" s="44"/>
      <c r="Q24" s="44"/>
      <c r="R24" s="44"/>
      <c r="S24" s="44"/>
      <c r="T24" s="44"/>
      <c r="U24" s="44"/>
      <c r="V24" s="44"/>
      <c r="W24" s="44"/>
      <c r="X24" s="44"/>
      <c r="Y24" s="44"/>
      <c r="Z24" s="44"/>
      <c r="AA24" s="44"/>
    </row>
    <row r="25" spans="2:27">
      <c r="B25" s="792"/>
      <c r="C25" s="226" t="s">
        <v>457</v>
      </c>
      <c r="D25" s="339"/>
      <c r="E25" s="439"/>
      <c r="F25" s="439"/>
      <c r="G25" s="439"/>
      <c r="H25" s="439"/>
      <c r="I25" s="439"/>
      <c r="J25" s="44"/>
      <c r="K25" s="44"/>
      <c r="L25" s="44"/>
      <c r="M25" s="44"/>
      <c r="N25" s="44"/>
      <c r="O25" s="44"/>
      <c r="P25" s="44"/>
      <c r="Q25" s="44"/>
      <c r="R25" s="44"/>
      <c r="S25" s="44"/>
      <c r="T25" s="44"/>
      <c r="U25" s="44"/>
      <c r="V25" s="44"/>
      <c r="W25" s="44"/>
      <c r="X25" s="44"/>
      <c r="Y25" s="44"/>
      <c r="Z25" s="44"/>
      <c r="AA25" s="44"/>
    </row>
    <row r="26" spans="2:27">
      <c r="B26" s="793"/>
      <c r="C26" s="315"/>
      <c r="D26" s="315" t="s">
        <v>41</v>
      </c>
      <c r="E26" s="374" t="str">
        <f>IFERROR((E23*E24*E5/E25),"")</f>
        <v/>
      </c>
      <c r="F26" s="374" t="str">
        <f>IFERROR((F23*F24*F5/F25),"")</f>
        <v/>
      </c>
      <c r="G26" s="374" t="str">
        <f>IFERROR((G23*G24*G5/G25),"")</f>
        <v/>
      </c>
      <c r="H26" s="374" t="str">
        <f>IFERROR((H23*H24*H5/H25),"")</f>
        <v/>
      </c>
      <c r="I26" s="374" t="str">
        <f>IFERROR((I23*I24*I5/I25),"")</f>
        <v/>
      </c>
      <c r="J26" s="44"/>
      <c r="K26" s="44"/>
      <c r="L26" s="44"/>
      <c r="M26" s="44"/>
      <c r="N26" s="44"/>
      <c r="O26" s="44"/>
      <c r="P26" s="44"/>
      <c r="Q26" s="44"/>
      <c r="R26" s="44"/>
      <c r="S26" s="44"/>
      <c r="T26" s="44"/>
      <c r="U26" s="44"/>
      <c r="V26" s="44"/>
      <c r="W26" s="44"/>
      <c r="X26" s="44"/>
      <c r="Y26" s="44"/>
      <c r="Z26" s="44"/>
      <c r="AA26" s="44"/>
    </row>
    <row r="27" spans="2:27">
      <c r="B27" s="791" t="s">
        <v>7</v>
      </c>
      <c r="C27" s="313" t="s">
        <v>14</v>
      </c>
      <c r="D27" s="348"/>
      <c r="E27" s="316"/>
      <c r="F27" s="316"/>
      <c r="G27" s="316"/>
      <c r="H27" s="316"/>
      <c r="I27" s="316"/>
      <c r="J27" s="44"/>
      <c r="K27" s="44"/>
      <c r="L27" s="44"/>
      <c r="M27" s="44"/>
      <c r="N27" s="44"/>
      <c r="O27" s="44"/>
      <c r="P27" s="44"/>
      <c r="Q27" s="44"/>
      <c r="R27" s="44"/>
      <c r="S27" s="44"/>
      <c r="T27" s="44"/>
      <c r="U27" s="44"/>
      <c r="V27" s="44"/>
      <c r="W27" s="44"/>
      <c r="X27" s="44"/>
      <c r="Y27" s="44"/>
      <c r="Z27" s="44"/>
      <c r="AA27" s="44"/>
    </row>
    <row r="28" spans="2:27">
      <c r="B28" s="792"/>
      <c r="C28" s="340" t="s">
        <v>320</v>
      </c>
      <c r="D28" s="349"/>
      <c r="E28" s="443"/>
      <c r="F28" s="443"/>
      <c r="G28" s="443"/>
      <c r="H28" s="443"/>
      <c r="I28" s="443"/>
      <c r="J28" s="44"/>
      <c r="K28" s="44"/>
      <c r="L28" s="44"/>
      <c r="M28" s="44"/>
      <c r="N28" s="44"/>
      <c r="O28" s="44"/>
      <c r="P28" s="44"/>
      <c r="Q28" s="44"/>
      <c r="R28" s="44"/>
      <c r="S28" s="44"/>
      <c r="T28" s="44"/>
      <c r="U28" s="44"/>
      <c r="V28" s="44"/>
      <c r="W28" s="44"/>
      <c r="X28" s="44"/>
      <c r="Y28" s="44"/>
      <c r="Z28" s="44"/>
      <c r="AA28" s="44"/>
    </row>
    <row r="29" spans="2:27">
      <c r="B29" s="792"/>
      <c r="C29" s="652" t="s">
        <v>246</v>
      </c>
      <c r="D29" s="350"/>
      <c r="E29" s="444"/>
      <c r="F29" s="444"/>
      <c r="G29" s="444"/>
      <c r="H29" s="444"/>
      <c r="I29" s="444"/>
      <c r="J29" s="44"/>
      <c r="K29" s="44"/>
      <c r="L29" s="44"/>
      <c r="M29" s="44"/>
      <c r="N29" s="44"/>
      <c r="O29" s="44"/>
      <c r="P29" s="44"/>
      <c r="Q29" s="44"/>
      <c r="R29" s="44"/>
      <c r="S29" s="44"/>
      <c r="T29" s="44"/>
      <c r="U29" s="44"/>
      <c r="V29" s="44"/>
      <c r="W29" s="44"/>
      <c r="X29" s="44"/>
      <c r="Y29" s="44"/>
      <c r="Z29" s="44"/>
      <c r="AA29" s="44"/>
    </row>
    <row r="30" spans="2:27">
      <c r="B30" s="792"/>
      <c r="C30" s="653" t="s">
        <v>467</v>
      </c>
      <c r="D30" s="351"/>
      <c r="E30" s="445"/>
      <c r="F30" s="445"/>
      <c r="G30" s="445"/>
      <c r="H30" s="445"/>
      <c r="I30" s="445"/>
      <c r="J30" s="44"/>
      <c r="K30" s="44"/>
      <c r="L30" s="44"/>
      <c r="M30" s="44"/>
      <c r="N30" s="44"/>
      <c r="O30" s="44"/>
      <c r="P30" s="44"/>
      <c r="Q30" s="44"/>
      <c r="R30" s="44"/>
      <c r="S30" s="44"/>
      <c r="T30" s="44"/>
      <c r="U30" s="44"/>
      <c r="V30" s="44"/>
      <c r="W30" s="44"/>
      <c r="X30" s="44"/>
      <c r="Y30" s="44"/>
      <c r="Z30" s="44"/>
      <c r="AA30" s="44"/>
    </row>
    <row r="31" spans="2:27">
      <c r="B31" s="792"/>
      <c r="C31" s="653" t="s">
        <v>467</v>
      </c>
      <c r="D31" s="344"/>
      <c r="E31" s="436"/>
      <c r="F31" s="436"/>
      <c r="G31" s="436"/>
      <c r="H31" s="436"/>
      <c r="I31" s="436"/>
      <c r="J31" s="44"/>
      <c r="K31" s="44"/>
      <c r="L31" s="44"/>
      <c r="M31" s="44"/>
      <c r="N31" s="44"/>
      <c r="O31" s="44"/>
      <c r="P31" s="44"/>
      <c r="Q31" s="44"/>
      <c r="R31" s="44"/>
      <c r="S31" s="44"/>
      <c r="T31" s="44"/>
      <c r="U31" s="44"/>
      <c r="V31" s="44"/>
      <c r="W31" s="44"/>
      <c r="X31" s="44"/>
      <c r="Y31" s="44"/>
      <c r="Z31" s="44"/>
      <c r="AA31" s="44"/>
    </row>
    <row r="32" spans="2:27">
      <c r="B32" s="792"/>
      <c r="C32" s="347" t="s">
        <v>242</v>
      </c>
      <c r="D32" s="346"/>
      <c r="E32" s="436" t="str">
        <f>IF(E3="","",SUM(E29:E31))</f>
        <v/>
      </c>
      <c r="F32" s="436" t="str">
        <f>IF(F3="","",SUM(F29:F31))</f>
        <v/>
      </c>
      <c r="G32" s="436" t="str">
        <f>IF(G3="","",SUM(G29:G31))</f>
        <v/>
      </c>
      <c r="H32" s="436" t="str">
        <f>IF(H3="","",SUM(H29:H31))</f>
        <v/>
      </c>
      <c r="I32" s="436" t="str">
        <f>IF(I3="","",SUM(I29:I31))</f>
        <v/>
      </c>
      <c r="J32" s="44"/>
      <c r="K32" s="44"/>
      <c r="L32" s="44"/>
      <c r="M32" s="44"/>
      <c r="N32" s="44"/>
      <c r="O32" s="44"/>
      <c r="P32" s="44"/>
      <c r="Q32" s="44"/>
      <c r="R32" s="44"/>
      <c r="S32" s="44"/>
      <c r="T32" s="44"/>
      <c r="U32" s="44"/>
      <c r="V32" s="44"/>
      <c r="W32" s="44"/>
      <c r="X32" s="44"/>
      <c r="Y32" s="44"/>
      <c r="Z32" s="44"/>
      <c r="AA32" s="44"/>
    </row>
    <row r="33" spans="1:27">
      <c r="B33" s="793"/>
      <c r="C33" s="315"/>
      <c r="D33" s="315" t="s">
        <v>41</v>
      </c>
      <c r="E33" s="378" t="str">
        <f>IF(E3="","",E28*E32/12)</f>
        <v/>
      </c>
      <c r="F33" s="378" t="str">
        <f>IF(F3="","",F28*F32/12)</f>
        <v/>
      </c>
      <c r="G33" s="378" t="str">
        <f>IF(G3="","",G28*G32/12)</f>
        <v/>
      </c>
      <c r="H33" s="378" t="str">
        <f>IF(H3="","",H28*H32/12)</f>
        <v/>
      </c>
      <c r="I33" s="378"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558</v>
      </c>
      <c r="D34" s="97"/>
      <c r="E34" s="379" t="str">
        <f>IF(E3="","",SUM(E12,E17,E21,E26,E33))</f>
        <v/>
      </c>
      <c r="F34" s="379" t="str">
        <f>IF(F3="","",SUM(F12,F17,F21,F26,F33))</f>
        <v/>
      </c>
      <c r="G34" s="379" t="str">
        <f>IF(G3="","",SUM(G12,G17,G21,G26,G33))</f>
        <v/>
      </c>
      <c r="H34" s="379" t="str">
        <f>IF(H3="","",SUM(H12,H17,H21,H26,H33))</f>
        <v/>
      </c>
      <c r="I34" s="379" t="str">
        <f>IF(I3="","",SUM(I12,I17,I21,I26,I33))</f>
        <v/>
      </c>
      <c r="J34" s="299"/>
      <c r="K34" s="299"/>
      <c r="L34" s="299"/>
      <c r="M34" s="299"/>
      <c r="N34" s="299"/>
      <c r="O34" s="299"/>
      <c r="P34" s="299"/>
      <c r="Q34" s="299"/>
      <c r="R34" s="299"/>
      <c r="S34" s="299"/>
      <c r="T34" s="299"/>
      <c r="U34" s="299"/>
      <c r="V34" s="299"/>
      <c r="W34" s="299"/>
      <c r="X34" s="299"/>
      <c r="Y34" s="299"/>
      <c r="Z34" s="299"/>
      <c r="AA34" s="299"/>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559</v>
      </c>
      <c r="D36" s="97"/>
      <c r="E36" s="379"/>
      <c r="F36" s="379"/>
      <c r="G36" s="379"/>
      <c r="H36" s="379"/>
      <c r="I36" s="379"/>
      <c r="J36" s="299"/>
      <c r="K36" s="299"/>
      <c r="L36" s="299"/>
      <c r="M36" s="299"/>
      <c r="N36" s="299"/>
      <c r="O36" s="299"/>
      <c r="P36" s="299"/>
      <c r="Q36" s="299"/>
      <c r="R36" s="299"/>
      <c r="S36" s="299"/>
      <c r="T36" s="299"/>
      <c r="U36" s="299"/>
      <c r="V36" s="299"/>
      <c r="W36" s="299"/>
      <c r="X36" s="299"/>
      <c r="Y36" s="299"/>
      <c r="Z36" s="299"/>
      <c r="AA36" s="299"/>
    </row>
    <row r="37" spans="1:27">
      <c r="B37" s="318" t="s">
        <v>2</v>
      </c>
      <c r="C37" s="319" t="s">
        <v>13</v>
      </c>
      <c r="D37" s="453">
        <v>0.01</v>
      </c>
      <c r="E37" s="320" t="str">
        <f>IF(E3="","",E29*$D$37/Proposta!$J$6)</f>
        <v/>
      </c>
      <c r="F37" s="320" t="str">
        <f>IF(F3="","",F29*$D$37/Proposta!$J$6)</f>
        <v/>
      </c>
      <c r="G37" s="320" t="str">
        <f>IF(G3="","",G29*$D$37/Proposta!$J$6)</f>
        <v/>
      </c>
      <c r="H37" s="320" t="str">
        <f>IF(H3="","",H29*$D$37/Proposta!$J$6)</f>
        <v/>
      </c>
      <c r="I37" s="320" t="str">
        <f>IF(I3="","",I29*$D$37/Proposta!$J$6)</f>
        <v/>
      </c>
      <c r="J37" s="44"/>
      <c r="K37" s="44"/>
      <c r="L37" s="44"/>
      <c r="M37" s="44"/>
      <c r="N37" s="44"/>
      <c r="O37" s="44"/>
      <c r="P37" s="44"/>
      <c r="Q37" s="44"/>
      <c r="R37" s="44"/>
      <c r="S37" s="44"/>
      <c r="T37" s="44"/>
      <c r="U37" s="44"/>
      <c r="V37" s="44"/>
      <c r="W37" s="44"/>
      <c r="X37" s="44"/>
      <c r="Y37" s="44"/>
      <c r="Z37" s="44"/>
      <c r="AA37" s="44"/>
    </row>
    <row r="38" spans="1:27">
      <c r="B38" s="318" t="s">
        <v>1</v>
      </c>
      <c r="C38" s="319" t="s">
        <v>12</v>
      </c>
      <c r="D38" s="454">
        <v>286.94</v>
      </c>
      <c r="E38" s="320" t="str">
        <f>IF(E$3="","",$D$38/Proposta!$J$6)</f>
        <v/>
      </c>
      <c r="F38" s="320" t="str">
        <f>IF(F$3="","",$D$38/Proposta!$J$6)</f>
        <v/>
      </c>
      <c r="G38" s="320" t="str">
        <f>IF(G$3="","",$D$38/Proposta!$J$6)</f>
        <v/>
      </c>
      <c r="H38" s="320" t="str">
        <f>IF(H$3="","",$D$38/Proposta!$J$6)</f>
        <v/>
      </c>
      <c r="I38" s="320" t="str">
        <f>IF(I$3="","",$D$38/Proposta!$J$6)</f>
        <v/>
      </c>
      <c r="J38" s="44"/>
      <c r="K38" s="44"/>
      <c r="L38" s="44"/>
      <c r="M38" s="44"/>
      <c r="N38" s="44"/>
      <c r="O38" s="44"/>
      <c r="P38" s="44"/>
      <c r="Q38" s="44"/>
      <c r="R38" s="44"/>
      <c r="S38" s="44"/>
      <c r="T38" s="44"/>
      <c r="U38" s="44"/>
      <c r="V38" s="44"/>
      <c r="W38" s="44"/>
      <c r="X38" s="44"/>
      <c r="Y38" s="44"/>
      <c r="Z38" s="44"/>
      <c r="AA38" s="44"/>
    </row>
    <row r="39" spans="1:27">
      <c r="B39" s="794" t="s">
        <v>0</v>
      </c>
      <c r="C39" s="313" t="s">
        <v>11</v>
      </c>
      <c r="D39" s="455"/>
      <c r="E39" s="316"/>
      <c r="F39" s="316"/>
      <c r="G39" s="316"/>
      <c r="H39" s="316"/>
      <c r="I39" s="316"/>
      <c r="J39" s="44"/>
      <c r="K39" s="44"/>
      <c r="L39" s="44"/>
      <c r="M39" s="44"/>
      <c r="N39" s="44"/>
      <c r="O39" s="44"/>
      <c r="P39" s="44"/>
      <c r="Q39" s="44"/>
      <c r="R39" s="44"/>
      <c r="S39" s="44"/>
      <c r="T39" s="44"/>
      <c r="U39" s="44"/>
      <c r="V39" s="44"/>
      <c r="W39" s="44"/>
      <c r="X39" s="44"/>
      <c r="Y39" s="44"/>
      <c r="Z39" s="44"/>
      <c r="AA39" s="44"/>
    </row>
    <row r="40" spans="1:27">
      <c r="B40" s="795"/>
      <c r="C40" s="330" t="s">
        <v>445</v>
      </c>
      <c r="D40" s="456"/>
      <c r="E40" s="467"/>
      <c r="F40" s="467"/>
      <c r="G40" s="467"/>
      <c r="H40" s="467"/>
      <c r="I40" s="467"/>
      <c r="J40" s="44"/>
      <c r="K40" s="44"/>
      <c r="L40" s="44"/>
      <c r="M40" s="44"/>
      <c r="N40" s="44"/>
      <c r="O40" s="44"/>
      <c r="P40" s="44"/>
      <c r="Q40" s="44"/>
      <c r="R40" s="44"/>
      <c r="S40" s="44"/>
      <c r="T40" s="44"/>
      <c r="U40" s="44"/>
      <c r="V40" s="44"/>
      <c r="W40" s="44"/>
      <c r="X40" s="44"/>
      <c r="Y40" s="44"/>
      <c r="Z40" s="44"/>
      <c r="AA40" s="44"/>
    </row>
    <row r="41" spans="1:27">
      <c r="B41" s="795"/>
      <c r="C41" s="347" t="s">
        <v>446</v>
      </c>
      <c r="D41" s="468"/>
      <c r="E41" s="436" t="str">
        <f>IF(E3="","",77.88)</f>
        <v/>
      </c>
      <c r="F41" s="436" t="str">
        <f t="shared" ref="F41:I41" si="3">IF(F3="","",77.88)</f>
        <v/>
      </c>
      <c r="G41" s="436" t="str">
        <f t="shared" si="3"/>
        <v/>
      </c>
      <c r="H41" s="436" t="str">
        <f t="shared" si="3"/>
        <v/>
      </c>
      <c r="I41" s="436" t="str">
        <f t="shared" si="3"/>
        <v/>
      </c>
      <c r="J41" s="44"/>
      <c r="K41" s="44"/>
      <c r="L41" s="44"/>
      <c r="M41" s="44"/>
      <c r="N41" s="44"/>
      <c r="O41" s="44"/>
      <c r="P41" s="44"/>
      <c r="Q41" s="44"/>
      <c r="R41" s="44"/>
      <c r="S41" s="44"/>
      <c r="T41" s="44"/>
      <c r="U41" s="44"/>
      <c r="V41" s="44"/>
      <c r="W41" s="44"/>
      <c r="X41" s="44"/>
      <c r="Y41" s="44"/>
      <c r="Z41" s="44"/>
      <c r="AA41" s="44"/>
    </row>
    <row r="42" spans="1:27">
      <c r="B42" s="796"/>
      <c r="C42" s="315"/>
      <c r="D42" s="315" t="s">
        <v>41</v>
      </c>
      <c r="E42" s="469" t="str">
        <f>IF(E$3="","",E40*E41/Proposta!$J$6)</f>
        <v/>
      </c>
      <c r="F42" s="469" t="str">
        <f>IF(F$3="","",F40*F41/Proposta!$J$6)</f>
        <v/>
      </c>
      <c r="G42" s="469" t="str">
        <f>IF(G$3="","",G40*G41/Proposta!$J$6)</f>
        <v/>
      </c>
      <c r="H42" s="469" t="str">
        <f>IF(H$3="","",H40*H41/Proposta!$J$6)</f>
        <v/>
      </c>
      <c r="I42" s="469" t="str">
        <f>IF(I$3="","",I40*I41/Proposta!$J$6)</f>
        <v/>
      </c>
      <c r="J42" s="44"/>
      <c r="K42" s="44"/>
      <c r="L42" s="44"/>
      <c r="M42" s="44"/>
      <c r="N42" s="44"/>
      <c r="O42" s="44"/>
      <c r="P42" s="44"/>
      <c r="Q42" s="44"/>
      <c r="R42" s="44"/>
      <c r="S42" s="44"/>
      <c r="T42" s="44"/>
      <c r="U42" s="44"/>
      <c r="V42" s="44"/>
      <c r="W42" s="44"/>
      <c r="X42" s="44"/>
      <c r="Y42" s="44"/>
      <c r="Z42" s="44"/>
      <c r="AA42" s="44"/>
    </row>
    <row r="43" spans="1:27">
      <c r="B43" s="318" t="s">
        <v>3</v>
      </c>
      <c r="C43" s="319" t="s">
        <v>10</v>
      </c>
      <c r="D43" s="453">
        <v>0.02</v>
      </c>
      <c r="E43" s="320" t="str">
        <f>IF(E3="","",E32*$D$43/Proposta!$J$6)</f>
        <v/>
      </c>
      <c r="F43" s="320" t="str">
        <f>IF(F3="","",F32*$D$43/Proposta!$J$6)</f>
        <v/>
      </c>
      <c r="G43" s="320" t="str">
        <f>IF(G3="","",G32*$D$43/Proposta!$J$6)</f>
        <v/>
      </c>
      <c r="H43" s="320" t="str">
        <f>IF(H3="","",H32*$D$43/Proposta!$J$6)</f>
        <v/>
      </c>
      <c r="I43" s="320" t="str">
        <f>IF(I3="","",I32*$D$43/Proposta!$J$6)</f>
        <v/>
      </c>
      <c r="J43" s="44"/>
      <c r="K43" s="44"/>
      <c r="L43" s="44"/>
      <c r="M43" s="44"/>
      <c r="N43" s="44"/>
      <c r="O43" s="44"/>
      <c r="P43" s="44"/>
      <c r="Q43" s="44"/>
      <c r="R43" s="44"/>
      <c r="S43" s="44"/>
      <c r="T43" s="44"/>
      <c r="U43" s="44"/>
      <c r="V43" s="44"/>
      <c r="W43" s="44"/>
      <c r="X43" s="44"/>
      <c r="Y43" s="44"/>
      <c r="Z43" s="44"/>
      <c r="AA43" s="44"/>
    </row>
    <row r="44" spans="1:27">
      <c r="B44" s="794" t="s">
        <v>7</v>
      </c>
      <c r="C44" s="313" t="s">
        <v>9</v>
      </c>
      <c r="D44" s="455"/>
      <c r="E44" s="316"/>
      <c r="F44" s="316"/>
      <c r="G44" s="316"/>
      <c r="H44" s="316"/>
      <c r="I44" s="316"/>
      <c r="J44" s="44"/>
      <c r="K44" s="44"/>
      <c r="L44" s="44"/>
      <c r="M44" s="44"/>
      <c r="N44" s="44"/>
      <c r="O44" s="44"/>
      <c r="P44" s="44"/>
      <c r="Q44" s="44"/>
      <c r="R44" s="44"/>
      <c r="S44" s="44"/>
      <c r="T44" s="44"/>
      <c r="U44" s="44"/>
      <c r="V44" s="44"/>
      <c r="W44" s="44"/>
      <c r="X44" s="44"/>
      <c r="Y44" s="44"/>
      <c r="Z44" s="44"/>
      <c r="AA44" s="44"/>
    </row>
    <row r="45" spans="1:27">
      <c r="B45" s="795"/>
      <c r="C45" s="330" t="s">
        <v>244</v>
      </c>
      <c r="D45" s="456"/>
      <c r="E45" s="446"/>
      <c r="F45" s="446"/>
      <c r="G45" s="446"/>
      <c r="H45" s="446"/>
      <c r="I45" s="446"/>
      <c r="J45" s="44"/>
      <c r="K45" s="44"/>
      <c r="L45" s="44"/>
      <c r="M45" s="44"/>
      <c r="N45" s="44"/>
      <c r="O45" s="44"/>
      <c r="P45" s="44"/>
      <c r="Q45" s="44"/>
      <c r="R45" s="44"/>
      <c r="S45" s="44"/>
      <c r="T45" s="44"/>
      <c r="U45" s="44"/>
      <c r="V45" s="44"/>
      <c r="W45" s="44"/>
      <c r="X45" s="44"/>
      <c r="Y45" s="44"/>
      <c r="Z45" s="44"/>
      <c r="AA45" s="44"/>
    </row>
    <row r="46" spans="1:27">
      <c r="B46" s="795"/>
      <c r="C46" s="347" t="s">
        <v>243</v>
      </c>
      <c r="D46" s="457"/>
      <c r="E46" s="436"/>
      <c r="F46" s="436"/>
      <c r="G46" s="436"/>
      <c r="H46" s="436"/>
      <c r="I46" s="436"/>
      <c r="J46" s="44"/>
      <c r="K46" s="44"/>
      <c r="L46" s="44"/>
      <c r="M46" s="44"/>
      <c r="N46" s="44"/>
      <c r="O46" s="44"/>
      <c r="P46" s="44"/>
      <c r="Q46" s="44"/>
      <c r="R46" s="44"/>
      <c r="S46" s="44"/>
      <c r="T46" s="44"/>
      <c r="U46" s="44"/>
      <c r="V46" s="44"/>
      <c r="W46" s="44"/>
      <c r="X46" s="44"/>
      <c r="Y46" s="44"/>
      <c r="Z46" s="44"/>
      <c r="AA46" s="44"/>
    </row>
    <row r="47" spans="1:27">
      <c r="B47" s="796"/>
      <c r="C47" s="315"/>
      <c r="D47" s="315" t="s">
        <v>41</v>
      </c>
      <c r="E47" s="378" t="str">
        <f>IF(E3="","",IFERROR((E45/Proposta!$J$6)+E46,0))</f>
        <v/>
      </c>
      <c r="F47" s="378" t="str">
        <f>IF(F3="","",IFERROR((F45/Proposta!$J$6)+F46,0))</f>
        <v/>
      </c>
      <c r="G47" s="378" t="str">
        <f>IF(G3="","",IFERROR((G45/Proposta!$J$6)+G46,0))</f>
        <v/>
      </c>
      <c r="H47" s="378" t="str">
        <f>IF(H3="","",IFERROR((H45/Proposta!$J$6)+H46,0))</f>
        <v/>
      </c>
      <c r="I47" s="378" t="str">
        <f>IF(I3="","",IFERROR((I45/Proposta!$J$6)+I46,0))</f>
        <v/>
      </c>
      <c r="J47" s="44"/>
      <c r="K47" s="44"/>
      <c r="L47" s="44"/>
      <c r="M47" s="44"/>
      <c r="N47" s="44"/>
      <c r="O47" s="44"/>
      <c r="P47" s="44"/>
      <c r="Q47" s="44"/>
      <c r="R47" s="44"/>
      <c r="S47" s="44"/>
      <c r="T47" s="44"/>
      <c r="U47" s="44"/>
      <c r="V47" s="44"/>
      <c r="W47" s="44"/>
      <c r="X47" s="44"/>
      <c r="Y47" s="44"/>
      <c r="Z47" s="44"/>
      <c r="AA47" s="44"/>
    </row>
    <row r="48" spans="1:27" s="12" customFormat="1">
      <c r="A48" s="78"/>
      <c r="B48" s="95"/>
      <c r="C48" s="97" t="s">
        <v>560</v>
      </c>
      <c r="D48" s="97"/>
      <c r="E48" s="379" t="str">
        <f>IF(E3="","",SUM(E37,E38,E42,E43,E47))</f>
        <v/>
      </c>
      <c r="F48" s="379" t="str">
        <f>IF(F3="","",SUM(F37,F38,F42,F43,F47))</f>
        <v/>
      </c>
      <c r="G48" s="379" t="str">
        <f>IF(G3="","",SUM(G37,G38,G42,G43,G47))</f>
        <v/>
      </c>
      <c r="H48" s="379" t="str">
        <f>IF(H3="","",SUM(H37,H38,H42,H43,H47))</f>
        <v/>
      </c>
      <c r="I48" s="379" t="str">
        <f>IF(I3="","",SUM(I37,I38,I42,I43,I47))</f>
        <v/>
      </c>
      <c r="J48" s="299"/>
      <c r="K48" s="299"/>
      <c r="L48" s="299"/>
      <c r="M48" s="299"/>
      <c r="N48" s="299"/>
      <c r="O48" s="299"/>
      <c r="P48" s="299"/>
      <c r="Q48" s="299"/>
      <c r="R48" s="299"/>
      <c r="S48" s="299"/>
      <c r="T48" s="299"/>
      <c r="U48" s="299"/>
      <c r="V48" s="299"/>
      <c r="W48" s="299"/>
      <c r="X48" s="299"/>
      <c r="Y48" s="299"/>
      <c r="Z48" s="299"/>
      <c r="AA48" s="299"/>
    </row>
    <row r="49" spans="1:27">
      <c r="A49" s="41"/>
      <c r="C49" s="39"/>
      <c r="D49" s="40"/>
      <c r="G49" s="38"/>
      <c r="H49" s="38"/>
      <c r="I49" s="38"/>
      <c r="J49" s="44"/>
      <c r="K49" s="44"/>
      <c r="L49" s="44"/>
      <c r="M49" s="44"/>
      <c r="N49" s="44"/>
      <c r="O49" s="44"/>
      <c r="P49" s="44"/>
      <c r="Q49" s="44"/>
      <c r="R49" s="44"/>
      <c r="S49" s="44"/>
      <c r="T49" s="44"/>
      <c r="U49" s="44"/>
      <c r="V49" s="44"/>
      <c r="W49" s="44"/>
      <c r="X49" s="44"/>
      <c r="Y49" s="44"/>
      <c r="Z49" s="44"/>
      <c r="AA49" s="44"/>
    </row>
    <row r="50" spans="1:27" s="12" customFormat="1">
      <c r="A50" s="78"/>
      <c r="B50" s="95"/>
      <c r="C50" s="96" t="s">
        <v>561</v>
      </c>
      <c r="D50" s="97"/>
      <c r="E50" s="379"/>
      <c r="F50" s="379"/>
      <c r="G50" s="379"/>
      <c r="H50" s="379"/>
      <c r="I50" s="379"/>
      <c r="J50" s="299"/>
      <c r="K50" s="299"/>
      <c r="L50" s="299"/>
      <c r="M50" s="299"/>
      <c r="N50" s="299"/>
      <c r="O50" s="299"/>
      <c r="P50" s="299"/>
      <c r="Q50" s="299"/>
      <c r="R50" s="299"/>
      <c r="S50" s="299"/>
      <c r="T50" s="299"/>
      <c r="U50" s="299"/>
      <c r="V50" s="299"/>
      <c r="W50" s="299"/>
      <c r="X50" s="299"/>
      <c r="Y50" s="299"/>
      <c r="Z50" s="299"/>
      <c r="AA50" s="299"/>
    </row>
    <row r="51" spans="1:27">
      <c r="B51" s="797" t="s">
        <v>2</v>
      </c>
      <c r="C51" s="313" t="s">
        <v>240</v>
      </c>
      <c r="D51" s="447">
        <f>IFERROR(($D$53)/D52,"")</f>
        <v>3.3333333333333335E-3</v>
      </c>
      <c r="E51" s="316"/>
      <c r="F51" s="316"/>
      <c r="G51" s="316"/>
      <c r="H51" s="316"/>
      <c r="I51" s="316"/>
      <c r="J51" s="44"/>
      <c r="K51" s="44"/>
      <c r="L51" s="44"/>
      <c r="M51" s="44"/>
      <c r="N51" s="44"/>
      <c r="O51" s="44"/>
      <c r="P51" s="44"/>
      <c r="Q51" s="44"/>
      <c r="R51" s="44"/>
      <c r="S51" s="44"/>
      <c r="T51" s="44"/>
      <c r="U51" s="44"/>
      <c r="V51" s="44"/>
      <c r="W51" s="44"/>
      <c r="X51" s="44"/>
      <c r="Y51" s="44"/>
      <c r="Z51" s="44"/>
      <c r="AA51" s="44"/>
    </row>
    <row r="52" spans="1:27">
      <c r="B52" s="798"/>
      <c r="C52" s="330" t="s">
        <v>57</v>
      </c>
      <c r="D52" s="448">
        <v>120</v>
      </c>
      <c r="E52" s="446"/>
      <c r="F52" s="446"/>
      <c r="G52" s="446"/>
      <c r="H52" s="446"/>
      <c r="I52" s="446"/>
      <c r="J52" s="44"/>
      <c r="K52" s="44"/>
      <c r="L52" s="44"/>
      <c r="M52" s="44"/>
      <c r="N52" s="44"/>
      <c r="O52" s="44"/>
      <c r="P52" s="44"/>
      <c r="Q52" s="44"/>
      <c r="R52" s="44"/>
      <c r="S52" s="44"/>
      <c r="T52" s="44"/>
      <c r="U52" s="44"/>
      <c r="V52" s="44"/>
      <c r="W52" s="44"/>
      <c r="X52" s="44"/>
      <c r="Y52" s="44"/>
      <c r="Z52" s="44"/>
      <c r="AA52" s="44"/>
    </row>
    <row r="53" spans="1:27">
      <c r="B53" s="798"/>
      <c r="C53" s="347" t="s">
        <v>428</v>
      </c>
      <c r="D53" s="449">
        <v>0.4</v>
      </c>
      <c r="E53" s="436" t="str">
        <f>IF(E3="","",IFERROR(E32*$D$53,""))</f>
        <v/>
      </c>
      <c r="F53" s="436" t="str">
        <f>IF(F3="","",IFERROR(F32*$D$53,""))</f>
        <v/>
      </c>
      <c r="G53" s="436" t="str">
        <f>IF(G3="","",IFERROR(G32*$D$53,""))</f>
        <v/>
      </c>
      <c r="H53" s="436" t="str">
        <f>IF(H3="","",IFERROR(H32*$D$53,""))</f>
        <v/>
      </c>
      <c r="I53" s="436" t="str">
        <f>IF(I3="","",IFERROR(I32*$D$53,""))</f>
        <v/>
      </c>
      <c r="J53" s="44"/>
      <c r="K53" s="44"/>
      <c r="L53" s="44"/>
      <c r="M53" s="44"/>
      <c r="N53" s="44"/>
      <c r="O53" s="44"/>
      <c r="P53" s="44"/>
      <c r="Q53" s="44"/>
      <c r="R53" s="44"/>
      <c r="S53" s="44"/>
      <c r="T53" s="44"/>
      <c r="U53" s="44"/>
      <c r="V53" s="44"/>
      <c r="W53" s="44"/>
      <c r="X53" s="44"/>
      <c r="Y53" s="44"/>
      <c r="Z53" s="44"/>
      <c r="AA53" s="44"/>
    </row>
    <row r="54" spans="1:27">
      <c r="B54" s="799"/>
      <c r="C54" s="315"/>
      <c r="D54" s="470" t="s">
        <v>41</v>
      </c>
      <c r="E54" s="378" t="str">
        <f>IF(E3="","",IFERROR(E32*$D$51,""))</f>
        <v/>
      </c>
      <c r="F54" s="378" t="str">
        <f>IF(F3="","",IFERROR(F32*$D$51,""))</f>
        <v/>
      </c>
      <c r="G54" s="378" t="str">
        <f>IF(G3="","",IFERROR(G32*$D$51,""))</f>
        <v/>
      </c>
      <c r="H54" s="378" t="str">
        <f>IF(H3="","",IFERROR(H32*$D$51,""))</f>
        <v/>
      </c>
      <c r="I54" s="378" t="str">
        <f>IF(I3="","",IFERROR(I32*$D$51,""))</f>
        <v/>
      </c>
      <c r="J54" s="44"/>
      <c r="K54" s="44"/>
      <c r="L54" s="44"/>
      <c r="M54" s="44"/>
      <c r="N54" s="44"/>
      <c r="O54" s="44"/>
      <c r="P54" s="44"/>
      <c r="Q54" s="44"/>
      <c r="R54" s="44"/>
      <c r="S54" s="44"/>
      <c r="T54" s="44"/>
      <c r="U54" s="44"/>
      <c r="V54" s="44"/>
      <c r="W54" s="44"/>
      <c r="X54" s="44"/>
      <c r="Y54" s="44"/>
      <c r="Z54" s="44"/>
      <c r="AA54" s="44"/>
    </row>
    <row r="55" spans="1:27">
      <c r="B55" s="797" t="s">
        <v>1</v>
      </c>
      <c r="C55" s="313" t="s">
        <v>8</v>
      </c>
      <c r="D55" s="447"/>
      <c r="E55" s="316"/>
      <c r="F55" s="316"/>
      <c r="G55" s="316"/>
      <c r="H55" s="316"/>
      <c r="I55" s="316"/>
      <c r="J55" s="44"/>
      <c r="K55" s="44"/>
      <c r="L55" s="44"/>
      <c r="M55" s="44"/>
      <c r="N55" s="44"/>
      <c r="O55" s="44"/>
      <c r="P55" s="44"/>
      <c r="Q55" s="44"/>
      <c r="R55" s="44"/>
      <c r="S55" s="44"/>
      <c r="T55" s="44"/>
      <c r="U55" s="44"/>
      <c r="V55" s="44"/>
      <c r="W55" s="44"/>
      <c r="X55" s="44"/>
      <c r="Y55" s="44"/>
      <c r="Z55" s="44"/>
      <c r="AA55" s="44"/>
    </row>
    <row r="56" spans="1:27">
      <c r="B56" s="798"/>
      <c r="C56" s="330" t="s">
        <v>462</v>
      </c>
      <c r="D56" s="507">
        <v>0.14249999999999999</v>
      </c>
      <c r="E56" s="446"/>
      <c r="F56" s="446"/>
      <c r="G56" s="446"/>
      <c r="H56" s="446"/>
      <c r="I56" s="446"/>
      <c r="J56" s="44"/>
      <c r="K56" s="44"/>
      <c r="L56" s="44"/>
      <c r="M56" s="44"/>
      <c r="N56" s="44"/>
      <c r="O56" s="44"/>
      <c r="P56" s="44"/>
      <c r="Q56" s="44"/>
      <c r="R56" s="44"/>
      <c r="S56" s="44"/>
      <c r="T56" s="44"/>
      <c r="U56" s="44"/>
      <c r="V56" s="44"/>
      <c r="W56" s="44"/>
      <c r="X56" s="44"/>
      <c r="Y56" s="44"/>
      <c r="Z56" s="44"/>
      <c r="AA56" s="44"/>
    </row>
    <row r="57" spans="1:27">
      <c r="B57" s="798"/>
      <c r="C57" s="347" t="s">
        <v>466</v>
      </c>
      <c r="D57" s="449">
        <f>ROUND(POWER((100%+D56),1/12)-100%,4)</f>
        <v>1.12E-2</v>
      </c>
      <c r="E57" s="436"/>
      <c r="F57" s="436"/>
      <c r="G57" s="436"/>
      <c r="H57" s="436"/>
      <c r="I57" s="436"/>
      <c r="J57" s="44"/>
      <c r="K57" s="44"/>
      <c r="L57" s="44"/>
      <c r="M57" s="44"/>
      <c r="N57" s="44"/>
      <c r="O57" s="44"/>
      <c r="P57" s="44"/>
      <c r="Q57" s="44"/>
      <c r="R57" s="44"/>
      <c r="S57" s="44"/>
      <c r="T57" s="44"/>
      <c r="U57" s="44"/>
      <c r="V57" s="44"/>
      <c r="W57" s="44"/>
      <c r="X57" s="44"/>
      <c r="Y57" s="44"/>
      <c r="Z57" s="44"/>
      <c r="AA57" s="44"/>
    </row>
    <row r="58" spans="1:27">
      <c r="B58" s="799"/>
      <c r="C58" s="315"/>
      <c r="D58" s="470" t="s">
        <v>41</v>
      </c>
      <c r="E58" s="378" t="str">
        <f>IF(E3="","",IFERROR(E32*$D$57,""))</f>
        <v/>
      </c>
      <c r="F58" s="378" t="str">
        <f>IF(F3="","",IFERROR(F32*$D$57,""))</f>
        <v/>
      </c>
      <c r="G58" s="378" t="str">
        <f>IF(G3="","",IFERROR(G32*$D$57,""))</f>
        <v/>
      </c>
      <c r="H58" s="378" t="str">
        <f>IF(H3="","",IFERROR(H32*$D$57,""))</f>
        <v/>
      </c>
      <c r="I58" s="378" t="str">
        <f>IF(I3="","",IFERROR(I32*$D$57,""))</f>
        <v/>
      </c>
      <c r="J58" s="44"/>
      <c r="K58" s="44"/>
      <c r="L58" s="44"/>
      <c r="M58" s="44"/>
      <c r="N58" s="44"/>
      <c r="O58" s="44"/>
      <c r="P58" s="44"/>
      <c r="Q58" s="44"/>
      <c r="R58" s="44"/>
      <c r="S58" s="44"/>
      <c r="T58" s="44"/>
      <c r="U58" s="44"/>
      <c r="V58" s="44"/>
      <c r="W58" s="44"/>
      <c r="X58" s="44"/>
      <c r="Y58" s="44"/>
      <c r="Z58" s="44"/>
      <c r="AA58" s="44"/>
    </row>
    <row r="59" spans="1:27" s="12" customFormat="1">
      <c r="A59" s="78"/>
      <c r="B59" s="95"/>
      <c r="C59" s="97" t="s">
        <v>562</v>
      </c>
      <c r="D59" s="97"/>
      <c r="E59" s="379" t="str">
        <f>IF(E3="","",SUM(E58,E54))</f>
        <v/>
      </c>
      <c r="F59" s="379" t="str">
        <f>IF(F3="","",SUM(F58,F54))</f>
        <v/>
      </c>
      <c r="G59" s="379" t="str">
        <f>IF(G3="","",SUM(G58,G54))</f>
        <v/>
      </c>
      <c r="H59" s="379" t="str">
        <f>IF(H3="","",SUM(H58,H54))</f>
        <v/>
      </c>
      <c r="I59" s="379" t="str">
        <f>IF(I3="","",SUM(I58,I54))</f>
        <v/>
      </c>
      <c r="J59" s="299"/>
      <c r="K59" s="299"/>
      <c r="L59" s="299"/>
      <c r="M59" s="299"/>
      <c r="N59" s="299"/>
      <c r="O59" s="299"/>
      <c r="P59" s="299"/>
      <c r="Q59" s="299"/>
      <c r="R59" s="299"/>
      <c r="S59" s="299"/>
      <c r="T59" s="299"/>
      <c r="U59" s="299"/>
      <c r="V59" s="299"/>
      <c r="W59" s="299"/>
      <c r="X59" s="299"/>
      <c r="Y59" s="299"/>
      <c r="Z59" s="299"/>
      <c r="AA59" s="299"/>
    </row>
    <row r="60" spans="1:27">
      <c r="B60"/>
      <c r="C60"/>
      <c r="D60"/>
      <c r="E60"/>
      <c r="F60"/>
      <c r="J60" s="44"/>
      <c r="K60" s="44"/>
      <c r="L60" s="44"/>
      <c r="M60" s="44"/>
      <c r="N60" s="44"/>
      <c r="O60" s="44"/>
      <c r="P60" s="44"/>
      <c r="Q60" s="44"/>
      <c r="R60" s="44"/>
      <c r="S60" s="44"/>
      <c r="T60" s="44"/>
      <c r="U60" s="44"/>
      <c r="V60" s="44"/>
      <c r="W60" s="44"/>
      <c r="X60" s="44"/>
      <c r="Y60" s="44"/>
      <c r="Z60" s="44"/>
      <c r="AA60" s="44"/>
    </row>
    <row r="61" spans="1:27">
      <c r="B61" s="95"/>
      <c r="C61" s="96" t="s">
        <v>563</v>
      </c>
      <c r="D61" s="97"/>
      <c r="E61" s="379"/>
      <c r="F61" s="379"/>
      <c r="G61" s="379"/>
      <c r="H61" s="379"/>
      <c r="I61" s="379"/>
      <c r="J61" s="44"/>
      <c r="K61" s="44"/>
      <c r="L61" s="44"/>
      <c r="M61" s="44"/>
      <c r="N61" s="44"/>
      <c r="O61" s="44"/>
      <c r="P61" s="44"/>
      <c r="Q61" s="44"/>
      <c r="R61" s="44"/>
      <c r="S61" s="44"/>
      <c r="T61" s="44"/>
      <c r="U61" s="44"/>
      <c r="V61" s="44"/>
      <c r="W61" s="44"/>
      <c r="X61" s="44"/>
      <c r="Y61" s="44"/>
      <c r="Z61" s="44"/>
      <c r="AA61" s="44"/>
    </row>
    <row r="62" spans="1:27" ht="3.75" customHeight="1">
      <c r="B62"/>
      <c r="C62"/>
      <c r="D62"/>
      <c r="E62"/>
      <c r="F62"/>
      <c r="J62" s="44"/>
      <c r="K62" s="44"/>
      <c r="L62" s="44"/>
      <c r="M62" s="44"/>
      <c r="N62" s="44"/>
      <c r="O62" s="44"/>
      <c r="P62" s="44"/>
      <c r="Q62" s="44"/>
      <c r="R62" s="44"/>
      <c r="S62" s="44"/>
      <c r="T62" s="44"/>
      <c r="U62" s="44"/>
      <c r="V62" s="44"/>
      <c r="W62" s="44"/>
      <c r="X62" s="44"/>
      <c r="Y62" s="44"/>
      <c r="Z62" s="44"/>
      <c r="AA62" s="44"/>
    </row>
    <row r="63" spans="1:27">
      <c r="B63" s="177"/>
      <c r="C63" s="178" t="s">
        <v>564</v>
      </c>
      <c r="D63" s="179"/>
      <c r="E63" s="182"/>
      <c r="F63" s="182"/>
      <c r="G63" s="182"/>
      <c r="H63" s="182"/>
      <c r="I63" s="182"/>
      <c r="J63" s="44"/>
      <c r="K63" s="44"/>
      <c r="L63" s="44"/>
      <c r="M63" s="44"/>
      <c r="N63" s="44"/>
      <c r="O63" s="44"/>
      <c r="P63" s="44"/>
      <c r="Q63" s="44"/>
      <c r="R63" s="44"/>
      <c r="S63" s="44"/>
      <c r="T63" s="44"/>
      <c r="U63" s="44"/>
      <c r="V63" s="44"/>
      <c r="W63" s="44"/>
      <c r="X63" s="44"/>
      <c r="Y63" s="44"/>
      <c r="Z63" s="44"/>
      <c r="AA63" s="44"/>
    </row>
    <row r="64" spans="1:27">
      <c r="B64" s="93" t="s">
        <v>2</v>
      </c>
      <c r="C64" s="94" t="s">
        <v>227</v>
      </c>
      <c r="D64" s="417">
        <f>'Mão de Obra'!D155</f>
        <v>0.05</v>
      </c>
      <c r="E64" s="105" t="str">
        <f>IF(E3="","",IFERROR(ROUND($D64*E$88,2),""))</f>
        <v/>
      </c>
      <c r="F64" s="105" t="str">
        <f>IF(F3="","",IFERROR(ROUND($D64*F$88,2),""))</f>
        <v/>
      </c>
      <c r="G64" s="105" t="str">
        <f>IF(G3="","",IFERROR(ROUND($D64*G$88,2),""))</f>
        <v/>
      </c>
      <c r="H64" s="105" t="str">
        <f>IF(H3="","",IFERROR(ROUND($D64*H$88,2),""))</f>
        <v/>
      </c>
      <c r="I64" s="105" t="str">
        <f>IF(I3="","",IFERROR(ROUND($D64*I$88,2),""))</f>
        <v/>
      </c>
      <c r="J64" s="44"/>
      <c r="K64" s="501"/>
      <c r="L64" s="44"/>
      <c r="M64" s="44"/>
      <c r="N64" s="44"/>
      <c r="O64" s="44"/>
      <c r="P64" s="44"/>
      <c r="Q64" s="44"/>
      <c r="R64" s="44"/>
      <c r="S64" s="44"/>
      <c r="T64" s="44"/>
      <c r="U64" s="44"/>
      <c r="V64" s="44"/>
      <c r="W64" s="44"/>
      <c r="X64" s="44"/>
      <c r="Y64" s="44"/>
      <c r="Z64" s="44"/>
      <c r="AA64" s="44"/>
    </row>
    <row r="65" spans="2:27">
      <c r="B65" s="93" t="s">
        <v>1</v>
      </c>
      <c r="C65" s="94" t="s">
        <v>228</v>
      </c>
      <c r="D65" s="417">
        <f>'Mão de Obra'!D156</f>
        <v>0.1</v>
      </c>
      <c r="E65" s="105" t="str">
        <f>IF(E4="","",IFERROR(ROUND($D65*SUM(E$64,E$88),2),""))</f>
        <v/>
      </c>
      <c r="F65" s="105" t="str">
        <f>IF(F4="","",IFERROR(ROUND($D65*SUM(F$64,F$88),2),""))</f>
        <v/>
      </c>
      <c r="G65" s="105" t="str">
        <f>IF(G4="","",IFERROR(ROUND($D65*SUM(G$64,G$88),2),""))</f>
        <v/>
      </c>
      <c r="H65" s="105" t="str">
        <f>IF(H4="","",IFERROR(ROUND($D65*SUM(H$64,H$88),2),""))</f>
        <v/>
      </c>
      <c r="I65" s="105" t="str">
        <f>IF(I4="","",IFERROR(ROUND($D65*SUM(I$64,I$88),2),""))</f>
        <v/>
      </c>
      <c r="J65" s="44"/>
      <c r="K65" s="44"/>
      <c r="L65" s="44"/>
      <c r="M65" s="44"/>
      <c r="N65" s="44"/>
      <c r="O65" s="44"/>
      <c r="P65" s="44"/>
      <c r="Q65" s="44"/>
      <c r="R65" s="44"/>
      <c r="S65" s="44"/>
      <c r="T65" s="44"/>
      <c r="U65" s="44"/>
      <c r="V65" s="44"/>
      <c r="W65" s="44"/>
      <c r="X65" s="44"/>
      <c r="Y65" s="44"/>
      <c r="Z65" s="44"/>
      <c r="AA65" s="44"/>
    </row>
    <row r="66" spans="2:27">
      <c r="B66" s="177"/>
      <c r="C66" s="178" t="s">
        <v>120</v>
      </c>
      <c r="D66" s="181"/>
      <c r="E66" s="182" t="str">
        <f>IF(E3="","",SUM(E64:E65))</f>
        <v/>
      </c>
      <c r="F66" s="182" t="str">
        <f>IF(F3="","",SUM(F64:F65))</f>
        <v/>
      </c>
      <c r="G66" s="182" t="str">
        <f>IF(G3="","",SUM(G64:G65))</f>
        <v/>
      </c>
      <c r="H66" s="182" t="str">
        <f>IF(H3="","",SUM(H64:H65))</f>
        <v/>
      </c>
      <c r="I66" s="182" t="str">
        <f>IF(I3="","",SUM(I64:I65))</f>
        <v/>
      </c>
      <c r="J66" s="44"/>
      <c r="K66" s="44"/>
      <c r="L66" s="44"/>
      <c r="M66" s="44"/>
      <c r="N66" s="44"/>
      <c r="O66" s="44"/>
      <c r="P66" s="44"/>
      <c r="Q66" s="44"/>
      <c r="R66" s="44"/>
      <c r="S66" s="44"/>
      <c r="T66" s="44"/>
      <c r="U66" s="44"/>
      <c r="V66" s="44"/>
      <c r="W66" s="44"/>
      <c r="X66" s="44"/>
      <c r="Y66" s="44"/>
      <c r="Z66" s="44"/>
      <c r="AA66" s="44"/>
    </row>
    <row r="67" spans="2:27" ht="3.75" customHeight="1">
      <c r="B67"/>
      <c r="C67"/>
      <c r="D67"/>
      <c r="E67"/>
      <c r="F67"/>
      <c r="J67" s="44"/>
      <c r="K67" s="44"/>
      <c r="L67" s="44"/>
      <c r="M67" s="44"/>
      <c r="N67" s="44"/>
      <c r="O67" s="44"/>
      <c r="P67" s="44"/>
      <c r="Q67" s="44"/>
      <c r="R67" s="44"/>
      <c r="S67" s="44"/>
      <c r="T67" s="44"/>
      <c r="U67" s="44"/>
      <c r="V67" s="44"/>
      <c r="W67" s="44"/>
      <c r="X67" s="44"/>
      <c r="Y67" s="44"/>
      <c r="Z67" s="44"/>
      <c r="AA67" s="44"/>
    </row>
    <row r="68" spans="2:27">
      <c r="B68" s="177"/>
      <c r="C68" s="178" t="s">
        <v>565</v>
      </c>
      <c r="D68" s="179"/>
      <c r="E68" s="182"/>
      <c r="F68" s="182"/>
      <c r="G68" s="182"/>
      <c r="H68" s="182"/>
      <c r="I68" s="182"/>
      <c r="J68" s="44"/>
      <c r="K68" s="44"/>
      <c r="L68" s="44"/>
      <c r="M68" s="44"/>
      <c r="N68" s="44"/>
      <c r="O68" s="44"/>
      <c r="P68" s="44"/>
      <c r="Q68" s="44"/>
      <c r="R68" s="44"/>
      <c r="S68" s="44"/>
      <c r="T68" s="44"/>
      <c r="U68" s="44"/>
      <c r="V68" s="44"/>
      <c r="W68" s="44"/>
      <c r="X68" s="44"/>
      <c r="Y68" s="44"/>
      <c r="Z68" s="44"/>
      <c r="AA68" s="44"/>
    </row>
    <row r="69" spans="2:27">
      <c r="B69" s="93" t="s">
        <v>2</v>
      </c>
      <c r="C69" s="94" t="s">
        <v>43</v>
      </c>
      <c r="D69" s="417">
        <f>'Mão de Obra'!D160</f>
        <v>0.03</v>
      </c>
      <c r="E69" s="105" t="str">
        <f t="shared" ref="E69:I70" si="4">IF(E$3="","",IFERROR(ROUND(SUM(E$88,E$66)*$D69/(1-SUM($D$69:$D$74,E$72)),2),""))</f>
        <v/>
      </c>
      <c r="F69" s="105" t="str">
        <f t="shared" si="4"/>
        <v/>
      </c>
      <c r="G69" s="105" t="str">
        <f t="shared" si="4"/>
        <v/>
      </c>
      <c r="H69" s="105" t="str">
        <f t="shared" si="4"/>
        <v/>
      </c>
      <c r="I69" s="105" t="str">
        <f t="shared" si="4"/>
        <v/>
      </c>
      <c r="J69" s="44"/>
      <c r="K69" s="44"/>
      <c r="L69" s="44"/>
      <c r="M69" s="44"/>
      <c r="N69" s="44"/>
      <c r="O69" s="44"/>
      <c r="P69" s="44"/>
      <c r="Q69" s="44"/>
      <c r="R69" s="44"/>
      <c r="S69" s="44"/>
      <c r="T69" s="44"/>
      <c r="U69" s="44"/>
      <c r="V69" s="44"/>
      <c r="W69" s="44"/>
      <c r="X69" s="44"/>
      <c r="Y69" s="44"/>
      <c r="Z69" s="44"/>
      <c r="AA69" s="44"/>
    </row>
    <row r="70" spans="2:27">
      <c r="B70" s="93" t="s">
        <v>1</v>
      </c>
      <c r="C70" s="94" t="s">
        <v>107</v>
      </c>
      <c r="D70" s="417">
        <f>'Mão de Obra'!D161</f>
        <v>6.4999999999999997E-3</v>
      </c>
      <c r="E70" s="105" t="str">
        <f t="shared" si="4"/>
        <v/>
      </c>
      <c r="F70" s="105" t="str">
        <f t="shared" si="4"/>
        <v/>
      </c>
      <c r="G70" s="105" t="str">
        <f t="shared" si="4"/>
        <v/>
      </c>
      <c r="H70" s="105" t="str">
        <f t="shared" si="4"/>
        <v/>
      </c>
      <c r="I70" s="105" t="str">
        <f t="shared" si="4"/>
        <v/>
      </c>
      <c r="J70" s="44"/>
      <c r="K70" s="44"/>
      <c r="L70" s="44"/>
      <c r="M70" s="44"/>
      <c r="N70" s="44"/>
      <c r="O70" s="44"/>
      <c r="P70" s="44"/>
      <c r="Q70" s="44"/>
      <c r="R70" s="44"/>
      <c r="S70" s="44"/>
      <c r="T70" s="44"/>
      <c r="U70" s="44"/>
      <c r="V70" s="44"/>
      <c r="W70" s="44"/>
      <c r="X70" s="44"/>
      <c r="Y70" s="44"/>
      <c r="Z70" s="44"/>
      <c r="AA70" s="44"/>
    </row>
    <row r="71" spans="2:27">
      <c r="B71" s="750" t="s">
        <v>0</v>
      </c>
      <c r="C71" s="166" t="s">
        <v>44</v>
      </c>
      <c r="D71" s="425"/>
      <c r="E71" s="154"/>
      <c r="F71" s="154"/>
      <c r="G71" s="154"/>
      <c r="H71" s="154"/>
      <c r="I71" s="154"/>
      <c r="J71" s="44"/>
      <c r="K71" s="44"/>
      <c r="L71" s="44"/>
      <c r="M71" s="44"/>
      <c r="N71" s="44"/>
      <c r="O71" s="44"/>
      <c r="P71" s="44"/>
      <c r="Q71" s="44"/>
      <c r="R71" s="44"/>
      <c r="S71" s="44"/>
      <c r="T71" s="44"/>
      <c r="U71" s="44"/>
      <c r="V71" s="44"/>
      <c r="W71" s="44"/>
      <c r="X71" s="44"/>
      <c r="Y71" s="44"/>
      <c r="Z71" s="44"/>
      <c r="AA71" s="44"/>
    </row>
    <row r="72" spans="2:27">
      <c r="B72" s="751"/>
      <c r="C72" s="347" t="s">
        <v>353</v>
      </c>
      <c r="D72" s="449"/>
      <c r="E72" s="473">
        <v>2.5000000000000001E-2</v>
      </c>
      <c r="F72" s="473">
        <v>2.5000000000000001E-2</v>
      </c>
      <c r="G72" s="473">
        <v>2.5000000000000001E-2</v>
      </c>
      <c r="H72" s="473">
        <v>2.5000000000000001E-2</v>
      </c>
      <c r="I72" s="473">
        <v>2.5000000000000001E-2</v>
      </c>
      <c r="J72" s="44"/>
      <c r="K72" s="44"/>
      <c r="L72" s="44"/>
      <c r="M72" s="44"/>
      <c r="N72" s="44"/>
      <c r="O72" s="44"/>
      <c r="P72" s="44"/>
      <c r="Q72" s="44"/>
      <c r="R72" s="44"/>
      <c r="S72" s="44"/>
      <c r="T72" s="44"/>
      <c r="U72" s="44"/>
      <c r="V72" s="44"/>
      <c r="W72" s="44"/>
      <c r="X72" s="44"/>
      <c r="Y72" s="44"/>
      <c r="Z72" s="44"/>
      <c r="AA72" s="44"/>
    </row>
    <row r="73" spans="2:27">
      <c r="B73" s="752"/>
      <c r="C73" s="315"/>
      <c r="D73" s="470" t="s">
        <v>41</v>
      </c>
      <c r="E73" s="378" t="str">
        <f>IF(E$3="","",IFERROR(ROUND(SUM(E$88,E$66)*$E72/(1-SUM($D$69:$D$74,E$72)),2),""))</f>
        <v/>
      </c>
      <c r="F73" s="378" t="str">
        <f>IF(F$3="","",IFERROR(ROUND(SUM(F$88,F$66)*$E72/(1-SUM($D$69:$D$74,F$72)),2),""))</f>
        <v/>
      </c>
      <c r="G73" s="378" t="str">
        <f>IF(G$3="","",IFERROR(ROUND(SUM(G$88,G$66)*$E72/(1-SUM($D$69:$D$74,G$72)),2),""))</f>
        <v/>
      </c>
      <c r="H73" s="378" t="str">
        <f>IF(H$3="","",IFERROR(ROUND(SUM(H$88,H$66)*$E72/(1-SUM($D$69:$D$74,H$72)),2),""))</f>
        <v/>
      </c>
      <c r="I73" s="378" t="str">
        <f>IF(I$3="","",IFERROR(ROUND(SUM(I$88,I$66)*$E72/(1-SUM($D$69:$D$74,I$72)),2),""))</f>
        <v/>
      </c>
      <c r="J73" s="44"/>
      <c r="K73" s="44"/>
      <c r="L73" s="44"/>
      <c r="M73" s="44"/>
      <c r="N73" s="44"/>
      <c r="O73" s="44"/>
      <c r="P73" s="44"/>
      <c r="Q73" s="44"/>
      <c r="R73" s="44"/>
      <c r="S73" s="44"/>
      <c r="T73" s="44"/>
      <c r="U73" s="44"/>
      <c r="V73" s="44"/>
      <c r="W73" s="44"/>
      <c r="X73" s="44"/>
      <c r="Y73" s="44"/>
      <c r="Z73" s="44"/>
      <c r="AA73" s="44"/>
    </row>
    <row r="74" spans="2:27">
      <c r="B74" s="400" t="s">
        <v>3</v>
      </c>
      <c r="C74" s="401" t="s">
        <v>303</v>
      </c>
      <c r="D74" s="417">
        <f>'Mão de Obra'!D165</f>
        <v>0</v>
      </c>
      <c r="E74" s="105" t="str">
        <f>IF(E$3="","",IFERROR(ROUND(SUM(E$88,E$66)*$D74/(1-SUM($D$69:$D$74,E$72)),2),""))</f>
        <v/>
      </c>
      <c r="F74" s="105" t="str">
        <f>IF(F$3="","",IFERROR(ROUND(SUM(F$88,F$66)*$D74/(1-SUM($D$69:$D$74,F$72)),2),""))</f>
        <v/>
      </c>
      <c r="G74" s="105" t="str">
        <f>IF(G$3="","",IFERROR(ROUND(SUM(G$88,G$66)*$D74/(1-SUM($D$69:$D$74,G$72)),2),""))</f>
        <v/>
      </c>
      <c r="H74" s="105" t="str">
        <f>IF(H$3="","",IFERROR(ROUND(SUM(H$88,H$66)*$D74/(1-SUM($D$69:$D$74,H$72)),2),""))</f>
        <v/>
      </c>
      <c r="I74" s="105" t="str">
        <f>IF(I$3="","",IFERROR(ROUND(SUM(I$88,I$66)*$D74/(1-SUM($D$69:$D$74,I$72)),2),""))</f>
        <v/>
      </c>
      <c r="J74" s="44"/>
      <c r="K74" s="44"/>
      <c r="L74" s="44"/>
      <c r="M74" s="44"/>
      <c r="N74" s="44"/>
      <c r="O74" s="44"/>
      <c r="P74" s="44"/>
      <c r="Q74" s="44"/>
      <c r="R74" s="44"/>
      <c r="S74" s="44"/>
      <c r="T74" s="44"/>
      <c r="U74" s="44"/>
      <c r="V74" s="44"/>
      <c r="W74" s="44"/>
      <c r="X74" s="44"/>
      <c r="Y74" s="44"/>
      <c r="Z74" s="44"/>
      <c r="AA74" s="44"/>
    </row>
    <row r="75" spans="2:27">
      <c r="B75" s="177"/>
      <c r="C75" s="178" t="s">
        <v>121</v>
      </c>
      <c r="D75" s="181"/>
      <c r="E75" s="198" t="str">
        <f>IF(E4="","",SUM(E69:E70,E73:E74))</f>
        <v/>
      </c>
      <c r="F75" s="198" t="str">
        <f>IF(F4="","",SUM(F69:F70,F73:F74))</f>
        <v/>
      </c>
      <c r="G75" s="198" t="str">
        <f>IF(G4="","",SUM(G69:G70,G73:G74))</f>
        <v/>
      </c>
      <c r="H75" s="198" t="str">
        <f>IF(H4="","",SUM(H69:H70,H73:H74))</f>
        <v/>
      </c>
      <c r="I75" s="198" t="str">
        <f>IF(I4="","",SUM(I69:I70,I73:I74))</f>
        <v/>
      </c>
      <c r="J75" s="44"/>
      <c r="K75" s="44"/>
      <c r="L75" s="44"/>
      <c r="M75" s="44"/>
      <c r="N75" s="44"/>
      <c r="O75" s="44"/>
      <c r="P75" s="44"/>
      <c r="Q75" s="44"/>
      <c r="R75" s="44"/>
      <c r="S75" s="44"/>
      <c r="T75" s="44"/>
      <c r="U75" s="44"/>
      <c r="V75" s="44"/>
      <c r="W75" s="44"/>
      <c r="X75" s="44"/>
      <c r="Y75" s="44"/>
      <c r="Z75" s="44"/>
      <c r="AA75" s="44"/>
    </row>
    <row r="76" spans="2:27" ht="3.75" customHeight="1">
      <c r="B76"/>
      <c r="C76"/>
      <c r="D76"/>
      <c r="E76"/>
      <c r="F76"/>
      <c r="J76" s="44"/>
      <c r="K76" s="44"/>
      <c r="L76" s="44"/>
      <c r="M76" s="44"/>
      <c r="N76" s="44"/>
      <c r="O76" s="44"/>
      <c r="P76" s="44"/>
      <c r="Q76" s="44"/>
      <c r="R76" s="44"/>
      <c r="S76" s="44"/>
      <c r="T76" s="44"/>
      <c r="U76" s="44"/>
      <c r="V76" s="44"/>
      <c r="W76" s="44"/>
      <c r="X76" s="44"/>
      <c r="Y76" s="44"/>
      <c r="Z76" s="44"/>
      <c r="AA76" s="44"/>
    </row>
    <row r="77" spans="2:27">
      <c r="B77" s="163"/>
      <c r="C77" s="96" t="s">
        <v>122</v>
      </c>
      <c r="D77" s="159"/>
      <c r="E77" s="161" t="str">
        <f>IF(E$3="","",SUM(E75,E66))</f>
        <v/>
      </c>
      <c r="F77" s="161" t="str">
        <f>IF(F$3="","",SUM(F75,F66))</f>
        <v/>
      </c>
      <c r="G77" s="161" t="str">
        <f>IF(G$3="","",SUM(G75,G66))</f>
        <v/>
      </c>
      <c r="H77" s="161" t="str">
        <f>IF(H$3="","",SUM(H75,H66))</f>
        <v/>
      </c>
      <c r="I77" s="161" t="str">
        <f>IF(I$3="","",SUM(I75,I66))</f>
        <v/>
      </c>
      <c r="J77" s="44"/>
      <c r="K77" s="44"/>
      <c r="L77" s="44"/>
      <c r="M77" s="44"/>
      <c r="N77" s="44"/>
      <c r="O77" s="44"/>
      <c r="P77" s="44"/>
      <c r="Q77" s="44"/>
      <c r="R77" s="44"/>
      <c r="S77" s="44"/>
      <c r="T77" s="44"/>
      <c r="U77" s="44"/>
      <c r="V77" s="44"/>
      <c r="W77" s="44"/>
      <c r="X77" s="44"/>
      <c r="Y77" s="44"/>
      <c r="Z77" s="44"/>
      <c r="AA77" s="44"/>
    </row>
    <row r="78" spans="2:27">
      <c r="J78" s="44"/>
      <c r="K78" s="44"/>
      <c r="L78" s="44"/>
      <c r="M78" s="44"/>
      <c r="N78" s="44"/>
      <c r="O78" s="44"/>
      <c r="P78" s="44"/>
      <c r="Q78" s="44"/>
      <c r="R78" s="44"/>
      <c r="S78" s="44"/>
      <c r="T78" s="44"/>
      <c r="U78" s="44"/>
      <c r="V78" s="44"/>
      <c r="W78" s="44"/>
      <c r="X78" s="44"/>
      <c r="Y78" s="44"/>
      <c r="Z78" s="44"/>
      <c r="AA78" s="44"/>
    </row>
    <row r="79" spans="2:27">
      <c r="B79" s="95"/>
      <c r="C79" s="96" t="s">
        <v>423</v>
      </c>
      <c r="D79" s="97"/>
      <c r="E79" s="379"/>
      <c r="F79" s="379"/>
      <c r="G79" s="379"/>
      <c r="H79" s="379"/>
      <c r="I79" s="379"/>
      <c r="J79" s="44"/>
      <c r="K79" s="44"/>
      <c r="L79" s="44"/>
      <c r="M79" s="44"/>
      <c r="N79" s="44"/>
      <c r="O79" s="44"/>
      <c r="P79" s="44"/>
      <c r="Q79" s="44"/>
      <c r="R79" s="44"/>
      <c r="S79" s="44"/>
      <c r="T79" s="44"/>
      <c r="U79" s="44"/>
      <c r="V79" s="44"/>
      <c r="W79" s="44"/>
      <c r="X79" s="44"/>
      <c r="Y79" s="44"/>
      <c r="Z79" s="44"/>
      <c r="AA79" s="44"/>
    </row>
    <row r="80" spans="2:27" ht="3.75" customHeight="1">
      <c r="B80" s="3"/>
      <c r="C80" s="3"/>
      <c r="D80" s="3"/>
      <c r="E80" s="3"/>
      <c r="F80" s="3"/>
      <c r="G80" s="3"/>
      <c r="H80" s="3"/>
      <c r="I80" s="3"/>
      <c r="J80" s="44"/>
      <c r="K80" s="44"/>
      <c r="L80" s="44"/>
      <c r="M80" s="44"/>
      <c r="N80" s="44"/>
      <c r="O80" s="44"/>
      <c r="P80" s="44"/>
      <c r="Q80" s="44"/>
      <c r="R80" s="44"/>
      <c r="S80" s="44"/>
      <c r="T80" s="44"/>
      <c r="U80" s="44"/>
      <c r="V80" s="44"/>
      <c r="W80" s="44"/>
      <c r="X80" s="44"/>
      <c r="Y80" s="44"/>
      <c r="Z80" s="44"/>
      <c r="AA80" s="44"/>
    </row>
    <row r="81" spans="2:27">
      <c r="B81" s="177"/>
      <c r="C81" s="178" t="s">
        <v>448</v>
      </c>
      <c r="D81" s="298"/>
      <c r="E81" s="406"/>
      <c r="F81" s="406"/>
      <c r="G81" s="406"/>
      <c r="H81" s="406"/>
      <c r="I81" s="406"/>
      <c r="J81" s="44"/>
      <c r="K81" s="44"/>
      <c r="L81" s="44"/>
      <c r="M81" s="44"/>
      <c r="N81" s="44"/>
      <c r="O81" s="44"/>
      <c r="P81" s="44"/>
      <c r="Q81" s="44"/>
      <c r="R81" s="44"/>
      <c r="S81" s="44"/>
      <c r="T81" s="44"/>
      <c r="U81" s="44"/>
      <c r="V81" s="44"/>
      <c r="W81" s="44"/>
      <c r="X81" s="44"/>
      <c r="Y81" s="44"/>
      <c r="Z81" s="44"/>
      <c r="AA81" s="44"/>
    </row>
    <row r="82" spans="2:27">
      <c r="B82" s="93" t="s">
        <v>2</v>
      </c>
      <c r="C82" s="94" t="s">
        <v>449</v>
      </c>
      <c r="D82" s="183"/>
      <c r="E82" s="105" t="str">
        <f>IFERROR(ROUND(E34*(1+E89/E88),2)/E5,"")</f>
        <v/>
      </c>
      <c r="F82" s="105" t="str">
        <f t="shared" ref="F82:I82" si="5">IFERROR(ROUND(F34*(1+F89/F88),2)/F5,"")</f>
        <v/>
      </c>
      <c r="G82" s="105" t="str">
        <f t="shared" si="5"/>
        <v/>
      </c>
      <c r="H82" s="105" t="str">
        <f t="shared" si="5"/>
        <v/>
      </c>
      <c r="I82" s="105" t="str">
        <f t="shared" si="5"/>
        <v/>
      </c>
      <c r="J82" s="44"/>
      <c r="K82" s="44"/>
      <c r="L82" s="44"/>
      <c r="M82" s="44"/>
      <c r="N82" s="44"/>
      <c r="O82" s="44"/>
      <c r="P82" s="44"/>
      <c r="Q82" s="44"/>
      <c r="R82" s="44"/>
      <c r="S82" s="44"/>
      <c r="T82" s="44"/>
      <c r="U82" s="44"/>
      <c r="V82" s="44"/>
      <c r="W82" s="44"/>
      <c r="X82" s="44"/>
      <c r="Y82" s="44"/>
      <c r="Z82" s="44"/>
      <c r="AA82" s="44"/>
    </row>
    <row r="83" spans="2:27">
      <c r="B83" s="750" t="s">
        <v>1</v>
      </c>
      <c r="C83" s="166" t="s">
        <v>375</v>
      </c>
      <c r="D83" s="425"/>
      <c r="E83" s="154"/>
      <c r="F83" s="154"/>
      <c r="G83" s="154"/>
      <c r="H83" s="154"/>
      <c r="I83" s="154"/>
      <c r="J83" s="44"/>
      <c r="K83" s="44"/>
      <c r="L83" s="44"/>
      <c r="M83" s="44"/>
      <c r="N83" s="44"/>
      <c r="O83" s="44"/>
      <c r="P83" s="44"/>
      <c r="Q83" s="44"/>
      <c r="R83" s="44"/>
      <c r="S83" s="44"/>
      <c r="T83" s="44"/>
      <c r="U83" s="44"/>
      <c r="V83" s="44"/>
      <c r="W83" s="44"/>
      <c r="X83" s="44"/>
      <c r="Y83" s="44"/>
      <c r="Z83" s="44"/>
      <c r="AA83" s="44"/>
    </row>
    <row r="84" spans="2:27">
      <c r="B84" s="751"/>
      <c r="C84" s="347" t="s">
        <v>450</v>
      </c>
      <c r="D84" s="449"/>
      <c r="E84" s="472"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4" s="472"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4" s="472"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4" s="472"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4" s="472"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4" s="44"/>
      <c r="K84" s="44"/>
      <c r="L84" s="44"/>
      <c r="M84" s="44"/>
      <c r="N84" s="44"/>
      <c r="O84" s="44"/>
      <c r="P84" s="44"/>
      <c r="Q84" s="44"/>
      <c r="R84" s="44"/>
      <c r="S84" s="44"/>
      <c r="T84" s="44"/>
      <c r="U84" s="44"/>
      <c r="V84" s="44"/>
      <c r="W84" s="44"/>
      <c r="X84" s="44"/>
      <c r="Y84" s="44"/>
      <c r="Z84" s="44"/>
      <c r="AA84" s="44"/>
    </row>
    <row r="85" spans="2:27">
      <c r="B85" s="752"/>
      <c r="C85" s="315"/>
      <c r="D85" s="470" t="s">
        <v>41</v>
      </c>
      <c r="E85" s="471" t="str">
        <f>IFERROR(ROUND(SUM(E48,E59)*(1+E89/E88),2)/E84,"")</f>
        <v/>
      </c>
      <c r="F85" s="471" t="str">
        <f t="shared" ref="F85:I85" si="6">IFERROR(ROUND(SUM(F48,F59)*(1+F89/F88),2)/F84,"")</f>
        <v/>
      </c>
      <c r="G85" s="471" t="str">
        <f t="shared" si="6"/>
        <v/>
      </c>
      <c r="H85" s="471" t="str">
        <f t="shared" si="6"/>
        <v/>
      </c>
      <c r="I85" s="471" t="str">
        <f t="shared" si="6"/>
        <v/>
      </c>
      <c r="J85" s="44"/>
      <c r="K85" s="44"/>
      <c r="L85" s="44"/>
      <c r="M85" s="44"/>
      <c r="N85" s="44"/>
      <c r="O85" s="44"/>
      <c r="P85" s="44"/>
      <c r="Q85" s="44"/>
      <c r="R85" s="44"/>
      <c r="S85" s="44"/>
      <c r="T85" s="44"/>
      <c r="U85" s="44"/>
      <c r="V85" s="44"/>
      <c r="W85" s="44"/>
      <c r="X85" s="44"/>
      <c r="Y85" s="44"/>
      <c r="Z85" s="44"/>
      <c r="AA85" s="44"/>
    </row>
    <row r="86" spans="2:27" ht="3.75" customHeight="1">
      <c r="B86" s="3"/>
      <c r="C86" s="3"/>
      <c r="D86" s="3"/>
      <c r="E86" s="3"/>
      <c r="F86" s="3"/>
      <c r="G86" s="3"/>
      <c r="H86" s="3"/>
      <c r="I86" s="3"/>
      <c r="J86" s="44"/>
      <c r="K86" s="44"/>
      <c r="L86" s="44"/>
      <c r="M86" s="44"/>
      <c r="N86" s="44"/>
      <c r="O86" s="44"/>
      <c r="P86" s="44"/>
      <c r="Q86" s="44"/>
      <c r="R86" s="44"/>
      <c r="S86" s="44"/>
      <c r="T86" s="44"/>
      <c r="U86" s="44"/>
      <c r="V86" s="44"/>
      <c r="W86" s="44"/>
      <c r="X86" s="44"/>
      <c r="Y86" s="44"/>
      <c r="Z86" s="44"/>
      <c r="AA86" s="44"/>
    </row>
    <row r="87" spans="2:27">
      <c r="B87" s="177"/>
      <c r="C87" s="178" t="s">
        <v>421</v>
      </c>
      <c r="D87" s="298"/>
      <c r="E87" s="406"/>
      <c r="F87" s="406"/>
      <c r="G87" s="406"/>
      <c r="H87" s="406"/>
      <c r="I87" s="406"/>
      <c r="J87" s="44"/>
      <c r="K87" s="44"/>
      <c r="L87" s="44"/>
      <c r="M87" s="44"/>
      <c r="N87" s="44"/>
      <c r="O87" s="44"/>
      <c r="P87" s="44"/>
      <c r="Q87" s="44"/>
      <c r="R87" s="44"/>
      <c r="S87" s="44"/>
      <c r="T87" s="44"/>
      <c r="U87" s="44"/>
      <c r="V87" s="44"/>
      <c r="W87" s="44"/>
      <c r="X87" s="44"/>
      <c r="Y87" s="44"/>
      <c r="Z87" s="44"/>
      <c r="AA87" s="44"/>
    </row>
    <row r="88" spans="2:27">
      <c r="B88" s="93" t="s">
        <v>2</v>
      </c>
      <c r="C88" s="94" t="s">
        <v>422</v>
      </c>
      <c r="D88" s="183"/>
      <c r="E88" s="105" t="str">
        <f>IF(E3="","",ROUND(SUM(E59,E48,E34),2))</f>
        <v/>
      </c>
      <c r="F88" s="105" t="str">
        <f>IF(F3="","",ROUND(SUM(F59,F48,F34),2))</f>
        <v/>
      </c>
      <c r="G88" s="105" t="str">
        <f>IF(G3="","",ROUND(SUM(G59,G48,G34),2))</f>
        <v/>
      </c>
      <c r="H88" s="105" t="str">
        <f>IF(H3="","",ROUND(SUM(H59,H48,H34),2))</f>
        <v/>
      </c>
      <c r="I88" s="105" t="str">
        <f>IF(I3="","",ROUND(SUM(I59,I48,I34),2))</f>
        <v/>
      </c>
      <c r="J88" s="44"/>
      <c r="K88" s="44"/>
      <c r="L88" s="44"/>
      <c r="M88" s="44"/>
      <c r="N88" s="44"/>
      <c r="O88" s="44"/>
      <c r="P88" s="44"/>
      <c r="Q88" s="44"/>
      <c r="R88" s="44"/>
      <c r="S88" s="44"/>
      <c r="T88" s="44"/>
      <c r="U88" s="44"/>
      <c r="V88" s="44"/>
      <c r="W88" s="44"/>
      <c r="X88" s="44"/>
      <c r="Y88" s="44"/>
      <c r="Z88" s="44"/>
      <c r="AA88" s="44"/>
    </row>
    <row r="89" spans="2:27">
      <c r="B89" s="93" t="s">
        <v>1</v>
      </c>
      <c r="C89" s="94" t="s">
        <v>377</v>
      </c>
      <c r="D89" s="183"/>
      <c r="E89" s="105" t="str">
        <f>IFERROR(ROUND(E77,2),"")</f>
        <v/>
      </c>
      <c r="F89" s="105" t="str">
        <f t="shared" ref="F89:I89" si="7">IFERROR(ROUND(F77,2),"")</f>
        <v/>
      </c>
      <c r="G89" s="105" t="str">
        <f t="shared" si="7"/>
        <v/>
      </c>
      <c r="H89" s="105" t="str">
        <f t="shared" si="7"/>
        <v/>
      </c>
      <c r="I89" s="105" t="str">
        <f t="shared" si="7"/>
        <v/>
      </c>
      <c r="J89" s="44"/>
      <c r="K89" s="44"/>
      <c r="L89" s="44"/>
      <c r="M89" s="44"/>
      <c r="N89" s="44"/>
      <c r="O89" s="44"/>
      <c r="P89" s="44"/>
      <c r="Q89" s="44"/>
      <c r="R89" s="44"/>
      <c r="S89" s="44"/>
      <c r="T89" s="44"/>
      <c r="U89" s="44"/>
      <c r="V89" s="44"/>
      <c r="W89" s="44"/>
      <c r="X89" s="44"/>
      <c r="Y89" s="44"/>
      <c r="Z89" s="44"/>
      <c r="AA89" s="44"/>
    </row>
    <row r="90" spans="2:27">
      <c r="B90" s="93" t="s">
        <v>0</v>
      </c>
      <c r="C90" s="94" t="s">
        <v>378</v>
      </c>
      <c r="D90" s="183"/>
      <c r="E90" s="105" t="str">
        <f>IF(E3="","",IFERROR(SUM(E88:E89),2))</f>
        <v/>
      </c>
      <c r="F90" s="105" t="str">
        <f>IF(F3="","",IFERROR(SUM(F88:F89),2))</f>
        <v/>
      </c>
      <c r="G90" s="105" t="str">
        <f>IF(G3="","",IFERROR(SUM(G88:G89),2))</f>
        <v/>
      </c>
      <c r="H90" s="105" t="str">
        <f>IF(H3="","",IFERROR(SUM(H88:H89),2))</f>
        <v/>
      </c>
      <c r="I90" s="105" t="str">
        <f>IF(I3="","",IFERROR(SUM(I88:I89),2))</f>
        <v/>
      </c>
      <c r="J90" s="44"/>
      <c r="K90" s="44"/>
      <c r="L90" s="44"/>
      <c r="M90" s="44"/>
      <c r="N90" s="44"/>
      <c r="O90" s="44"/>
      <c r="P90" s="44"/>
      <c r="Q90" s="44"/>
      <c r="R90" s="44"/>
      <c r="S90" s="44"/>
      <c r="T90" s="44"/>
      <c r="U90" s="44"/>
      <c r="V90" s="44"/>
      <c r="W90" s="44"/>
      <c r="X90" s="44"/>
      <c r="Y90" s="44"/>
      <c r="Z90" s="44"/>
      <c r="AA90" s="44"/>
    </row>
    <row r="91" spans="2:27" ht="3.75" customHeight="1">
      <c r="B91" s="3"/>
      <c r="C91" s="3"/>
      <c r="D91" s="3"/>
      <c r="E91" s="3"/>
      <c r="F91" s="3"/>
      <c r="G91" s="3"/>
      <c r="H91" s="3"/>
      <c r="I91" s="3"/>
      <c r="J91" s="44"/>
      <c r="K91" s="44"/>
      <c r="L91" s="44"/>
      <c r="M91" s="44"/>
      <c r="N91" s="44"/>
      <c r="O91" s="44"/>
      <c r="P91" s="44"/>
      <c r="Q91" s="44"/>
      <c r="R91" s="44"/>
      <c r="S91" s="44"/>
      <c r="T91" s="44"/>
      <c r="U91" s="44"/>
      <c r="V91" s="44"/>
      <c r="W91" s="44"/>
      <c r="X91" s="44"/>
      <c r="Y91" s="44"/>
      <c r="Z91" s="44"/>
      <c r="AA91" s="44"/>
    </row>
    <row r="92" spans="2:27">
      <c r="B92" s="177"/>
      <c r="C92" s="178" t="s">
        <v>420</v>
      </c>
      <c r="D92" s="298"/>
      <c r="E92" s="406"/>
      <c r="F92" s="406"/>
      <c r="G92" s="406"/>
      <c r="H92" s="406"/>
      <c r="I92" s="406"/>
      <c r="J92" s="44"/>
      <c r="K92" s="44"/>
      <c r="L92" s="44"/>
      <c r="M92" s="44"/>
      <c r="N92" s="44"/>
      <c r="O92" s="44"/>
      <c r="P92" s="44"/>
      <c r="Q92" s="44"/>
      <c r="R92" s="44"/>
      <c r="S92" s="44"/>
      <c r="T92" s="44"/>
      <c r="U92" s="44"/>
      <c r="V92" s="44"/>
      <c r="W92" s="44"/>
      <c r="X92" s="44"/>
      <c r="Y92" s="44"/>
      <c r="Z92" s="44"/>
      <c r="AA92" s="44"/>
    </row>
    <row r="93" spans="2:27">
      <c r="B93" s="93" t="s">
        <v>2</v>
      </c>
      <c r="C93" s="94" t="s">
        <v>422</v>
      </c>
      <c r="D93" s="183"/>
      <c r="E93" s="105" t="str">
        <f>IF(E$3="","",ROUND(E88*E$4,2))</f>
        <v/>
      </c>
      <c r="F93" s="105" t="str">
        <f t="shared" ref="F93:I93" si="8">IF(F$3="","",ROUND(F88*F$4,2))</f>
        <v/>
      </c>
      <c r="G93" s="105" t="str">
        <f t="shared" si="8"/>
        <v/>
      </c>
      <c r="H93" s="105" t="str">
        <f t="shared" si="8"/>
        <v/>
      </c>
      <c r="I93" s="105" t="str">
        <f t="shared" si="8"/>
        <v/>
      </c>
      <c r="J93" s="44"/>
      <c r="K93" s="44"/>
      <c r="L93" s="44"/>
      <c r="M93" s="44"/>
      <c r="N93" s="44"/>
      <c r="O93" s="44"/>
      <c r="P93" s="44"/>
      <c r="Q93" s="44"/>
      <c r="R93" s="44"/>
      <c r="S93" s="44"/>
      <c r="T93" s="44"/>
      <c r="U93" s="44"/>
      <c r="V93" s="44"/>
      <c r="W93" s="44"/>
      <c r="X93" s="44"/>
      <c r="Y93" s="44"/>
      <c r="Z93" s="44"/>
      <c r="AA93" s="44"/>
    </row>
    <row r="94" spans="2:27">
      <c r="B94" s="93" t="s">
        <v>1</v>
      </c>
      <c r="C94" s="94" t="s">
        <v>377</v>
      </c>
      <c r="D94" s="183"/>
      <c r="E94" s="105" t="str">
        <f>IF(E$3="","",ROUND(E89*E$4,2))</f>
        <v/>
      </c>
      <c r="F94" s="105" t="str">
        <f t="shared" ref="F94:I94" si="9">IF(F$3="","",ROUND(F89*F$4,2))</f>
        <v/>
      </c>
      <c r="G94" s="105" t="str">
        <f t="shared" si="9"/>
        <v/>
      </c>
      <c r="H94" s="105" t="str">
        <f t="shared" si="9"/>
        <v/>
      </c>
      <c r="I94" s="105" t="str">
        <f t="shared" si="9"/>
        <v/>
      </c>
      <c r="J94" s="44"/>
      <c r="K94" s="44"/>
      <c r="L94" s="44"/>
      <c r="M94" s="44"/>
      <c r="N94" s="44"/>
      <c r="O94" s="44"/>
      <c r="P94" s="44"/>
      <c r="Q94" s="44"/>
      <c r="R94" s="44"/>
      <c r="S94" s="44"/>
      <c r="T94" s="44"/>
      <c r="U94" s="44"/>
      <c r="V94" s="44"/>
      <c r="W94" s="44"/>
      <c r="X94" s="44"/>
      <c r="Y94" s="44"/>
      <c r="Z94" s="44"/>
      <c r="AA94" s="44"/>
    </row>
    <row r="95" spans="2:27">
      <c r="B95" s="93" t="s">
        <v>0</v>
      </c>
      <c r="C95" s="94" t="s">
        <v>378</v>
      </c>
      <c r="D95" s="183"/>
      <c r="E95" s="105" t="str">
        <f>IF(E$3="","",ROUND(E90*E$4,2))</f>
        <v/>
      </c>
      <c r="F95" s="105" t="str">
        <f t="shared" ref="F95:I95" si="10">IF(F$3="","",ROUND(F90*F$4,2))</f>
        <v/>
      </c>
      <c r="G95" s="105" t="str">
        <f t="shared" si="10"/>
        <v/>
      </c>
      <c r="H95" s="105" t="str">
        <f t="shared" si="10"/>
        <v/>
      </c>
      <c r="I95" s="105" t="str">
        <f t="shared" si="10"/>
        <v/>
      </c>
      <c r="J95" s="44"/>
      <c r="K95" s="44"/>
      <c r="L95" s="44"/>
      <c r="M95" s="44"/>
      <c r="N95" s="44"/>
      <c r="O95" s="44"/>
      <c r="P95" s="44"/>
      <c r="Q95" s="44"/>
      <c r="R95" s="44"/>
      <c r="S95" s="44"/>
      <c r="T95" s="44"/>
      <c r="U95" s="44"/>
      <c r="V95" s="44"/>
      <c r="W95" s="44"/>
      <c r="X95" s="44"/>
      <c r="Y95" s="44"/>
      <c r="Z95" s="44"/>
      <c r="AA95" s="44"/>
    </row>
    <row r="96" spans="2:27">
      <c r="B96" s="93" t="s">
        <v>3</v>
      </c>
      <c r="C96" s="94" t="s">
        <v>381</v>
      </c>
      <c r="D96" s="183"/>
      <c r="E96" s="105" t="str">
        <f>IF(E3="","",IFERROR(ROUND(E95*Proposta!$J$6,2),""))</f>
        <v/>
      </c>
      <c r="F96" s="105" t="str">
        <f>IF(F3="","",IFERROR(ROUND(F95*Proposta!$J$6,2),""))</f>
        <v/>
      </c>
      <c r="G96" s="105" t="str">
        <f>IF(G3="","",IFERROR(ROUND(G95*Proposta!$J$6,2),""))</f>
        <v/>
      </c>
      <c r="H96" s="105" t="str">
        <f>IF(H3="","",IFERROR(ROUND(H95*Proposta!$J$6,2),""))</f>
        <v/>
      </c>
      <c r="I96" s="105" t="str">
        <f>IF(I3="","",IFERROR(ROUND(I95*Proposta!$J$6,2),""))</f>
        <v/>
      </c>
      <c r="J96" s="44"/>
      <c r="K96" s="44"/>
      <c r="L96" s="44"/>
      <c r="M96" s="44"/>
      <c r="N96" s="44"/>
      <c r="O96" s="44"/>
      <c r="P96" s="44"/>
      <c r="Q96" s="44"/>
      <c r="R96" s="44"/>
      <c r="S96" s="44"/>
      <c r="T96" s="44"/>
      <c r="U96" s="44"/>
      <c r="V96" s="44"/>
      <c r="W96" s="44"/>
      <c r="X96" s="44"/>
      <c r="Y96" s="44"/>
      <c r="Z96" s="44"/>
      <c r="AA96" s="44"/>
    </row>
  </sheetData>
  <sheetProtection algorithmName="SHA-512" hashValue="R8h7Bqk+odC/y8GwFZn75KqXIlU3Kau2LTNgsJb7liksh2BXN2M2T9ibBn+JL5uWoBYVtmXlmn8cV4WIJc2UTQ==" saltValue="eFHxwAzKo5nV0BwV2ryspA==" spinCount="100000" sheet="1" objects="1" scenarios="1" formatColumns="0"/>
  <mergeCells count="11">
    <mergeCell ref="B83:B85"/>
    <mergeCell ref="B71:B73"/>
    <mergeCell ref="B44:B47"/>
    <mergeCell ref="B51:B54"/>
    <mergeCell ref="B27:B33"/>
    <mergeCell ref="B55:B58"/>
    <mergeCell ref="B8:B12"/>
    <mergeCell ref="B18:B21"/>
    <mergeCell ref="B13:B17"/>
    <mergeCell ref="B22:B26"/>
    <mergeCell ref="B39:B42"/>
  </mergeCells>
  <dataValidations count="2">
    <dataValidation type="list" allowBlank="1" showInputMessage="1" showErrorMessage="1" sqref="E10:I10">
      <formula1>"Etanol,Gasolina,Diesel,Elétrico"</formula1>
    </dataValidation>
    <dataValidation showInputMessage="1" sqref="D73 D54:D56 D85 D58"/>
  </dataValidations>
  <pageMargins left="0.511811024" right="0.511811024" top="0.78740157499999996" bottom="0.78740157499999996" header="0.31496062000000002" footer="0.3149606200000000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A1:BB221"/>
  <sheetViews>
    <sheetView showGridLines="0"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301" customWidth="1"/>
    <col min="11" max="11" width="12" style="301" hidden="1" customWidth="1"/>
    <col min="12" max="12" width="15.140625" style="301" bestFit="1" customWidth="1"/>
    <col min="13" max="13" width="16" style="301" customWidth="1"/>
    <col min="14" max="14" width="15.140625" style="301" customWidth="1"/>
    <col min="15" max="15" width="15.7109375" style="301" bestFit="1" customWidth="1"/>
    <col min="16" max="16" width="9.140625" style="301"/>
    <col min="17" max="17" width="12.42578125" style="301" bestFit="1" customWidth="1"/>
    <col min="18" max="18" width="12.85546875" style="301" customWidth="1"/>
    <col min="19" max="53" width="9.140625" style="301"/>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66" t="str">
        <f>CONCATENATE("PREFEITURA MUNICIPAL DE PORTO ALEGRE
",D5,"
FORMAÇÃO DE PREÇOS DE REFERÊNCIA - CESSÃO DE MÃO DE OBRA")</f>
        <v>PREFEITURA MUNICIPAL DE PORTO ALEGRE
FORMAÇÃO DE PREÇOS DE REFERÊNCIA - CESSÃO DE MÃO DE OBRA</v>
      </c>
      <c r="B2" s="767"/>
      <c r="C2" s="767"/>
      <c r="D2" s="767"/>
      <c r="E2" s="767"/>
      <c r="F2" s="767"/>
      <c r="G2" s="767"/>
      <c r="H2" s="767"/>
      <c r="I2" s="768"/>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770"/>
      <c r="E5" s="770"/>
      <c r="F5" s="1"/>
      <c r="G5" s="51"/>
      <c r="H5" s="52">
        <v>3</v>
      </c>
      <c r="I5" s="1"/>
      <c r="J5" s="44"/>
      <c r="K5" s="44"/>
      <c r="L5" s="301"/>
      <c r="M5" s="301"/>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771"/>
      <c r="E6" s="771"/>
      <c r="F6" s="1"/>
      <c r="G6" s="22"/>
      <c r="H6" s="75"/>
      <c r="I6" s="1"/>
      <c r="J6" s="44"/>
      <c r="K6" s="44"/>
      <c r="L6" s="301"/>
      <c r="M6" s="301"/>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771"/>
      <c r="E7" s="771"/>
      <c r="F7" s="1"/>
      <c r="G7" s="22"/>
      <c r="H7" s="75"/>
      <c r="I7" s="1"/>
      <c r="J7" s="44"/>
      <c r="K7" s="44"/>
      <c r="L7" s="301"/>
      <c r="M7" s="301"/>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770"/>
      <c r="E8" s="770"/>
      <c r="F8" s="1"/>
      <c r="G8" s="76"/>
      <c r="H8" s="75"/>
      <c r="I8" s="1"/>
      <c r="J8" s="44"/>
      <c r="K8" s="44"/>
      <c r="L8" s="301"/>
      <c r="M8" s="301"/>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769"/>
      <c r="E9" s="769"/>
      <c r="F9" s="1"/>
      <c r="J9" s="44"/>
      <c r="K9" s="44"/>
      <c r="L9" s="301"/>
      <c r="M9" s="301"/>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757"/>
      <c r="E10" s="757"/>
      <c r="F10" s="1"/>
      <c r="G10" s="1"/>
      <c r="I10" s="1"/>
      <c r="J10" s="44"/>
      <c r="K10" s="44"/>
      <c r="L10" s="301"/>
      <c r="M10" s="301"/>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58"/>
      <c r="E11" s="758"/>
      <c r="F11" s="1"/>
      <c r="G11" s="1"/>
      <c r="I11" s="1"/>
      <c r="J11" s="44"/>
      <c r="K11" s="44"/>
      <c r="L11" s="301"/>
      <c r="M11" s="301"/>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759">
        <f>'Mão de Obra'!D12</f>
        <v>12</v>
      </c>
      <c r="E12" s="759"/>
      <c r="F12" s="1"/>
      <c r="G12" s="1"/>
      <c r="J12" s="44"/>
      <c r="K12" s="44"/>
      <c r="L12" s="301"/>
      <c r="M12" s="301"/>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58" t="s">
        <v>59</v>
      </c>
      <c r="E13" s="758"/>
    </row>
    <row r="14" spans="1:53">
      <c r="B14" s="122" t="s">
        <v>140</v>
      </c>
      <c r="C14" s="123" t="s">
        <v>267</v>
      </c>
      <c r="D14" s="760"/>
      <c r="E14" s="760"/>
    </row>
    <row r="15" spans="1:53">
      <c r="B15" s="122" t="s">
        <v>229</v>
      </c>
      <c r="C15" s="123" t="s">
        <v>316</v>
      </c>
      <c r="D15" s="761">
        <f>'Mão de Obra'!D15:E15</f>
        <v>1621</v>
      </c>
      <c r="E15" s="762"/>
    </row>
    <row r="16" spans="1:53">
      <c r="A16" s="46"/>
      <c r="B16" s="310"/>
      <c r="C16" s="311"/>
      <c r="D16" s="312"/>
      <c r="E16" s="311"/>
      <c r="F16" s="131"/>
      <c r="G16" s="131"/>
      <c r="H16" s="131"/>
      <c r="I16" s="131"/>
    </row>
    <row r="17" spans="1:53" s="12" customFormat="1">
      <c r="A17" s="77"/>
      <c r="B17" s="95"/>
      <c r="C17" s="96" t="s">
        <v>579</v>
      </c>
      <c r="D17" s="132"/>
      <c r="E17" s="399" t="s">
        <v>367</v>
      </c>
      <c r="F17" s="399" t="s">
        <v>368</v>
      </c>
      <c r="G17" s="399" t="s">
        <v>369</v>
      </c>
      <c r="H17" s="399" t="s">
        <v>370</v>
      </c>
      <c r="I17" s="399" t="str">
        <f>CONCATENATE("Posto ",CHAR(COLUMN()+60))</f>
        <v>Posto E</v>
      </c>
      <c r="J17" s="299"/>
      <c r="K17" s="299"/>
      <c r="L17" s="299"/>
      <c r="M17" s="299"/>
      <c r="N17" s="299"/>
      <c r="O17" s="299"/>
      <c r="P17" s="299"/>
      <c r="Q17" s="299"/>
      <c r="R17" s="299"/>
      <c r="S17" s="299"/>
      <c r="T17" s="299"/>
      <c r="U17" s="299"/>
      <c r="V17" s="299"/>
      <c r="W17" s="299"/>
      <c r="X17" s="299"/>
      <c r="Y17" s="299"/>
      <c r="Z17" s="299"/>
      <c r="AA17" s="299"/>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row>
    <row r="18" spans="1:53" s="67" customFormat="1" ht="30">
      <c r="A18" s="110"/>
      <c r="B18" s="120" t="s">
        <v>2</v>
      </c>
      <c r="C18" s="128" t="s">
        <v>270</v>
      </c>
      <c r="D18" s="125"/>
      <c r="E18" s="113" t="s">
        <v>298</v>
      </c>
      <c r="F18" s="113" t="s">
        <v>298</v>
      </c>
      <c r="G18" s="113" t="s">
        <v>305</v>
      </c>
      <c r="H18" s="113" t="s">
        <v>305</v>
      </c>
      <c r="I18" s="113"/>
      <c r="J18" s="300"/>
      <c r="K18" s="300"/>
      <c r="L18" s="300"/>
      <c r="M18" s="300"/>
      <c r="N18" s="300"/>
      <c r="O18" s="300"/>
      <c r="P18" s="300"/>
      <c r="Q18" s="300"/>
      <c r="R18" s="300"/>
      <c r="S18" s="300"/>
      <c r="T18" s="300"/>
      <c r="U18" s="300"/>
      <c r="V18" s="300"/>
      <c r="W18" s="300"/>
      <c r="X18" s="300"/>
      <c r="Y18" s="300"/>
      <c r="Z18" s="300"/>
      <c r="AA18" s="300"/>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row>
    <row r="19" spans="1:53" customFormat="1">
      <c r="A19" s="726"/>
      <c r="B19" s="727" t="s">
        <v>1</v>
      </c>
      <c r="C19" s="728" t="s">
        <v>586</v>
      </c>
      <c r="D19" s="729"/>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f>IFERROR(VLOOKUP(G$18,'Apoio - Posto'!$A:$J,2,FALSE),"")</f>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9" t="str">
        <f>IFERROR(VLOOKUP(E$18,'Apoio - Posto'!$A:$J,3,FALSE),"")</f>
        <v>SINDASSEIO</v>
      </c>
      <c r="F23" s="509" t="str">
        <f>IFERROR(VLOOKUP(F$18,'Apoio - Posto'!$A:$J,3,FALSE),"")</f>
        <v>SINDASSEIO</v>
      </c>
      <c r="G23" s="509" t="str">
        <f>IFERROR(VLOOKUP(G$18,'Apoio - Posto'!$A:$J,3,FALSE),"")</f>
        <v>SINDASSEIO</v>
      </c>
      <c r="H23" s="509"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503" t="str">
        <f>IFERROR(VLOOKUP(E$18,'Apoio - Posto'!$A:$J,4,FALSE),"")</f>
        <v>RS000040/2025</v>
      </c>
      <c r="F25" s="503" t="str">
        <f>IFERROR(VLOOKUP(F$18,'Apoio - Posto'!$A:$J,4,FALSE),"")</f>
        <v>RS000040/2025</v>
      </c>
      <c r="G25" s="503" t="str">
        <f>IFERROR(VLOOKUP(G$18,'Apoio - Posto'!$A:$J,4,FALSE),"")</f>
        <v>RS000040/2025</v>
      </c>
      <c r="H25" s="503"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489</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490</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9"/>
      <c r="F31" s="379"/>
      <c r="G31" s="379"/>
      <c r="H31" s="379"/>
      <c r="I31" s="379"/>
      <c r="J31" s="299"/>
      <c r="K31" s="299"/>
      <c r="L31" s="299"/>
      <c r="M31" s="299"/>
      <c r="N31" s="299"/>
      <c r="O31" s="299"/>
      <c r="P31" s="299"/>
      <c r="Q31" s="299"/>
      <c r="R31" s="299"/>
      <c r="S31" s="299"/>
      <c r="T31" s="299"/>
      <c r="U31" s="299"/>
      <c r="V31" s="299"/>
      <c r="W31" s="299"/>
      <c r="X31" s="299"/>
      <c r="Y31" s="299"/>
      <c r="Z31" s="299"/>
      <c r="AA31" s="299"/>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63" t="s">
        <v>1</v>
      </c>
      <c r="C33" s="232" t="s">
        <v>185</v>
      </c>
      <c r="D33" s="176"/>
      <c r="E33" s="250"/>
      <c r="F33" s="250"/>
      <c r="G33" s="250"/>
      <c r="H33" s="250"/>
      <c r="I33" s="250"/>
    </row>
    <row r="34" spans="1:9">
      <c r="A34" s="92"/>
      <c r="B34" s="764"/>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65"/>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51" t="s">
        <v>0</v>
      </c>
      <c r="C36" s="230" t="s">
        <v>186</v>
      </c>
      <c r="D36" s="231"/>
      <c r="E36" s="241"/>
      <c r="F36" s="241"/>
      <c r="G36" s="241"/>
      <c r="H36" s="241"/>
      <c r="I36" s="241"/>
    </row>
    <row r="37" spans="1:9">
      <c r="A37" s="92"/>
      <c r="B37" s="751"/>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51"/>
      <c r="C38" s="109" t="s">
        <v>91</v>
      </c>
      <c r="D38" s="99"/>
      <c r="E38" s="253">
        <v>0.4</v>
      </c>
      <c r="F38" s="253">
        <v>0.2</v>
      </c>
      <c r="G38" s="253"/>
      <c r="H38" s="253"/>
      <c r="I38" s="253" t="str">
        <f>IFERROR(VLOOKUP(I$18,'Apoio - Posto'!$A:$AA,13,FALSE),"")</f>
        <v/>
      </c>
    </row>
    <row r="39" spans="1:9">
      <c r="A39" s="92"/>
      <c r="B39" s="752"/>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63" t="s">
        <v>3</v>
      </c>
      <c r="C40" s="232" t="s">
        <v>81</v>
      </c>
      <c r="D40" s="147"/>
      <c r="E40" s="242"/>
      <c r="F40" s="242"/>
      <c r="G40" s="242"/>
      <c r="H40" s="242"/>
      <c r="I40" s="242"/>
    </row>
    <row r="41" spans="1:9">
      <c r="A41" s="237"/>
      <c r="B41" s="764"/>
      <c r="C41" s="238" t="s">
        <v>91</v>
      </c>
      <c r="D41" s="148"/>
      <c r="E41" s="239"/>
      <c r="F41" s="239">
        <v>0.2</v>
      </c>
      <c r="G41" s="239"/>
      <c r="H41" s="239">
        <v>0.2</v>
      </c>
      <c r="I41" s="239"/>
    </row>
    <row r="42" spans="1:9">
      <c r="A42" s="237"/>
      <c r="B42" s="765"/>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51" t="s">
        <v>7</v>
      </c>
      <c r="C43" s="236" t="s">
        <v>60</v>
      </c>
      <c r="D43" s="235"/>
      <c r="E43" s="243"/>
      <c r="F43" s="243"/>
      <c r="G43" s="243"/>
      <c r="H43" s="243"/>
      <c r="I43" s="243"/>
    </row>
    <row r="44" spans="1:9">
      <c r="A44" s="92"/>
      <c r="B44" s="751"/>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51"/>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52"/>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753" t="s">
        <v>6</v>
      </c>
      <c r="C47" s="141" t="s">
        <v>139</v>
      </c>
      <c r="D47" s="147"/>
      <c r="E47" s="244"/>
      <c r="F47" s="244"/>
      <c r="G47" s="244"/>
      <c r="H47" s="244"/>
      <c r="I47" s="244"/>
    </row>
    <row r="48" spans="1:9">
      <c r="A48" s="136"/>
      <c r="B48" s="754"/>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755"/>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50" t="s">
        <v>5</v>
      </c>
      <c r="C50" s="166" t="s">
        <v>149</v>
      </c>
      <c r="D50" s="147"/>
      <c r="E50" s="242"/>
      <c r="F50" s="242"/>
      <c r="G50" s="242"/>
      <c r="H50" s="242"/>
      <c r="I50" s="242"/>
    </row>
    <row r="51" spans="1:53">
      <c r="A51" s="92"/>
      <c r="B51" s="751"/>
      <c r="C51" s="108" t="s">
        <v>91</v>
      </c>
      <c r="D51" s="164"/>
      <c r="E51" s="165"/>
      <c r="F51" s="165"/>
      <c r="G51" s="165"/>
      <c r="H51" s="165"/>
      <c r="I51" s="165"/>
    </row>
    <row r="52" spans="1:53">
      <c r="A52" s="92"/>
      <c r="B52" s="751"/>
      <c r="C52" s="109" t="s">
        <v>20</v>
      </c>
      <c r="D52" s="149"/>
      <c r="E52" s="156"/>
      <c r="F52" s="156"/>
      <c r="G52" s="156"/>
      <c r="H52" s="156"/>
      <c r="I52" s="156"/>
    </row>
    <row r="53" spans="1:53">
      <c r="A53" s="92"/>
      <c r="B53" s="752"/>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753" t="s">
        <v>4</v>
      </c>
      <c r="C54" s="141" t="s">
        <v>82</v>
      </c>
      <c r="D54" s="147"/>
      <c r="E54" s="245"/>
      <c r="F54" s="245"/>
      <c r="G54" s="245"/>
      <c r="H54" s="245"/>
      <c r="I54" s="245"/>
    </row>
    <row r="55" spans="1:53">
      <c r="A55" s="92"/>
      <c r="B55" s="754"/>
      <c r="C55" s="142" t="s">
        <v>84</v>
      </c>
      <c r="D55" s="148"/>
      <c r="E55" s="430">
        <f>IF(E18="","",IFERROR(SUM(E$46,E49)*20%,""))</f>
        <v>0</v>
      </c>
      <c r="F55" s="430">
        <f>IF(F18="","",IFERROR(SUM(F$46,F49)*20%,""))</f>
        <v>0</v>
      </c>
      <c r="G55" s="430">
        <f>IF(G18="","",IFERROR(SUM(G$46,G49)*20%,""))</f>
        <v>0</v>
      </c>
      <c r="H55" s="430">
        <f>IF(H18="","",IFERROR(SUM(H$46,H49)*20%,""))</f>
        <v>0</v>
      </c>
      <c r="I55" s="167" t="str">
        <f>IF(I18="","",IFERROR(ROUND(SUM(I$46,I49)*20%,2),""))</f>
        <v/>
      </c>
    </row>
    <row r="56" spans="1:53">
      <c r="A56" s="92"/>
      <c r="B56" s="754"/>
      <c r="C56" s="168" t="s">
        <v>83</v>
      </c>
      <c r="D56" s="150" t="s">
        <v>323</v>
      </c>
      <c r="E56" s="431">
        <f>IFERROR(IF(E18="","",IF(D56="Não",0,E53*20%)),"")</f>
        <v>0</v>
      </c>
      <c r="F56" s="431">
        <f>IFERROR(IF(F18="","",IF(E56="Não",0,F53*20%)),"")</f>
        <v>0</v>
      </c>
      <c r="G56" s="431">
        <f>IFERROR(IF(G18="","",IF(F56="Não",0,G53*20%)),"")</f>
        <v>0</v>
      </c>
      <c r="H56" s="431">
        <f>IFERROR(IF(H18="","",IF(G56="Não",0,H53*20%)),"")</f>
        <v>0</v>
      </c>
      <c r="I56" s="157" t="str">
        <f>IFERROR(IF(I18="","",IF(H56="Não",0,ROUND(I53*20%,2))),"")</f>
        <v/>
      </c>
    </row>
    <row r="57" spans="1:53">
      <c r="A57" s="92"/>
      <c r="B57" s="754"/>
      <c r="C57" s="168" t="s">
        <v>138</v>
      </c>
      <c r="D57" s="150"/>
      <c r="E57" s="431">
        <f>IF(E21="","",IFERROR(E$59*20%,""))</f>
        <v>0</v>
      </c>
      <c r="F57" s="431">
        <f>IF(F21="","",IFERROR(F$59*20%,""))</f>
        <v>0</v>
      </c>
      <c r="G57" s="431">
        <f>IF(G21="","",IFERROR(G$59*20%,""))</f>
        <v>0</v>
      </c>
      <c r="H57" s="431">
        <f>IF(H21="","",IFERROR(H$59*20%,""))</f>
        <v>0</v>
      </c>
      <c r="I57" s="393" t="str">
        <f>IF(I21="","",IFERROR(ROUND(I$59*20%,2),""))</f>
        <v/>
      </c>
    </row>
    <row r="58" spans="1:53">
      <c r="A58" s="92"/>
      <c r="B58" s="755"/>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4">
        <f>IFERROR(IFERROR(VLOOKUP(E$18,'Apoio - Posto'!$A:$AA,12,FALSE),"")*VLOOKUP(E26,'Apoio - Regime de Trabalho'!$A:$I,7,FALSE),"")</f>
        <v>0</v>
      </c>
      <c r="F59" s="264">
        <f>IFERROR(IFERROR(VLOOKUP(F$18,'Apoio - Posto'!$A:$AA,12,FALSE),"")*VLOOKUP(F26,'Apoio - Regime de Trabalho'!$A:$I,7,FALSE),"")</f>
        <v>0</v>
      </c>
      <c r="G59" s="264">
        <f>IFERROR(IFERROR(VLOOKUP(G$18,'Apoio - Posto'!$A:$AA,12,FALSE),"")*VLOOKUP(G26,'Apoio - Regime de Trabalho'!$A:$I,7,FALSE),"")</f>
        <v>0</v>
      </c>
      <c r="H59" s="264">
        <f>IFERROR(IFERROR(VLOOKUP(H$18,'Apoio - Posto'!$A:$AA,12,FALSE),"")*VLOOKUP(H26,'Apoio - Regime de Trabalho'!$A:$I,7,FALSE),"")</f>
        <v>0</v>
      </c>
      <c r="I59" s="264" t="str">
        <f>IFERROR(IFERROR(VLOOKUP(I$18,'Apoio - Posto'!$A:$AA,12,FALSE),"")*VLOOKUP(I26,'Apoio - Regime de Trabalho'!$A:$I,7,FALSE),"")</f>
        <v/>
      </c>
    </row>
    <row r="60" spans="1:53">
      <c r="A60" s="139"/>
      <c r="B60" s="140" t="s">
        <v>140</v>
      </c>
      <c r="C60" s="451" t="s">
        <v>173</v>
      </c>
      <c r="D60" s="452"/>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5"/>
      <c r="K61" s="302"/>
      <c r="L61" s="302"/>
      <c r="M61" s="302"/>
      <c r="N61" s="302"/>
      <c r="O61" s="302"/>
      <c r="P61" s="302"/>
      <c r="Q61" s="302"/>
      <c r="R61" s="302"/>
      <c r="S61" s="302"/>
      <c r="T61" s="302"/>
      <c r="U61" s="302"/>
      <c r="V61" s="302"/>
      <c r="W61" s="302"/>
      <c r="X61" s="302"/>
      <c r="Y61" s="302"/>
      <c r="Z61" s="302"/>
      <c r="AA61" s="302"/>
      <c r="AB61" s="302"/>
      <c r="AC61" s="302"/>
      <c r="AD61" s="302"/>
      <c r="AE61" s="302"/>
      <c r="AF61" s="302"/>
      <c r="AG61" s="302"/>
      <c r="AH61" s="302"/>
      <c r="AI61" s="302"/>
      <c r="AJ61" s="302"/>
      <c r="AK61" s="302"/>
      <c r="AL61" s="302"/>
      <c r="AM61" s="302"/>
      <c r="AN61" s="302"/>
      <c r="AO61" s="302"/>
      <c r="AP61" s="302"/>
      <c r="AQ61" s="302"/>
      <c r="AR61" s="302"/>
      <c r="AS61" s="302"/>
      <c r="AT61" s="302"/>
      <c r="AU61" s="302"/>
      <c r="AV61" s="302"/>
      <c r="AW61" s="302"/>
      <c r="AX61" s="302"/>
      <c r="AY61" s="302"/>
      <c r="AZ61" s="302"/>
      <c r="BA61" s="302"/>
    </row>
    <row r="62" spans="1:53" s="17" customFormat="1">
      <c r="A62" s="20"/>
      <c r="D62" s="14"/>
      <c r="E62" s="21"/>
      <c r="F62" s="21"/>
      <c r="G62" s="21"/>
      <c r="H62" s="21"/>
      <c r="I62" s="21"/>
      <c r="J62" s="303"/>
      <c r="K62" s="303"/>
      <c r="L62" s="303"/>
      <c r="M62" s="303"/>
      <c r="N62" s="303"/>
      <c r="O62" s="303"/>
      <c r="P62" s="303"/>
      <c r="Q62" s="303"/>
      <c r="R62" s="303"/>
      <c r="S62" s="303"/>
      <c r="T62" s="303"/>
      <c r="U62" s="303"/>
      <c r="V62" s="303"/>
      <c r="W62" s="303"/>
      <c r="X62" s="303"/>
      <c r="Y62" s="303"/>
      <c r="Z62" s="303"/>
      <c r="AA62" s="303"/>
      <c r="AB62" s="303"/>
      <c r="AC62" s="303"/>
      <c r="AD62" s="303"/>
      <c r="AE62" s="303"/>
      <c r="AF62" s="303"/>
      <c r="AG62" s="303"/>
      <c r="AH62" s="303"/>
      <c r="AI62" s="303"/>
      <c r="AJ62" s="303"/>
      <c r="AK62" s="303"/>
      <c r="AL62" s="303"/>
      <c r="AM62" s="303"/>
      <c r="AN62" s="303"/>
      <c r="AO62" s="303"/>
      <c r="AP62" s="303"/>
      <c r="AQ62" s="303"/>
      <c r="AR62" s="303"/>
      <c r="AS62" s="303"/>
      <c r="AT62" s="303"/>
      <c r="AU62" s="303"/>
      <c r="AV62" s="303"/>
      <c r="AW62" s="303"/>
      <c r="AX62" s="303"/>
      <c r="AY62" s="303"/>
      <c r="AZ62" s="303"/>
      <c r="BA62" s="303"/>
    </row>
    <row r="63" spans="1:53" s="6" customFormat="1">
      <c r="A63" s="80"/>
      <c r="B63" s="95"/>
      <c r="C63" s="96" t="s">
        <v>124</v>
      </c>
      <c r="D63" s="97"/>
      <c r="E63" s="379"/>
      <c r="F63" s="379"/>
      <c r="G63" s="379"/>
      <c r="H63" s="379"/>
      <c r="I63" s="379"/>
      <c r="J63" s="304"/>
      <c r="K63" s="304"/>
      <c r="L63" s="304"/>
      <c r="M63" s="304"/>
      <c r="N63" s="304"/>
      <c r="O63" s="304"/>
      <c r="P63" s="304"/>
      <c r="Q63" s="304"/>
      <c r="R63" s="304"/>
      <c r="S63" s="304"/>
      <c r="T63" s="304"/>
      <c r="U63" s="304"/>
      <c r="V63" s="304"/>
      <c r="W63" s="304"/>
      <c r="X63" s="304"/>
      <c r="Y63" s="304"/>
      <c r="Z63" s="304"/>
      <c r="AA63" s="304"/>
      <c r="AB63" s="304"/>
      <c r="AC63" s="304"/>
      <c r="AD63" s="304"/>
      <c r="AE63" s="304"/>
      <c r="AF63" s="304"/>
      <c r="AG63" s="304"/>
      <c r="AH63" s="304"/>
      <c r="AI63" s="304"/>
      <c r="AJ63" s="304"/>
      <c r="AK63" s="304"/>
      <c r="AL63" s="304"/>
      <c r="AM63" s="304"/>
      <c r="AN63" s="304"/>
      <c r="AO63" s="304"/>
      <c r="AP63" s="304"/>
      <c r="AQ63" s="304"/>
      <c r="AR63" s="304"/>
      <c r="AS63" s="304"/>
      <c r="AT63" s="304"/>
      <c r="AU63" s="304"/>
      <c r="AV63" s="304"/>
      <c r="AW63" s="304"/>
      <c r="AX63" s="304"/>
      <c r="AY63" s="304"/>
      <c r="AZ63" s="304"/>
      <c r="BA63" s="304"/>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4"/>
      <c r="K65" s="304"/>
      <c r="L65" s="304"/>
      <c r="M65" s="304"/>
      <c r="N65" s="304"/>
      <c r="O65" s="304"/>
      <c r="P65" s="304"/>
      <c r="Q65" s="304"/>
      <c r="R65" s="304"/>
      <c r="S65" s="304"/>
      <c r="T65" s="304"/>
      <c r="U65" s="304"/>
      <c r="V65" s="304"/>
      <c r="W65" s="304"/>
      <c r="X65" s="304"/>
      <c r="Y65" s="304"/>
      <c r="Z65" s="304"/>
      <c r="AA65" s="304"/>
      <c r="AB65" s="304"/>
      <c r="AC65" s="304"/>
      <c r="AD65" s="304"/>
      <c r="AE65" s="304"/>
      <c r="AF65" s="304"/>
      <c r="AG65" s="304"/>
      <c r="AH65" s="304"/>
      <c r="AI65" s="304"/>
      <c r="AJ65" s="304"/>
      <c r="AK65" s="304"/>
      <c r="AL65" s="304"/>
      <c r="AM65" s="304"/>
      <c r="AN65" s="304"/>
      <c r="AO65" s="304"/>
      <c r="AP65" s="304"/>
      <c r="AQ65" s="304"/>
      <c r="AR65" s="304"/>
      <c r="AS65" s="304"/>
      <c r="AT65" s="304"/>
      <c r="AU65" s="304"/>
      <c r="AV65" s="304"/>
      <c r="AW65" s="304"/>
      <c r="AX65" s="304"/>
      <c r="AY65" s="304"/>
      <c r="AZ65" s="304"/>
      <c r="BA65" s="304"/>
    </row>
    <row r="66" spans="1:53">
      <c r="A66" s="80"/>
      <c r="B66" s="93" t="s">
        <v>2</v>
      </c>
      <c r="C66" s="401" t="s">
        <v>56</v>
      </c>
      <c r="D66" s="417">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401" t="s">
        <v>21</v>
      </c>
      <c r="D67" s="417">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70" t="s">
        <v>80</v>
      </c>
      <c r="D68" s="417">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2"/>
      <c r="K69" s="302"/>
      <c r="L69" s="302"/>
      <c r="M69" s="302"/>
      <c r="N69" s="302"/>
      <c r="O69" s="302"/>
      <c r="P69" s="302"/>
      <c r="Q69" s="302"/>
      <c r="R69" s="302"/>
      <c r="S69" s="302"/>
      <c r="T69" s="302"/>
      <c r="U69" s="302"/>
      <c r="V69" s="302"/>
      <c r="W69" s="302"/>
      <c r="X69" s="302"/>
      <c r="Y69" s="302"/>
      <c r="Z69" s="302"/>
      <c r="AA69" s="302"/>
      <c r="AB69" s="302"/>
      <c r="AC69" s="302"/>
      <c r="AD69" s="302"/>
      <c r="AE69" s="302"/>
      <c r="AF69" s="302"/>
      <c r="AG69" s="302"/>
      <c r="AH69" s="302"/>
      <c r="AI69" s="302"/>
      <c r="AJ69" s="302"/>
      <c r="AK69" s="302"/>
      <c r="AL69" s="302"/>
      <c r="AM69" s="302"/>
      <c r="AN69" s="302"/>
      <c r="AO69" s="302"/>
      <c r="AP69" s="302"/>
      <c r="AQ69" s="302"/>
      <c r="AR69" s="302"/>
      <c r="AS69" s="302"/>
      <c r="AT69" s="302"/>
      <c r="AU69" s="302"/>
      <c r="AV69" s="302"/>
      <c r="AW69" s="302"/>
      <c r="AX69" s="302"/>
      <c r="AY69" s="302"/>
      <c r="AZ69" s="302"/>
      <c r="BA69" s="302"/>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4"/>
      <c r="K71" s="304"/>
      <c r="L71" s="304"/>
      <c r="M71" s="304"/>
      <c r="N71" s="304"/>
      <c r="O71" s="304"/>
      <c r="P71" s="304"/>
      <c r="Q71" s="304"/>
      <c r="R71" s="304"/>
      <c r="S71" s="304"/>
      <c r="T71" s="304"/>
      <c r="U71" s="304"/>
      <c r="V71" s="304"/>
      <c r="W71" s="304"/>
      <c r="X71" s="304"/>
      <c r="Y71" s="304"/>
      <c r="Z71" s="304"/>
      <c r="AA71" s="304"/>
      <c r="AB71" s="304"/>
      <c r="AC71" s="304"/>
      <c r="AD71" s="304"/>
      <c r="AE71" s="304"/>
      <c r="AF71" s="304"/>
      <c r="AG71" s="304"/>
      <c r="AH71" s="304"/>
      <c r="AI71" s="304"/>
      <c r="AJ71" s="304"/>
      <c r="AK71" s="304"/>
      <c r="AL71" s="304"/>
      <c r="AM71" s="304"/>
      <c r="AN71" s="304"/>
      <c r="AO71" s="304"/>
      <c r="AP71" s="304"/>
      <c r="AQ71" s="304"/>
      <c r="AR71" s="304"/>
      <c r="AS71" s="304"/>
      <c r="AT71" s="304"/>
      <c r="AU71" s="304"/>
      <c r="AV71" s="304"/>
      <c r="AW71" s="304"/>
      <c r="AX71" s="304"/>
      <c r="AY71" s="304"/>
      <c r="AZ71" s="304"/>
      <c r="BA71" s="304"/>
    </row>
    <row r="72" spans="1:53">
      <c r="A72" s="82"/>
      <c r="B72" s="93" t="s">
        <v>2</v>
      </c>
      <c r="C72" s="401" t="s">
        <v>49</v>
      </c>
      <c r="D72" s="417">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71" t="s">
        <v>50</v>
      </c>
      <c r="D73" s="417">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401" t="s">
        <v>51</v>
      </c>
      <c r="D74" s="417">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401" t="s">
        <v>52</v>
      </c>
      <c r="D75" s="417">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401" t="s">
        <v>53</v>
      </c>
      <c r="D76" s="417">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401" t="s">
        <v>54</v>
      </c>
      <c r="D77" s="417">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747" t="s">
        <v>5</v>
      </c>
      <c r="C78" s="672" t="str">
        <f>CONCATENATE("GILL/RAT (RAT ",D79," x FAP ",D80,")")</f>
        <v>GILL/RAT (RAT 0,03 x FAP 1)</v>
      </c>
      <c r="D78" s="673"/>
      <c r="E78" s="244"/>
      <c r="F78" s="432"/>
      <c r="G78" s="432"/>
      <c r="H78" s="244"/>
      <c r="I78" s="144"/>
    </row>
    <row r="79" spans="1:53">
      <c r="A79" s="80"/>
      <c r="B79" s="748"/>
      <c r="C79" s="674" t="s">
        <v>47</v>
      </c>
      <c r="D79" s="173">
        <f>VLOOKUP(C79,'Apoio - Notas Explicativas'!$C:$Q,14,FALSE)</f>
        <v>0.03</v>
      </c>
      <c r="E79" s="433"/>
      <c r="F79" s="433"/>
      <c r="G79" s="433"/>
      <c r="H79" s="466"/>
      <c r="I79" s="173"/>
    </row>
    <row r="80" spans="1:53">
      <c r="A80" s="80"/>
      <c r="B80" s="756"/>
      <c r="C80" s="675" t="s">
        <v>42</v>
      </c>
      <c r="D80" s="309">
        <f>VLOOKUP(C80,'Apoio - Notas Explicativas'!$C:$Q,14,FALSE)</f>
        <v>1</v>
      </c>
      <c r="E80" s="434"/>
      <c r="F80" s="434"/>
      <c r="G80" s="434"/>
      <c r="H80" s="434"/>
      <c r="I80" s="174"/>
    </row>
    <row r="81" spans="1:53">
      <c r="A81" s="80"/>
      <c r="B81" s="749"/>
      <c r="C81" s="401"/>
      <c r="D81" s="676">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401" t="s">
        <v>55</v>
      </c>
      <c r="D82" s="417">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2"/>
      <c r="K83" s="302"/>
      <c r="L83" s="302"/>
      <c r="M83" s="302"/>
      <c r="N83" s="302"/>
      <c r="O83" s="302"/>
      <c r="P83" s="302"/>
      <c r="Q83" s="302"/>
      <c r="R83" s="302"/>
      <c r="S83" s="302"/>
      <c r="T83" s="302"/>
      <c r="U83" s="302"/>
      <c r="V83" s="302"/>
      <c r="W83" s="302"/>
      <c r="X83" s="302"/>
      <c r="Y83" s="302"/>
      <c r="Z83" s="302"/>
      <c r="AA83" s="302"/>
      <c r="AB83" s="302"/>
      <c r="AC83" s="302"/>
      <c r="AD83" s="302"/>
      <c r="AE83" s="302"/>
      <c r="AF83" s="302"/>
      <c r="AG83" s="302"/>
      <c r="AH83" s="302"/>
      <c r="AI83" s="302"/>
      <c r="AJ83" s="302"/>
      <c r="AK83" s="302"/>
      <c r="AL83" s="302"/>
      <c r="AM83" s="302"/>
      <c r="AN83" s="302"/>
      <c r="AO83" s="302"/>
      <c r="AP83" s="302"/>
      <c r="AQ83" s="302"/>
      <c r="AR83" s="302"/>
      <c r="AS83" s="302"/>
      <c r="AT83" s="302"/>
      <c r="AU83" s="302"/>
      <c r="AV83" s="302"/>
      <c r="AW83" s="302"/>
      <c r="AX83" s="302"/>
      <c r="AY83" s="302"/>
      <c r="AZ83" s="302"/>
      <c r="BA83" s="302"/>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4"/>
      <c r="K85" s="304"/>
      <c r="L85" s="304"/>
      <c r="M85" s="304"/>
      <c r="N85" s="304"/>
      <c r="O85" s="304"/>
      <c r="P85" s="304"/>
      <c r="Q85" s="304"/>
      <c r="R85" s="304"/>
      <c r="S85" s="304"/>
      <c r="T85" s="304"/>
      <c r="U85" s="304"/>
      <c r="V85" s="304"/>
      <c r="W85" s="304"/>
      <c r="X85" s="304"/>
      <c r="Y85" s="304"/>
      <c r="Z85" s="304"/>
      <c r="AA85" s="304"/>
      <c r="AB85" s="304"/>
      <c r="AC85" s="304"/>
      <c r="AD85" s="304"/>
      <c r="AE85" s="304"/>
      <c r="AF85" s="304"/>
      <c r="AG85" s="304"/>
      <c r="AH85" s="304"/>
      <c r="AI85" s="304"/>
      <c r="AJ85" s="304"/>
      <c r="AK85" s="304"/>
      <c r="AL85" s="304"/>
      <c r="AM85" s="304"/>
      <c r="AN85" s="304"/>
      <c r="AO85" s="304"/>
      <c r="AP85" s="304"/>
      <c r="AQ85" s="304"/>
      <c r="AR85" s="304"/>
      <c r="AS85" s="304"/>
      <c r="AT85" s="304"/>
      <c r="AU85" s="304"/>
      <c r="AV85" s="304"/>
      <c r="AW85" s="304"/>
      <c r="AX85" s="304"/>
      <c r="AY85" s="304"/>
      <c r="AZ85" s="304"/>
      <c r="BA85" s="304"/>
    </row>
    <row r="86" spans="1:53" s="12" customFormat="1">
      <c r="A86" s="80"/>
      <c r="B86" s="747" t="s">
        <v>2</v>
      </c>
      <c r="C86" s="169" t="s">
        <v>86</v>
      </c>
      <c r="D86" s="200"/>
      <c r="E86" s="246"/>
      <c r="F86" s="246"/>
      <c r="G86" s="246"/>
      <c r="H86" s="246"/>
      <c r="I86" s="246"/>
      <c r="J86" s="299"/>
      <c r="K86" s="299"/>
      <c r="L86" s="299"/>
      <c r="M86" s="299"/>
      <c r="N86" s="299"/>
      <c r="O86" s="299"/>
      <c r="P86" s="299"/>
      <c r="Q86" s="299"/>
      <c r="R86" s="299"/>
      <c r="S86" s="299"/>
      <c r="T86" s="299"/>
      <c r="U86" s="299"/>
      <c r="V86" s="299"/>
      <c r="W86" s="299"/>
      <c r="X86" s="299"/>
      <c r="Y86" s="299"/>
      <c r="Z86" s="299"/>
      <c r="AA86" s="299"/>
      <c r="AB86" s="299"/>
      <c r="AC86" s="299"/>
      <c r="AD86" s="299"/>
      <c r="AE86" s="299"/>
      <c r="AF86" s="299"/>
      <c r="AG86" s="299"/>
      <c r="AH86" s="299"/>
      <c r="AI86" s="299"/>
      <c r="AJ86" s="299"/>
      <c r="AK86" s="299"/>
      <c r="AL86" s="299"/>
      <c r="AM86" s="299"/>
      <c r="AN86" s="299"/>
      <c r="AO86" s="299"/>
      <c r="AP86" s="299"/>
      <c r="AQ86" s="299"/>
      <c r="AR86" s="299"/>
      <c r="AS86" s="299"/>
      <c r="AT86" s="299"/>
      <c r="AU86" s="299"/>
      <c r="AV86" s="299"/>
      <c r="AW86" s="299"/>
      <c r="AX86" s="299"/>
      <c r="AY86" s="299"/>
      <c r="AZ86" s="299"/>
      <c r="BA86" s="299"/>
    </row>
    <row r="87" spans="1:53">
      <c r="A87" s="80"/>
      <c r="B87" s="748"/>
      <c r="C87" s="170" t="s">
        <v>87</v>
      </c>
      <c r="D87" s="218"/>
      <c r="E87" s="427">
        <f>IF(E18="","",4.8)</f>
        <v>4.8</v>
      </c>
      <c r="F87" s="427">
        <f>IF(F18="","",4.8)</f>
        <v>4.8</v>
      </c>
      <c r="G87" s="427">
        <f>IF(G18="","",4.8)</f>
        <v>4.8</v>
      </c>
      <c r="H87" s="427">
        <f>IF(H18="","",4.8)</f>
        <v>4.8</v>
      </c>
      <c r="I87" s="202" t="str">
        <f>IF(I18="","",4.8)</f>
        <v/>
      </c>
    </row>
    <row r="88" spans="1:53">
      <c r="A88" s="80"/>
      <c r="B88" s="748"/>
      <c r="C88" s="109" t="s">
        <v>108</v>
      </c>
      <c r="D88" s="219"/>
      <c r="E88" s="204">
        <f>IF(E18="","",2)</f>
        <v>2</v>
      </c>
      <c r="F88" s="204">
        <f>IF(F18="","",2)</f>
        <v>2</v>
      </c>
      <c r="G88" s="204">
        <f>IF(G18="","",2)</f>
        <v>2</v>
      </c>
      <c r="H88" s="204">
        <f>IF(H18="","",2)</f>
        <v>2</v>
      </c>
      <c r="I88" s="204" t="str">
        <f>IF(I18="","",2)</f>
        <v/>
      </c>
    </row>
    <row r="89" spans="1:53">
      <c r="A89" s="80"/>
      <c r="B89" s="748"/>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748"/>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749"/>
      <c r="C91" s="225"/>
      <c r="D91" s="221" t="s">
        <v>41</v>
      </c>
      <c r="E91" s="153">
        <f>IFERROR(MAX((E87*E88*E89)-(E$90*E$32),0),"")</f>
        <v>111.98519999999999</v>
      </c>
      <c r="F91" s="153">
        <f t="shared" ref="F91:H91" si="12">IFERROR(MAX((F87*F88*F89)-(F$90*F$32),0),"")</f>
        <v>111.98519999999999</v>
      </c>
      <c r="G91" s="153">
        <f t="shared" si="12"/>
        <v>85.131600000000006</v>
      </c>
      <c r="H91" s="153">
        <f t="shared" si="12"/>
        <v>85.131600000000006</v>
      </c>
      <c r="I91" s="153" t="str">
        <f>IFERROR(ROUND((I87*I88*I89)-(I$90*I$32),2),"")</f>
        <v/>
      </c>
    </row>
    <row r="92" spans="1:53">
      <c r="A92" s="80"/>
      <c r="B92" s="747" t="s">
        <v>1</v>
      </c>
      <c r="C92" s="199" t="s">
        <v>23</v>
      </c>
      <c r="D92" s="222"/>
      <c r="E92" s="247"/>
      <c r="F92" s="247"/>
      <c r="G92" s="247"/>
      <c r="H92" s="247"/>
      <c r="I92" s="247"/>
    </row>
    <row r="93" spans="1:53">
      <c r="A93" s="80"/>
      <c r="B93" s="748"/>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748"/>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748"/>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749"/>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747" t="s">
        <v>0</v>
      </c>
      <c r="C97" s="166" t="s">
        <v>25</v>
      </c>
      <c r="D97" s="222"/>
      <c r="E97" s="248"/>
      <c r="F97" s="248"/>
      <c r="G97" s="248"/>
      <c r="H97" s="248"/>
      <c r="I97" s="248"/>
    </row>
    <row r="98" spans="1:54">
      <c r="A98" s="80"/>
      <c r="B98" s="748"/>
      <c r="C98" s="201" t="s">
        <v>26</v>
      </c>
      <c r="D98" s="223"/>
      <c r="E98" s="212"/>
      <c r="F98" s="212"/>
      <c r="G98" s="212"/>
      <c r="H98" s="212"/>
      <c r="I98" s="212"/>
    </row>
    <row r="99" spans="1:54">
      <c r="A99" s="80"/>
      <c r="B99" s="748"/>
      <c r="C99" s="203" t="s">
        <v>273</v>
      </c>
      <c r="D99" s="220"/>
      <c r="E99" s="101"/>
      <c r="F99" s="101"/>
      <c r="G99" s="101"/>
      <c r="H99" s="101"/>
      <c r="I99" s="101"/>
    </row>
    <row r="100" spans="1:54">
      <c r="A100" s="80"/>
      <c r="B100" s="749"/>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4">
        <f>IFERROR(VLOOKUP(E$18,'Apoio - Posto'!$A:$AA,19,FALSE),"")</f>
        <v>0</v>
      </c>
      <c r="F101" s="394">
        <f>IFERROR(VLOOKUP(F$18,'Apoio - Posto'!$A:$AA,19,FALSE),"")</f>
        <v>0</v>
      </c>
      <c r="G101" s="394">
        <f>IFERROR(VLOOKUP(G$18,'Apoio - Posto'!$A:$AA,19,FALSE),"")</f>
        <v>0</v>
      </c>
      <c r="H101" s="394">
        <f>IFERROR(VLOOKUP(H$18,'Apoio - Posto'!$A:$AA,19,FALSE),"")</f>
        <v>0</v>
      </c>
      <c r="I101" s="394" t="str">
        <f>IFERROR(VLOOKUP(I$18,'Apoio - Posto'!$A:$AA,19,FALSE),"")</f>
        <v/>
      </c>
    </row>
    <row r="102" spans="1:54">
      <c r="A102" s="80"/>
      <c r="B102" s="191" t="s">
        <v>7</v>
      </c>
      <c r="C102" s="184" t="s">
        <v>28</v>
      </c>
      <c r="D102" s="192"/>
      <c r="E102" s="395"/>
      <c r="F102" s="395"/>
      <c r="G102" s="395"/>
      <c r="H102" s="395"/>
      <c r="I102" s="395"/>
    </row>
    <row r="103" spans="1:54">
      <c r="A103" s="80"/>
      <c r="B103" s="747" t="s">
        <v>6</v>
      </c>
      <c r="C103" s="199" t="s">
        <v>29</v>
      </c>
      <c r="D103" s="192"/>
      <c r="E103" s="247"/>
      <c r="F103" s="247"/>
      <c r="G103" s="247"/>
      <c r="H103" s="247"/>
      <c r="I103" s="247"/>
    </row>
    <row r="104" spans="1:54">
      <c r="A104" s="80"/>
      <c r="B104" s="748"/>
      <c r="C104" s="207" t="s">
        <v>26</v>
      </c>
      <c r="D104" s="224"/>
      <c r="E104" s="208"/>
      <c r="F104" s="208"/>
      <c r="G104" s="208"/>
      <c r="H104" s="208"/>
      <c r="I104" s="208"/>
    </row>
    <row r="105" spans="1:54">
      <c r="A105" s="80"/>
      <c r="B105" s="748"/>
      <c r="C105" s="209" t="s">
        <v>109</v>
      </c>
      <c r="D105" s="216"/>
      <c r="E105" s="211"/>
      <c r="F105" s="211"/>
      <c r="G105" s="211"/>
      <c r="H105" s="211"/>
      <c r="I105" s="211"/>
    </row>
    <row r="106" spans="1:54">
      <c r="A106" s="80"/>
      <c r="B106" s="749"/>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8">
        <f>IFERROR(VLOOKUP(E$18,'Apoio - Posto'!$A:$AA,18,FALSE),"")</f>
        <v>24.1</v>
      </c>
      <c r="F107" s="428">
        <f>IFERROR(VLOOKUP(F$18,'Apoio - Posto'!$A:$AA,18,FALSE),"")</f>
        <v>24.1</v>
      </c>
      <c r="G107" s="428">
        <f>IFERROR(VLOOKUP(G$18,'Apoio - Posto'!$A:$AA,18,FALSE),"")</f>
        <v>24.1</v>
      </c>
      <c r="H107" s="428">
        <f>IFERROR(VLOOKUP(H$18,'Apoio - Posto'!$A:$AA,18,FALSE),"")</f>
        <v>24.1</v>
      </c>
      <c r="I107" s="428" t="str">
        <f>IFERROR(VLOOKUP(I$18,'Apoio - Posto'!$A:$AA,18,FALSE),"")</f>
        <v/>
      </c>
      <c r="BB107" s="301"/>
    </row>
    <row r="108" spans="1:54">
      <c r="A108" s="80"/>
      <c r="B108" s="747" t="s">
        <v>4</v>
      </c>
      <c r="C108" s="716" t="s">
        <v>114</v>
      </c>
      <c r="D108" s="192"/>
      <c r="E108" s="244"/>
      <c r="F108" s="244"/>
      <c r="G108" s="244"/>
      <c r="H108" s="244"/>
      <c r="I108" s="244"/>
    </row>
    <row r="109" spans="1:54">
      <c r="A109" s="80"/>
      <c r="B109" s="748"/>
      <c r="C109" s="666" t="s">
        <v>272</v>
      </c>
      <c r="D109" s="667"/>
      <c r="E109" s="429"/>
      <c r="F109" s="429"/>
      <c r="G109" s="429"/>
      <c r="H109" s="429"/>
      <c r="I109" s="429"/>
    </row>
    <row r="110" spans="1:54">
      <c r="A110" s="80"/>
      <c r="B110" s="748"/>
      <c r="C110" s="668" t="s">
        <v>273</v>
      </c>
      <c r="D110" s="669"/>
      <c r="E110" s="657"/>
      <c r="F110" s="657"/>
      <c r="G110" s="657"/>
      <c r="H110" s="657"/>
      <c r="I110" s="657"/>
    </row>
    <row r="111" spans="1:54">
      <c r="A111" s="80"/>
      <c r="B111" s="749"/>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589.06960000000004</v>
      </c>
      <c r="F112" s="198">
        <f>IF(F21="","",SUM(F91,F96,F100,F101,F102,F106,F107,F111))</f>
        <v>589.06960000000004</v>
      </c>
      <c r="G112" s="198">
        <f>IF(G21="","",SUM(G91,G96,G100,G101,G102,G106,G107,G111))</f>
        <v>562.21600000000001</v>
      </c>
      <c r="H112" s="198">
        <f>IF(H21="","",SUM(H91,H96,H100,H101,H102,H106,H107,H111))</f>
        <v>562.21600000000001</v>
      </c>
      <c r="I112" s="198" t="str">
        <f>IF(I21="","",SUM(I91,I96,I100,I101,I102,I106,I107,I111))</f>
        <v/>
      </c>
      <c r="J112" s="302"/>
      <c r="K112" s="302"/>
      <c r="L112" s="302"/>
      <c r="M112" s="302"/>
      <c r="N112" s="302"/>
      <c r="O112" s="302"/>
      <c r="P112" s="302"/>
      <c r="Q112" s="302"/>
      <c r="R112" s="302"/>
      <c r="S112" s="302"/>
      <c r="T112" s="302"/>
      <c r="U112" s="302"/>
      <c r="V112" s="302"/>
      <c r="W112" s="302"/>
      <c r="X112" s="302"/>
      <c r="Y112" s="302"/>
      <c r="Z112" s="302"/>
      <c r="AA112" s="302"/>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2056.7872080000002</v>
      </c>
      <c r="F114" s="161">
        <f>IF(F21="","",IFERROR(SUM(F112,F83,F69),""))</f>
        <v>2056.7872080000002</v>
      </c>
      <c r="G114" s="464">
        <f>IF(G21="","",IFERROR(SUM(G112,G83,G69),""))</f>
        <v>2293.9755880000002</v>
      </c>
      <c r="H114" s="161">
        <f>IF(H21="","",IFERROR(SUM(H112,H83,H69),""))</f>
        <v>2560.4001400000002</v>
      </c>
      <c r="I114" s="162" t="str">
        <f>IF(I21="","",IFERROR(SUM(I112,I83,I69),""))</f>
        <v/>
      </c>
      <c r="J114" s="302"/>
      <c r="K114" s="302"/>
      <c r="L114" s="302"/>
      <c r="M114" s="302"/>
      <c r="N114" s="302"/>
      <c r="O114" s="302"/>
      <c r="P114" s="302"/>
      <c r="Q114" s="302"/>
      <c r="R114" s="302"/>
      <c r="S114" s="302"/>
      <c r="T114" s="302"/>
      <c r="U114" s="302"/>
      <c r="V114" s="302"/>
      <c r="W114" s="302"/>
      <c r="X114" s="302"/>
      <c r="Y114" s="302"/>
      <c r="Z114" s="302"/>
      <c r="AA114" s="302"/>
      <c r="AB114" s="302"/>
      <c r="AC114" s="302"/>
      <c r="AD114" s="302"/>
      <c r="AE114" s="302"/>
      <c r="AF114" s="302"/>
      <c r="AG114" s="302"/>
      <c r="AH114" s="302"/>
      <c r="AI114" s="302"/>
      <c r="AJ114" s="302"/>
      <c r="AK114" s="302"/>
      <c r="AL114" s="302"/>
      <c r="AM114" s="302"/>
      <c r="AN114" s="302"/>
      <c r="AO114" s="302"/>
      <c r="AP114" s="302"/>
      <c r="AQ114" s="302"/>
      <c r="AR114" s="302"/>
      <c r="AS114" s="302"/>
      <c r="AT114" s="302"/>
      <c r="AU114" s="302"/>
      <c r="AV114" s="302"/>
      <c r="AW114" s="302"/>
      <c r="AX114" s="302"/>
      <c r="AY114" s="302"/>
      <c r="AZ114" s="302"/>
      <c r="BA114" s="302"/>
    </row>
    <row r="115" spans="1:53" s="6" customFormat="1">
      <c r="B115" s="7"/>
      <c r="C115" s="7"/>
      <c r="D115" s="7"/>
      <c r="E115" s="8"/>
      <c r="F115" s="8"/>
      <c r="G115" s="8"/>
      <c r="H115" s="8"/>
      <c r="I115" s="8"/>
      <c r="J115" s="304"/>
      <c r="K115" s="304"/>
      <c r="L115" s="304"/>
      <c r="M115" s="304"/>
      <c r="N115" s="304"/>
      <c r="O115" s="304"/>
      <c r="P115" s="304"/>
      <c r="Q115" s="304"/>
      <c r="R115" s="304"/>
      <c r="S115" s="304"/>
      <c r="T115" s="304"/>
      <c r="U115" s="304"/>
      <c r="V115" s="304"/>
      <c r="W115" s="304"/>
      <c r="X115" s="304"/>
      <c r="Y115" s="304"/>
      <c r="Z115" s="304"/>
      <c r="AA115" s="304"/>
      <c r="AB115" s="304"/>
      <c r="AC115" s="304"/>
      <c r="AD115" s="304"/>
      <c r="AE115" s="304"/>
      <c r="AF115" s="304"/>
      <c r="AG115" s="304"/>
      <c r="AH115" s="304"/>
      <c r="AI115" s="304"/>
      <c r="AJ115" s="304"/>
      <c r="AK115" s="304"/>
      <c r="AL115" s="304"/>
      <c r="AM115" s="304"/>
      <c r="AN115" s="304"/>
      <c r="AO115" s="304"/>
      <c r="AP115" s="304"/>
      <c r="AQ115" s="304"/>
      <c r="AR115" s="304"/>
      <c r="AS115" s="304"/>
      <c r="AT115" s="304"/>
      <c r="AU115" s="304"/>
      <c r="AV115" s="304"/>
      <c r="AW115" s="304"/>
      <c r="AX115" s="304"/>
      <c r="AY115" s="304"/>
      <c r="AZ115" s="304"/>
      <c r="BA115" s="304"/>
    </row>
    <row r="116" spans="1:53" s="6" customFormat="1">
      <c r="A116" s="80"/>
      <c r="B116" s="95"/>
      <c r="C116" s="96" t="s">
        <v>127</v>
      </c>
      <c r="D116" s="97"/>
      <c r="E116" s="379"/>
      <c r="F116" s="463"/>
      <c r="G116" s="379"/>
      <c r="H116" s="379"/>
      <c r="I116" s="379"/>
      <c r="J116" s="304"/>
      <c r="K116" s="304"/>
      <c r="L116" s="304"/>
      <c r="M116" s="304"/>
      <c r="N116" s="304"/>
      <c r="O116" s="304"/>
      <c r="P116" s="304"/>
      <c r="Q116" s="304"/>
      <c r="R116" s="304"/>
      <c r="S116" s="304"/>
      <c r="T116" s="304"/>
      <c r="U116" s="304"/>
      <c r="V116" s="304"/>
      <c r="W116" s="304"/>
      <c r="X116" s="304"/>
      <c r="Y116" s="304"/>
      <c r="Z116" s="304"/>
      <c r="AA116" s="304"/>
      <c r="AB116" s="304"/>
      <c r="AC116" s="304"/>
      <c r="AD116" s="304"/>
      <c r="AE116" s="304"/>
      <c r="AF116" s="304"/>
      <c r="AG116" s="304"/>
      <c r="AH116" s="304"/>
      <c r="AI116" s="304"/>
      <c r="AJ116" s="304"/>
      <c r="AK116" s="304"/>
      <c r="AL116" s="304"/>
      <c r="AM116" s="304"/>
      <c r="AN116" s="304"/>
      <c r="AO116" s="304"/>
      <c r="AP116" s="304"/>
      <c r="AQ116" s="304"/>
      <c r="AR116" s="304"/>
      <c r="AS116" s="304"/>
      <c r="AT116" s="304"/>
      <c r="AU116" s="304"/>
      <c r="AV116" s="304"/>
      <c r="AW116" s="304"/>
      <c r="AX116" s="304"/>
      <c r="AY116" s="304"/>
      <c r="AZ116" s="304"/>
      <c r="BA116" s="304"/>
    </row>
    <row r="117" spans="1:53" s="13" customFormat="1">
      <c r="A117" s="83"/>
      <c r="B117" s="93" t="s">
        <v>2</v>
      </c>
      <c r="C117" s="94" t="s">
        <v>221</v>
      </c>
      <c r="D117" s="417">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7">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555</v>
      </c>
      <c r="D119" s="417">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7">
        <f>INDEX('Apoio - Notas Explicativas'!Q:Q,MATCH(C120,'Apoio - Notas Explicativas'!C:C,0))</f>
        <v>1.9400000000000001E-2</v>
      </c>
      <c r="E120" s="105">
        <f t="shared" si="14"/>
        <v>44.911232799999993</v>
      </c>
      <c r="F120" s="105">
        <f t="shared" si="15"/>
        <v>44.911232799999993</v>
      </c>
      <c r="G120" s="105">
        <f t="shared" si="15"/>
        <v>52.990750800000001</v>
      </c>
      <c r="H120" s="105">
        <f t="shared" si="15"/>
        <v>61.143174000000002</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7">
        <f>INDEX('Apoio - Notas Explicativas'!Q:Q,MATCH(C121,'Apoio - Notas Explicativas'!C:C,0))</f>
        <v>7.1999999999999998E-3</v>
      </c>
      <c r="E121" s="105">
        <f t="shared" si="14"/>
        <v>16.668086399999996</v>
      </c>
      <c r="F121" s="105">
        <f t="shared" si="15"/>
        <v>16.668086399999996</v>
      </c>
      <c r="G121" s="105">
        <f t="shared" si="15"/>
        <v>19.666670400000001</v>
      </c>
      <c r="H121" s="105">
        <f t="shared" si="15"/>
        <v>22.692312000000001</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7">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164.82885439999998</v>
      </c>
      <c r="F123" s="161">
        <f t="shared" ref="F123:H123" si="17">IF(SUM(F117:F122)=0,"",SUM(F117:F122))</f>
        <v>164.82885439999998</v>
      </c>
      <c r="G123" s="161">
        <f t="shared" si="17"/>
        <v>194.4815184</v>
      </c>
      <c r="H123" s="161">
        <f t="shared" si="17"/>
        <v>224.40175200000002</v>
      </c>
      <c r="I123" s="162" t="str">
        <f>IF(SUM(I117:I122)=0,"",SUM(I117:I122))</f>
        <v/>
      </c>
      <c r="J123" s="302"/>
      <c r="K123" s="302"/>
      <c r="L123" s="302"/>
      <c r="M123" s="302"/>
      <c r="N123" s="302"/>
      <c r="O123" s="302"/>
      <c r="P123" s="302"/>
      <c r="Q123" s="302"/>
      <c r="R123" s="302"/>
      <c r="S123" s="302"/>
      <c r="T123" s="302"/>
      <c r="U123" s="302"/>
      <c r="V123" s="302"/>
      <c r="W123" s="302"/>
      <c r="X123" s="302"/>
      <c r="Y123" s="302"/>
      <c r="Z123" s="302"/>
      <c r="AA123" s="302"/>
      <c r="AB123" s="302"/>
      <c r="AC123" s="302"/>
      <c r="AD123" s="302"/>
      <c r="AE123" s="302"/>
      <c r="AF123" s="302"/>
      <c r="AG123" s="302"/>
      <c r="AH123" s="302"/>
      <c r="AI123" s="302"/>
      <c r="AJ123" s="302"/>
      <c r="AK123" s="302"/>
      <c r="AL123" s="302"/>
      <c r="AM123" s="302"/>
      <c r="AN123" s="302"/>
      <c r="AO123" s="302"/>
      <c r="AP123" s="302"/>
      <c r="AQ123" s="302"/>
      <c r="AR123" s="302"/>
      <c r="AS123" s="302"/>
      <c r="AT123" s="302"/>
      <c r="AU123" s="302"/>
      <c r="AV123" s="302"/>
      <c r="AW123" s="302"/>
      <c r="AX123" s="302"/>
      <c r="AY123" s="302"/>
      <c r="AZ123" s="302"/>
      <c r="BA123" s="302"/>
    </row>
    <row r="124" spans="1:53" s="18" customFormat="1">
      <c r="A124" s="17"/>
      <c r="D124" s="14"/>
      <c r="E124" s="19"/>
      <c r="F124" s="19"/>
      <c r="G124" s="19"/>
      <c r="H124" s="19"/>
      <c r="I124" s="19"/>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c r="AF124" s="305"/>
      <c r="AG124" s="305"/>
      <c r="AH124" s="305"/>
      <c r="AI124" s="305"/>
      <c r="AJ124" s="305"/>
      <c r="AK124" s="305"/>
      <c r="AL124" s="305"/>
      <c r="AM124" s="305"/>
      <c r="AN124" s="305"/>
      <c r="AO124" s="305"/>
      <c r="AP124" s="305"/>
      <c r="AQ124" s="305"/>
      <c r="AR124" s="305"/>
      <c r="AS124" s="305"/>
      <c r="AT124" s="305"/>
      <c r="AU124" s="305"/>
      <c r="AV124" s="305"/>
      <c r="AW124" s="305"/>
      <c r="AX124" s="305"/>
      <c r="AY124" s="305"/>
      <c r="AZ124" s="305"/>
      <c r="BA124" s="305"/>
    </row>
    <row r="125" spans="1:53" s="6" customFormat="1">
      <c r="A125" s="80"/>
      <c r="B125" s="95"/>
      <c r="C125" s="96" t="s">
        <v>128</v>
      </c>
      <c r="D125" s="97"/>
      <c r="E125" s="379"/>
      <c r="F125" s="379"/>
      <c r="G125" s="379"/>
      <c r="H125" s="379"/>
      <c r="I125" s="379"/>
      <c r="J125" s="304"/>
      <c r="K125" s="304"/>
      <c r="L125" s="304"/>
      <c r="M125" s="304"/>
      <c r="N125" s="304"/>
      <c r="O125" s="304"/>
      <c r="P125" s="304"/>
      <c r="Q125" s="304"/>
      <c r="R125" s="304"/>
      <c r="S125" s="304"/>
      <c r="T125" s="304"/>
      <c r="U125" s="304"/>
      <c r="V125" s="304"/>
      <c r="W125" s="304"/>
      <c r="X125" s="304"/>
      <c r="Y125" s="304"/>
      <c r="Z125" s="304"/>
      <c r="AA125" s="304"/>
      <c r="AB125" s="304"/>
      <c r="AC125" s="304"/>
      <c r="AD125" s="304"/>
      <c r="AE125" s="304"/>
      <c r="AF125" s="304"/>
      <c r="AG125" s="304"/>
      <c r="AH125" s="304"/>
      <c r="AI125" s="304"/>
      <c r="AJ125" s="304"/>
      <c r="AK125" s="304"/>
      <c r="AL125" s="304"/>
      <c r="AM125" s="304"/>
      <c r="AN125" s="304"/>
      <c r="AO125" s="304"/>
      <c r="AP125" s="304"/>
      <c r="AQ125" s="304"/>
      <c r="AR125" s="304"/>
      <c r="AS125" s="304"/>
      <c r="AT125" s="304"/>
      <c r="AU125" s="304"/>
      <c r="AV125" s="304"/>
      <c r="AW125" s="304"/>
      <c r="AX125" s="304"/>
      <c r="AY125" s="304"/>
      <c r="AZ125" s="304"/>
      <c r="BA125" s="304"/>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4"/>
      <c r="K127" s="304"/>
      <c r="L127" s="304"/>
      <c r="M127" s="304"/>
      <c r="N127" s="304"/>
      <c r="O127" s="304"/>
      <c r="P127" s="304"/>
      <c r="Q127" s="304"/>
      <c r="R127" s="304"/>
      <c r="S127" s="304"/>
      <c r="T127" s="304"/>
      <c r="U127" s="304"/>
      <c r="V127" s="304"/>
      <c r="W127" s="304"/>
      <c r="X127" s="304"/>
      <c r="Y127" s="304"/>
      <c r="Z127" s="304"/>
      <c r="AA127" s="304"/>
      <c r="AB127" s="304"/>
      <c r="AC127" s="304"/>
      <c r="AD127" s="304"/>
      <c r="AE127" s="304"/>
      <c r="AF127" s="304"/>
      <c r="AG127" s="304"/>
      <c r="AH127" s="304"/>
      <c r="AI127" s="304"/>
      <c r="AJ127" s="304"/>
      <c r="AK127" s="304"/>
      <c r="AL127" s="304"/>
      <c r="AM127" s="304"/>
      <c r="AN127" s="304"/>
      <c r="AO127" s="304"/>
      <c r="AP127" s="304"/>
      <c r="AQ127" s="304"/>
      <c r="AR127" s="304"/>
      <c r="AS127" s="304"/>
      <c r="AT127" s="304"/>
      <c r="AU127" s="304"/>
      <c r="AV127" s="304"/>
      <c r="AW127" s="304"/>
      <c r="AX127" s="304"/>
      <c r="AY127" s="304"/>
      <c r="AZ127" s="304"/>
      <c r="BA127" s="304"/>
    </row>
    <row r="128" spans="1:53" s="13" customFormat="1">
      <c r="A128" s="84"/>
      <c r="B128" s="93" t="s">
        <v>2</v>
      </c>
      <c r="C128" s="94" t="s">
        <v>35</v>
      </c>
      <c r="D128" s="417">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7">
        <f>INDEX('Apoio - Notas Explicativas'!$Q:$Q,MATCH(C129,'Apoio - Notas Explicativas'!$C:$C,0))</f>
        <v>1.3899999999999999E-2</v>
      </c>
      <c r="E129" s="105">
        <f>IFERROR($D129*(E61+E66+E67),"")</f>
        <v>38.434199625919995</v>
      </c>
      <c r="F129" s="143">
        <f t="shared" ref="F129:H129" si="18">IFERROR($D129*(F61+F66+F67),"")</f>
        <v>38.434199625919995</v>
      </c>
      <c r="G129" s="143">
        <f t="shared" si="18"/>
        <v>45.348501201120001</v>
      </c>
      <c r="H129" s="143">
        <f t="shared" si="18"/>
        <v>52.325193693599999</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7">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7">
        <f>INDEX('Apoio - Notas Explicativas'!$Q:$Q,MATCH(C131,'Apoio - Notas Explicativas'!$C:$C,0))</f>
        <v>8.2000000000000007E-3</v>
      </c>
      <c r="E131" s="105">
        <f>IFERROR($D131*(E61+E66+E67),"")</f>
        <v>22.673412728959999</v>
      </c>
      <c r="F131" s="143">
        <f t="shared" ref="F131:H131" si="20">IFERROR($D131*(F61+F66+F67),"")</f>
        <v>22.673412728959999</v>
      </c>
      <c r="G131" s="143">
        <f t="shared" si="20"/>
        <v>26.752353226560004</v>
      </c>
      <c r="H131" s="143">
        <f t="shared" si="20"/>
        <v>30.868099876800006</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7">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7">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7">
        <f>SUM(D128:D133)*SUM(D81:D82,D72:D77)</f>
        <v>1.4536000000000002E-2</v>
      </c>
      <c r="E134" s="105">
        <f>IF(E18="","",SUM(E128:E133)*SUM($D$72:$D$77,$D$81:$D$82))</f>
        <v>37.46014740006337</v>
      </c>
      <c r="F134" s="143">
        <f>IF(F18="","",SUM(F128:F133)*SUM($D$72:$D$77,$D$81:$D$82))</f>
        <v>37.46014740006337</v>
      </c>
      <c r="G134" s="143">
        <f>IF(G18="","",SUM(G128:G133)*SUM($D$72:$D$77,$D$81:$D$82))</f>
        <v>44.199217257024976</v>
      </c>
      <c r="H134" s="143">
        <f>IF(H18="","",SUM(H128:H133)*SUM($D$72:$D$77,$D$81:$D$82))</f>
        <v>50.999096835028816</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4">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4">
        <f>INDEX('Apoio - Notas Explicativas'!$Q:$Q,MATCH(C136,'Apoio - Notas Explicativas'!$C:$C,0))</f>
        <v>37.96</v>
      </c>
      <c r="E136" s="105">
        <f>IFERROR(((((E$123/12)*$D$136))/30),"")</f>
        <v>17.38028698062222</v>
      </c>
      <c r="F136" s="143">
        <f t="shared" ref="F136:H136" si="24">IFERROR(((((F$123/12)*$D$136))/30),"")</f>
        <v>17.38028698062222</v>
      </c>
      <c r="G136" s="143">
        <f t="shared" si="24"/>
        <v>20.506995662400001</v>
      </c>
      <c r="H136" s="143">
        <f t="shared" si="24"/>
        <v>23.661918071999999</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159.17552429631672</v>
      </c>
      <c r="F137" s="180">
        <f t="shared" ref="F137:H137" si="25">IF(SUM(F128:F136)=0,"",SUM(F128:F136))</f>
        <v>159.17552429631672</v>
      </c>
      <c r="G137" s="182">
        <f t="shared" si="25"/>
        <v>187.35399266375612</v>
      </c>
      <c r="H137" s="180">
        <f t="shared" si="25"/>
        <v>215.78672828723992</v>
      </c>
      <c r="I137" s="180" t="str">
        <f>IF(SUM(I128:I136)=0,"",SUM(I128:I136))</f>
        <v/>
      </c>
      <c r="J137" s="302"/>
      <c r="K137" s="302"/>
      <c r="L137" s="302"/>
      <c r="M137" s="302"/>
      <c r="N137" s="302"/>
      <c r="O137" s="302"/>
      <c r="P137" s="302"/>
      <c r="Q137" s="302"/>
      <c r="R137" s="302"/>
      <c r="S137" s="302"/>
      <c r="T137" s="302"/>
      <c r="U137" s="302"/>
      <c r="V137" s="302"/>
      <c r="W137" s="302"/>
      <c r="X137" s="302"/>
      <c r="Y137" s="302"/>
      <c r="Z137" s="302"/>
      <c r="AA137" s="302"/>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4"/>
      <c r="K139" s="304"/>
      <c r="L139" s="304"/>
      <c r="M139" s="304"/>
      <c r="N139" s="304"/>
      <c r="O139" s="304"/>
      <c r="P139" s="304"/>
      <c r="Q139" s="304"/>
      <c r="R139" s="304"/>
      <c r="S139" s="304"/>
      <c r="T139" s="304"/>
      <c r="U139" s="304"/>
      <c r="V139" s="304"/>
      <c r="W139" s="304"/>
      <c r="X139" s="304"/>
      <c r="Y139" s="304"/>
      <c r="Z139" s="304"/>
      <c r="AA139" s="304"/>
      <c r="AB139" s="304"/>
      <c r="AC139" s="304"/>
      <c r="AD139" s="304"/>
      <c r="AE139" s="304"/>
      <c r="AF139" s="304"/>
      <c r="AG139" s="304"/>
      <c r="AH139" s="304"/>
      <c r="AI139" s="304"/>
      <c r="AJ139" s="304"/>
      <c r="AK139" s="304"/>
      <c r="AL139" s="304"/>
      <c r="AM139" s="304"/>
      <c r="AN139" s="304"/>
      <c r="AO139" s="304"/>
      <c r="AP139" s="304"/>
      <c r="AQ139" s="304"/>
      <c r="AR139" s="304"/>
      <c r="AS139" s="304"/>
      <c r="AT139" s="304"/>
      <c r="AU139" s="304"/>
      <c r="AV139" s="304"/>
      <c r="AW139" s="304"/>
      <c r="AX139" s="304"/>
      <c r="AY139" s="304"/>
      <c r="AZ139" s="304"/>
      <c r="BA139" s="304"/>
    </row>
    <row r="140" spans="1:53" s="13" customFormat="1" hidden="1">
      <c r="A140" s="85"/>
      <c r="B140" s="747"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748"/>
      <c r="C141" s="142" t="s">
        <v>277</v>
      </c>
      <c r="D141" s="185"/>
      <c r="E141" s="186"/>
      <c r="F141" s="186"/>
      <c r="G141" s="186"/>
      <c r="H141" s="186"/>
      <c r="I141" s="187"/>
    </row>
    <row r="142" spans="1:53" s="24" customFormat="1" hidden="1">
      <c r="A142" s="85"/>
      <c r="B142" s="749"/>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2"/>
      <c r="K143" s="302"/>
      <c r="L143" s="302"/>
      <c r="M143" s="302"/>
      <c r="N143" s="302"/>
      <c r="O143" s="302"/>
      <c r="P143" s="302"/>
      <c r="Q143" s="302"/>
      <c r="R143" s="302"/>
      <c r="S143" s="302"/>
      <c r="T143" s="302"/>
      <c r="U143" s="302"/>
      <c r="V143" s="302"/>
      <c r="W143" s="302"/>
      <c r="X143" s="302"/>
      <c r="Y143" s="302"/>
      <c r="Z143" s="302"/>
      <c r="AA143" s="302"/>
      <c r="AB143" s="302"/>
      <c r="AC143" s="302"/>
      <c r="AD143" s="302"/>
      <c r="AE143" s="302"/>
      <c r="AF143" s="302"/>
      <c r="AG143" s="302"/>
      <c r="AH143" s="302"/>
      <c r="AI143" s="302"/>
      <c r="AJ143" s="302"/>
      <c r="AK143" s="302"/>
      <c r="AL143" s="302"/>
      <c r="AM143" s="302"/>
      <c r="AN143" s="302"/>
      <c r="AO143" s="302"/>
      <c r="AP143" s="302"/>
      <c r="AQ143" s="302"/>
      <c r="AR143" s="302"/>
      <c r="AS143" s="302"/>
      <c r="AT143" s="302"/>
      <c r="AU143" s="302"/>
      <c r="AV143" s="302"/>
      <c r="AW143" s="302"/>
      <c r="AX143" s="302"/>
      <c r="AY143" s="302"/>
      <c r="AZ143" s="302"/>
      <c r="BA143" s="302"/>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159.17552429631672</v>
      </c>
      <c r="F145" s="161">
        <f t="shared" ref="F145:H145" si="27">IF(F143="",F137,SUM(F143,F137))</f>
        <v>159.17552429631672</v>
      </c>
      <c r="G145" s="160">
        <f t="shared" si="27"/>
        <v>187.35399266375612</v>
      </c>
      <c r="H145" s="464">
        <f t="shared" si="27"/>
        <v>215.78672828723992</v>
      </c>
      <c r="I145" s="162" t="str">
        <f>IF(I143="",I137,SUM(I143,I137))</f>
        <v/>
      </c>
      <c r="J145" s="465"/>
      <c r="K145" s="302"/>
      <c r="L145" s="302"/>
      <c r="M145" s="302"/>
      <c r="N145" s="302"/>
      <c r="O145" s="302"/>
      <c r="P145" s="302"/>
      <c r="Q145" s="302"/>
      <c r="R145" s="302"/>
      <c r="S145" s="302"/>
      <c r="T145" s="302"/>
      <c r="U145" s="302"/>
      <c r="V145" s="302"/>
      <c r="W145" s="302"/>
      <c r="X145" s="302"/>
      <c r="Y145" s="302"/>
      <c r="Z145" s="302"/>
      <c r="AA145" s="302"/>
      <c r="AB145" s="302"/>
      <c r="AC145" s="302"/>
      <c r="AD145" s="302"/>
      <c r="AE145" s="302"/>
      <c r="AF145" s="302"/>
      <c r="AG145" s="302"/>
      <c r="AH145" s="302"/>
      <c r="AI145" s="302"/>
      <c r="AJ145" s="302"/>
      <c r="AK145" s="302"/>
      <c r="AL145" s="302"/>
      <c r="AM145" s="302"/>
      <c r="AN145" s="302"/>
      <c r="AO145" s="302"/>
      <c r="AP145" s="302"/>
      <c r="AQ145" s="302"/>
      <c r="AR145" s="302"/>
      <c r="AS145" s="302"/>
      <c r="AT145" s="302"/>
      <c r="AU145" s="302"/>
      <c r="AV145" s="302"/>
      <c r="AW145" s="302"/>
      <c r="AX145" s="302"/>
      <c r="AY145" s="302"/>
      <c r="AZ145" s="302"/>
      <c r="BA145" s="302"/>
    </row>
    <row r="146" spans="1:53" s="5" customFormat="1">
      <c r="B146" s="91"/>
      <c r="C146" s="15"/>
      <c r="D146" s="16"/>
      <c r="E146" s="15"/>
      <c r="F146" s="15"/>
      <c r="G146" s="15"/>
      <c r="H146" s="15"/>
      <c r="I146" s="15"/>
      <c r="J146" s="302"/>
      <c r="K146" s="302"/>
      <c r="L146" s="302"/>
      <c r="M146" s="302"/>
      <c r="N146" s="302"/>
      <c r="O146" s="302"/>
      <c r="P146" s="302"/>
      <c r="Q146" s="302"/>
      <c r="R146" s="302"/>
      <c r="S146" s="302"/>
      <c r="T146" s="302"/>
      <c r="U146" s="302"/>
      <c r="V146" s="302"/>
      <c r="W146" s="302"/>
      <c r="X146" s="302"/>
      <c r="Y146" s="302"/>
      <c r="Z146" s="302"/>
      <c r="AA146" s="302"/>
      <c r="AB146" s="302"/>
      <c r="AC146" s="302"/>
      <c r="AD146" s="302"/>
      <c r="AE146" s="302"/>
      <c r="AF146" s="302"/>
      <c r="AG146" s="302"/>
      <c r="AH146" s="302"/>
      <c r="AI146" s="302"/>
      <c r="AJ146" s="302"/>
      <c r="AK146" s="302"/>
      <c r="AL146" s="302"/>
      <c r="AM146" s="302"/>
      <c r="AN146" s="302"/>
      <c r="AO146" s="302"/>
      <c r="AP146" s="302"/>
      <c r="AQ146" s="302"/>
      <c r="AR146" s="302"/>
      <c r="AS146" s="302"/>
      <c r="AT146" s="302"/>
      <c r="AU146" s="302"/>
      <c r="AV146" s="302"/>
      <c r="AW146" s="302"/>
      <c r="AX146" s="302"/>
      <c r="AY146" s="302"/>
      <c r="AZ146" s="302"/>
      <c r="BA146" s="302"/>
    </row>
    <row r="147" spans="1:53" s="6" customFormat="1">
      <c r="A147" s="80"/>
      <c r="B147" s="95"/>
      <c r="C147" s="96" t="s">
        <v>491</v>
      </c>
      <c r="D147" s="97"/>
      <c r="E147" s="379"/>
      <c r="F147" s="379"/>
      <c r="G147" s="379"/>
      <c r="H147" s="379"/>
      <c r="I147" s="379"/>
      <c r="J147" s="304"/>
      <c r="K147" s="304"/>
      <c r="L147" s="304"/>
      <c r="M147" s="304"/>
      <c r="N147" s="304"/>
      <c r="O147" s="304"/>
      <c r="P147" s="304"/>
      <c r="Q147" s="304"/>
      <c r="R147" s="304"/>
      <c r="S147" s="304"/>
      <c r="T147" s="304"/>
      <c r="U147" s="304"/>
      <c r="V147" s="304"/>
      <c r="W147" s="304"/>
      <c r="X147" s="304"/>
      <c r="Y147" s="304"/>
      <c r="Z147" s="304"/>
      <c r="AA147" s="304"/>
      <c r="AB147" s="304"/>
      <c r="AC147" s="304"/>
      <c r="AD147" s="304"/>
      <c r="AE147" s="304"/>
      <c r="AF147" s="304"/>
      <c r="AG147" s="304"/>
      <c r="AH147" s="304"/>
      <c r="AI147" s="304"/>
      <c r="AJ147" s="304"/>
      <c r="AK147" s="304"/>
      <c r="AL147" s="304"/>
      <c r="AM147" s="304"/>
      <c r="AN147" s="304"/>
      <c r="AO147" s="304"/>
      <c r="AP147" s="304"/>
      <c r="AQ147" s="304"/>
      <c r="AR147" s="304"/>
      <c r="AS147" s="304"/>
      <c r="AT147" s="304"/>
      <c r="AU147" s="304"/>
      <c r="AV147" s="304"/>
      <c r="AW147" s="304"/>
      <c r="AX147" s="304"/>
      <c r="AY147" s="304"/>
      <c r="AZ147" s="304"/>
      <c r="BA147" s="304"/>
    </row>
    <row r="148" spans="1:53" s="6" customFormat="1">
      <c r="A148" s="84"/>
      <c r="B148" s="93" t="s">
        <v>2</v>
      </c>
      <c r="C148" s="321" t="s">
        <v>224</v>
      </c>
      <c r="D148" s="417"/>
      <c r="E148" s="105">
        <f>IF(E18="","",ROUND(IF($D$148&lt;&gt;"",$D$148*SUM(E61,E114,E123,E145),IFERROR('Mat Individual e Uniformes'!J4/Proposta!$J$6,"")),2))</f>
        <v>99</v>
      </c>
      <c r="F148" s="105">
        <f>IF(F18="","",ROUND(IF($D$148&lt;&gt;"",$D$148*SUM(F61,F114,F123,F145),IFERROR('Mat Individual e Uniformes'!K4/Proposta!$J$6,"")),2))</f>
        <v>99</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4"/>
      <c r="K148" s="304"/>
      <c r="L148" s="304"/>
      <c r="M148" s="304"/>
      <c r="N148" s="304"/>
      <c r="O148" s="304"/>
      <c r="P148" s="304"/>
      <c r="Q148" s="304"/>
      <c r="R148" s="304"/>
      <c r="S148" s="304"/>
      <c r="T148" s="304"/>
      <c r="U148" s="304"/>
      <c r="V148" s="304"/>
      <c r="W148" s="304"/>
      <c r="X148" s="304"/>
      <c r="Y148" s="304"/>
      <c r="Z148" s="304"/>
      <c r="AA148" s="304"/>
      <c r="AB148" s="304"/>
      <c r="AC148" s="304"/>
      <c r="AD148" s="304"/>
      <c r="AE148" s="304"/>
      <c r="AF148" s="304"/>
      <c r="AG148" s="304"/>
      <c r="AH148" s="304"/>
      <c r="AI148" s="304"/>
      <c r="AJ148" s="304"/>
      <c r="AK148" s="304"/>
      <c r="AL148" s="304"/>
      <c r="AM148" s="304"/>
      <c r="AN148" s="304"/>
      <c r="AO148" s="304"/>
      <c r="AP148" s="304"/>
      <c r="AQ148" s="304"/>
      <c r="AR148" s="304"/>
      <c r="AS148" s="304"/>
      <c r="AT148" s="304"/>
      <c r="AU148" s="304"/>
      <c r="AV148" s="304"/>
      <c r="AW148" s="304"/>
      <c r="AX148" s="304"/>
      <c r="AY148" s="304"/>
      <c r="AZ148" s="304"/>
      <c r="BA148" s="304"/>
    </row>
    <row r="149" spans="1:53" s="6" customFormat="1">
      <c r="A149" s="84"/>
      <c r="B149" s="93" t="s">
        <v>1</v>
      </c>
      <c r="C149" s="321" t="s">
        <v>225</v>
      </c>
      <c r="D149" s="417">
        <f>12%/88%</f>
        <v>0.13636363636363635</v>
      </c>
      <c r="E149" s="105">
        <f>IFERROR(
IF(E18="","",ROUND(
IF($D$149&lt;&gt;"",$D$149*SUM(E61,E114,E123,E145,E148),
0),2)),0)</f>
        <v>653.84</v>
      </c>
      <c r="F149" s="105">
        <f t="shared" ref="F149:H149" si="28">IFERROR(
IF(F18="","",ROUND(
IF($D$149&lt;&gt;"",$D$149*SUM(F61,F114,F123,F145,F148),
0),2)),0)</f>
        <v>653.84</v>
      </c>
      <c r="G149" s="105">
        <f t="shared" si="28"/>
        <v>737.36</v>
      </c>
      <c r="H149" s="105">
        <f t="shared" si="28"/>
        <v>838.95</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4"/>
      <c r="K149" s="304"/>
      <c r="L149" s="304"/>
      <c r="M149" s="304"/>
      <c r="N149" s="304"/>
      <c r="O149" s="304"/>
      <c r="P149" s="304"/>
      <c r="Q149" s="304"/>
      <c r="R149" s="304"/>
      <c r="S149" s="304"/>
      <c r="T149" s="304"/>
      <c r="U149" s="304"/>
      <c r="V149" s="304"/>
      <c r="W149" s="304"/>
      <c r="X149" s="304"/>
      <c r="Y149" s="304"/>
      <c r="Z149" s="304"/>
      <c r="AA149" s="304"/>
      <c r="AB149" s="304"/>
      <c r="AC149" s="304"/>
      <c r="AD149" s="304"/>
      <c r="AE149" s="304"/>
      <c r="AF149" s="304"/>
      <c r="AG149" s="304"/>
      <c r="AH149" s="304"/>
      <c r="AI149" s="304"/>
      <c r="AJ149" s="304"/>
      <c r="AK149" s="304"/>
      <c r="AL149" s="304"/>
      <c r="AM149" s="304"/>
      <c r="AN149" s="304"/>
      <c r="AO149" s="304"/>
      <c r="AP149" s="304"/>
      <c r="AQ149" s="304"/>
      <c r="AR149" s="304"/>
      <c r="AS149" s="304"/>
      <c r="AT149" s="304"/>
      <c r="AU149" s="304"/>
      <c r="AV149" s="304"/>
      <c r="AW149" s="304"/>
      <c r="AX149" s="304"/>
      <c r="AY149" s="304"/>
      <c r="AZ149" s="304"/>
      <c r="BA149" s="304"/>
    </row>
    <row r="150" spans="1:53" s="5" customFormat="1">
      <c r="A150" s="79"/>
      <c r="B150" s="163"/>
      <c r="C150" s="96" t="s">
        <v>219</v>
      </c>
      <c r="D150" s="159"/>
      <c r="E150" s="161">
        <f>IF(E18="","",SUM(E148:E149))</f>
        <v>752.84</v>
      </c>
      <c r="F150" s="161">
        <f>IF(F18="","",SUM(F148:F149))</f>
        <v>752.84</v>
      </c>
      <c r="G150" s="161">
        <f>IF(G18="","",SUM(G148:G149))</f>
        <v>737.36</v>
      </c>
      <c r="H150" s="161">
        <f>IF(H18="","",SUM(H148:H149))</f>
        <v>838.95</v>
      </c>
      <c r="I150" s="161" t="str">
        <f>IF(I18="","",SUM(#REF!,#REF!))</f>
        <v/>
      </c>
      <c r="J150" s="302"/>
      <c r="K150" s="302"/>
      <c r="L150" s="302"/>
      <c r="M150" s="302"/>
      <c r="N150" s="302"/>
      <c r="O150" s="302"/>
      <c r="P150" s="302"/>
      <c r="Q150" s="302"/>
      <c r="R150" s="302"/>
      <c r="S150" s="302"/>
      <c r="T150" s="302"/>
      <c r="U150" s="302"/>
      <c r="V150" s="302"/>
      <c r="W150" s="302"/>
      <c r="X150" s="302"/>
      <c r="Y150" s="302"/>
      <c r="Z150" s="302"/>
      <c r="AA150" s="302"/>
      <c r="AB150" s="302"/>
      <c r="AC150" s="302"/>
      <c r="AD150" s="302"/>
      <c r="AE150" s="302"/>
      <c r="AF150" s="302"/>
      <c r="AG150" s="302"/>
      <c r="AH150" s="302"/>
      <c r="AI150" s="302"/>
      <c r="AJ150" s="302"/>
      <c r="AK150" s="302"/>
      <c r="AL150" s="302"/>
      <c r="AM150" s="302"/>
      <c r="AN150" s="302"/>
      <c r="AO150" s="302"/>
      <c r="AP150" s="302"/>
      <c r="AQ150" s="302"/>
      <c r="AR150" s="302"/>
      <c r="AS150" s="302"/>
      <c r="AT150" s="302"/>
      <c r="AU150" s="302"/>
      <c r="AV150" s="302"/>
      <c r="AW150" s="302"/>
      <c r="AX150" s="302"/>
      <c r="AY150" s="302"/>
      <c r="AZ150" s="302"/>
      <c r="BA150" s="302"/>
    </row>
    <row r="151" spans="1:53">
      <c r="F151" s="9"/>
      <c r="G151" s="9"/>
      <c r="H151" s="9"/>
      <c r="I151" s="9"/>
    </row>
    <row r="152" spans="1:53" s="6" customFormat="1">
      <c r="A152" s="80"/>
      <c r="B152" s="95"/>
      <c r="C152" s="96" t="s">
        <v>226</v>
      </c>
      <c r="D152" s="97"/>
      <c r="E152" s="379"/>
      <c r="F152" s="379"/>
      <c r="G152" s="379"/>
      <c r="H152" s="379"/>
      <c r="I152" s="379"/>
      <c r="J152" s="304"/>
      <c r="K152" s="304"/>
      <c r="L152" s="304"/>
      <c r="M152" s="304"/>
      <c r="N152" s="304"/>
      <c r="O152" s="304"/>
      <c r="P152" s="304"/>
      <c r="Q152" s="304"/>
      <c r="R152" s="304"/>
      <c r="S152" s="304"/>
      <c r="T152" s="304"/>
      <c r="U152" s="304"/>
      <c r="V152" s="304"/>
      <c r="W152" s="304"/>
      <c r="X152" s="304"/>
      <c r="Y152" s="304"/>
      <c r="Z152" s="304"/>
      <c r="AA152" s="304"/>
      <c r="AB152" s="304"/>
      <c r="AC152" s="304"/>
      <c r="AD152" s="304"/>
      <c r="AE152" s="304"/>
      <c r="AF152" s="304"/>
      <c r="AG152" s="304"/>
      <c r="AH152" s="304"/>
      <c r="AI152" s="304"/>
      <c r="AJ152" s="304"/>
      <c r="AK152" s="304"/>
      <c r="AL152" s="304"/>
      <c r="AM152" s="304"/>
      <c r="AN152" s="304"/>
      <c r="AO152" s="304"/>
      <c r="AP152" s="304"/>
      <c r="AQ152" s="304"/>
      <c r="AR152" s="304"/>
      <c r="AS152" s="304"/>
      <c r="AT152" s="304"/>
      <c r="AU152" s="304"/>
      <c r="AV152" s="304"/>
      <c r="AW152" s="304"/>
      <c r="AX152" s="304"/>
      <c r="AY152" s="304"/>
      <c r="AZ152" s="304"/>
      <c r="BA152" s="304"/>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4"/>
      <c r="K154" s="304"/>
      <c r="L154" s="304"/>
      <c r="M154" s="304"/>
      <c r="N154" s="304"/>
      <c r="O154" s="304"/>
      <c r="P154" s="304"/>
      <c r="Q154" s="304"/>
      <c r="R154" s="304"/>
      <c r="S154" s="304"/>
      <c r="T154" s="304"/>
      <c r="U154" s="304"/>
      <c r="V154" s="304"/>
      <c r="W154" s="304"/>
      <c r="X154" s="304"/>
      <c r="Y154" s="304"/>
      <c r="Z154" s="304"/>
      <c r="AA154" s="304"/>
      <c r="AB154" s="304"/>
      <c r="AC154" s="304"/>
      <c r="AD154" s="304"/>
      <c r="AE154" s="304"/>
      <c r="AF154" s="304"/>
      <c r="AG154" s="304"/>
      <c r="AH154" s="304"/>
      <c r="AI154" s="304"/>
      <c r="AJ154" s="304"/>
      <c r="AK154" s="304"/>
      <c r="AL154" s="304"/>
      <c r="AM154" s="304"/>
      <c r="AN154" s="304"/>
      <c r="AO154" s="304"/>
      <c r="AP154" s="304"/>
      <c r="AQ154" s="304"/>
      <c r="AR154" s="304"/>
      <c r="AS154" s="304"/>
      <c r="AT154" s="304"/>
      <c r="AU154" s="304"/>
      <c r="AV154" s="304"/>
      <c r="AW154" s="304"/>
      <c r="AX154" s="304"/>
      <c r="AY154" s="304"/>
      <c r="AZ154" s="304"/>
      <c r="BA154" s="304"/>
    </row>
    <row r="155" spans="1:53">
      <c r="A155" s="85"/>
      <c r="B155" s="93" t="s">
        <v>2</v>
      </c>
      <c r="C155" s="94" t="s">
        <v>227</v>
      </c>
      <c r="D155" s="417">
        <f>IFERROR(INDEX('Apoio - Notas Explicativas'!Q:Q,MATCH(C155,'Apoio - Notas Explicativas'!C:C,0)),"")</f>
        <v>0.05</v>
      </c>
      <c r="E155" s="105">
        <f>IF(E18="","",IFERROR(ROUND($D$155*SUM(E61,E114,E123,E145,E150),2),""))</f>
        <v>272.43</v>
      </c>
      <c r="F155" s="105">
        <f>IF(F18="","",IFERROR(ROUND($D$155*SUM(F61,F114,F123,F145,F150),2),""))</f>
        <v>272.43</v>
      </c>
      <c r="G155" s="105">
        <f>IF(G18="","",IFERROR(ROUND($D$155*SUM(G61,G114,G123,G145,G150),2),""))</f>
        <v>307.23</v>
      </c>
      <c r="H155" s="105">
        <f>IF(H18="","",IFERROR(ROUND($D$155*SUM(H61,H114,H123,H145,H150),2),""))</f>
        <v>349.56</v>
      </c>
      <c r="I155" s="105" t="str">
        <f>IF(I18="","",IFERROR($D$155*SUM(I61,I114,I123,I145,I150),""))</f>
        <v/>
      </c>
    </row>
    <row r="156" spans="1:53">
      <c r="A156" s="84"/>
      <c r="B156" s="93" t="s">
        <v>1</v>
      </c>
      <c r="C156" s="94" t="s">
        <v>228</v>
      </c>
      <c r="D156" s="417">
        <f>IFERROR(INDEX('Apoio - Notas Explicativas'!Q:Q,MATCH(C156,'Apoio - Notas Explicativas'!C:C,0)),"")</f>
        <v>0.1</v>
      </c>
      <c r="E156" s="105">
        <f>IF(E18="","",IFERROR(ROUND($D$156*SUM(E155,E61,E114,E123,E145,E150),2),""))</f>
        <v>572.11</v>
      </c>
      <c r="F156" s="105">
        <f>IF(F18="","",IFERROR(ROUND($D$156*SUM(F155,F61,F114,F123,F145,F150),2),""))</f>
        <v>572.11</v>
      </c>
      <c r="G156" s="105">
        <f>IF(G18="","",IFERROR(ROUND($D$156*SUM(G155,G61,G114,G123,G145,G150),2),""))</f>
        <v>645.19000000000005</v>
      </c>
      <c r="H156" s="105">
        <f>IF(H18="","",IFERROR(ROUND($D$156*SUM(H155,H61,H114,H123,H145,H150),2),""))</f>
        <v>734.08</v>
      </c>
      <c r="I156" s="105" t="str">
        <f>IF(I18="","",IFERROR($D$156*SUM(I155,I61,I114,I123,I145,I150),""))</f>
        <v/>
      </c>
    </row>
    <row r="157" spans="1:53" s="5" customFormat="1">
      <c r="A157" s="82"/>
      <c r="B157" s="177"/>
      <c r="C157" s="178" t="s">
        <v>231</v>
      </c>
      <c r="D157" s="181"/>
      <c r="E157" s="182">
        <f>IF(E18="","",SUM(E155:E156))</f>
        <v>844.54</v>
      </c>
      <c r="F157" s="182">
        <f>IF(F18="","",SUM(F155:F156))</f>
        <v>844.54</v>
      </c>
      <c r="G157" s="182">
        <f>IF(G18="","",SUM(G155:G156))</f>
        <v>952.42000000000007</v>
      </c>
      <c r="H157" s="182">
        <f>IF(H18="","",SUM(H155:H156))</f>
        <v>1083.6400000000001</v>
      </c>
      <c r="I157" s="180" t="str">
        <f>IF(I18="","",SUM(I155:I156))</f>
        <v/>
      </c>
      <c r="J157" s="302"/>
      <c r="K157" s="302"/>
      <c r="L157" s="302"/>
      <c r="M157" s="302"/>
      <c r="N157" s="302"/>
      <c r="O157" s="302"/>
      <c r="P157" s="302"/>
      <c r="Q157" s="302"/>
      <c r="R157" s="302"/>
      <c r="S157" s="302"/>
      <c r="T157" s="302"/>
      <c r="U157" s="302"/>
      <c r="V157" s="302"/>
      <c r="W157" s="302"/>
      <c r="X157" s="302"/>
      <c r="Y157" s="302"/>
      <c r="Z157" s="302"/>
      <c r="AA157" s="302"/>
      <c r="AB157" s="302"/>
      <c r="AC157" s="302"/>
      <c r="AD157" s="302"/>
      <c r="AE157" s="302"/>
      <c r="AF157" s="302"/>
      <c r="AG157" s="302"/>
      <c r="AH157" s="302"/>
      <c r="AI157" s="302"/>
      <c r="AJ157" s="302"/>
      <c r="AK157" s="302"/>
      <c r="AL157" s="302"/>
      <c r="AM157" s="302"/>
      <c r="AN157" s="302"/>
      <c r="AO157" s="302"/>
      <c r="AP157" s="302"/>
      <c r="AQ157" s="302"/>
      <c r="AR157" s="302"/>
      <c r="AS157" s="302"/>
      <c r="AT157" s="302"/>
      <c r="AU157" s="302"/>
      <c r="AV157" s="302"/>
      <c r="AW157" s="302"/>
      <c r="AX157" s="302"/>
      <c r="AY157" s="302"/>
      <c r="AZ157" s="302"/>
      <c r="BA157" s="302"/>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4"/>
      <c r="K159" s="304"/>
      <c r="L159" s="304"/>
      <c r="M159" s="304"/>
      <c r="N159" s="304"/>
      <c r="O159" s="304"/>
      <c r="P159" s="304"/>
      <c r="Q159" s="304"/>
      <c r="R159" s="304"/>
      <c r="S159" s="304"/>
      <c r="T159" s="304"/>
      <c r="U159" s="304"/>
      <c r="V159" s="304"/>
      <c r="W159" s="304"/>
      <c r="X159" s="304"/>
      <c r="Y159" s="304"/>
      <c r="Z159" s="304"/>
      <c r="AA159" s="304"/>
      <c r="AB159" s="304"/>
      <c r="AC159" s="304"/>
      <c r="AD159" s="304"/>
      <c r="AE159" s="304"/>
      <c r="AF159" s="304"/>
      <c r="AG159" s="304"/>
      <c r="AH159" s="304"/>
      <c r="AI159" s="304"/>
      <c r="AJ159" s="304"/>
      <c r="AK159" s="304"/>
      <c r="AL159" s="304"/>
      <c r="AM159" s="304"/>
      <c r="AN159" s="304"/>
      <c r="AO159" s="304"/>
      <c r="AP159" s="304"/>
      <c r="AQ159" s="304"/>
      <c r="AR159" s="304"/>
      <c r="AS159" s="304"/>
      <c r="AT159" s="304"/>
      <c r="AU159" s="304"/>
      <c r="AV159" s="304"/>
      <c r="AW159" s="304"/>
      <c r="AX159" s="304"/>
      <c r="AY159" s="304"/>
      <c r="AZ159" s="304"/>
      <c r="BA159" s="304"/>
    </row>
    <row r="160" spans="1:53">
      <c r="A160" s="84"/>
      <c r="B160" s="93" t="s">
        <v>2</v>
      </c>
      <c r="C160" s="94" t="s">
        <v>43</v>
      </c>
      <c r="D160" s="402">
        <f>IFERROR(INDEX('Apoio - Notas Explicativas'!Q:Q,MATCH(C160,'Apoio - Notas Explicativas'!C:C,0)),"")</f>
        <v>0.03</v>
      </c>
      <c r="E160" s="105">
        <f>IF(E18="","",IFERROR(ROUND(SUM(E$157,E$61,E$114,E$123,E$145,E$150)*$D160/(1-SUM($D$160:$D$165,E$163)),2),""))</f>
        <v>201.17</v>
      </c>
      <c r="F160" s="105">
        <f>IF(F18="","",IFERROR(ROUND(SUM(F$157,F$61,F$114,F$123,F$145,F$150)*$D160/(1-SUM($D$160:$D$165,F$163)),2),""))</f>
        <v>201.17</v>
      </c>
      <c r="G160" s="105">
        <f>IF(G18="","",IFERROR(ROUND(SUM(G$157,G$61,G$114,G$123,G$145,G$150)*$D160/(1-SUM($D$160:$D$165,G$163)),2),""))</f>
        <v>226.86</v>
      </c>
      <c r="H160" s="105">
        <f>IF(H18="","",IFERROR(ROUND(SUM(H$157,H$61,H$114,H$123,H$145,H$150)*$D160/(1-SUM($D$160:$D$165,H$163)),2),""))</f>
        <v>258.12</v>
      </c>
      <c r="I160" s="105" t="str">
        <f>IF(I18="","",IFERROR(SUM(I$157,I$61,I$114,I$123,I$145,I$150)*$D160/(1-SUM($D$160:$D$165,I$163)),""))</f>
        <v/>
      </c>
    </row>
    <row r="161" spans="1:53">
      <c r="A161" s="85"/>
      <c r="B161" s="93" t="s">
        <v>1</v>
      </c>
      <c r="C161" s="94" t="s">
        <v>107</v>
      </c>
      <c r="D161" s="402">
        <f>IFERROR(INDEX('Apoio - Notas Explicativas'!Q:Q,MATCH(C161,'Apoio - Notas Explicativas'!C:C,0)),"")</f>
        <v>6.4999999999999997E-3</v>
      </c>
      <c r="E161" s="105">
        <f>IF(E20="","",IFERROR(ROUND(SUM(E$157,E$61,E$114,E$123,E$145,E$150)*$D161/(1-SUM($D$160:$D$165,E$163)),2),""))</f>
        <v>43.59</v>
      </c>
      <c r="F161" s="105">
        <f>IF(F20="","",IFERROR(ROUND(SUM(F$157,F$61,F$114,F$123,F$145,F$150)*$D161/(1-SUM($D$160:$D$165,F$163)),2),""))</f>
        <v>43.59</v>
      </c>
      <c r="G161" s="105">
        <f>IF(G20="","",IFERROR(ROUND(SUM(G$157,G$61,G$114,G$123,G$145,G$150)*$D161/(1-SUM($D$160:$D$165,G$163)),2),""))</f>
        <v>49.15</v>
      </c>
      <c r="H161" s="105">
        <f>IF(H20="","",IFERROR(ROUND(SUM(H$157,H$61,H$114,H$123,H$145,H$150)*$D161/(1-SUM($D$160:$D$165,H$163)),2),""))</f>
        <v>55.93</v>
      </c>
      <c r="I161" s="105" t="str">
        <f>IF(I20="","",IFERROR(SUM(I$157,I$61,I$114,I$123,I$145,I$150)*$D161/(1-SUM($D$160:$D$165,I$163)),""))</f>
        <v/>
      </c>
    </row>
    <row r="162" spans="1:53">
      <c r="A162" s="85"/>
      <c r="B162" s="750" t="s">
        <v>0</v>
      </c>
      <c r="C162" s="166" t="s">
        <v>44</v>
      </c>
      <c r="D162" s="425"/>
      <c r="E162" s="154"/>
      <c r="F162" s="154"/>
      <c r="G162" s="154"/>
      <c r="H162" s="154"/>
      <c r="I162" s="154"/>
    </row>
    <row r="163" spans="1:53">
      <c r="A163" s="85"/>
      <c r="B163" s="751"/>
      <c r="C163" s="142" t="s">
        <v>353</v>
      </c>
      <c r="D163" s="187"/>
      <c r="E163" s="398">
        <f>IF(E18="","",
IF($D$13="Simples",INDEX('Apoio - Notas Explicativas'!$Q:$Q,MATCH($C$162,'Apoio - Notas Explicativas'!$C:$C,0)),
IFERROR(VLOOKUP(E$18,'Apoio - Posto'!$A:$AA,20,FALSE),
INDEX('Apoio - Notas Explicativas'!$Q:$Q,MATCH($C$162,'Apoio - Notas Explicativas'!$C:$C,0))
)))</f>
        <v>2.5000000000000001E-2</v>
      </c>
      <c r="F163" s="398">
        <f>IF(F18="","",
IF($D$13="Simples",INDEX('Apoio - Notas Explicativas'!$Q:$Q,MATCH($C$162,'Apoio - Notas Explicativas'!$C:$C,0)),
IFERROR(VLOOKUP(F$18,'Apoio - Posto'!$A:$AA,20,FALSE),
INDEX('Apoio - Notas Explicativas'!$Q:$Q,MATCH($C$162,'Apoio - Notas Explicativas'!$C:$C,0))
)))</f>
        <v>2.5000000000000001E-2</v>
      </c>
      <c r="G163" s="398">
        <f>IF(G18="","",
IF($D$13="Simples",INDEX('Apoio - Notas Explicativas'!$Q:$Q,MATCH($C$162,'Apoio - Notas Explicativas'!$C:$C,0)),
IFERROR(VLOOKUP(G$18,'Apoio - Posto'!$A:$AA,20,FALSE),
INDEX('Apoio - Notas Explicativas'!$Q:$Q,MATCH($C$162,'Apoio - Notas Explicativas'!$C:$C,0))
)))</f>
        <v>2.5000000000000001E-2</v>
      </c>
      <c r="H163" s="398">
        <f>IF(H18="","",
IF($D$13="Simples",INDEX('Apoio - Notas Explicativas'!$Q:$Q,MATCH($C$162,'Apoio - Notas Explicativas'!$C:$C,0)),
IFERROR(VLOOKUP(H$18,'Apoio - Posto'!$A:$AA,20,FALSE),
INDEX('Apoio - Notas Explicativas'!$Q:$Q,MATCH($C$162,'Apoio - Notas Explicativas'!$C:$C,0))
)))</f>
        <v>2.5000000000000001E-2</v>
      </c>
      <c r="I163" s="398" t="str">
        <f>IF(I18="","",IFERROR(VLOOKUP(I$18,'Apoio - Posto'!$A:$AA,20,FALSE),INDEX('Apoio - Notas Explicativas'!$Q:$Q,MATCH($C$162,'Apoio - Notas Explicativas'!$C:$C,0))))</f>
        <v/>
      </c>
    </row>
    <row r="164" spans="1:53">
      <c r="A164" s="84"/>
      <c r="B164" s="752"/>
      <c r="C164" s="94"/>
      <c r="D164" s="426" t="s">
        <v>41</v>
      </c>
      <c r="E164" s="153">
        <f>IF(E21="","",IFERROR(ROUND(SUM(E$157,E$61,E$114,E$123,E$145,E$150)*E163/(1-SUM($D$160:$D$165,E163)),2),""))</f>
        <v>167.64</v>
      </c>
      <c r="F164" s="153">
        <f>IF(F21="","",IFERROR(ROUND(SUM(F$157,F$61,F$114,F$123,F$145,F$150)*F163/(1-SUM($D$160:$D$165,F163)),2),""))</f>
        <v>167.64</v>
      </c>
      <c r="G164" s="153">
        <f>IF(G21="","",IFERROR(ROUND(SUM(G$157,G$61,G$114,G$123,G$145,G$150)*G163/(1-SUM($D$160:$D$165,G163)),2),""))</f>
        <v>189.05</v>
      </c>
      <c r="H164" s="153">
        <f>IF(H21="","",IFERROR(ROUND(SUM(H$157,H$61,H$114,H$123,H$145,H$150)*H163/(1-SUM($D$160:$D$165,H163)),2),""))</f>
        <v>215.1</v>
      </c>
      <c r="I164" s="153" t="str">
        <f>IF(I21="","",IFERROR(SUM(I$157,I$61,I$114,I$123,I$145,I$150)*I163/(1-SUM($D$160:$D$165,I163)),""))</f>
        <v/>
      </c>
    </row>
    <row r="165" spans="1:53">
      <c r="A165" s="84"/>
      <c r="B165" s="400" t="s">
        <v>3</v>
      </c>
      <c r="C165" s="401" t="s">
        <v>303</v>
      </c>
      <c r="D165" s="402">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412.4</v>
      </c>
      <c r="F166" s="198">
        <f>IF(F18="","",SUM(F160:F161,F164:F165))</f>
        <v>412.4</v>
      </c>
      <c r="G166" s="198">
        <f>IF(G18="","",SUM(G160:G161,G164:G165))</f>
        <v>465.06</v>
      </c>
      <c r="H166" s="198">
        <f>IF(H18="","",SUM(H160:H161,H164:H165))</f>
        <v>529.15</v>
      </c>
      <c r="I166" s="198" t="str">
        <f>IF(I18="","",SUM(I160:I161,I164:I165))</f>
        <v/>
      </c>
      <c r="J166" s="302"/>
      <c r="K166" s="302"/>
      <c r="L166" s="302"/>
      <c r="M166" s="302"/>
      <c r="N166" s="302"/>
      <c r="O166" s="302"/>
      <c r="P166" s="302"/>
      <c r="Q166" s="302"/>
      <c r="R166" s="302"/>
      <c r="S166" s="302"/>
      <c r="T166" s="302"/>
      <c r="U166" s="302"/>
      <c r="V166" s="302"/>
      <c r="W166" s="302"/>
      <c r="X166" s="302"/>
      <c r="Y166" s="302"/>
      <c r="Z166" s="302"/>
      <c r="AA166" s="302"/>
      <c r="AB166" s="302"/>
      <c r="AC166" s="302"/>
      <c r="AD166" s="302"/>
      <c r="AE166" s="302"/>
      <c r="AF166" s="302"/>
      <c r="AG166" s="302"/>
      <c r="AH166" s="302"/>
      <c r="AI166" s="302"/>
      <c r="AJ166" s="302"/>
      <c r="AK166" s="302"/>
      <c r="AL166" s="302"/>
      <c r="AM166" s="302"/>
      <c r="AN166" s="302"/>
      <c r="AO166" s="302"/>
      <c r="AP166" s="302"/>
      <c r="AQ166" s="302"/>
      <c r="AR166" s="302"/>
      <c r="AS166" s="302"/>
      <c r="AT166" s="302"/>
      <c r="AU166" s="302"/>
      <c r="AV166" s="302"/>
      <c r="AW166" s="302"/>
      <c r="AX166" s="302"/>
      <c r="AY166" s="302"/>
      <c r="AZ166" s="302"/>
      <c r="BA166" s="302"/>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1256.94</v>
      </c>
      <c r="F168" s="161">
        <f>IF(F18="","",SUM(F166,F157))</f>
        <v>1256.94</v>
      </c>
      <c r="G168" s="161">
        <f>IF(G18="","",SUM(G166,G157))</f>
        <v>1417.48</v>
      </c>
      <c r="H168" s="161">
        <f>IF(H18="","",SUM(H166,H157))</f>
        <v>1612.79</v>
      </c>
      <c r="I168" s="162" t="str">
        <f>IF(I18="","",SUM(I166,I157))</f>
        <v/>
      </c>
      <c r="J168" s="302"/>
      <c r="K168" s="302"/>
      <c r="L168" s="302"/>
      <c r="M168" s="302"/>
      <c r="N168" s="302"/>
      <c r="O168" s="302"/>
      <c r="P168" s="302"/>
      <c r="Q168" s="302"/>
      <c r="R168" s="302"/>
      <c r="S168" s="302"/>
      <c r="T168" s="302"/>
      <c r="U168" s="302"/>
      <c r="V168" s="302"/>
      <c r="W168" s="302"/>
      <c r="X168" s="302"/>
      <c r="Y168" s="302"/>
      <c r="Z168" s="302"/>
      <c r="AA168" s="302"/>
      <c r="AB168" s="302"/>
      <c r="AC168" s="302"/>
      <c r="AD168" s="302"/>
      <c r="AE168" s="302"/>
      <c r="AF168" s="302"/>
      <c r="AG168" s="302"/>
      <c r="AH168" s="302"/>
      <c r="AI168" s="302"/>
      <c r="AJ168" s="302"/>
      <c r="AK168" s="302"/>
      <c r="AL168" s="302"/>
      <c r="AM168" s="302"/>
      <c r="AN168" s="302"/>
      <c r="AO168" s="302"/>
      <c r="AP168" s="302"/>
      <c r="AQ168" s="302"/>
      <c r="AR168" s="302"/>
      <c r="AS168" s="302"/>
      <c r="AT168" s="302"/>
      <c r="AU168" s="302"/>
      <c r="AV168" s="302"/>
      <c r="AW168" s="302"/>
      <c r="AX168" s="302"/>
      <c r="AY168" s="302"/>
      <c r="AZ168" s="302"/>
      <c r="BA168" s="302"/>
    </row>
    <row r="169" spans="1:53">
      <c r="F169" s="9"/>
      <c r="G169" s="9"/>
      <c r="H169" s="9"/>
      <c r="I169" s="9"/>
      <c r="L169"/>
      <c r="M169"/>
      <c r="N169"/>
      <c r="O169"/>
      <c r="P169"/>
      <c r="Q169"/>
      <c r="R169"/>
    </row>
    <row r="170" spans="1:53" s="6" customFormat="1">
      <c r="A170" s="80"/>
      <c r="B170" s="95"/>
      <c r="C170" s="96" t="s">
        <v>374</v>
      </c>
      <c r="D170" s="97"/>
      <c r="E170" s="379"/>
      <c r="F170" s="379"/>
      <c r="G170" s="379"/>
      <c r="H170" s="379"/>
      <c r="I170" s="379"/>
      <c r="J170" s="304"/>
      <c r="K170" s="304"/>
      <c r="L170"/>
      <c r="M170"/>
      <c r="N170"/>
      <c r="O170"/>
      <c r="P170"/>
      <c r="Q170"/>
      <c r="R170"/>
      <c r="S170" s="304"/>
      <c r="T170" s="304"/>
      <c r="U170" s="304"/>
      <c r="V170" s="304"/>
      <c r="W170" s="304"/>
      <c r="X170" s="304"/>
      <c r="Y170" s="304"/>
      <c r="Z170" s="304"/>
      <c r="AA170" s="304"/>
      <c r="AB170" s="304"/>
      <c r="AC170" s="304"/>
      <c r="AD170" s="304"/>
      <c r="AE170" s="304"/>
      <c r="AF170" s="304"/>
      <c r="AG170" s="304"/>
      <c r="AH170" s="304"/>
      <c r="AI170" s="304"/>
      <c r="AJ170" s="304"/>
      <c r="AK170" s="304"/>
      <c r="AL170" s="304"/>
      <c r="AM170" s="304"/>
      <c r="AN170" s="304"/>
      <c r="AO170" s="304"/>
      <c r="AP170" s="304"/>
      <c r="AQ170" s="304"/>
      <c r="AR170" s="304"/>
      <c r="AS170" s="304"/>
      <c r="AT170" s="304"/>
      <c r="AU170" s="304"/>
      <c r="AV170" s="304"/>
      <c r="AW170" s="304"/>
      <c r="AX170" s="304"/>
      <c r="AY170" s="304"/>
      <c r="AZ170" s="304"/>
      <c r="BA170" s="304"/>
    </row>
    <row r="171" spans="1:53" ht="3.75" customHeight="1">
      <c r="A171" s="296"/>
      <c r="B171" s="3"/>
      <c r="C171" s="3"/>
      <c r="D171" s="3"/>
      <c r="E171" s="3"/>
      <c r="F171" s="3"/>
      <c r="G171" s="3"/>
      <c r="H171" s="3"/>
      <c r="I171" s="3"/>
      <c r="L171"/>
      <c r="M171"/>
      <c r="N171"/>
      <c r="O171"/>
      <c r="P171"/>
      <c r="Q171"/>
      <c r="R171"/>
    </row>
    <row r="172" spans="1:53">
      <c r="A172" s="296"/>
      <c r="B172" s="177"/>
      <c r="C172" s="178" t="s">
        <v>438</v>
      </c>
      <c r="D172" s="298"/>
      <c r="E172" s="406"/>
      <c r="F172" s="406"/>
      <c r="G172" s="406"/>
      <c r="H172" s="406"/>
      <c r="I172" s="406"/>
      <c r="L172"/>
      <c r="M172"/>
      <c r="N172"/>
      <c r="O172"/>
      <c r="P172"/>
      <c r="Q172"/>
      <c r="R172"/>
    </row>
    <row r="173" spans="1:53">
      <c r="A173" s="86"/>
      <c r="B173" s="93" t="s">
        <v>2</v>
      </c>
      <c r="C173" s="94" t="s">
        <v>375</v>
      </c>
      <c r="D173" s="183"/>
      <c r="E173" s="105">
        <f>IFERROR(IF(E18="","",E175/SUM(E52,INDEX('Apoio - Regime de Trabalho'!$I:$I,MATCH(E26,'Apoio - Regime de Trabalho'!$A:$A,0)))),"")</f>
        <v>34.924895833333331</v>
      </c>
      <c r="F173" s="105">
        <f>IFERROR(IF(F18="","",F175/SUM(F52,INDEX('Apoio - Regime de Trabalho'!$I:$I,MATCH(F26,'Apoio - Regime de Trabalho'!$A:$A,0)))),"")</f>
        <v>34.924895833333331</v>
      </c>
      <c r="G173" s="105">
        <f>IFERROR(IF(G18="","",G175/SUM(G52,INDEX('Apoio - Regime de Trabalho'!$I:$I,MATCH(G26,'Apoio - Regime de Trabalho'!$A:$A,0)))),"")</f>
        <v>39.386093750000001</v>
      </c>
      <c r="H173" s="105">
        <f>IFERROR(IF(H18="","",H175/SUM(H52,INDEX('Apoio - Regime de Trabalho'!$I:$I,MATCH(H26,'Apoio - Regime de Trabalho'!$A:$A,0)))),"")</f>
        <v>44.81270833333334</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304.8</v>
      </c>
      <c r="F174" s="105">
        <f>IF(F18="","",ROUND(SUM(F61,F114,F123,F145,F150,F168)/INDEX('Apoio - Regime de Trabalho'!$G:$G,MATCH(F26,'Apoio - Regime de Trabalho'!$A:$A,0)),2))</f>
        <v>304.8</v>
      </c>
      <c r="G174" s="105">
        <f>IF(G18="","",ROUND(SUM(G61,G114,G123,G145,G150,G168)/INDEX('Apoio - Regime de Trabalho'!$G:$G,MATCH(G26,'Apoio - Regime de Trabalho'!$A:$A,0)),2))</f>
        <v>343.73</v>
      </c>
      <c r="H174" s="105">
        <f>IF(H18="","",ROUND(SUM(H61,H114,H123,H145,H150,H168)/INDEX('Apoio - Regime de Trabalho'!$G:$G,MATCH(H26,'Apoio - Regime de Trabalho'!$A:$A,0)),2))</f>
        <v>391.09</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6705.58</v>
      </c>
      <c r="F175" s="105">
        <f>IF(F18="","",ROUND(SUM(F61,F114,F123,F145,F150,F168),2))</f>
        <v>6705.58</v>
      </c>
      <c r="G175" s="105">
        <f>IF(G18="","",ROUND(SUM(G61,G114,G123,G145,G150,G168),2))</f>
        <v>7562.13</v>
      </c>
      <c r="H175" s="105">
        <f>IF(H18="","",ROUND(SUM(H61,H114,H123,H145,H150,H168),2))</f>
        <v>8604.0400000000009</v>
      </c>
      <c r="I175" s="105" t="str">
        <f>IF(I18="","",SUM(I61,I114,I123,I145,I150,I168))</f>
        <v/>
      </c>
      <c r="L175"/>
      <c r="M175"/>
      <c r="N175"/>
      <c r="O175"/>
      <c r="P175"/>
      <c r="Q175"/>
      <c r="R175"/>
    </row>
    <row r="176" spans="1:53">
      <c r="A176" s="86"/>
      <c r="B176" s="93" t="s">
        <v>3</v>
      </c>
      <c r="C176" s="94" t="s">
        <v>440</v>
      </c>
      <c r="D176" s="183"/>
      <c r="E176" s="105">
        <f>IFERROR(ROUND(E175*E28,2),"")</f>
        <v>6705.58</v>
      </c>
      <c r="F176" s="105">
        <f t="shared" ref="F176:H176" si="29">IFERROR(ROUND(F175*F28,2),"")</f>
        <v>6705.58</v>
      </c>
      <c r="G176" s="105">
        <f t="shared" si="29"/>
        <v>7562.13</v>
      </c>
      <c r="H176" s="105">
        <f t="shared" si="29"/>
        <v>8604.0400000000009</v>
      </c>
      <c r="I176" s="105" t="str">
        <f>IFERROR(I175*I28,"")</f>
        <v/>
      </c>
      <c r="L176"/>
      <c r="M176"/>
      <c r="N176"/>
      <c r="O176"/>
      <c r="P176"/>
      <c r="Q176"/>
      <c r="R176"/>
    </row>
    <row r="177" spans="1:53" ht="3.75" customHeight="1">
      <c r="A177" s="296"/>
      <c r="B177" s="3"/>
      <c r="C177" s="3"/>
      <c r="D177" s="3"/>
      <c r="E177" s="3"/>
      <c r="F177" s="3"/>
      <c r="G177" s="3"/>
      <c r="H177" s="3"/>
      <c r="I177" s="3"/>
      <c r="L177"/>
      <c r="M177"/>
      <c r="N177"/>
      <c r="O177"/>
      <c r="P177"/>
      <c r="Q177"/>
      <c r="R177"/>
    </row>
    <row r="178" spans="1:53">
      <c r="A178" s="296"/>
      <c r="B178" s="177"/>
      <c r="C178" s="178" t="s">
        <v>469</v>
      </c>
      <c r="D178" s="298"/>
      <c r="E178" s="406"/>
      <c r="F178" s="406"/>
      <c r="G178" s="406"/>
      <c r="H178" s="406"/>
      <c r="I178" s="406"/>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43"/>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6"/>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6"/>
      <c r="B184" s="177"/>
      <c r="C184" s="178" t="s">
        <v>439</v>
      </c>
      <c r="D184" s="298"/>
      <c r="E184" s="406"/>
      <c r="F184" s="406"/>
      <c r="G184" s="406"/>
      <c r="H184" s="406"/>
      <c r="I184" s="406"/>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20"/>
      <c r="N185" s="413"/>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20"/>
      <c r="N186" s="41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3"/>
      <c r="O187" s="420"/>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20"/>
      <c r="N188" s="742"/>
      <c r="O188" s="414"/>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6"/>
      <c r="B190" s="95"/>
      <c r="C190" s="96" t="s">
        <v>380</v>
      </c>
      <c r="D190" s="96"/>
      <c r="E190" s="96"/>
      <c r="F190" s="96"/>
      <c r="G190" s="96"/>
      <c r="H190" s="96"/>
      <c r="I190" s="96"/>
      <c r="L190" s="96"/>
      <c r="M190" s="96"/>
      <c r="N190" s="96"/>
      <c r="O190" s="265"/>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6"/>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6"/>
      <c r="B192" s="177"/>
      <c r="C192" s="178" t="s">
        <v>629</v>
      </c>
      <c r="D192" s="406" t="s">
        <v>373</v>
      </c>
      <c r="E192" s="406" t="s">
        <v>655</v>
      </c>
      <c r="F192" s="406" t="s">
        <v>655</v>
      </c>
      <c r="G192" s="406" t="s">
        <v>655</v>
      </c>
      <c r="H192" s="406" t="s">
        <v>655</v>
      </c>
      <c r="I192" s="406"/>
      <c r="K192" s="1"/>
      <c r="L192" s="406" t="s">
        <v>653</v>
      </c>
      <c r="M192" s="406" t="s">
        <v>655</v>
      </c>
      <c r="N192" s="406" t="s">
        <v>322</v>
      </c>
      <c r="O192" s="406" t="s">
        <v>396</v>
      </c>
      <c r="Q192" s="414"/>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6"/>
      <c r="B193" s="421" t="s">
        <v>630</v>
      </c>
      <c r="C193" s="410" t="s">
        <v>358</v>
      </c>
      <c r="D193" s="717"/>
      <c r="E193" s="405" t="str">
        <f>IFERROR(8*E$173*'Apoio - Notas Explicativas'!$D$6/$D193,"")</f>
        <v/>
      </c>
      <c r="F193" s="405" t="str">
        <f>IFERROR((8*F$173*'Apoio - Notas Explicativas'!$D$6/$D193)*($F$27/$E$27),"")</f>
        <v/>
      </c>
      <c r="G193" s="405"/>
      <c r="H193" s="405"/>
      <c r="I193" s="405"/>
      <c r="K193" s="1" t="str">
        <f>IFERROR(L193/D193,"")</f>
        <v/>
      </c>
      <c r="L193" s="717"/>
      <c r="M193" s="407">
        <f>SUM(E193:I193)</f>
        <v>0</v>
      </c>
      <c r="N193" s="407">
        <f>L193*M193</f>
        <v>0</v>
      </c>
      <c r="O193" s="407">
        <f>N193*$D$12</f>
        <v>0</v>
      </c>
      <c r="R193" s="418"/>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6"/>
      <c r="B194" s="421" t="s">
        <v>631</v>
      </c>
      <c r="C194" s="410" t="s">
        <v>359</v>
      </c>
      <c r="D194" s="717"/>
      <c r="E194" s="405" t="str">
        <f>IFERROR(8*E$173*'Apoio - Notas Explicativas'!$D$6/$D194,"")</f>
        <v/>
      </c>
      <c r="F194" s="405" t="str">
        <f>IFERROR((8*F$173*'Apoio - Notas Explicativas'!$D$6/$D194)*($F$27/$E$27),"")</f>
        <v/>
      </c>
      <c r="G194" s="405"/>
      <c r="H194" s="405"/>
      <c r="I194" s="403"/>
      <c r="K194" s="1" t="str">
        <f>IFERROR(L194/D194,"")</f>
        <v/>
      </c>
      <c r="L194" s="717"/>
      <c r="M194" s="407">
        <f t="shared" ref="M194:M199" si="37">SUM(E194:I194)</f>
        <v>0</v>
      </c>
      <c r="N194" s="407">
        <f t="shared" ref="N194:N199" si="38">L194*M194</f>
        <v>0</v>
      </c>
      <c r="O194" s="407">
        <f t="shared" ref="O194:O199" si="39">N194*$D$12</f>
        <v>0</v>
      </c>
      <c r="Q194" s="418"/>
      <c r="R194" s="41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6"/>
      <c r="B195" s="421" t="s">
        <v>632</v>
      </c>
      <c r="C195" s="410" t="s">
        <v>360</v>
      </c>
      <c r="D195" s="717"/>
      <c r="E195" s="405" t="str">
        <f>IFERROR(8*E$173*'Apoio - Notas Explicativas'!$D$6/$D195,"")</f>
        <v/>
      </c>
      <c r="F195" s="405" t="str">
        <f>IFERROR((8*F$173*'Apoio - Notas Explicativas'!$D$6/$D195)*($F$27/$E$27),"")</f>
        <v/>
      </c>
      <c r="G195" s="405"/>
      <c r="H195" s="405"/>
      <c r="I195" s="403"/>
      <c r="K195" s="1" t="str">
        <f t="shared" ref="K195:K203" si="40">IFERROR(L195/D195,"")</f>
        <v/>
      </c>
      <c r="L195" s="717"/>
      <c r="M195" s="407">
        <f t="shared" si="37"/>
        <v>0</v>
      </c>
      <c r="N195" s="407">
        <f t="shared" si="38"/>
        <v>0</v>
      </c>
      <c r="O195" s="407">
        <f t="shared" si="39"/>
        <v>0</v>
      </c>
      <c r="R195" s="41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6"/>
      <c r="B196" s="421" t="s">
        <v>633</v>
      </c>
      <c r="C196" s="410" t="s">
        <v>361</v>
      </c>
      <c r="D196" s="717"/>
      <c r="E196" s="405" t="str">
        <f>IFERROR(8*E$173*'Apoio - Notas Explicativas'!$D$6/$D196,"")</f>
        <v/>
      </c>
      <c r="F196" s="405" t="str">
        <f>IFERROR((8*F$173*'Apoio - Notas Explicativas'!$D$6/$D196)*($F$27/$E$27),"")</f>
        <v/>
      </c>
      <c r="G196" s="405"/>
      <c r="H196" s="405"/>
      <c r="I196" s="403"/>
      <c r="K196" s="1" t="str">
        <f t="shared" si="40"/>
        <v/>
      </c>
      <c r="L196" s="717"/>
      <c r="M196" s="407">
        <f t="shared" si="37"/>
        <v>0</v>
      </c>
      <c r="N196" s="407">
        <f t="shared" si="38"/>
        <v>0</v>
      </c>
      <c r="O196" s="407">
        <f t="shared" si="39"/>
        <v>0</v>
      </c>
      <c r="R196" s="41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6"/>
      <c r="B197" s="421" t="s">
        <v>634</v>
      </c>
      <c r="C197" s="410" t="s">
        <v>356</v>
      </c>
      <c r="D197" s="717"/>
      <c r="E197" s="405" t="str">
        <f>IFERROR(8*E$173*'Apoio - Notas Explicativas'!$D$6/$D197,"")</f>
        <v/>
      </c>
      <c r="F197" s="405" t="str">
        <f>IFERROR((8*F$173*'Apoio - Notas Explicativas'!$D$6/$D197)*($F$27/$E$27),"")</f>
        <v/>
      </c>
      <c r="G197" s="405"/>
      <c r="H197" s="405"/>
      <c r="I197" s="403"/>
      <c r="K197" s="1" t="str">
        <f t="shared" si="40"/>
        <v/>
      </c>
      <c r="L197" s="717"/>
      <c r="M197" s="407">
        <f t="shared" si="37"/>
        <v>0</v>
      </c>
      <c r="N197" s="407">
        <f t="shared" si="38"/>
        <v>0</v>
      </c>
      <c r="O197" s="407">
        <f t="shared" si="39"/>
        <v>0</v>
      </c>
      <c r="R197" s="41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6"/>
      <c r="B198" s="421" t="s">
        <v>635</v>
      </c>
      <c r="C198" s="412" t="s">
        <v>389</v>
      </c>
      <c r="D198" s="717"/>
      <c r="E198" s="405" t="str">
        <f>IFERROR(8*E$173*'Apoio - Notas Explicativas'!$D$6/$D198,"")</f>
        <v/>
      </c>
      <c r="F198" s="405" t="str">
        <f>IFERROR((8*F$173*'Apoio - Notas Explicativas'!$D$6/$D198)*($F$27/$E$27),"")</f>
        <v/>
      </c>
      <c r="G198" s="405"/>
      <c r="H198" s="405"/>
      <c r="I198" s="403"/>
      <c r="K198" s="1" t="str">
        <f t="shared" si="40"/>
        <v/>
      </c>
      <c r="L198" s="717"/>
      <c r="M198" s="407">
        <f t="shared" si="37"/>
        <v>0</v>
      </c>
      <c r="N198" s="407">
        <f t="shared" si="38"/>
        <v>0</v>
      </c>
      <c r="O198" s="407">
        <f t="shared" si="39"/>
        <v>0</v>
      </c>
      <c r="R198" s="41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6"/>
      <c r="B199" s="421" t="s">
        <v>636</v>
      </c>
      <c r="C199" s="412" t="s">
        <v>390</v>
      </c>
      <c r="D199" s="717"/>
      <c r="E199" s="405" t="str">
        <f>IFERROR(8*E$173*'Apoio - Notas Explicativas'!$D$6/$D199,"")</f>
        <v/>
      </c>
      <c r="F199" s="405" t="str">
        <f>IFERROR((8*F$173*'Apoio - Notas Explicativas'!$D$6/$D199)*($F$27/$E$27),"")</f>
        <v/>
      </c>
      <c r="G199" s="405"/>
      <c r="H199" s="405"/>
      <c r="I199" s="403"/>
      <c r="K199" s="1" t="str">
        <f t="shared" si="40"/>
        <v/>
      </c>
      <c r="L199" s="717"/>
      <c r="M199" s="407">
        <f t="shared" si="37"/>
        <v>0</v>
      </c>
      <c r="N199" s="407">
        <f t="shared" si="38"/>
        <v>0</v>
      </c>
      <c r="O199" s="407">
        <f t="shared" si="39"/>
        <v>0</v>
      </c>
      <c r="R199" s="41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6"/>
      <c r="B200" s="422"/>
      <c r="C200" s="411"/>
      <c r="D200" s="409"/>
      <c r="E200" s="405" t="str">
        <f t="shared" ref="E200" si="41">IFERROR(ROUND(E$176/$D200,2),"")</f>
        <v/>
      </c>
      <c r="F200" s="297"/>
      <c r="G200" s="297"/>
      <c r="H200" s="297"/>
      <c r="I200" s="297"/>
      <c r="K200" s="1" t="str">
        <f t="shared" si="40"/>
        <v/>
      </c>
      <c r="L200" s="419"/>
      <c r="M200" s="408"/>
      <c r="N200" s="408"/>
      <c r="O200" s="408"/>
      <c r="R200" s="41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6"/>
      <c r="B201" s="423"/>
      <c r="C201" s="178" t="s">
        <v>637</v>
      </c>
      <c r="D201" s="406"/>
      <c r="E201" s="406"/>
      <c r="F201" s="406"/>
      <c r="G201" s="406"/>
      <c r="H201" s="406"/>
      <c r="I201" s="406"/>
      <c r="K201" s="1"/>
      <c r="L201" s="406"/>
      <c r="M201" s="406"/>
      <c r="N201" s="406"/>
      <c r="O201" s="406"/>
      <c r="R201" s="41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6"/>
      <c r="B202" s="421" t="s">
        <v>638</v>
      </c>
      <c r="C202" s="410" t="s">
        <v>362</v>
      </c>
      <c r="D202" s="717"/>
      <c r="E202" s="405" t="str">
        <f>IFERROR(8*E$173*'Apoio - Notas Explicativas'!$D$6/$D202,"")</f>
        <v/>
      </c>
      <c r="F202" s="405" t="str">
        <f>IFERROR((8*F$173*'Apoio - Notas Explicativas'!$D$6/$D202)*($F$27/$E$27),"")</f>
        <v/>
      </c>
      <c r="G202" s="405"/>
      <c r="H202" s="405"/>
      <c r="I202" s="403"/>
      <c r="K202" s="1" t="str">
        <f t="shared" si="40"/>
        <v/>
      </c>
      <c r="L202" s="717"/>
      <c r="M202" s="407">
        <f t="shared" ref="M202:M207" si="42">SUM(E202:I202)</f>
        <v>0</v>
      </c>
      <c r="N202" s="407">
        <f t="shared" ref="N202:N207" si="43">L202*M202</f>
        <v>0</v>
      </c>
      <c r="O202" s="407">
        <f t="shared" ref="O202:O207" si="44">N202*$D$12</f>
        <v>0</v>
      </c>
      <c r="R202" s="41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6"/>
      <c r="B203" s="421" t="s">
        <v>639</v>
      </c>
      <c r="C203" s="410" t="s">
        <v>357</v>
      </c>
      <c r="D203" s="717"/>
      <c r="E203" s="405" t="str">
        <f>IFERROR(8*E$173*'Apoio - Notas Explicativas'!$D$6/$D203,"")</f>
        <v/>
      </c>
      <c r="F203" s="405" t="str">
        <f>IFERROR((8*F$173*'Apoio - Notas Explicativas'!$D$6/$D203)*($F$27/$E$27),"")</f>
        <v/>
      </c>
      <c r="G203" s="405"/>
      <c r="H203" s="405"/>
      <c r="I203" s="403"/>
      <c r="K203" s="1" t="str">
        <f t="shared" si="40"/>
        <v/>
      </c>
      <c r="L203" s="717"/>
      <c r="M203" s="407">
        <f t="shared" si="42"/>
        <v>0</v>
      </c>
      <c r="N203" s="407">
        <f t="shared" si="43"/>
        <v>0</v>
      </c>
      <c r="O203" s="407">
        <f t="shared" si="44"/>
        <v>0</v>
      </c>
      <c r="R203" s="41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6"/>
      <c r="B204" s="421" t="s">
        <v>640</v>
      </c>
      <c r="C204" s="410" t="s">
        <v>623</v>
      </c>
      <c r="D204" s="717"/>
      <c r="E204" s="405" t="str">
        <f>IFERROR(8*E$173*'Apoio - Notas Explicativas'!$D$7/$D204,"")</f>
        <v/>
      </c>
      <c r="F204" s="405" t="str">
        <f>IFERROR((8*F$173*'Apoio - Notas Explicativas'!$D$7/$D204)*($F$27/$E$27),"")</f>
        <v/>
      </c>
      <c r="G204" s="405"/>
      <c r="H204" s="405"/>
      <c r="I204" s="405"/>
      <c r="K204" s="1" t="str">
        <f>IFERROR(('Apoio - Notas Explicativas'!$D$7/'Apoio - Notas Explicativas'!$D$6)*L204/D204,"")</f>
        <v/>
      </c>
      <c r="L204" s="717"/>
      <c r="M204" s="407">
        <f t="shared" si="42"/>
        <v>0</v>
      </c>
      <c r="N204" s="407">
        <f t="shared" si="43"/>
        <v>0</v>
      </c>
      <c r="O204" s="407">
        <f t="shared" si="44"/>
        <v>0</v>
      </c>
      <c r="R204" s="41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6"/>
      <c r="B205" s="421" t="s">
        <v>641</v>
      </c>
      <c r="C205" s="410" t="s">
        <v>624</v>
      </c>
      <c r="D205" s="717"/>
      <c r="E205" s="405" t="str">
        <f>IFERROR(8*E$173*'Apoio - Notas Explicativas'!$D$8/$D205,"")</f>
        <v/>
      </c>
      <c r="F205" s="405" t="str">
        <f>IFERROR((8*F$173*'Apoio - Notas Explicativas'!$D$7/2/$D205)*($F$27/$E$27),"")</f>
        <v/>
      </c>
      <c r="G205" s="405"/>
      <c r="H205" s="405"/>
      <c r="I205" s="405"/>
      <c r="K205" s="1" t="str">
        <f>IFERROR(('Apoio - Notas Explicativas'!$D$8/'Apoio - Notas Explicativas'!$D$6)*L205/D205,"")</f>
        <v/>
      </c>
      <c r="L205" s="717"/>
      <c r="M205" s="407">
        <f t="shared" si="42"/>
        <v>0</v>
      </c>
      <c r="N205" s="407">
        <f t="shared" si="43"/>
        <v>0</v>
      </c>
      <c r="O205" s="407">
        <f t="shared" si="44"/>
        <v>0</v>
      </c>
      <c r="R205" s="41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6"/>
      <c r="B206" s="421" t="s">
        <v>642</v>
      </c>
      <c r="C206" s="410" t="s">
        <v>625</v>
      </c>
      <c r="D206" s="717"/>
      <c r="E206" s="405" t="str">
        <f>IFERROR(8*E$173/$D206,"")</f>
        <v/>
      </c>
      <c r="F206" s="405" t="str">
        <f>IFERROR((8*F$173/$D206)*($F$27/$E$27),"")</f>
        <v/>
      </c>
      <c r="G206" s="405"/>
      <c r="H206" s="405"/>
      <c r="I206" s="405"/>
      <c r="K206" s="1" t="str">
        <f>IFERROR((1/'Apoio - Notas Explicativas'!$D$6)*L206/D206,"")</f>
        <v/>
      </c>
      <c r="L206" s="717"/>
      <c r="M206" s="407">
        <f t="shared" si="42"/>
        <v>0</v>
      </c>
      <c r="N206" s="407">
        <f t="shared" si="43"/>
        <v>0</v>
      </c>
      <c r="O206" s="407">
        <f t="shared" si="44"/>
        <v>0</v>
      </c>
      <c r="R206" s="41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6"/>
      <c r="B207" s="421" t="s">
        <v>643</v>
      </c>
      <c r="C207" s="410" t="s">
        <v>366</v>
      </c>
      <c r="D207" s="717"/>
      <c r="E207" s="405" t="str">
        <f>IFERROR(8*E$173*'Apoio - Notas Explicativas'!$D$6/$D207,"")</f>
        <v/>
      </c>
      <c r="F207" s="405" t="str">
        <f>IFERROR((8*F$173*'Apoio - Notas Explicativas'!$D$6/$D207)*($F$27/$E$27),"")</f>
        <v/>
      </c>
      <c r="G207" s="405"/>
      <c r="H207" s="405"/>
      <c r="I207" s="403"/>
      <c r="K207" s="1" t="str">
        <f t="shared" ref="K207:K218" si="45">IFERROR(L207/D207,"")</f>
        <v/>
      </c>
      <c r="L207" s="717"/>
      <c r="M207" s="407">
        <f t="shared" si="42"/>
        <v>0</v>
      </c>
      <c r="N207" s="407">
        <f t="shared" si="43"/>
        <v>0</v>
      </c>
      <c r="O207" s="407">
        <f t="shared" si="44"/>
        <v>0</v>
      </c>
      <c r="R207" s="41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6"/>
      <c r="B208" s="422"/>
      <c r="C208" s="411"/>
      <c r="D208" s="409"/>
      <c r="E208" s="297"/>
      <c r="F208" s="297"/>
      <c r="G208" s="297"/>
      <c r="H208" s="297"/>
      <c r="I208" s="297"/>
      <c r="K208" s="1" t="str">
        <f t="shared" si="45"/>
        <v/>
      </c>
      <c r="L208" s="419"/>
      <c r="M208" s="408"/>
      <c r="N208" s="408"/>
      <c r="O208" s="408"/>
      <c r="R208" s="41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6"/>
      <c r="B209" s="423"/>
      <c r="C209" s="178" t="s">
        <v>644</v>
      </c>
      <c r="D209" s="406"/>
      <c r="E209" s="406"/>
      <c r="F209" s="406"/>
      <c r="G209" s="406"/>
      <c r="H209" s="406"/>
      <c r="I209" s="406"/>
      <c r="K209" s="1"/>
      <c r="L209" s="406"/>
      <c r="M209" s="406"/>
      <c r="N209" s="406"/>
      <c r="O209" s="406"/>
      <c r="R209" s="41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6"/>
      <c r="B210" s="421" t="s">
        <v>645</v>
      </c>
      <c r="C210" s="412" t="s">
        <v>626</v>
      </c>
      <c r="D210" s="717"/>
      <c r="E210" s="405"/>
      <c r="F210" s="405"/>
      <c r="G210" s="405" t="str">
        <f>IFERROR(8*G$173/3/$D210,"")</f>
        <v/>
      </c>
      <c r="H210" s="405" t="str">
        <f>IFERROR((8*H$173/3/$D210)*($H$27/$G$27),"")</f>
        <v/>
      </c>
      <c r="I210" s="403"/>
      <c r="K210" s="1" t="str">
        <f>IFERROR((1/'Apoio - Notas Explicativas'!$D$6)/3*L210/D210,"")</f>
        <v/>
      </c>
      <c r="L210" s="717"/>
      <c r="M210" s="407">
        <f>SUM(E210:I210)</f>
        <v>0</v>
      </c>
      <c r="N210" s="407">
        <f t="shared" ref="N210:N212" si="46">L210*M210</f>
        <v>0</v>
      </c>
      <c r="O210" s="407">
        <f t="shared" ref="O210:O212" si="47">N210*$D$12</f>
        <v>0</v>
      </c>
      <c r="R210" s="41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6"/>
      <c r="B211" s="421" t="s">
        <v>646</v>
      </c>
      <c r="C211" s="412" t="s">
        <v>627</v>
      </c>
      <c r="D211" s="717"/>
      <c r="E211" s="405" t="str">
        <f>IFERROR(8*E$173/3/$D211,"")</f>
        <v/>
      </c>
      <c r="F211" s="405" t="str">
        <f>IFERROR((8*F$173/3/$D211)*($F$27/$E$27),"")</f>
        <v/>
      </c>
      <c r="G211" s="405"/>
      <c r="H211" s="405"/>
      <c r="I211" s="403"/>
      <c r="K211" s="1" t="str">
        <f>IFERROR((1/'Apoio - Notas Explicativas'!$D$6)/3*L211/D211,"")</f>
        <v/>
      </c>
      <c r="L211" s="717"/>
      <c r="M211" s="407">
        <f>SUM(E211:I211)</f>
        <v>0</v>
      </c>
      <c r="N211" s="407">
        <f t="shared" si="46"/>
        <v>0</v>
      </c>
      <c r="O211" s="407">
        <f t="shared" si="47"/>
        <v>0</v>
      </c>
      <c r="R211" s="41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6"/>
      <c r="B212" s="421" t="s">
        <v>647</v>
      </c>
      <c r="C212" s="412" t="s">
        <v>628</v>
      </c>
      <c r="D212" s="717"/>
      <c r="E212" s="405" t="str">
        <f>IFERROR(8*E$173*'Apoio - Notas Explicativas'!$D$7/2/$D212,"")</f>
        <v/>
      </c>
      <c r="F212" s="405" t="str">
        <f>IFERROR((8*F$173*'Apoio - Notas Explicativas'!$D$7/2/$D212)*($F$27/$E$27),"")</f>
        <v/>
      </c>
      <c r="G212" s="405"/>
      <c r="H212" s="405"/>
      <c r="I212" s="403"/>
      <c r="K212" s="1" t="str">
        <f>IFERROR(('Apoio - Notas Explicativas'!$D$8/'Apoio - Notas Explicativas'!$D$6)*L212/D212,"")</f>
        <v/>
      </c>
      <c r="L212" s="717"/>
      <c r="M212" s="407">
        <f>SUM(E212:I212)</f>
        <v>0</v>
      </c>
      <c r="N212" s="407">
        <f t="shared" si="46"/>
        <v>0</v>
      </c>
      <c r="O212" s="407">
        <f t="shared" si="47"/>
        <v>0</v>
      </c>
      <c r="R212" s="41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6"/>
      <c r="B213" s="422"/>
      <c r="C213" s="411"/>
      <c r="D213" s="409"/>
      <c r="E213" s="297"/>
      <c r="F213" s="297"/>
      <c r="G213" s="297"/>
      <c r="H213" s="297"/>
      <c r="I213" s="297"/>
      <c r="K213" s="1" t="str">
        <f t="shared" si="45"/>
        <v/>
      </c>
      <c r="L213" s="419"/>
      <c r="M213" s="408"/>
      <c r="N213" s="408"/>
      <c r="O213" s="408"/>
      <c r="R213" s="41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6"/>
      <c r="B214" s="423"/>
      <c r="C214" s="178" t="s">
        <v>648</v>
      </c>
      <c r="D214" s="406"/>
      <c r="E214" s="406"/>
      <c r="F214" s="406"/>
      <c r="G214" s="406"/>
      <c r="H214" s="406"/>
      <c r="I214" s="406"/>
      <c r="K214" s="1"/>
      <c r="L214" s="406"/>
      <c r="M214" s="406"/>
      <c r="N214" s="406"/>
      <c r="O214" s="406"/>
      <c r="R214" s="41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6"/>
      <c r="B215" s="421" t="s">
        <v>649</v>
      </c>
      <c r="C215" s="410" t="s">
        <v>654</v>
      </c>
      <c r="D215" s="717"/>
      <c r="E215" s="405"/>
      <c r="F215" s="405"/>
      <c r="G215" s="405" t="str">
        <f>IFERROR(8*G$173/3/$D215,"")</f>
        <v/>
      </c>
      <c r="H215" s="405" t="str">
        <f>IFERROR((8*H$173/3/$D215)*($H$27/$G$27),"")</f>
        <v/>
      </c>
      <c r="I215" s="403"/>
      <c r="K215" s="1" t="str">
        <f>IFERROR((1/'Apoio - Notas Explicativas'!$D$6)/3*L215/D215,"")</f>
        <v/>
      </c>
      <c r="L215" s="717"/>
      <c r="M215" s="407">
        <f>SUM(E215:I215)</f>
        <v>0</v>
      </c>
      <c r="N215" s="407">
        <f t="shared" ref="N215" si="48">L215*M215</f>
        <v>0</v>
      </c>
      <c r="O215" s="407">
        <f>N215*$D$12</f>
        <v>0</v>
      </c>
      <c r="R215" s="41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6"/>
      <c r="B216" s="422"/>
      <c r="C216" s="411"/>
      <c r="D216" s="409"/>
      <c r="E216" s="297"/>
      <c r="F216" s="297"/>
      <c r="G216" s="297"/>
      <c r="H216" s="297"/>
      <c r="I216" s="297"/>
      <c r="K216" s="1" t="str">
        <f t="shared" si="45"/>
        <v/>
      </c>
      <c r="L216" s="419"/>
      <c r="M216" s="407"/>
      <c r="N216" s="408"/>
      <c r="O216" s="408"/>
      <c r="R216" s="41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6"/>
      <c r="B217" s="423"/>
      <c r="C217" s="178" t="s">
        <v>650</v>
      </c>
      <c r="D217" s="406"/>
      <c r="E217" s="406"/>
      <c r="F217" s="406"/>
      <c r="G217" s="406"/>
      <c r="H217" s="406"/>
      <c r="I217" s="406"/>
      <c r="K217" s="1"/>
      <c r="L217" s="406"/>
      <c r="M217" s="406"/>
      <c r="N217" s="406"/>
      <c r="O217" s="406"/>
      <c r="R217" s="41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6"/>
      <c r="B218" s="421" t="s">
        <v>651</v>
      </c>
      <c r="C218" s="410" t="s">
        <v>372</v>
      </c>
      <c r="D218" s="717"/>
      <c r="E218" s="405" t="str">
        <f>IFERROR(8*E$173*'Apoio - Notas Explicativas'!$D$6/$D218,"")</f>
        <v/>
      </c>
      <c r="F218" s="405" t="str">
        <f>IFERROR((8*F$173*'Apoio - Notas Explicativas'!$D$6/$D218)*($F$27/$E$27),"")</f>
        <v/>
      </c>
      <c r="G218" s="405"/>
      <c r="H218" s="405"/>
      <c r="I218" s="403"/>
      <c r="K218" s="1" t="str">
        <f t="shared" si="45"/>
        <v/>
      </c>
      <c r="L218" s="717"/>
      <c r="M218" s="407">
        <f>SUM(E218:I218)</f>
        <v>0</v>
      </c>
      <c r="N218" s="407">
        <f t="shared" ref="N218" si="49">L218*M218</f>
        <v>0</v>
      </c>
      <c r="O218" s="407">
        <f>N218*$D$12</f>
        <v>0</v>
      </c>
      <c r="R218" s="41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dataValidation type="list" allowBlank="1" showInputMessage="1" showErrorMessage="1" sqref="D56">
      <formula1>"Sim,Não"</formula1>
    </dataValidation>
    <dataValidation type="list" allowBlank="1" showInputMessage="1" showErrorMessage="1" sqref="I51">
      <formula1>"0%,50%,100%"</formula1>
    </dataValidation>
    <dataValidation type="list" showInputMessage="1" sqref="D139:D141 I141">
      <formula1>"Indenização,Rendição,Não"</formula1>
    </dataValidation>
    <dataValidation type="whole" allowBlank="1" showInputMessage="1" showErrorMessage="1" errorTitle="Erro de entrada" error="Informar a duração do contrato em meses" sqref="D12:E12">
      <formula1>1</formula1>
      <formula2>360</formula2>
    </dataValidation>
    <dataValidation type="list" allowBlank="1" showInputMessage="1" sqref="D11:E11">
      <formula1>"Valor Global,Mês,Dia,Hora"</formula1>
    </dataValidation>
    <dataValidation type="list" allowBlank="1" showInputMessage="1" sqref="E22:I22">
      <formula1>"180,200,220"</formula1>
    </dataValidation>
    <dataValidation type="list" sqref="E34:I34">
      <formula1>"0%,30%"</formula1>
    </dataValidation>
    <dataValidation sqref="E40:I41 E43:I43 E47:I47 E50:I50 E54:I54 E33:I33 E36:I36"/>
    <dataValidation type="list" sqref="E37:I37">
      <formula1>"Salário Base, Salário Mínimo,Não incide"</formula1>
    </dataValidation>
    <dataValidation type="list" sqref="E38:I38">
      <formula1>"0,10%,20%,40%"</formula1>
    </dataValidation>
    <dataValidation type="list" allowBlank="1" sqref="E38:I38">
      <formula1>"0%,10%,20%,40%"</formula1>
    </dataValidation>
    <dataValidation type="list" allowBlank="1" sqref="E51:H51">
      <formula1>"0%,50%,100%"</formula1>
    </dataValidation>
    <dataValidation type="list" showInputMessage="1" sqref="E141:H141">
      <formula1>"Indenização,Rendição"</formula1>
    </dataValidation>
    <dataValidation allowBlank="1" sqref="A19:XFD19"/>
  </dataValidations>
  <hyperlinks>
    <hyperlink ref="C148" location="'Mat Individual e Uniformes func'!A1" display="Material Individual e Uniformes"/>
    <hyperlink ref="C149" location="'Mat Coletivo e Equipamentos'!A1" display="Material Coletivo e Equipamentos"/>
    <hyperlink ref="E25:H25" r:id="rId1"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14:formula1>
            <xm:f>'Apoio - Posto'!#REF!</xm:f>
          </x14:formula1>
          <xm:sqref>G10:G11</xm:sqref>
        </x14:dataValidation>
        <x14:dataValidation type="list" allowBlank="1" showInputMessage="1" showErrorMessage="1">
          <x14:formula1>
            <xm:f>'Apoio - Notas Explicativas'!$H$15:$K$15</xm:f>
          </x14:formula1>
          <xm:sqref>D13</xm:sqref>
        </x14:dataValidation>
        <x14:dataValidation type="list" allowBlank="1">
          <x14:formula1>
            <xm:f>'Apoio - Dados'!$A:$A</xm:f>
          </x14:formula1>
          <xm:sqref>D5:E5</xm:sqref>
        </x14:dataValidation>
        <x14:dataValidation type="list">
          <x14:formula1>
            <xm:f>'Apoio - Posto'!$C:$C</xm:f>
          </x14:formula1>
          <xm:sqref>E23:I23</xm:sqref>
        </x14:dataValidation>
        <x14:dataValidation type="list" allowBlank="1">
          <x14:formula1>
            <xm:f>'Apoio - Posto'!$A:$A</xm:f>
          </x14:formula1>
          <xm:sqref>E18:I18</xm:sqref>
        </x14:dataValidation>
        <x14:dataValidation type="list" allowBlank="1">
          <x14:formula1>
            <xm:f>'Apoio - Posto'!$B:$B</xm:f>
          </x14:formula1>
          <xm:sqref>E20:I20</xm:sqref>
        </x14:dataValidation>
        <x14:dataValidation type="list" allowBlank="1" showInputMessage="1" showErrorMessage="1">
          <x14:formula1>
            <xm:f>'Apoio - Regime de Trabalho'!$A:$A</xm:f>
          </x14:formula1>
          <xm:sqref>E26:I26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dimension ref="B1:P73"/>
  <sheetViews>
    <sheetView showGridLines="0" topLeftCell="A9" zoomScale="90" zoomScaleNormal="90" workbookViewId="0">
      <selection activeCell="O66" sqref="O66"/>
    </sheetView>
  </sheetViews>
  <sheetFormatPr defaultColWidth="9.140625" defaultRowHeight="15"/>
  <cols>
    <col min="1" max="1" width="1.5703125" style="44"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05" t="s">
        <v>76</v>
      </c>
      <c r="C2" s="806"/>
      <c r="D2" s="806"/>
      <c r="E2" s="806"/>
      <c r="F2" s="806"/>
      <c r="G2" s="806"/>
      <c r="H2" s="806"/>
      <c r="I2" s="806"/>
      <c r="J2" s="806"/>
      <c r="K2" s="807"/>
    </row>
    <row r="3" spans="2:12" ht="21">
      <c r="B3" s="815" t="str">
        <f>IF(IFERROR(SUM(Produtividade!L193:L218)&gt;0,FALSE()),Produtividade!D5,
IF(IFERROR(Veículos!$E$3&lt;&gt;"",FALSE()),'Mão de Obra'!D5,'Mão de Obra'!D5))</f>
        <v>SECRETARIA MUNICIPAL DA SAÚDE (SMS)</v>
      </c>
      <c r="C3" s="816"/>
      <c r="D3" s="816"/>
      <c r="E3" s="816"/>
      <c r="F3" s="816"/>
      <c r="G3" s="816"/>
      <c r="H3" s="816"/>
      <c r="I3" s="816"/>
      <c r="J3" s="816"/>
      <c r="K3" s="817"/>
    </row>
    <row r="4" spans="2:12" ht="21">
      <c r="B4" s="808" t="s">
        <v>432</v>
      </c>
      <c r="C4" s="809"/>
      <c r="D4" s="809"/>
      <c r="E4" s="809"/>
      <c r="F4" s="809"/>
      <c r="G4" s="809"/>
      <c r="H4" s="809"/>
      <c r="I4" s="809"/>
      <c r="J4" s="809"/>
      <c r="K4" s="810"/>
    </row>
    <row r="5" spans="2:12" ht="6.75" customHeight="1">
      <c r="B5" s="25"/>
      <c r="C5" s="25"/>
      <c r="D5" s="25"/>
      <c r="E5" s="25"/>
      <c r="F5" s="25"/>
      <c r="G5" s="25"/>
      <c r="H5" s="25"/>
      <c r="I5" s="25"/>
      <c r="J5" s="25"/>
      <c r="K5" s="25"/>
      <c r="L5" s="500"/>
    </row>
    <row r="6" spans="2:12" ht="15" customHeight="1">
      <c r="B6" s="352" t="s">
        <v>74</v>
      </c>
      <c r="C6" s="827">
        <f>IF(IFERROR(SUM(Produtividade!L193:L218)&gt;0,FALSE()),Produtividade!D6,
IF(IFERROR(Veículos!$E$3&lt;&gt;"",FALSE()),'Mão de Obra'!D6,
'Mão de Obra'!D6))</f>
        <v>0</v>
      </c>
      <c r="D6" s="827"/>
      <c r="E6" s="827"/>
      <c r="F6" s="827"/>
      <c r="G6" s="833" t="s">
        <v>70</v>
      </c>
      <c r="H6" s="833"/>
      <c r="I6" s="833"/>
      <c r="J6" s="830">
        <f>IF(IFERROR(SUM(Produtividade!L193:L218)&gt;0,FALSE()),Produtividade!D12,
IF(IFERROR(Veículos!$E$3&lt;&gt;"",FALSE()),'Mão de Obra'!D12,
'Mão de Obra'!D12))</f>
        <v>12</v>
      </c>
      <c r="K6" s="831"/>
    </row>
    <row r="7" spans="2:12" ht="15" customHeight="1">
      <c r="B7" s="358" t="s">
        <v>249</v>
      </c>
      <c r="C7" s="828" t="str">
        <f>IF(IFERROR(SUM(Produtividade!L193:L218)&gt;0,FALSE()),Produtividade!D7,
IF(IFERROR(Veículos!$E$3&lt;&gt;"",FALSE()),'Mão de Obra'!D7,
'Mão de Obra'!D7))</f>
        <v>25.0.000051443-0</v>
      </c>
      <c r="D7" s="828"/>
      <c r="E7" s="828"/>
      <c r="F7" s="828"/>
      <c r="G7" s="832" t="s">
        <v>110</v>
      </c>
      <c r="H7" s="832"/>
      <c r="I7" s="832"/>
      <c r="J7" s="813">
        <f>IF(IFERROR(SUM(Produtividade!L193:L218)&gt;0,FALSE()),Produtividade!D11,
IF(IFERROR(Veículos!$E$3&lt;&gt;"",FALSE()),'Mão de Obra'!D11,
'Mão de Obra'!D11))</f>
        <v>0</v>
      </c>
      <c r="K7" s="814"/>
    </row>
    <row r="8" spans="2:12" ht="32.25" customHeight="1">
      <c r="B8" s="820" t="str">
        <f>CONCATENATE("OBJETO: ",
IF(IFERROR(SUM(Produtividade!L193:L218)&gt;0,FALSE()),Produtividade!D8,
IF(IFERROR(Veículos!$E$3&lt;&gt;"",FALSE()),'Mão de Obra'!D8,
'Mão de Obra'!D8)))</f>
        <v>OBJETO: Operador de Caldeira</v>
      </c>
      <c r="C8" s="821"/>
      <c r="D8" s="821"/>
      <c r="E8" s="821"/>
      <c r="F8" s="821"/>
      <c r="G8" s="821"/>
      <c r="H8" s="821"/>
      <c r="I8" s="821"/>
      <c r="J8" s="821"/>
      <c r="K8" s="822"/>
    </row>
    <row r="9" spans="2:12" ht="15" customHeight="1">
      <c r="B9" s="358" t="s">
        <v>64</v>
      </c>
      <c r="C9" s="811"/>
      <c r="D9" s="811"/>
      <c r="E9" s="811"/>
      <c r="F9" s="811"/>
      <c r="G9" s="832" t="s">
        <v>318</v>
      </c>
      <c r="H9" s="832"/>
      <c r="I9" s="357"/>
      <c r="J9" s="813" t="str">
        <f>IF(IFERROR(SUM(Produtividade!L193:L218)&gt;0,FALSE()),Produtividade!D13,
IF(IFERROR(Veículos!$E$3&lt;&gt;"",FALSE()),'Mão de Obra'!D13,
'Mão de Obra'!D13))</f>
        <v>Lucro Presumido</v>
      </c>
      <c r="K9" s="814"/>
    </row>
    <row r="10" spans="2:12">
      <c r="B10" s="355" t="s">
        <v>72</v>
      </c>
      <c r="C10" s="812"/>
      <c r="D10" s="812"/>
      <c r="E10" s="812"/>
      <c r="F10" s="812"/>
      <c r="G10" s="818" t="s">
        <v>319</v>
      </c>
      <c r="H10" s="818"/>
      <c r="I10" s="356"/>
      <c r="J10" s="801">
        <f>IF(IFERROR(SUM(Produtividade!L193:L218)&gt;0,FALSE()),Produtividade!D14,
IF(IFERROR(Veículos!$E$3&lt;&gt;"",FALSE()),'Mão de Obra'!D14,
'Mão de Obra'!D14))</f>
        <v>0</v>
      </c>
      <c r="K10" s="802"/>
    </row>
    <row r="11" spans="2:12" ht="15" customHeight="1">
      <c r="B11" s="355" t="s">
        <v>65</v>
      </c>
      <c r="C11" s="811"/>
      <c r="D11" s="811"/>
      <c r="E11" s="811"/>
      <c r="F11" s="811"/>
      <c r="G11" s="818" t="s">
        <v>75</v>
      </c>
      <c r="H11" s="818"/>
      <c r="I11" s="823" t="s">
        <v>458</v>
      </c>
      <c r="J11" s="823"/>
      <c r="K11" s="824"/>
    </row>
    <row r="12" spans="2:12">
      <c r="B12" s="354" t="s">
        <v>66</v>
      </c>
      <c r="C12" s="829"/>
      <c r="D12" s="829"/>
      <c r="E12" s="829"/>
      <c r="F12" s="829"/>
      <c r="G12" s="818" t="s">
        <v>321</v>
      </c>
      <c r="H12" s="818"/>
      <c r="I12" s="825"/>
      <c r="J12" s="825"/>
      <c r="K12" s="826"/>
    </row>
    <row r="13" spans="2:12">
      <c r="B13" s="353" t="s">
        <v>73</v>
      </c>
      <c r="C13" s="800"/>
      <c r="D13" s="800"/>
      <c r="E13" s="800"/>
      <c r="F13" s="800"/>
      <c r="G13" s="819" t="s">
        <v>67</v>
      </c>
      <c r="H13" s="819"/>
      <c r="I13" s="803"/>
      <c r="J13" s="803"/>
      <c r="K13" s="804"/>
    </row>
    <row r="14" spans="2:12" ht="6.75" customHeight="1">
      <c r="B14" s="26"/>
      <c r="C14" s="26"/>
      <c r="D14" s="26"/>
      <c r="E14" s="26"/>
      <c r="F14" s="26"/>
      <c r="G14" s="26"/>
      <c r="H14" s="26"/>
      <c r="I14" s="26"/>
      <c r="J14" s="26"/>
    </row>
    <row r="15" spans="2:12">
      <c r="B15" s="474" t="s">
        <v>417</v>
      </c>
      <c r="C15" s="475"/>
      <c r="D15" s="475"/>
      <c r="E15" s="475"/>
      <c r="F15" s="475"/>
      <c r="G15" s="475"/>
      <c r="H15" s="475"/>
      <c r="I15" s="475"/>
      <c r="J15" s="475"/>
      <c r="K15" s="476"/>
    </row>
    <row r="16" spans="2:12" ht="30">
      <c r="B16" s="477" t="s">
        <v>492</v>
      </c>
      <c r="C16" s="478" t="s">
        <v>69</v>
      </c>
      <c r="D16" s="478" t="s">
        <v>68</v>
      </c>
      <c r="E16" s="478" t="s">
        <v>407</v>
      </c>
      <c r="F16" s="479" t="s">
        <v>408</v>
      </c>
      <c r="G16" s="479" t="s">
        <v>429</v>
      </c>
      <c r="H16" s="479" t="s">
        <v>430</v>
      </c>
      <c r="I16" s="479" t="s">
        <v>431</v>
      </c>
      <c r="J16" s="479" t="s">
        <v>443</v>
      </c>
      <c r="K16" s="480" t="s">
        <v>396</v>
      </c>
    </row>
    <row r="17" spans="2:14" ht="19.5" customHeight="1">
      <c r="B17" s="481" t="str">
        <f>IF(
INDEX('Mão de Obra'!$E$18:$X$18,1,ROW()-ROW($B$16))&lt;&gt;0,
INDEX('Mão de Obra'!$E$18:$X$18,1,ROW()-ROW($B$16)),
"OCULTAR ESTA LINHA"
)</f>
        <v>Operador de Caldeira</v>
      </c>
      <c r="C17" s="482" t="str">
        <f>INDEX('Mão de Obra'!$E$17:$X$17,1,ROW()-ROW($C$16))</f>
        <v>Posto A</v>
      </c>
      <c r="D17" s="483" t="str">
        <f>INDEX('Mão de Obra'!$E$26:$X$26,1,ROW()-ROW($D$16))</f>
        <v>12x36 Diurno</v>
      </c>
      <c r="E17" s="484">
        <f>INDEX('Mão de Obra'!$E$27:$X$27,1,ROW()-ROW($E$16))</f>
        <v>1</v>
      </c>
      <c r="F17" s="484">
        <f>INDEX('Mão de Obra'!$E$29:$X$29,1,ROW()-ROW($F$16))</f>
        <v>2</v>
      </c>
      <c r="G17" s="485">
        <f>INDEX('Mão de Obra'!$E$173:$X$173,1,ROW()-ROW($G$16))</f>
        <v>35.89</v>
      </c>
      <c r="H17" s="485">
        <f>INDEX('Mão de Obra'!$E$174:$X$174,1,ROW()-ROW($I$16))</f>
        <v>430.73</v>
      </c>
      <c r="I17" s="485">
        <f>INDEX('Mão de Obra'!$E$176:$X$176,1,ROW()-ROW($I$16))</f>
        <v>12921.88</v>
      </c>
      <c r="J17" s="485">
        <f>INDEX('Mão de Obra'!$E$182:$X$182,1,ROW()-ROW($I$16))</f>
        <v>12921.88</v>
      </c>
      <c r="K17" s="486">
        <f>INDEX('Mão de Obra'!$E$188:$X$188,1,ROW()-ROW($I$16))</f>
        <v>155062.56</v>
      </c>
      <c r="M17" s="505"/>
    </row>
    <row r="18" spans="2:14">
      <c r="B18" s="481" t="str">
        <f>IF(
INDEX('Mão de Obra'!$E$18:$X$18,1,ROW()-ROW($B$16))&lt;&gt;0,
INDEX('Mão de Obra'!$E$18:$X$18,1,ROW()-ROW($B$16)),
"OCULTAR ESTA LINHA"
)</f>
        <v>Operador de Caldeira</v>
      </c>
      <c r="C18" s="482" t="str">
        <f>INDEX('Mão de Obra'!$E$17:$X$17,1,ROW()-ROW($C$16))</f>
        <v>Posto B</v>
      </c>
      <c r="D18" s="483" t="str">
        <f>INDEX('Mão de Obra'!$E$26:$X$26,1,ROW()-ROW($D$16))</f>
        <v>12x36 Noturno</v>
      </c>
      <c r="E18" s="484">
        <f>INDEX('Mão de Obra'!$E$27:$X$27,1,ROW()-ROW($E$16))</f>
        <v>1</v>
      </c>
      <c r="F18" s="484">
        <f>INDEX('Mão de Obra'!$E$29:$X$29,1,ROW()-ROW($F$16))</f>
        <v>2</v>
      </c>
      <c r="G18" s="485">
        <f>INDEX('Mão de Obra'!$E$173:$X$173,1,ROW()-ROW($G$16))</f>
        <v>44.76</v>
      </c>
      <c r="H18" s="485">
        <f>INDEX('Mão de Obra'!$E$174:$X$174,1,ROW()-ROW($I$16))</f>
        <v>537.1</v>
      </c>
      <c r="I18" s="485">
        <f>INDEX('Mão de Obra'!$E$176:$X$176,1,ROW()-ROW($I$16))</f>
        <v>16113.08</v>
      </c>
      <c r="J18" s="485">
        <f>INDEX('Mão de Obra'!$E$182:$X$182,1,ROW()-ROW($I$16))</f>
        <v>16113.08</v>
      </c>
      <c r="K18" s="486">
        <f>INDEX('Mão de Obra'!$E$188:$X$188,1,ROW()-ROW($I$16))</f>
        <v>193356.96</v>
      </c>
      <c r="N18" s="504"/>
    </row>
    <row r="19" spans="2:14" ht="30" hidden="1">
      <c r="B19" s="481" t="str">
        <f>IF(
INDEX('Mão de Obra'!$E$18:$X$18,1,ROW()-ROW($B$16))&lt;&gt;0,
INDEX('Mão de Obra'!$E$18:$X$18,1,ROW()-ROW($B$16)),
"OCULTAR ESTA LINHA"
)</f>
        <v>Engenheiro</v>
      </c>
      <c r="C19" s="482" t="str">
        <f>INDEX('Mão de Obra'!$E$17:$X$17,1,ROW()-ROW($C$16))</f>
        <v>Posto C</v>
      </c>
      <c r="D19" s="483" t="str">
        <f>INDEX('Mão de Obra'!$E$26:$X$26,1,ROW()-ROW($D$16))</f>
        <v>30h (5 dia/sem)</v>
      </c>
      <c r="E19" s="484">
        <f>INDEX('Mão de Obra'!$E$27:$X$27,1,ROW()-ROW($E$16))</f>
        <v>0</v>
      </c>
      <c r="F19" s="484">
        <f>INDEX('Mão de Obra'!$E$29:$X$29,1,ROW()-ROW($F$16))</f>
        <v>0</v>
      </c>
      <c r="G19" s="485">
        <f>INDEX('Mão de Obra'!$E$173:$X$173,1,ROW()-ROW($G$16))</f>
        <v>118.08</v>
      </c>
      <c r="H19" s="485">
        <f>INDEX('Mão de Obra'!$E$174:$X$174,1,ROW()-ROW($I$16))</f>
        <v>708.47</v>
      </c>
      <c r="I19" s="485">
        <f>INDEX('Mão de Obra'!$E$176:$X$176,1,ROW()-ROW($I$16))</f>
        <v>15586.31</v>
      </c>
      <c r="J19" s="485">
        <f>INDEX('Mão de Obra'!$E$182:$X$182,1,ROW()-ROW($I$16))</f>
        <v>0</v>
      </c>
      <c r="K19" s="486">
        <f>INDEX('Mão de Obra'!$E$188:$X$188,1,ROW()-ROW($I$16))</f>
        <v>0</v>
      </c>
      <c r="M19" s="506"/>
    </row>
    <row r="20" spans="2:14" hidden="1">
      <c r="B20" s="481" t="str">
        <f>IF(
INDEX('Mão de Obra'!$E$18:$X$18,1,ROW()-ROW($B$16))&lt;&gt;0,
INDEX('Mão de Obra'!$E$18:$X$18,1,ROW()-ROW($B$16)),
"OCULTAR ESTA LINHA"
)</f>
        <v>OCULTAR ESTA LINHA</v>
      </c>
      <c r="C20" s="482" t="str">
        <f>INDEX('Mão de Obra'!$E$17:$X$17,1,ROW()-ROW($C$16))</f>
        <v>Posto D</v>
      </c>
      <c r="D20" s="483">
        <f>INDEX('Mão de Obra'!$E$26:$X$26,1,ROW()-ROW($D$16))</f>
        <v>0</v>
      </c>
      <c r="E20" s="484">
        <f>INDEX('Mão de Obra'!$E$27:$X$27,1,ROW()-ROW($E$16))</f>
        <v>0</v>
      </c>
      <c r="F20" s="484" t="str">
        <f>INDEX('Mão de Obra'!$E$29:$X$29,1,ROW()-ROW($F$16))</f>
        <v/>
      </c>
      <c r="G20" s="485" t="str">
        <f>INDEX('Mão de Obra'!$E$173:$X$173,1,ROW()-ROW($G$16))</f>
        <v/>
      </c>
      <c r="H20" s="485" t="str">
        <f>INDEX('Mão de Obra'!$E$174:$X$174,1,ROW()-ROW($I$16))</f>
        <v/>
      </c>
      <c r="I20" s="485" t="str">
        <f>INDEX('Mão de Obra'!$E$176:$X$176,1,ROW()-ROW($I$16))</f>
        <v/>
      </c>
      <c r="J20" s="485" t="str">
        <f>INDEX('Mão de Obra'!$E$182:$X$182,1,ROW()-ROW($I$16))</f>
        <v/>
      </c>
      <c r="K20" s="486" t="str">
        <f>INDEX('Mão de Obra'!$E$188:$X$188,1,ROW()-ROW($I$16))</f>
        <v/>
      </c>
    </row>
    <row r="21" spans="2:14" hidden="1">
      <c r="B21" s="481" t="str">
        <f>IF(
INDEX('Mão de Obra'!$E$18:$X$18,1,ROW()-ROW($B$16))&lt;&gt;0,
INDEX('Mão de Obra'!$E$18:$X$18,1,ROW()-ROW($B$16)),
"OCULTAR ESTA LINHA"
)</f>
        <v>OCULTAR ESTA LINHA</v>
      </c>
      <c r="C21" s="482" t="str">
        <f>INDEX('Mão de Obra'!$E$17:$X$17,1,ROW()-ROW($C$16))</f>
        <v>Posto E</v>
      </c>
      <c r="D21" s="483">
        <f>INDEX('Mão de Obra'!$E$26:$X$26,1,ROW()-ROW($D$16))</f>
        <v>0</v>
      </c>
      <c r="E21" s="484">
        <f>INDEX('Mão de Obra'!$E$27:$X$27,1,ROW()-ROW($E$16))</f>
        <v>0</v>
      </c>
      <c r="F21" s="484" t="str">
        <f>INDEX('Mão de Obra'!$E$29:$X$29,1,ROW()-ROW($F$16))</f>
        <v/>
      </c>
      <c r="G21" s="485" t="str">
        <f>INDEX('Mão de Obra'!$E$173:$X$173,1,ROW()-ROW($G$16))</f>
        <v/>
      </c>
      <c r="H21" s="485" t="str">
        <f>INDEX('Mão de Obra'!$E$174:$X$174,1,ROW()-ROW($I$16))</f>
        <v/>
      </c>
      <c r="I21" s="485" t="str">
        <f>INDEX('Mão de Obra'!$E$176:$X$176,1,ROW()-ROW($I$16))</f>
        <v/>
      </c>
      <c r="J21" s="485" t="str">
        <f>INDEX('Mão de Obra'!$E$182:$X$182,1,ROW()-ROW($I$16))</f>
        <v/>
      </c>
      <c r="K21" s="486" t="str">
        <f>INDEX('Mão de Obra'!$E$188:$X$188,1,ROW()-ROW($I$16))</f>
        <v/>
      </c>
    </row>
    <row r="22" spans="2:14" hidden="1">
      <c r="B22" s="481" t="str">
        <f>IF(
INDEX('Mão de Obra'!$E$18:$X$18,1,ROW()-ROW($B$16))&lt;&gt;0,
INDEX('Mão de Obra'!$E$18:$X$18,1,ROW()-ROW($B$16)),
"OCULTAR ESTA LINHA"
)</f>
        <v>OCULTAR ESTA LINHA</v>
      </c>
      <c r="C22" s="482" t="str">
        <f>INDEX('Mão de Obra'!$E$17:$X$17,1,ROW()-ROW($C$16))</f>
        <v>Posto F</v>
      </c>
      <c r="D22" s="483">
        <f>INDEX('Mão de Obra'!$E$26:$X$26,1,ROW()-ROW($D$16))</f>
        <v>0</v>
      </c>
      <c r="E22" s="484">
        <f>INDEX('Mão de Obra'!$E$27:$X$27,1,ROW()-ROW($E$16))</f>
        <v>0</v>
      </c>
      <c r="F22" s="484" t="str">
        <f>INDEX('Mão de Obra'!$E$29:$X$29,1,ROW()-ROW($F$16))</f>
        <v/>
      </c>
      <c r="G22" s="485" t="str">
        <f>INDEX('Mão de Obra'!$E$173:$X$173,1,ROW()-ROW($G$16))</f>
        <v/>
      </c>
      <c r="H22" s="485" t="str">
        <f>INDEX('Mão de Obra'!$E$174:$X$174,1,ROW()-ROW($I$16))</f>
        <v/>
      </c>
      <c r="I22" s="485" t="str">
        <f>INDEX('Mão de Obra'!$E$176:$X$176,1,ROW()-ROW($I$16))</f>
        <v/>
      </c>
      <c r="J22" s="485" t="str">
        <f>INDEX('Mão de Obra'!$E$182:$X$182,1,ROW()-ROW($I$16))</f>
        <v/>
      </c>
      <c r="K22" s="486" t="str">
        <f>INDEX('Mão de Obra'!$E$188:$X$188,1,ROW()-ROW($I$16))</f>
        <v/>
      </c>
    </row>
    <row r="23" spans="2:14" hidden="1">
      <c r="B23" s="481" t="str">
        <f>IF(
INDEX('Mão de Obra'!$E$18:$X$18,1,ROW()-ROW($B$16))&lt;&gt;0,
INDEX('Mão de Obra'!$E$18:$X$18,1,ROW()-ROW($B$16)),
"OCULTAR ESTA LINHA"
)</f>
        <v>OCULTAR ESTA LINHA</v>
      </c>
      <c r="C23" s="482" t="str">
        <f>INDEX('Mão de Obra'!$E$17:$X$17,1,ROW()-ROW($C$16))</f>
        <v>Posto G</v>
      </c>
      <c r="D23" s="483">
        <f>INDEX('Mão de Obra'!$E$26:$X$26,1,ROW()-ROW($D$16))</f>
        <v>0</v>
      </c>
      <c r="E23" s="484">
        <f>INDEX('Mão de Obra'!$E$27:$X$27,1,ROW()-ROW($E$16))</f>
        <v>0</v>
      </c>
      <c r="F23" s="484" t="str">
        <f>INDEX('Mão de Obra'!$E$29:$X$29,1,ROW()-ROW($F$16))</f>
        <v/>
      </c>
      <c r="G23" s="485" t="str">
        <f>INDEX('Mão de Obra'!$E$173:$X$173,1,ROW()-ROW($G$16))</f>
        <v/>
      </c>
      <c r="H23" s="485" t="str">
        <f>INDEX('Mão de Obra'!$E$174:$X$174,1,ROW()-ROW($I$16))</f>
        <v/>
      </c>
      <c r="I23" s="485" t="str">
        <f>INDEX('Mão de Obra'!$E$176:$X$176,1,ROW()-ROW($I$16))</f>
        <v/>
      </c>
      <c r="J23" s="485" t="str">
        <f>INDEX('Mão de Obra'!$E$182:$X$182,1,ROW()-ROW($I$16))</f>
        <v/>
      </c>
      <c r="K23" s="486" t="str">
        <f>INDEX('Mão de Obra'!$E$188:$X$188,1,ROW()-ROW($I$16))</f>
        <v/>
      </c>
    </row>
    <row r="24" spans="2:14" hidden="1">
      <c r="B24" s="481" t="str">
        <f>IF(
INDEX('Mão de Obra'!$E$18:$X$18,1,ROW()-ROW($B$16))&lt;&gt;0,
INDEX('Mão de Obra'!$E$18:$X$18,1,ROW()-ROW($B$16)),
"OCULTAR ESTA LINHA"
)</f>
        <v>OCULTAR ESTA LINHA</v>
      </c>
      <c r="C24" s="482" t="str">
        <f>INDEX('Mão de Obra'!$E$17:$X$17,1,ROW()-ROW($C$16))</f>
        <v>Posto H</v>
      </c>
      <c r="D24" s="483">
        <f>INDEX('Mão de Obra'!$E$26:$X$26,1,ROW()-ROW($D$16))</f>
        <v>0</v>
      </c>
      <c r="E24" s="484">
        <f>INDEX('Mão de Obra'!$E$27:$X$27,1,ROW()-ROW($E$16))</f>
        <v>0</v>
      </c>
      <c r="F24" s="484" t="str">
        <f>INDEX('Mão de Obra'!$E$29:$X$29,1,ROW()-ROW($F$16))</f>
        <v/>
      </c>
      <c r="G24" s="485" t="str">
        <f>INDEX('Mão de Obra'!$E$173:$X$173,1,ROW()-ROW($G$16))</f>
        <v/>
      </c>
      <c r="H24" s="485" t="str">
        <f>INDEX('Mão de Obra'!$E$174:$X$174,1,ROW()-ROW($I$16))</f>
        <v/>
      </c>
      <c r="I24" s="485" t="str">
        <f>INDEX('Mão de Obra'!$E$176:$X$176,1,ROW()-ROW($I$16))</f>
        <v/>
      </c>
      <c r="J24" s="485" t="str">
        <f>INDEX('Mão de Obra'!$E$182:$X$182,1,ROW()-ROW($I$16))</f>
        <v/>
      </c>
      <c r="K24" s="486" t="str">
        <f>INDEX('Mão de Obra'!$E$188:$X$188,1,ROW()-ROW($I$16))</f>
        <v/>
      </c>
    </row>
    <row r="25" spans="2:14" hidden="1">
      <c r="B25" s="481" t="str">
        <f>IF(
INDEX('Mão de Obra'!$E$18:$X$18,1,ROW()-ROW($B$16))&lt;&gt;0,
INDEX('Mão de Obra'!$E$18:$X$18,1,ROW()-ROW($B$16)),
"OCULTAR ESTA LINHA"
)</f>
        <v>OCULTAR ESTA LINHA</v>
      </c>
      <c r="C25" s="482" t="str">
        <f>INDEX('Mão de Obra'!$E$17:$X$17,1,ROW()-ROW($C$16))</f>
        <v>Posto I</v>
      </c>
      <c r="D25" s="483">
        <f>INDEX('Mão de Obra'!$E$26:$X$26,1,ROW()-ROW($D$16))</f>
        <v>0</v>
      </c>
      <c r="E25" s="484">
        <f>INDEX('Mão de Obra'!$E$27:$X$27,1,ROW()-ROW($E$16))</f>
        <v>0</v>
      </c>
      <c r="F25" s="484" t="str">
        <f>INDEX('Mão de Obra'!$E$29:$X$29,1,ROW()-ROW($F$16))</f>
        <v/>
      </c>
      <c r="G25" s="485" t="str">
        <f>INDEX('Mão de Obra'!$E$173:$X$173,1,ROW()-ROW($G$16))</f>
        <v/>
      </c>
      <c r="H25" s="485" t="str">
        <f>INDEX('Mão de Obra'!$E$174:$X$174,1,ROW()-ROW($I$16))</f>
        <v/>
      </c>
      <c r="I25" s="485" t="str">
        <f>INDEX('Mão de Obra'!$E$176:$X$176,1,ROW()-ROW($I$16))</f>
        <v/>
      </c>
      <c r="J25" s="485" t="str">
        <f>INDEX('Mão de Obra'!$E$182:$X$182,1,ROW()-ROW($I$16))</f>
        <v/>
      </c>
      <c r="K25" s="486" t="str">
        <f>INDEX('Mão de Obra'!$E$188:$X$188,1,ROW()-ROW($I$16))</f>
        <v/>
      </c>
    </row>
    <row r="26" spans="2:14">
      <c r="B26" s="474"/>
      <c r="C26" s="475"/>
      <c r="D26" s="475"/>
      <c r="E26" s="487">
        <f>SUM(E17:E25)</f>
        <v>2</v>
      </c>
      <c r="F26" s="487">
        <f>SUM(F17:F25)</f>
        <v>4</v>
      </c>
      <c r="G26" s="488"/>
      <c r="H26" s="488"/>
      <c r="I26" s="488"/>
      <c r="J26" s="488">
        <f>SUM(J17:J25)</f>
        <v>29034.959999999999</v>
      </c>
      <c r="K26" s="489">
        <f>SUM(K17:K25)</f>
        <v>348419.52</v>
      </c>
      <c r="M26" s="663"/>
    </row>
    <row r="27" spans="2:14" ht="6.75" customHeight="1">
      <c r="B27" s="490"/>
      <c r="C27" s="490"/>
      <c r="D27" s="490"/>
      <c r="E27" s="491"/>
      <c r="F27" s="491"/>
      <c r="G27" s="660"/>
      <c r="H27" s="660"/>
      <c r="I27" s="660"/>
      <c r="J27" s="660"/>
      <c r="K27" s="660"/>
    </row>
    <row r="28" spans="2:14" hidden="1">
      <c r="B28" s="474" t="s">
        <v>488</v>
      </c>
      <c r="C28" s="475"/>
      <c r="D28" s="475"/>
      <c r="E28" s="475"/>
      <c r="F28" s="475"/>
      <c r="G28" s="475"/>
      <c r="H28" s="475"/>
      <c r="I28" s="475"/>
      <c r="J28" s="475"/>
      <c r="K28" s="476"/>
    </row>
    <row r="29" spans="2:14" hidden="1">
      <c r="B29" s="477" t="s">
        <v>484</v>
      </c>
      <c r="C29" s="478"/>
      <c r="D29" s="478"/>
      <c r="E29" s="478"/>
      <c r="F29" s="478"/>
      <c r="G29" s="479"/>
      <c r="H29" s="479"/>
      <c r="I29" s="479"/>
      <c r="J29" s="479" t="s">
        <v>443</v>
      </c>
      <c r="K29" s="480" t="s">
        <v>396</v>
      </c>
    </row>
    <row r="30" spans="2:14" hidden="1">
      <c r="B30" s="661" t="s">
        <v>484</v>
      </c>
      <c r="C30" s="482"/>
      <c r="D30" s="484"/>
      <c r="E30" s="493"/>
      <c r="F30" s="494"/>
      <c r="G30" s="485"/>
      <c r="H30" s="485"/>
      <c r="I30" s="485"/>
      <c r="J30" s="730">
        <f>IFERROR(
'Mat Coletivo e Equipamentos'!I4
*
(1+J66/J61),0)</f>
        <v>0</v>
      </c>
      <c r="K30" s="731">
        <f>IFERROR(
'Mat Coletivo e Equipamentos'!J4
*
(1+J66/J61),0)</f>
        <v>0</v>
      </c>
      <c r="M30" s="663"/>
    </row>
    <row r="31" spans="2:14" hidden="1">
      <c r="B31" s="474"/>
      <c r="C31" s="475"/>
      <c r="D31" s="475"/>
      <c r="E31" s="475"/>
      <c r="F31" s="487"/>
      <c r="G31" s="496"/>
      <c r="H31" s="496"/>
      <c r="I31" s="496"/>
      <c r="J31" s="732">
        <f>SUM(J30)</f>
        <v>0</v>
      </c>
      <c r="K31" s="733">
        <f>SUM(K30)</f>
        <v>0</v>
      </c>
    </row>
    <row r="32" spans="2:14" ht="6.75" customHeight="1">
      <c r="B32" s="490"/>
      <c r="C32" s="490"/>
      <c r="D32" s="490"/>
      <c r="E32" s="490"/>
      <c r="F32" s="491"/>
      <c r="G32" s="492"/>
      <c r="H32" s="492"/>
      <c r="I32" s="492"/>
      <c r="J32" s="492"/>
      <c r="K32" s="492"/>
    </row>
    <row r="33" spans="2:14" hidden="1">
      <c r="B33" s="474" t="s">
        <v>419</v>
      </c>
      <c r="C33" s="475"/>
      <c r="D33" s="475"/>
      <c r="E33" s="475"/>
      <c r="F33" s="475"/>
      <c r="G33" s="475"/>
      <c r="H33" s="475"/>
      <c r="I33" s="475"/>
      <c r="J33" s="475"/>
      <c r="K33" s="476"/>
    </row>
    <row r="34" spans="2:14" ht="15" hidden="1" customHeight="1">
      <c r="B34" s="477" t="s">
        <v>413</v>
      </c>
      <c r="C34" s="478"/>
      <c r="D34" s="478" t="s">
        <v>415</v>
      </c>
      <c r="E34" s="478" t="s">
        <v>451</v>
      </c>
      <c r="F34" s="478" t="s">
        <v>414</v>
      </c>
      <c r="G34" s="479" t="s">
        <v>429</v>
      </c>
      <c r="H34" s="479" t="s">
        <v>447</v>
      </c>
      <c r="I34" s="479" t="s">
        <v>431</v>
      </c>
      <c r="J34" s="479" t="s">
        <v>443</v>
      </c>
      <c r="K34" s="480" t="s">
        <v>396</v>
      </c>
    </row>
    <row r="35" spans="2:14" hidden="1">
      <c r="B35" s="481" t="str">
        <f>IF(
INDEX(Veículos!$E$3:$AR$3,1,ROW()-ROW(B$34))&lt;&gt;"",
INDEX(Veículos!$E$3:$AR$3,1,ROW()-ROW(B$34)),
"OCULTAR ESTA LINHA")</f>
        <v>OCULTAR ESTA LINHA</v>
      </c>
      <c r="C35" s="482"/>
      <c r="D35" s="484">
        <f>INDEX(Veículos!$E$4:$CS$4,1,ROW()-ROW(D$34))</f>
        <v>0</v>
      </c>
      <c r="E35" s="493" t="str">
        <f>INDEX(Veículos!$E$84:$CS$84,1,ROW()-ROW(E$34))</f>
        <v/>
      </c>
      <c r="F35" s="494">
        <f>INDEX(Veículos!$E$5:$AR$5,1,ROW()-ROW(F$34))</f>
        <v>0</v>
      </c>
      <c r="G35" s="485" t="str">
        <f>INDEX(Veículos!$E$85:$CS$85,1,ROW()-ROW(G$34))</f>
        <v/>
      </c>
      <c r="H35" s="485" t="str">
        <f>INDEX(Veículos!$E$82:$CS$82,1,ROW()-ROW(H$34))</f>
        <v/>
      </c>
      <c r="I35" s="485" t="str">
        <f>INDEX(Veículos!$E$90:$CS$90,1,ROW()-ROW(I$34))</f>
        <v/>
      </c>
      <c r="J35" s="495" t="str">
        <f>INDEX(Veículos!$E$95:$CS$95,1,ROW()-ROW(J$34))</f>
        <v/>
      </c>
      <c r="K35" s="486" t="str">
        <f>INDEX(Veículos!$E$96:$CS$96,1,ROW()-ROW(K$34))</f>
        <v/>
      </c>
    </row>
    <row r="36" spans="2:14" hidden="1">
      <c r="B36" s="481" t="str">
        <f>IF(
INDEX(Veículos!$E$3:$AR$3,1,ROW()-ROW(B$34))&lt;&gt;"",
INDEX(Veículos!$E$3:$AR$3,1,ROW()-ROW(B$34)),
"OCULTAR ESTA LINHA")</f>
        <v>OCULTAR ESTA LINHA</v>
      </c>
      <c r="C36" s="482"/>
      <c r="D36" s="484">
        <f>INDEX(Veículos!$E$4:$CS$4,1,ROW()-ROW(D$34))</f>
        <v>0</v>
      </c>
      <c r="E36" s="493" t="str">
        <f>INDEX(Veículos!$E$84:$CS$84,1,ROW()-ROW(E$34))</f>
        <v/>
      </c>
      <c r="F36" s="494">
        <f>INDEX(Veículos!$E$5:$AR$5,1,ROW()-ROW(F$34))</f>
        <v>0</v>
      </c>
      <c r="G36" s="485" t="str">
        <f>INDEX(Veículos!$E$85:$CS$85,1,ROW()-ROW(G$34))</f>
        <v/>
      </c>
      <c r="H36" s="485" t="str">
        <f>INDEX(Veículos!$E$82:$CS$82,1,ROW()-ROW(H$34))</f>
        <v/>
      </c>
      <c r="I36" s="485" t="str">
        <f>INDEX(Veículos!$E$90:$CS$90,1,ROW()-ROW(I$34))</f>
        <v/>
      </c>
      <c r="J36" s="495" t="str">
        <f>INDEX(Veículos!$E$95:$CS$95,1,ROW()-ROW(J$34))</f>
        <v/>
      </c>
      <c r="K36" s="486" t="str">
        <f>INDEX(Veículos!$E$96:$CS$96,1,ROW()-ROW(K$34))</f>
        <v/>
      </c>
    </row>
    <row r="37" spans="2:14" hidden="1">
      <c r="B37" s="481" t="str">
        <f>IF(
INDEX(Veículos!$E$3:$AR$3,1,ROW()-ROW(B$34))&lt;&gt;"",
INDEX(Veículos!$E$3:$AR$3,1,ROW()-ROW(B$34)),
"OCULTAR ESTA LINHA")</f>
        <v>OCULTAR ESTA LINHA</v>
      </c>
      <c r="C37" s="482"/>
      <c r="D37" s="484">
        <f>INDEX(Veículos!$E$4:$CS$4,1,ROW()-ROW(D$34))</f>
        <v>0</v>
      </c>
      <c r="E37" s="493" t="str">
        <f>INDEX(Veículos!$E$84:$CS$84,1,ROW()-ROW(E$34))</f>
        <v/>
      </c>
      <c r="F37" s="494">
        <f>INDEX(Veículos!$E$5:$AR$5,1,ROW()-ROW(F$34))</f>
        <v>0</v>
      </c>
      <c r="G37" s="485" t="str">
        <f>INDEX(Veículos!$E$85:$CS$85,1,ROW()-ROW(G$34))</f>
        <v/>
      </c>
      <c r="H37" s="485" t="str">
        <f>INDEX(Veículos!$E$82:$CS$82,1,ROW()-ROW(H$34))</f>
        <v/>
      </c>
      <c r="I37" s="485" t="str">
        <f>INDEX(Veículos!$E$90:$CS$90,1,ROW()-ROW(I$34))</f>
        <v/>
      </c>
      <c r="J37" s="495" t="str">
        <f>INDEX(Veículos!$E$95:$CS$95,1,ROW()-ROW(J$34))</f>
        <v/>
      </c>
      <c r="K37" s="486" t="str">
        <f>INDEX(Veículos!$E$96:$CS$96,1,ROW()-ROW(K$34))</f>
        <v/>
      </c>
    </row>
    <row r="38" spans="2:14" hidden="1">
      <c r="B38" s="481" t="str">
        <f>IF(
INDEX(Veículos!$E$3:$AR$3,1,ROW()-ROW(B$34))&lt;&gt;"",
INDEX(Veículos!$E$3:$AR$3,1,ROW()-ROW(B$34)),
"OCULTAR ESTA LINHA")</f>
        <v>OCULTAR ESTA LINHA</v>
      </c>
      <c r="C38" s="482"/>
      <c r="D38" s="484">
        <f>INDEX(Veículos!$E$4:$CS$4,1,ROW()-ROW(D$34))</f>
        <v>0</v>
      </c>
      <c r="E38" s="493" t="str">
        <f>INDEX(Veículos!$E$84:$CS$84,1,ROW()-ROW(E$34))</f>
        <v/>
      </c>
      <c r="F38" s="494">
        <f>INDEX(Veículos!$E$5:$AR$5,1,ROW()-ROW(F$34))</f>
        <v>0</v>
      </c>
      <c r="G38" s="485" t="str">
        <f>INDEX(Veículos!$E$85:$CS$85,1,ROW()-ROW(G$34))</f>
        <v/>
      </c>
      <c r="H38" s="485" t="str">
        <f>INDEX(Veículos!$E$82:$CS$82,1,ROW()-ROW(H$34))</f>
        <v/>
      </c>
      <c r="I38" s="485" t="str">
        <f>INDEX(Veículos!$E$90:$CS$90,1,ROW()-ROW(I$34))</f>
        <v/>
      </c>
      <c r="J38" s="495" t="str">
        <f>INDEX(Veículos!$E$95:$CS$95,1,ROW()-ROW(J$34))</f>
        <v/>
      </c>
      <c r="K38" s="486" t="str">
        <f>INDEX(Veículos!$E$96:$CS$96,1,ROW()-ROW(K$34))</f>
        <v/>
      </c>
    </row>
    <row r="39" spans="2:14" hidden="1">
      <c r="B39" s="481" t="str">
        <f>IF(
INDEX(Veículos!$E$3:$AR$3,1,ROW()-ROW(B$34))&lt;&gt;"",
INDEX(Veículos!$E$3:$AR$3,1,ROW()-ROW(B$34)),
"OCULTAR ESTA LINHA")</f>
        <v>OCULTAR ESTA LINHA</v>
      </c>
      <c r="C39" s="482"/>
      <c r="D39" s="484">
        <f>INDEX(Veículos!$E$4:$CS$4,1,ROW()-ROW(D$34))</f>
        <v>0</v>
      </c>
      <c r="E39" s="493" t="str">
        <f>INDEX(Veículos!$E$84:$CS$84,1,ROW()-ROW(E$34))</f>
        <v/>
      </c>
      <c r="F39" s="494">
        <f>INDEX(Veículos!$E$5:$AR$5,1,ROW()-ROW(F$34))</f>
        <v>0</v>
      </c>
      <c r="G39" s="485" t="str">
        <f>INDEX(Veículos!$E$85:$CS$85,1,ROW()-ROW(G$34))</f>
        <v/>
      </c>
      <c r="H39" s="485" t="str">
        <f>INDEX(Veículos!$E$82:$CS$82,1,ROW()-ROW(H$34))</f>
        <v/>
      </c>
      <c r="I39" s="485" t="str">
        <f>INDEX(Veículos!$E$90:$CS$90,1,ROW()-ROW(I$34))</f>
        <v/>
      </c>
      <c r="J39" s="495" t="str">
        <f>INDEX(Veículos!$E$95:$CS$95,1,ROW()-ROW(J$34))</f>
        <v/>
      </c>
      <c r="K39" s="486" t="str">
        <f>INDEX(Veículos!$E$96:$CS$96,1,ROW()-ROW(K$34))</f>
        <v/>
      </c>
    </row>
    <row r="40" spans="2:14" hidden="1">
      <c r="B40" s="474"/>
      <c r="C40" s="475"/>
      <c r="D40" s="475"/>
      <c r="E40" s="475"/>
      <c r="F40" s="487"/>
      <c r="G40" s="496"/>
      <c r="H40" s="496"/>
      <c r="I40" s="496"/>
      <c r="J40" s="496">
        <f>SUM(J35:J39)</f>
        <v>0</v>
      </c>
      <c r="K40" s="497">
        <f>SUM(K35:K39)</f>
        <v>0</v>
      </c>
    </row>
    <row r="41" spans="2:14" ht="6.75" hidden="1" customHeight="1">
      <c r="B41" s="490"/>
      <c r="C41" s="490"/>
      <c r="D41" s="490"/>
      <c r="E41" s="490"/>
      <c r="F41" s="491"/>
      <c r="G41" s="491"/>
      <c r="H41" s="492"/>
      <c r="I41" s="492"/>
      <c r="J41" s="492"/>
      <c r="K41" s="492"/>
    </row>
    <row r="42" spans="2:14" hidden="1">
      <c r="B42" s="474" t="s">
        <v>418</v>
      </c>
      <c r="C42" s="475"/>
      <c r="D42" s="475"/>
      <c r="E42" s="475"/>
      <c r="F42" s="475"/>
      <c r="G42" s="475"/>
      <c r="H42" s="475"/>
      <c r="I42" s="475"/>
      <c r="J42" s="475"/>
      <c r="K42" s="476"/>
    </row>
    <row r="43" spans="2:14" hidden="1">
      <c r="B43" s="477" t="s">
        <v>409</v>
      </c>
      <c r="C43" s="478"/>
      <c r="D43" s="478"/>
      <c r="E43" s="478"/>
      <c r="F43" s="479" t="s">
        <v>40</v>
      </c>
      <c r="G43" s="479" t="s">
        <v>410</v>
      </c>
      <c r="H43" s="479" t="s">
        <v>411</v>
      </c>
      <c r="I43" s="479" t="s">
        <v>412</v>
      </c>
      <c r="J43" s="479" t="s">
        <v>322</v>
      </c>
      <c r="K43" s="480" t="s">
        <v>345</v>
      </c>
    </row>
    <row r="44" spans="2:14" hidden="1">
      <c r="B44" s="481" t="str">
        <f>IF(
'Apoio - Dados'!J2&lt;&gt;"",
'Apoio - Dados'!J2,
"OCULTAR ESTA LINHA")</f>
        <v>OCULTAR ESTA LINHA</v>
      </c>
      <c r="C44" s="482"/>
      <c r="D44" s="483"/>
      <c r="E44" s="483"/>
      <c r="F44" s="484" t="str">
        <f>IFERROR(INDEX(Produtividade!B:B,MATCH($B44,Produtividade!C:C,0)),"")</f>
        <v/>
      </c>
      <c r="G44" s="485" t="str">
        <f>IFERROR(INDEX('Apoio - Dados'!F:F,MATCH($B44,'Apoio - Dados'!E:E,0)),"")</f>
        <v/>
      </c>
      <c r="H44" s="498" t="str">
        <f>IFERROR(INDEX(Produtividade!L:L,MATCH($B44,Produtividade!C:C,0)),"")</f>
        <v/>
      </c>
      <c r="I44" s="485" t="str">
        <f>IFERROR(INDEX(Produtividade!M:M,MATCH($B44,Produtividade!C:C,0)),"")</f>
        <v/>
      </c>
      <c r="J44" s="495" t="str">
        <f>IFERROR(INDEX(Produtividade!N:N,MATCH($B44,Produtividade!C:C,0)),"")</f>
        <v/>
      </c>
      <c r="K44" s="486" t="str">
        <f>IFERROR(INDEX(Produtividade!O:O,MATCH($B44,Produtividade!C:C,0)),"")</f>
        <v/>
      </c>
      <c r="N44" s="501"/>
    </row>
    <row r="45" spans="2:14" hidden="1">
      <c r="B45" s="481" t="str">
        <f>IF(
'Apoio - Dados'!J3&lt;&gt;"",
'Apoio - Dados'!J3,
"OCULTAR ESTA LINHA")</f>
        <v>OCULTAR ESTA LINHA</v>
      </c>
      <c r="C45" s="482"/>
      <c r="D45" s="483"/>
      <c r="E45" s="483"/>
      <c r="F45" s="484" t="str">
        <f>IFERROR(INDEX(Produtividade!B:B,MATCH($B45,Produtividade!C:C,0)),"")</f>
        <v/>
      </c>
      <c r="G45" s="485" t="str">
        <f>IFERROR(INDEX('Apoio - Dados'!F:F,MATCH($B45,'Apoio - Dados'!E:E,0)),"")</f>
        <v/>
      </c>
      <c r="H45" s="498" t="str">
        <f>IFERROR(INDEX(Produtividade!L:L,MATCH($B45,Produtividade!C:C,0)),"")</f>
        <v/>
      </c>
      <c r="I45" s="485" t="str">
        <f>IFERROR(INDEX(Produtividade!M:M,MATCH($B45,Produtividade!C:C,0)),"")</f>
        <v/>
      </c>
      <c r="J45" s="495" t="str">
        <f>IFERROR(INDEX(Produtividade!N:N,MATCH($B45,Produtividade!C:C,0)),"")</f>
        <v/>
      </c>
      <c r="K45" s="486" t="str">
        <f>IFERROR(INDEX(Produtividade!O:O,MATCH($B45,Produtividade!C:C,0)),"")</f>
        <v/>
      </c>
      <c r="N45" s="501"/>
    </row>
    <row r="46" spans="2:14" hidden="1">
      <c r="B46" s="481" t="str">
        <f>IF(
'Apoio - Dados'!J4&lt;&gt;"",
'Apoio - Dados'!J4,
"OCULTAR ESTA LINHA")</f>
        <v>OCULTAR ESTA LINHA</v>
      </c>
      <c r="C46" s="482"/>
      <c r="D46" s="483"/>
      <c r="E46" s="483"/>
      <c r="F46" s="484" t="str">
        <f>IFERROR(INDEX(Produtividade!B:B,MATCH($B46,Produtividade!C:C,0)),"")</f>
        <v/>
      </c>
      <c r="G46" s="485" t="str">
        <f>IFERROR(INDEX('Apoio - Dados'!F:F,MATCH($B46,'Apoio - Dados'!E:E,0)),"")</f>
        <v/>
      </c>
      <c r="H46" s="498" t="str">
        <f>IFERROR(INDEX(Produtividade!L:L,MATCH($B46,Produtividade!C:C,0)),"")</f>
        <v/>
      </c>
      <c r="I46" s="485" t="str">
        <f>IFERROR(INDEX(Produtividade!M:M,MATCH($B46,Produtividade!C:C,0)),"")</f>
        <v/>
      </c>
      <c r="J46" s="495" t="str">
        <f>IFERROR(INDEX(Produtividade!N:N,MATCH($B46,Produtividade!C:C,0)),"")</f>
        <v/>
      </c>
      <c r="K46" s="486" t="str">
        <f>IFERROR(INDEX(Produtividade!O:O,MATCH($B46,Produtividade!C:C,0)),"")</f>
        <v/>
      </c>
      <c r="N46" s="501"/>
    </row>
    <row r="47" spans="2:14" hidden="1">
      <c r="B47" s="481" t="str">
        <f>IF(
'Apoio - Dados'!J5&lt;&gt;"",
'Apoio - Dados'!J5,
"OCULTAR ESTA LINHA")</f>
        <v>OCULTAR ESTA LINHA</v>
      </c>
      <c r="C47" s="482"/>
      <c r="D47" s="483"/>
      <c r="E47" s="483"/>
      <c r="F47" s="484" t="str">
        <f>IFERROR(INDEX(Produtividade!B:B,MATCH($B47,Produtividade!C:C,0)),"")</f>
        <v/>
      </c>
      <c r="G47" s="485" t="str">
        <f>IFERROR(INDEX('Apoio - Dados'!F:F,MATCH($B47,'Apoio - Dados'!E:E,0)),"")</f>
        <v/>
      </c>
      <c r="H47" s="498" t="str">
        <f>IFERROR(INDEX(Produtividade!L:L,MATCH($B47,Produtividade!C:C,0)),"")</f>
        <v/>
      </c>
      <c r="I47" s="485" t="str">
        <f>IFERROR(INDEX(Produtividade!M:M,MATCH($B47,Produtividade!C:C,0)),"")</f>
        <v/>
      </c>
      <c r="J47" s="495" t="str">
        <f>IFERROR(INDEX(Produtividade!N:N,MATCH($B47,Produtividade!C:C,0)),"")</f>
        <v/>
      </c>
      <c r="K47" s="486" t="str">
        <f>IFERROR(INDEX(Produtividade!O:O,MATCH($B47,Produtividade!C:C,0)),"")</f>
        <v/>
      </c>
      <c r="N47" s="501"/>
    </row>
    <row r="48" spans="2:14" hidden="1">
      <c r="B48" s="481" t="str">
        <f>IF(
'Apoio - Dados'!J6&lt;&gt;"",
'Apoio - Dados'!J6,
"OCULTAR ESTA LINHA")</f>
        <v>OCULTAR ESTA LINHA</v>
      </c>
      <c r="C48" s="482"/>
      <c r="D48" s="483"/>
      <c r="E48" s="483"/>
      <c r="F48" s="484" t="str">
        <f>IFERROR(INDEX(Produtividade!B:B,MATCH($B48,Produtividade!C:C,0)),"")</f>
        <v/>
      </c>
      <c r="G48" s="485" t="str">
        <f>IFERROR(INDEX('Apoio - Dados'!F:F,MATCH($B48,'Apoio - Dados'!E:E,0)),"")</f>
        <v/>
      </c>
      <c r="H48" s="498" t="str">
        <f>IFERROR(INDEX(Produtividade!L:L,MATCH($B48,Produtividade!C:C,0)),"")</f>
        <v/>
      </c>
      <c r="I48" s="485" t="str">
        <f>IFERROR(INDEX(Produtividade!M:M,MATCH($B48,Produtividade!C:C,0)),"")</f>
        <v/>
      </c>
      <c r="J48" s="495" t="str">
        <f>IFERROR(INDEX(Produtividade!N:N,MATCH($B48,Produtividade!C:C,0)),"")</f>
        <v/>
      </c>
      <c r="K48" s="486" t="str">
        <f>IFERROR(INDEX(Produtividade!O:O,MATCH($B48,Produtividade!C:C,0)),"")</f>
        <v/>
      </c>
      <c r="N48" s="501"/>
    </row>
    <row r="49" spans="2:16" hidden="1">
      <c r="B49" s="481" t="str">
        <f>IF(
'Apoio - Dados'!J7&lt;&gt;"",
'Apoio - Dados'!J7,
"OCULTAR ESTA LINHA")</f>
        <v>OCULTAR ESTA LINHA</v>
      </c>
      <c r="C49" s="482"/>
      <c r="D49" s="483"/>
      <c r="E49" s="483"/>
      <c r="F49" s="484" t="str">
        <f>IFERROR(INDEX(Produtividade!B:B,MATCH($B49,Produtividade!C:C,0)),"")</f>
        <v/>
      </c>
      <c r="G49" s="485" t="str">
        <f>IFERROR(INDEX('Apoio - Dados'!F:F,MATCH($B49,'Apoio - Dados'!E:E,0)),"")</f>
        <v/>
      </c>
      <c r="H49" s="498" t="str">
        <f>IFERROR(INDEX(Produtividade!L:L,MATCH($B49,Produtividade!C:C,0)),"")</f>
        <v/>
      </c>
      <c r="I49" s="485" t="str">
        <f>IFERROR(INDEX(Produtividade!M:M,MATCH($B49,Produtividade!C:C,0)),"")</f>
        <v/>
      </c>
      <c r="J49" s="495" t="str">
        <f>IFERROR(INDEX(Produtividade!N:N,MATCH($B49,Produtividade!C:C,0)),"")</f>
        <v/>
      </c>
      <c r="K49" s="486" t="str">
        <f>IFERROR(INDEX(Produtividade!O:O,MATCH($B49,Produtividade!C:C,0)),"")</f>
        <v/>
      </c>
      <c r="N49" s="501"/>
    </row>
    <row r="50" spans="2:16" hidden="1">
      <c r="B50" s="481" t="str">
        <f>IF(
'Apoio - Dados'!J8&lt;&gt;"",
'Apoio - Dados'!J8,
"OCULTAR ESTA LINHA")</f>
        <v>OCULTAR ESTA LINHA</v>
      </c>
      <c r="C50" s="482"/>
      <c r="D50" s="483"/>
      <c r="E50" s="483"/>
      <c r="F50" s="484" t="str">
        <f>IFERROR(INDEX(Produtividade!B:B,MATCH($B50,Produtividade!C:C,0)),"")</f>
        <v/>
      </c>
      <c r="G50" s="485" t="str">
        <f>IFERROR(INDEX('Apoio - Dados'!F:F,MATCH($B50,'Apoio - Dados'!E:E,0)),"")</f>
        <v/>
      </c>
      <c r="H50" s="498" t="str">
        <f>IFERROR(INDEX(Produtividade!L:L,MATCH($B50,Produtividade!C:C,0)),"")</f>
        <v/>
      </c>
      <c r="I50" s="485" t="str">
        <f>IFERROR(INDEX(Produtividade!M:M,MATCH($B50,Produtividade!C:C,0)),"")</f>
        <v/>
      </c>
      <c r="J50" s="495" t="str">
        <f>IFERROR(INDEX(Produtividade!N:N,MATCH($B50,Produtividade!C:C,0)),"")</f>
        <v/>
      </c>
      <c r="K50" s="486" t="str">
        <f>IFERROR(INDEX(Produtividade!O:O,MATCH($B50,Produtividade!C:C,0)),"")</f>
        <v/>
      </c>
      <c r="N50" s="501"/>
    </row>
    <row r="51" spans="2:16" hidden="1">
      <c r="B51" s="481" t="str">
        <f>IF(
'Apoio - Dados'!J9&lt;&gt;"",
'Apoio - Dados'!J9,
"OCULTAR ESTA LINHA")</f>
        <v>OCULTAR ESTA LINHA</v>
      </c>
      <c r="C51" s="482"/>
      <c r="D51" s="483"/>
      <c r="E51" s="483"/>
      <c r="F51" s="484" t="str">
        <f>IFERROR(INDEX(Produtividade!B:B,MATCH($B51,Produtividade!C:C,0)),"")</f>
        <v/>
      </c>
      <c r="G51" s="485" t="str">
        <f>IFERROR(INDEX('Apoio - Dados'!F:F,MATCH($B51,'Apoio - Dados'!E:E,0)),"")</f>
        <v/>
      </c>
      <c r="H51" s="498" t="str">
        <f>IFERROR(INDEX(Produtividade!L:L,MATCH($B51,Produtividade!C:C,0)),"")</f>
        <v/>
      </c>
      <c r="I51" s="485" t="str">
        <f>IFERROR(INDEX(Produtividade!M:M,MATCH($B51,Produtividade!C:C,0)),"")</f>
        <v/>
      </c>
      <c r="J51" s="495" t="str">
        <f>IFERROR(INDEX(Produtividade!N:N,MATCH($B51,Produtividade!C:C,0)),"")</f>
        <v/>
      </c>
      <c r="K51" s="486" t="str">
        <f>IFERROR(INDEX(Produtividade!O:O,MATCH($B51,Produtividade!C:C,0)),"")</f>
        <v/>
      </c>
      <c r="N51" s="501"/>
    </row>
    <row r="52" spans="2:16" hidden="1">
      <c r="B52" s="481" t="str">
        <f>IF(
'Apoio - Dados'!J10&lt;&gt;"",
'Apoio - Dados'!J10,
"OCULTAR ESTA LINHA")</f>
        <v>OCULTAR ESTA LINHA</v>
      </c>
      <c r="C52" s="482"/>
      <c r="D52" s="483"/>
      <c r="E52" s="483"/>
      <c r="F52" s="484" t="str">
        <f>IFERROR(INDEX(Produtividade!B:B,MATCH($B52,Produtividade!C:C,0)),"")</f>
        <v/>
      </c>
      <c r="G52" s="485" t="str">
        <f>IFERROR(INDEX('Apoio - Dados'!F:F,MATCH($B52,'Apoio - Dados'!E:E,0)),"")</f>
        <v/>
      </c>
      <c r="H52" s="498" t="str">
        <f>IFERROR(INDEX(Produtividade!L:L,MATCH($B52,Produtividade!C:C,0)),"")</f>
        <v/>
      </c>
      <c r="I52" s="485" t="str">
        <f>IFERROR(INDEX(Produtividade!M:M,MATCH($B52,Produtividade!C:C,0)),"")</f>
        <v/>
      </c>
      <c r="J52" s="495" t="str">
        <f>IFERROR(INDEX(Produtividade!N:N,MATCH($B52,Produtividade!C:C,0)),"")</f>
        <v/>
      </c>
      <c r="K52" s="486" t="str">
        <f>IFERROR(INDEX(Produtividade!O:O,MATCH($B52,Produtividade!C:C,0)),"")</f>
        <v/>
      </c>
      <c r="N52" s="501"/>
    </row>
    <row r="53" spans="2:16" hidden="1">
      <c r="B53" s="474"/>
      <c r="C53" s="475"/>
      <c r="D53" s="475"/>
      <c r="E53" s="475"/>
      <c r="F53" s="487"/>
      <c r="G53" s="496"/>
      <c r="H53" s="499">
        <f>SUM(H44:H52)</f>
        <v>0</v>
      </c>
      <c r="I53" s="496"/>
      <c r="J53" s="496">
        <f>SUM(J44:J52)</f>
        <v>0</v>
      </c>
      <c r="K53" s="497">
        <f>SUM(K44:K52)</f>
        <v>0</v>
      </c>
      <c r="N53" s="501"/>
    </row>
    <row r="54" spans="2:16" ht="6.75" customHeight="1">
      <c r="B54" s="44"/>
      <c r="C54" s="44"/>
      <c r="D54" s="44"/>
      <c r="E54" s="44"/>
      <c r="F54" s="44"/>
      <c r="G54" s="44"/>
      <c r="H54" s="44"/>
      <c r="I54" s="44"/>
      <c r="J54" s="44"/>
      <c r="K54" s="44"/>
    </row>
    <row r="55" spans="2:16">
      <c r="B55" s="27" t="s">
        <v>416</v>
      </c>
      <c r="C55" s="28"/>
      <c r="D55" s="28"/>
      <c r="E55" s="28"/>
      <c r="F55" s="28"/>
      <c r="G55" s="28"/>
      <c r="H55" s="28"/>
      <c r="I55" s="32"/>
      <c r="J55" s="32"/>
      <c r="K55" s="33"/>
    </row>
    <row r="56" spans="2:16">
      <c r="B56" s="384" t="s">
        <v>253</v>
      </c>
      <c r="C56" s="385"/>
      <c r="D56" s="385"/>
      <c r="E56" s="385"/>
      <c r="F56" s="385"/>
      <c r="G56" s="385"/>
      <c r="H56" s="385"/>
      <c r="I56" s="385"/>
      <c r="J56" s="386" t="s">
        <v>322</v>
      </c>
      <c r="K56" s="387" t="s">
        <v>345</v>
      </c>
    </row>
    <row r="57" spans="2:16">
      <c r="B57" s="53" t="s">
        <v>233</v>
      </c>
      <c r="C57" s="3"/>
      <c r="D57" s="3"/>
      <c r="E57" s="3"/>
      <c r="F57" s="3"/>
      <c r="G57" s="3"/>
      <c r="H57" s="3"/>
      <c r="I57" s="380"/>
      <c r="J57" s="73">
        <f>SUM(
IFERROR(SUM(Produtividade!$E179:$II179),0),
IFERROR(SUM('Mão de Obra'!$E$179:$II$179),0)
)</f>
        <v>22567.98</v>
      </c>
      <c r="K57" s="74">
        <f>J57*$J$6</f>
        <v>270815.76</v>
      </c>
      <c r="L57" s="501"/>
      <c r="M57" s="663"/>
    </row>
    <row r="58" spans="2:16">
      <c r="B58" s="53" t="s">
        <v>275</v>
      </c>
      <c r="I58" s="381"/>
      <c r="J58" s="34">
        <f>SUM(
IFERROR(SUMPRODUCT(Produtividade!E148:II148,Produtividade!$E$29:$II$29),0),
IFERROR(SUMPRODUCT('Mão de Obra'!E148:II148,'Mão de Obra'!$E$29:$II$29),0)
)</f>
        <v>396</v>
      </c>
      <c r="K58" s="74">
        <f>J58*$J$6</f>
        <v>4752</v>
      </c>
      <c r="L58" s="501"/>
      <c r="M58" s="663"/>
    </row>
    <row r="59" spans="2:16">
      <c r="B59" s="53" t="s">
        <v>274</v>
      </c>
      <c r="I59" s="381"/>
      <c r="J59" s="34">
        <f>'Mat Coletivo e Equipamentos'!I4
+
SUM(
IFERROR(SUMPRODUCT('Mão de Obra'!E149:II149,'Mão de Obra'!$E$29:$II$29),0),
IFERROR(SUMPRODUCT(Produtividade!E149:II149,Produtividade!$E$29:$II$29),0))</f>
        <v>0</v>
      </c>
      <c r="K59" s="74">
        <f>J59*$J$6</f>
        <v>0</v>
      </c>
      <c r="L59" s="501"/>
      <c r="M59" s="663"/>
    </row>
    <row r="60" spans="2:16">
      <c r="B60" s="53" t="s">
        <v>424</v>
      </c>
      <c r="I60" s="381"/>
      <c r="J60" s="29">
        <f>IFERROR(SUM(Veículos!E93:II93),0)</f>
        <v>0</v>
      </c>
      <c r="K60" s="74">
        <f>IFERROR(J60*$J$6,0)</f>
        <v>0</v>
      </c>
      <c r="L60" s="501"/>
      <c r="M60" s="663"/>
    </row>
    <row r="61" spans="2:16">
      <c r="B61" s="734" t="s">
        <v>252</v>
      </c>
      <c r="C61" s="3"/>
      <c r="D61" s="3"/>
      <c r="E61" s="3"/>
      <c r="F61" s="3"/>
      <c r="G61" s="3"/>
      <c r="H61" s="3"/>
      <c r="I61" s="735"/>
      <c r="J61" s="42">
        <f>IFERROR(SUM(J57:J60),0)</f>
        <v>22963.98</v>
      </c>
      <c r="K61" s="736">
        <f>SUM(K57:K60)</f>
        <v>275567.76</v>
      </c>
      <c r="L61" s="501"/>
      <c r="M61" s="663"/>
    </row>
    <row r="62" spans="2:16">
      <c r="B62" s="737" t="s">
        <v>174</v>
      </c>
      <c r="C62" s="738"/>
      <c r="D62" s="738"/>
      <c r="E62" s="738"/>
      <c r="F62" s="738"/>
      <c r="G62" s="738"/>
      <c r="H62" s="738"/>
      <c r="I62" s="739"/>
      <c r="J62" s="740"/>
      <c r="K62" s="741"/>
      <c r="L62" s="501"/>
      <c r="M62" s="663"/>
    </row>
    <row r="63" spans="2:16">
      <c r="B63" s="53" t="s">
        <v>255</v>
      </c>
      <c r="C63" s="263"/>
      <c r="F63" s="29"/>
      <c r="I63" s="382"/>
      <c r="J63" s="72">
        <f>IFERROR(
SUM(
IFERROR(SUMPRODUCT('Mão de Obra'!E155:II155,'Mão de Obra'!$E$29:$II$29),0),
IFERROR(SUMPRODUCT(Produtividade!E155:II155,Produtividade!$E$29:$II$29),0),
IFERROR(SUMPRODUCT(Veículos!E64:II64,Veículos!$E$4:$II$4),0)
)
*
(1+'Mat Coletivo e Equipamentos'!I4/SUM(J61,-'Mat Coletivo e Equipamentos'!I4)),0)</f>
        <v>1148.2</v>
      </c>
      <c r="K63" s="74">
        <f>J63*$J$6</f>
        <v>13778.400000000001</v>
      </c>
      <c r="L63" s="501"/>
      <c r="M63" s="663"/>
      <c r="N63" s="664"/>
      <c r="P63" s="501"/>
    </row>
    <row r="64" spans="2:16">
      <c r="B64" s="53" t="s">
        <v>228</v>
      </c>
      <c r="C64" s="263"/>
      <c r="F64" s="29"/>
      <c r="H64" s="35"/>
      <c r="I64" s="382"/>
      <c r="J64" s="72">
        <f>IFERROR(
SUM(
IFERROR(SUMPRODUCT('Mão de Obra'!E156:II156,'Mão de Obra'!$E$29:$II$29),0),
IFERROR(SUMPRODUCT(Produtividade!E156:II156,Produtividade!$E$29:$II$29),0),
IFERROR(SUMPRODUCT(Veículos!E65:II65,Veículos!$E$4:$II$4),0)
)
*
(1+'Mat Coletivo e Equipamentos'!I4/SUM(J61,-'Mat Coletivo e Equipamentos'!I4)),0)</f>
        <v>2411.2199999999998</v>
      </c>
      <c r="K64" s="74">
        <f>J64*$J$6</f>
        <v>28934.639999999999</v>
      </c>
      <c r="L64" s="501"/>
      <c r="M64" s="663"/>
    </row>
    <row r="65" spans="2:14">
      <c r="B65" s="53" t="s">
        <v>254</v>
      </c>
      <c r="C65" s="263"/>
      <c r="F65" s="29"/>
      <c r="H65" s="35"/>
      <c r="I65" s="382"/>
      <c r="J65" s="72">
        <f>IFERROR(
SUM(
IFERROR(SUMPRODUCT('Mão de Obra'!E166:II166,'Mão de Obra'!$E$29:$II$29),0),
IFERROR(SUMPRODUCT(Produtividade!E166:II166,Produtividade!$E$29:$II$29),0),
IFERROR(SUMPRODUCT(Veículos!E75:II75,Veículos!$E$4:$II$4),0)
)
*
(1+'Mat Coletivo e Equipamentos'!I4/SUM(J61,-'Mat Coletivo e Equipamentos'!I4)),0)</f>
        <v>2511.56</v>
      </c>
      <c r="K65" s="74">
        <f>J65*$J$6</f>
        <v>30138.720000000001</v>
      </c>
      <c r="L65" s="501"/>
      <c r="M65" s="663"/>
    </row>
    <row r="66" spans="2:14">
      <c r="B66" s="58" t="s">
        <v>252</v>
      </c>
      <c r="C66" s="54"/>
      <c r="D66" s="54"/>
      <c r="E66" s="54"/>
      <c r="F66" s="55"/>
      <c r="G66" s="56"/>
      <c r="H66" s="56"/>
      <c r="I66" s="383"/>
      <c r="J66" s="56">
        <f>SUM(J63:J65)</f>
        <v>6070.98</v>
      </c>
      <c r="K66" s="57">
        <f>SUM(K63:K65)</f>
        <v>72851.760000000009</v>
      </c>
      <c r="L66" s="501"/>
      <c r="M66" s="663"/>
      <c r="N66" s="501"/>
    </row>
    <row r="67" spans="2:14">
      <c r="B67" s="359"/>
      <c r="C67" s="3"/>
      <c r="D67" s="3"/>
      <c r="E67" s="3"/>
      <c r="F67" s="308"/>
      <c r="G67" s="308"/>
      <c r="H67" s="42"/>
      <c r="I67" s="42"/>
      <c r="J67" s="42"/>
      <c r="K67" s="42"/>
      <c r="L67" s="502"/>
    </row>
    <row r="68" spans="2:14">
      <c r="B68" s="737" t="s">
        <v>665</v>
      </c>
      <c r="C68" s="738"/>
      <c r="D68" s="738"/>
      <c r="E68" s="738"/>
      <c r="F68" s="738"/>
      <c r="G68" s="738"/>
      <c r="H68" s="738"/>
      <c r="I68" s="739"/>
      <c r="J68" s="740"/>
      <c r="K68" s="741"/>
    </row>
    <row r="69" spans="2:14" ht="30">
      <c r="B69" s="477" t="s">
        <v>666</v>
      </c>
      <c r="C69" s="478" t="s">
        <v>667</v>
      </c>
      <c r="D69" s="478" t="s">
        <v>68</v>
      </c>
      <c r="E69" s="478" t="s">
        <v>407</v>
      </c>
      <c r="F69" s="479" t="s">
        <v>408</v>
      </c>
      <c r="G69" s="479" t="s">
        <v>429</v>
      </c>
      <c r="H69" s="479" t="s">
        <v>430</v>
      </c>
      <c r="I69" s="479" t="s">
        <v>431</v>
      </c>
      <c r="J69" s="479" t="s">
        <v>443</v>
      </c>
      <c r="K69" s="480" t="s">
        <v>396</v>
      </c>
      <c r="M69" s="501"/>
      <c r="N69" s="663"/>
    </row>
    <row r="70" spans="2:14">
      <c r="B70" s="53" t="s">
        <v>664</v>
      </c>
      <c r="C70" s="263" t="s">
        <v>668</v>
      </c>
      <c r="D70" s="744">
        <v>4</v>
      </c>
      <c r="E70">
        <f>'Mão de Obra'!G28</f>
        <v>1</v>
      </c>
      <c r="F70" s="29">
        <v>1</v>
      </c>
      <c r="G70" s="665">
        <f>'Mão de Obra'!G173</f>
        <v>118.08</v>
      </c>
      <c r="H70" s="746" t="s">
        <v>388</v>
      </c>
      <c r="I70" s="665">
        <f>G70*D70</f>
        <v>472.32</v>
      </c>
      <c r="J70" s="73">
        <f>D70*G70</f>
        <v>472.32</v>
      </c>
      <c r="K70" s="745">
        <f>J70*$J$6</f>
        <v>5667.84</v>
      </c>
      <c r="M70" s="501"/>
    </row>
    <row r="71" spans="2:14">
      <c r="B71" s="59"/>
      <c r="C71" s="28"/>
      <c r="D71" s="28"/>
      <c r="E71" s="28"/>
      <c r="F71" s="32"/>
      <c r="G71" s="30"/>
      <c r="H71" s="30"/>
      <c r="I71" s="30"/>
      <c r="J71" s="30">
        <f>J70</f>
        <v>472.32</v>
      </c>
      <c r="K71" s="31">
        <f>K70</f>
        <v>5667.84</v>
      </c>
      <c r="M71" s="501"/>
    </row>
    <row r="73" spans="2:14">
      <c r="B73" s="59" t="s">
        <v>222</v>
      </c>
      <c r="C73" s="28"/>
      <c r="D73" s="28"/>
      <c r="E73" s="28"/>
      <c r="F73" s="32"/>
      <c r="G73" s="30"/>
      <c r="H73" s="30"/>
      <c r="I73" s="30"/>
      <c r="J73" s="30">
        <f>J26+J71</f>
        <v>29507.279999999999</v>
      </c>
      <c r="K73" s="31">
        <f>K26+K71</f>
        <v>354087.36000000004</v>
      </c>
    </row>
  </sheetData>
  <sheetProtection formatCells="0" formatColumns="0" formatRows="0" insertColumns="0" insertRows="0" deleteColumns="0" deleteRows="0"/>
  <mergeCells count="25">
    <mergeCell ref="I12:K12"/>
    <mergeCell ref="C6:F6"/>
    <mergeCell ref="C7:F7"/>
    <mergeCell ref="C12:F12"/>
    <mergeCell ref="J6:K6"/>
    <mergeCell ref="J7:K7"/>
    <mergeCell ref="G7:I7"/>
    <mergeCell ref="G6:I6"/>
    <mergeCell ref="G9:H9"/>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s>
  <conditionalFormatting sqref="C6:C7 J6:J7 B8 C9 J9:J10 C11:C13 I11:I13">
    <cfRule type="expression" dxfId="7" priority="76">
      <formula>#REF!</formula>
    </cfRule>
  </conditionalFormatting>
  <conditionalFormatting sqref="G35:G40">
    <cfRule type="expression" dxfId="6" priority="7">
      <formula>#REF!="Área (m²)"</formula>
    </cfRule>
  </conditionalFormatting>
  <conditionalFormatting sqref="G30:H31">
    <cfRule type="expression" dxfId="5" priority="1">
      <formula>#REF!="Área (m²)"</formula>
    </cfRule>
  </conditionalFormatting>
  <conditionalFormatting sqref="H32">
    <cfRule type="expression" dxfId="4" priority="20">
      <formula>#REF!="Área (m²)"</formula>
    </cfRule>
  </conditionalFormatting>
  <conditionalFormatting sqref="H35:H41">
    <cfRule type="expression" dxfId="3" priority="17">
      <formula>#REF!="Área (m²)"</formula>
    </cfRule>
  </conditionalFormatting>
  <conditionalFormatting sqref="I30">
    <cfRule type="expression" dxfId="2" priority="2">
      <formula>#REF!="Área (m²)"</formula>
    </cfRule>
  </conditionalFormatting>
  <conditionalFormatting sqref="I35:I39">
    <cfRule type="expression" dxfId="1" priority="16">
      <formula>#REF!="Área (m²)"</formula>
    </cfRule>
  </conditionalFormatting>
  <dataValidations disablePrompts="1" count="1">
    <dataValidation type="list" allowBlank="1" sqref="J7">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14:formula1>
            <xm:f>'Apoio - Dados'!$A:$A</xm:f>
          </x14:formula1>
          <xm:sqref>B3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657</v>
      </c>
    </row>
    <row r="2" spans="1:10" s="4" customFormat="1" ht="15" customHeight="1">
      <c r="A2" s="172"/>
      <c r="B2" s="172"/>
      <c r="C2" s="172"/>
      <c r="D2" s="172"/>
      <c r="E2" s="172"/>
      <c r="F2" s="172"/>
      <c r="G2" s="172"/>
      <c r="H2" s="172"/>
      <c r="I2" s="172"/>
      <c r="J2" s="172"/>
    </row>
    <row r="3" spans="1:10">
      <c r="A3" s="171" t="s">
        <v>45</v>
      </c>
      <c r="B3" s="295">
        <v>2</v>
      </c>
      <c r="C3" s="462" t="s">
        <v>434</v>
      </c>
      <c r="D3" s="295"/>
      <c r="E3" s="295" t="s">
        <v>388</v>
      </c>
      <c r="F3" s="295"/>
      <c r="G3" s="295">
        <v>15</v>
      </c>
      <c r="H3" s="295">
        <v>220</v>
      </c>
      <c r="I3" s="295">
        <f>G3*12</f>
        <v>180</v>
      </c>
      <c r="J3" s="295">
        <f>I3/G3</f>
        <v>12</v>
      </c>
    </row>
    <row r="4" spans="1:10">
      <c r="A4" s="171" t="s">
        <v>46</v>
      </c>
      <c r="B4" s="295">
        <v>2</v>
      </c>
      <c r="C4" s="462" t="s">
        <v>434</v>
      </c>
      <c r="D4" s="295"/>
      <c r="E4" s="295" t="s">
        <v>388</v>
      </c>
      <c r="F4" s="295"/>
      <c r="G4" s="295">
        <v>15</v>
      </c>
      <c r="H4" s="295">
        <v>220</v>
      </c>
      <c r="I4" s="295">
        <f>G4*12</f>
        <v>180</v>
      </c>
      <c r="J4" s="295">
        <f t="shared" ref="J4:J16" si="0">I4/G4</f>
        <v>12</v>
      </c>
    </row>
    <row r="5" spans="1:10">
      <c r="A5" s="171" t="s">
        <v>470</v>
      </c>
      <c r="B5" s="295">
        <v>1</v>
      </c>
      <c r="C5" s="462" t="s">
        <v>434</v>
      </c>
      <c r="D5" s="295"/>
      <c r="E5" s="295">
        <v>1</v>
      </c>
      <c r="F5" s="295">
        <v>4</v>
      </c>
      <c r="G5" s="295">
        <f>E5*4</f>
        <v>4</v>
      </c>
      <c r="H5" s="295">
        <f t="shared" ref="H5:H11" si="1">F5*30/6</f>
        <v>20</v>
      </c>
      <c r="I5" s="295">
        <f>F5*4</f>
        <v>16</v>
      </c>
      <c r="J5" s="295">
        <f t="shared" si="0"/>
        <v>4</v>
      </c>
    </row>
    <row r="6" spans="1:10">
      <c r="A6" s="171" t="s">
        <v>471</v>
      </c>
      <c r="B6" s="295">
        <v>1</v>
      </c>
      <c r="C6" s="462" t="s">
        <v>434</v>
      </c>
      <c r="D6" s="295"/>
      <c r="E6" s="295">
        <v>1</v>
      </c>
      <c r="F6" s="295">
        <v>6</v>
      </c>
      <c r="G6" s="295">
        <f t="shared" ref="G6:G9" si="2">E6*4</f>
        <v>4</v>
      </c>
      <c r="H6" s="295">
        <f t="shared" si="1"/>
        <v>30</v>
      </c>
      <c r="I6" s="295">
        <f>F6*4</f>
        <v>24</v>
      </c>
      <c r="J6" s="295">
        <f t="shared" si="0"/>
        <v>6</v>
      </c>
    </row>
    <row r="7" spans="1:10">
      <c r="A7" s="171" t="s">
        <v>472</v>
      </c>
      <c r="B7" s="295">
        <v>1</v>
      </c>
      <c r="C7" s="462" t="s">
        <v>434</v>
      </c>
      <c r="D7" s="295"/>
      <c r="E7" s="295">
        <v>1</v>
      </c>
      <c r="F7" s="295">
        <v>8</v>
      </c>
      <c r="G7" s="295">
        <f t="shared" si="2"/>
        <v>4</v>
      </c>
      <c r="H7" s="295">
        <f t="shared" si="1"/>
        <v>40</v>
      </c>
      <c r="I7" s="295">
        <f>F7*4</f>
        <v>32</v>
      </c>
      <c r="J7" s="295">
        <f t="shared" si="0"/>
        <v>8</v>
      </c>
    </row>
    <row r="8" spans="1:10">
      <c r="A8" s="171" t="s">
        <v>481</v>
      </c>
      <c r="B8" s="295">
        <v>1</v>
      </c>
      <c r="C8" s="462" t="s">
        <v>434</v>
      </c>
      <c r="D8" s="295"/>
      <c r="E8" s="295">
        <v>2</v>
      </c>
      <c r="F8" s="295">
        <v>12</v>
      </c>
      <c r="G8" s="295">
        <f t="shared" si="2"/>
        <v>8</v>
      </c>
      <c r="H8" s="295">
        <f t="shared" si="1"/>
        <v>60</v>
      </c>
      <c r="I8" s="295">
        <f t="shared" ref="I8:I9" si="3">F8*4</f>
        <v>48</v>
      </c>
      <c r="J8" s="295">
        <f t="shared" si="0"/>
        <v>6</v>
      </c>
    </row>
    <row r="9" spans="1:10">
      <c r="A9" s="171" t="s">
        <v>482</v>
      </c>
      <c r="B9" s="295">
        <v>1</v>
      </c>
      <c r="C9" s="462" t="s">
        <v>434</v>
      </c>
      <c r="D9" s="295"/>
      <c r="E9" s="295">
        <v>2</v>
      </c>
      <c r="F9" s="295">
        <v>16</v>
      </c>
      <c r="G9" s="295">
        <f t="shared" si="2"/>
        <v>8</v>
      </c>
      <c r="H9" s="295">
        <f t="shared" si="1"/>
        <v>80</v>
      </c>
      <c r="I9" s="295">
        <f t="shared" si="3"/>
        <v>64</v>
      </c>
      <c r="J9" s="295">
        <f t="shared" si="0"/>
        <v>8</v>
      </c>
    </row>
    <row r="10" spans="1:10">
      <c r="A10" s="171" t="s">
        <v>473</v>
      </c>
      <c r="B10" s="295">
        <v>1</v>
      </c>
      <c r="C10" s="462" t="s">
        <v>434</v>
      </c>
      <c r="D10" s="295"/>
      <c r="E10" s="295">
        <v>5</v>
      </c>
      <c r="F10" s="295">
        <v>20</v>
      </c>
      <c r="G10" s="295">
        <f>E10*4+2</f>
        <v>22</v>
      </c>
      <c r="H10" s="295">
        <f t="shared" si="1"/>
        <v>100</v>
      </c>
      <c r="I10" s="295">
        <f>F10*4+2*4</f>
        <v>88</v>
      </c>
      <c r="J10" s="295">
        <f t="shared" si="0"/>
        <v>4</v>
      </c>
    </row>
    <row r="11" spans="1:10">
      <c r="A11" s="171" t="s">
        <v>474</v>
      </c>
      <c r="B11" s="295">
        <v>1</v>
      </c>
      <c r="C11" s="462" t="s">
        <v>434</v>
      </c>
      <c r="D11" s="295"/>
      <c r="E11" s="295">
        <v>5</v>
      </c>
      <c r="F11" s="295">
        <v>30</v>
      </c>
      <c r="G11" s="295">
        <f t="shared" ref="G11:G12" si="4">E11*4+2</f>
        <v>22</v>
      </c>
      <c r="H11" s="295">
        <f t="shared" si="1"/>
        <v>150</v>
      </c>
      <c r="I11" s="295">
        <f>F11*4+2*6</f>
        <v>132</v>
      </c>
      <c r="J11" s="295">
        <f t="shared" si="0"/>
        <v>6</v>
      </c>
    </row>
    <row r="12" spans="1:10">
      <c r="A12" s="171" t="s">
        <v>475</v>
      </c>
      <c r="B12" s="295">
        <v>1</v>
      </c>
      <c r="C12" s="462" t="s">
        <v>434</v>
      </c>
      <c r="D12" s="295"/>
      <c r="E12" s="295">
        <v>5</v>
      </c>
      <c r="F12" s="295">
        <v>35</v>
      </c>
      <c r="G12" s="295">
        <f t="shared" si="4"/>
        <v>22</v>
      </c>
      <c r="H12" s="295">
        <v>175</v>
      </c>
      <c r="I12" s="295">
        <f>F12*4+2*7</f>
        <v>154</v>
      </c>
      <c r="J12" s="295">
        <f t="shared" si="0"/>
        <v>7</v>
      </c>
    </row>
    <row r="13" spans="1:10">
      <c r="A13" s="171" t="s">
        <v>476</v>
      </c>
      <c r="B13" s="295">
        <v>1</v>
      </c>
      <c r="C13" s="462" t="s">
        <v>434</v>
      </c>
      <c r="D13" s="295"/>
      <c r="E13" s="295">
        <v>6</v>
      </c>
      <c r="F13" s="295">
        <v>36</v>
      </c>
      <c r="G13" s="295">
        <f>E13*4+2</f>
        <v>26</v>
      </c>
      <c r="H13" s="295">
        <f>F13*30/6</f>
        <v>180</v>
      </c>
      <c r="I13" s="295">
        <f>F13*4+2*6</f>
        <v>156</v>
      </c>
      <c r="J13" s="295">
        <f t="shared" si="0"/>
        <v>6</v>
      </c>
    </row>
    <row r="14" spans="1:10">
      <c r="A14" s="171" t="s">
        <v>477</v>
      </c>
      <c r="B14" s="295">
        <v>1</v>
      </c>
      <c r="C14" s="462" t="s">
        <v>434</v>
      </c>
      <c r="D14" s="295"/>
      <c r="E14" s="295">
        <v>5</v>
      </c>
      <c r="F14" s="295">
        <v>40</v>
      </c>
      <c r="G14" s="295">
        <f>E14*4+2</f>
        <v>22</v>
      </c>
      <c r="H14" s="295">
        <f>F14*30/6</f>
        <v>200</v>
      </c>
      <c r="I14" s="295">
        <f>F14*4+2*8</f>
        <v>176</v>
      </c>
      <c r="J14" s="295">
        <f t="shared" si="0"/>
        <v>8</v>
      </c>
    </row>
    <row r="15" spans="1:10">
      <c r="A15" s="171" t="s">
        <v>478</v>
      </c>
      <c r="B15" s="295">
        <v>1</v>
      </c>
      <c r="C15" s="462" t="s">
        <v>434</v>
      </c>
      <c r="D15" s="295"/>
      <c r="E15" s="295">
        <v>5</v>
      </c>
      <c r="F15" s="295">
        <v>44</v>
      </c>
      <c r="G15" s="295">
        <f>E15*4+2</f>
        <v>22</v>
      </c>
      <c r="H15" s="295">
        <f>F15*30/6</f>
        <v>220</v>
      </c>
      <c r="I15" s="295">
        <f>F15*4+2*8</f>
        <v>192</v>
      </c>
      <c r="J15" s="295">
        <f t="shared" si="0"/>
        <v>8.7272727272727266</v>
      </c>
    </row>
    <row r="16" spans="1:10">
      <c r="A16" s="171" t="s">
        <v>479</v>
      </c>
      <c r="B16" s="295">
        <v>1</v>
      </c>
      <c r="C16" s="462" t="s">
        <v>434</v>
      </c>
      <c r="D16" s="295"/>
      <c r="E16" s="295">
        <v>6</v>
      </c>
      <c r="F16" s="295">
        <v>44</v>
      </c>
      <c r="G16" s="295">
        <f>E16*4+2</f>
        <v>26</v>
      </c>
      <c r="H16" s="295">
        <f>F16*30/6</f>
        <v>220</v>
      </c>
      <c r="I16" s="295">
        <f>F16*4+2*8</f>
        <v>192</v>
      </c>
      <c r="J16" s="295">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formula1>"Mensal,Diária"</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2:R179"/>
  <sheetViews>
    <sheetView showGridLines="0" topLeftCell="A103" zoomScale="80" zoomScaleNormal="80" workbookViewId="0">
      <selection activeCell="E116" sqref="E116"/>
    </sheetView>
  </sheetViews>
  <sheetFormatPr defaultColWidth="9.140625" defaultRowHeight="15" customHeight="1"/>
  <cols>
    <col min="1" max="1" width="3.42578125" style="296" customWidth="1"/>
    <col min="2" max="2" width="5" style="564" customWidth="1"/>
    <col min="3" max="3" width="45.5703125" style="297" customWidth="1"/>
    <col min="4" max="4" width="49.140625" style="564" customWidth="1"/>
    <col min="5" max="6" width="52.28515625" style="564" customWidth="1"/>
    <col min="7" max="7" width="2.42578125" style="516" customWidth="1"/>
    <col min="8" max="17" width="17.7109375" style="517" customWidth="1"/>
    <col min="18" max="18" width="24.28515625" style="296" customWidth="1"/>
    <col min="19" max="16384" width="9.140625" style="296"/>
  </cols>
  <sheetData>
    <row r="2" spans="1:18" ht="15" customHeight="1">
      <c r="A2" s="510"/>
      <c r="B2" s="511"/>
      <c r="C2" s="512" t="s">
        <v>659</v>
      </c>
      <c r="D2" s="513"/>
      <c r="E2" s="514"/>
      <c r="F2" s="515"/>
    </row>
    <row r="3" spans="1:18" ht="15" customHeight="1">
      <c r="A3" s="510"/>
      <c r="B3" s="518" t="s">
        <v>2</v>
      </c>
      <c r="C3" s="519" t="s">
        <v>190</v>
      </c>
      <c r="D3" s="520">
        <v>7</v>
      </c>
      <c r="E3" s="521"/>
      <c r="F3" s="522"/>
    </row>
    <row r="4" spans="1:18" ht="15" customHeight="1">
      <c r="B4" s="518" t="s">
        <v>1</v>
      </c>
      <c r="C4" s="519" t="s">
        <v>191</v>
      </c>
      <c r="D4" s="520">
        <v>365.25</v>
      </c>
      <c r="E4" s="523"/>
      <c r="F4" s="522"/>
    </row>
    <row r="5" spans="1:18" ht="15" customHeight="1">
      <c r="B5" s="518" t="s">
        <v>0</v>
      </c>
      <c r="C5" s="519" t="s">
        <v>192</v>
      </c>
      <c r="D5" s="520">
        <v>30</v>
      </c>
      <c r="E5" s="524"/>
      <c r="F5" s="522"/>
    </row>
    <row r="6" spans="1:18" ht="15" customHeight="1">
      <c r="B6" s="518" t="s">
        <v>3</v>
      </c>
      <c r="C6" s="519" t="s">
        <v>652</v>
      </c>
      <c r="D6" s="520">
        <v>22</v>
      </c>
      <c r="E6" s="524"/>
      <c r="F6" s="522"/>
    </row>
    <row r="7" spans="1:18" ht="15" customHeight="1">
      <c r="B7" s="518" t="s">
        <v>7</v>
      </c>
      <c r="C7" s="519" t="s">
        <v>397</v>
      </c>
      <c r="D7" s="525">
        <f>D9/D10</f>
        <v>4.3482142857142856</v>
      </c>
      <c r="E7" s="526"/>
      <c r="F7" s="522" t="str">
        <f>""</f>
        <v/>
      </c>
    </row>
    <row r="8" spans="1:18" ht="15" customHeight="1">
      <c r="B8" s="518" t="s">
        <v>6</v>
      </c>
      <c r="C8" s="519" t="s">
        <v>656</v>
      </c>
      <c r="D8" s="525">
        <f>D7/2</f>
        <v>2.1741071428571428</v>
      </c>
      <c r="E8" s="526"/>
      <c r="F8" s="522"/>
    </row>
    <row r="9" spans="1:18" ht="15" customHeight="1">
      <c r="B9" s="518" t="s">
        <v>5</v>
      </c>
      <c r="C9" s="296" t="s">
        <v>398</v>
      </c>
      <c r="D9" s="520">
        <f>D4/7</f>
        <v>52.178571428571431</v>
      </c>
      <c r="E9" s="527"/>
      <c r="F9" s="528"/>
      <c r="H9" s="529"/>
    </row>
    <row r="10" spans="1:18" ht="15" customHeight="1">
      <c r="B10" s="518" t="s">
        <v>4</v>
      </c>
      <c r="C10" s="519" t="s">
        <v>193</v>
      </c>
      <c r="D10" s="520">
        <v>12</v>
      </c>
      <c r="E10" s="523"/>
      <c r="F10" s="530"/>
    </row>
    <row r="11" spans="1:18" ht="15" customHeight="1">
      <c r="B11" s="518" t="s">
        <v>113</v>
      </c>
      <c r="C11" s="519" t="s">
        <v>194</v>
      </c>
      <c r="D11" s="520">
        <v>60</v>
      </c>
      <c r="E11" s="523"/>
      <c r="F11" s="531"/>
    </row>
    <row r="12" spans="1:18" ht="15" customHeight="1">
      <c r="B12" s="518" t="s">
        <v>140</v>
      </c>
      <c r="C12" s="519" t="s">
        <v>195</v>
      </c>
      <c r="D12" s="520">
        <v>52.5</v>
      </c>
      <c r="E12" s="531"/>
      <c r="F12" s="531"/>
    </row>
    <row r="13" spans="1:18" ht="15" customHeight="1">
      <c r="B13" s="532"/>
      <c r="C13" s="533"/>
      <c r="D13" s="534"/>
      <c r="E13" s="534"/>
      <c r="F13" s="534"/>
      <c r="H13" s="535"/>
      <c r="I13" s="535"/>
      <c r="J13" s="535"/>
      <c r="K13" s="535"/>
      <c r="L13" s="535"/>
      <c r="M13" s="535"/>
      <c r="N13" s="535"/>
      <c r="O13" s="535"/>
      <c r="P13" s="535"/>
      <c r="Q13" s="535"/>
    </row>
    <row r="14" spans="1:18" s="539" customFormat="1" ht="15" customHeight="1">
      <c r="A14" s="536"/>
      <c r="B14" s="843"/>
      <c r="C14" s="840"/>
      <c r="D14" s="835" t="s">
        <v>315</v>
      </c>
      <c r="E14" s="835" t="s">
        <v>142</v>
      </c>
      <c r="F14" s="835" t="s">
        <v>312</v>
      </c>
      <c r="G14" s="516"/>
      <c r="H14" s="834" t="s">
        <v>130</v>
      </c>
      <c r="I14" s="834"/>
      <c r="J14" s="834"/>
      <c r="K14" s="834"/>
      <c r="L14" s="834"/>
      <c r="M14" s="834"/>
      <c r="N14" s="834"/>
      <c r="O14" s="834"/>
      <c r="P14" s="834"/>
      <c r="Q14" s="834"/>
      <c r="R14" s="538"/>
    </row>
    <row r="15" spans="1:18" ht="15" customHeight="1">
      <c r="A15" s="510"/>
      <c r="B15" s="844"/>
      <c r="C15" s="841"/>
      <c r="D15" s="836"/>
      <c r="E15" s="836"/>
      <c r="F15" s="836"/>
      <c r="H15" s="834" t="s">
        <v>59</v>
      </c>
      <c r="I15" s="834" t="s">
        <v>58</v>
      </c>
      <c r="J15" s="834" t="s">
        <v>427</v>
      </c>
      <c r="K15" s="537" t="s">
        <v>313</v>
      </c>
      <c r="L15" s="537" t="s">
        <v>313</v>
      </c>
      <c r="M15" s="537" t="s">
        <v>313</v>
      </c>
      <c r="N15" s="537" t="s">
        <v>313</v>
      </c>
      <c r="O15" s="537" t="s">
        <v>313</v>
      </c>
      <c r="P15" s="537" t="s">
        <v>313</v>
      </c>
      <c r="Q15" s="834" t="s">
        <v>48</v>
      </c>
      <c r="R15" s="540"/>
    </row>
    <row r="16" spans="1:18" ht="15" customHeight="1">
      <c r="A16" s="510"/>
      <c r="B16" s="845"/>
      <c r="C16" s="842"/>
      <c r="D16" s="837"/>
      <c r="E16" s="837"/>
      <c r="F16" s="837"/>
      <c r="H16" s="834"/>
      <c r="I16" s="834"/>
      <c r="J16" s="834"/>
      <c r="K16" s="537" t="s">
        <v>131</v>
      </c>
      <c r="L16" s="537" t="s">
        <v>136</v>
      </c>
      <c r="M16" s="537" t="s">
        <v>135</v>
      </c>
      <c r="N16" s="537" t="s">
        <v>134</v>
      </c>
      <c r="O16" s="537" t="s">
        <v>133</v>
      </c>
      <c r="P16" s="537" t="s">
        <v>132</v>
      </c>
      <c r="Q16" s="834"/>
      <c r="R16" s="540"/>
    </row>
    <row r="17" spans="1:18" ht="15" customHeight="1">
      <c r="A17" s="510"/>
      <c r="B17" s="541"/>
      <c r="C17" s="542" t="s">
        <v>196</v>
      </c>
      <c r="D17" s="543"/>
      <c r="E17" s="543"/>
      <c r="F17" s="543"/>
      <c r="H17" s="544"/>
      <c r="I17" s="545"/>
      <c r="J17" s="545"/>
      <c r="K17" s="546">
        <v>180000</v>
      </c>
      <c r="L17" s="546">
        <v>360000</v>
      </c>
      <c r="M17" s="546">
        <v>720000</v>
      </c>
      <c r="N17" s="546">
        <v>1800000</v>
      </c>
      <c r="O17" s="546">
        <v>3600000</v>
      </c>
      <c r="P17" s="546">
        <v>4800000</v>
      </c>
      <c r="Q17" s="547" t="str">
        <f>IF(IFERROR(SUM(Produtividade!L193:L218)&gt;0,FALSE()),Produtividade!D13,
IF(IFERROR(Veículos!$E$3&lt;&gt;"",FALSE()),'Mão de Obra'!D13,'Mão de Obra'!D13))</f>
        <v>Lucro Presumido</v>
      </c>
      <c r="R17" s="540"/>
    </row>
    <row r="18" spans="1:18" ht="15" customHeight="1">
      <c r="A18" s="510"/>
      <c r="B18" s="541"/>
      <c r="C18" s="542" t="s">
        <v>106</v>
      </c>
      <c r="D18" s="543"/>
      <c r="E18" s="543"/>
      <c r="F18" s="543"/>
      <c r="H18" s="544"/>
      <c r="I18" s="545"/>
      <c r="J18" s="545"/>
      <c r="K18" s="546">
        <v>0</v>
      </c>
      <c r="L18" s="546">
        <v>9360</v>
      </c>
      <c r="M18" s="546">
        <v>17640</v>
      </c>
      <c r="N18" s="546">
        <v>35640</v>
      </c>
      <c r="O18" s="546">
        <v>125640</v>
      </c>
      <c r="P18" s="546">
        <v>648000</v>
      </c>
      <c r="Q18" s="546" t="str">
        <f>IF(Q17="Simples",
IF(IFERROR(SUM(Produtividade!L193:L218)&gt;0,FALSE()),Produtividade!D14,
IF(IFERROR(Veículos!$E$3&lt;&gt;"",FALSE()),'Mão de Obra'!D14,'Mão de Obra'!D14)),"")</f>
        <v/>
      </c>
      <c r="R18" s="540"/>
    </row>
    <row r="19" spans="1:18" ht="15" customHeight="1">
      <c r="A19" s="510"/>
      <c r="B19" s="541"/>
      <c r="C19" s="542" t="s">
        <v>197</v>
      </c>
      <c r="D19" s="543"/>
      <c r="E19" s="543"/>
      <c r="F19" s="543"/>
      <c r="H19" s="544"/>
      <c r="I19" s="545"/>
      <c r="J19" s="545"/>
      <c r="K19" s="548">
        <v>0.06</v>
      </c>
      <c r="L19" s="549">
        <v>0.112</v>
      </c>
      <c r="M19" s="549">
        <v>0.13500000000000001</v>
      </c>
      <c r="N19" s="548">
        <v>0.16</v>
      </c>
      <c r="O19" s="548">
        <v>0.21</v>
      </c>
      <c r="P19" s="548">
        <v>0.33</v>
      </c>
      <c r="Q19" s="547"/>
      <c r="R19" s="540"/>
    </row>
    <row r="20" spans="1:18" s="516" customFormat="1" ht="15" customHeight="1">
      <c r="B20" s="550"/>
      <c r="C20"/>
    </row>
    <row r="21" spans="1:18" s="3" customFormat="1" ht="15" customHeight="1">
      <c r="B21" s="511"/>
      <c r="C21" s="551" t="s">
        <v>178</v>
      </c>
      <c r="D21" s="551"/>
      <c r="E21" s="551"/>
      <c r="F21" s="513"/>
      <c r="H21" s="511"/>
      <c r="I21" s="552"/>
      <c r="J21" s="552"/>
      <c r="K21" s="552"/>
      <c r="L21" s="552"/>
      <c r="M21" s="552"/>
      <c r="N21" s="552"/>
      <c r="O21" s="552"/>
      <c r="P21" s="552"/>
      <c r="Q21" s="553"/>
    </row>
    <row r="22" spans="1:18" s="516" customFormat="1" ht="15" customHeight="1">
      <c r="B22" s="554" t="s">
        <v>2</v>
      </c>
      <c r="C22" s="555" t="s">
        <v>143</v>
      </c>
      <c r="D22" s="556"/>
      <c r="E22" s="557" t="s">
        <v>93</v>
      </c>
      <c r="F22" s="557" t="s">
        <v>580</v>
      </c>
      <c r="H22" s="558"/>
      <c r="I22" s="558"/>
      <c r="J22" s="558"/>
      <c r="K22" s="558"/>
      <c r="L22" s="558"/>
      <c r="M22" s="558"/>
      <c r="N22" s="558"/>
      <c r="O22" s="558"/>
      <c r="P22" s="558"/>
      <c r="Q22" s="558"/>
    </row>
    <row r="23" spans="1:18" s="516" customFormat="1" ht="15" customHeight="1">
      <c r="B23" s="554" t="s">
        <v>1</v>
      </c>
      <c r="C23" s="559" t="s">
        <v>144</v>
      </c>
      <c r="D23" s="560" t="s">
        <v>94</v>
      </c>
      <c r="E23" s="560" t="s">
        <v>497</v>
      </c>
      <c r="F23" s="561" t="s">
        <v>498</v>
      </c>
      <c r="H23" s="558"/>
      <c r="I23" s="558"/>
      <c r="J23" s="558"/>
      <c r="K23" s="558"/>
      <c r="L23" s="558"/>
      <c r="M23" s="558"/>
      <c r="N23" s="558"/>
      <c r="O23" s="558"/>
      <c r="P23" s="558"/>
      <c r="Q23" s="558"/>
    </row>
    <row r="24" spans="1:18" s="516" customFormat="1" ht="15" customHeight="1">
      <c r="B24" s="554" t="s">
        <v>0</v>
      </c>
      <c r="C24" s="555" t="s">
        <v>145</v>
      </c>
      <c r="D24" s="556" t="s">
        <v>499</v>
      </c>
      <c r="E24" s="557" t="s">
        <v>500</v>
      </c>
      <c r="F24" s="557" t="s">
        <v>501</v>
      </c>
      <c r="H24" s="558"/>
      <c r="I24" s="558"/>
      <c r="J24" s="558"/>
      <c r="K24" s="558"/>
      <c r="L24" s="558"/>
      <c r="M24" s="558"/>
      <c r="N24" s="558"/>
      <c r="O24" s="558"/>
      <c r="P24" s="558"/>
      <c r="Q24" s="558"/>
    </row>
    <row r="25" spans="1:18" s="516" customFormat="1" ht="15" customHeight="1">
      <c r="B25" s="554" t="s">
        <v>3</v>
      </c>
      <c r="C25" s="559" t="s">
        <v>81</v>
      </c>
      <c r="D25" s="560" t="s">
        <v>146</v>
      </c>
      <c r="E25" s="560" t="s">
        <v>502</v>
      </c>
      <c r="F25" s="561" t="s">
        <v>584</v>
      </c>
      <c r="H25" s="558"/>
      <c r="I25" s="558"/>
      <c r="J25" s="558"/>
      <c r="K25" s="558"/>
      <c r="L25" s="558"/>
      <c r="M25" s="558"/>
      <c r="N25" s="558"/>
      <c r="O25" s="558"/>
      <c r="P25" s="558"/>
      <c r="Q25" s="558"/>
    </row>
    <row r="26" spans="1:18" s="516" customFormat="1" ht="15" customHeight="1">
      <c r="B26" s="554" t="s">
        <v>7</v>
      </c>
      <c r="C26" s="555" t="s">
        <v>95</v>
      </c>
      <c r="D26" s="556" t="s">
        <v>147</v>
      </c>
      <c r="E26" s="557" t="s">
        <v>503</v>
      </c>
      <c r="F26" s="557" t="s">
        <v>504</v>
      </c>
      <c r="H26" s="558"/>
      <c r="I26" s="558"/>
      <c r="J26" s="558"/>
      <c r="K26" s="558"/>
      <c r="L26" s="558"/>
      <c r="M26" s="558"/>
      <c r="N26" s="558"/>
      <c r="O26" s="558"/>
      <c r="P26" s="558"/>
      <c r="Q26" s="558"/>
    </row>
    <row r="27" spans="1:18" s="516" customFormat="1" ht="15" customHeight="1">
      <c r="B27" s="554" t="s">
        <v>6</v>
      </c>
      <c r="C27" s="559" t="s">
        <v>139</v>
      </c>
      <c r="D27" s="560" t="s">
        <v>148</v>
      </c>
      <c r="E27" s="560" t="s">
        <v>503</v>
      </c>
      <c r="F27" s="561" t="s">
        <v>505</v>
      </c>
      <c r="H27" s="558"/>
      <c r="I27" s="558"/>
      <c r="J27" s="558"/>
      <c r="K27" s="558"/>
      <c r="L27" s="558"/>
      <c r="M27" s="558"/>
      <c r="N27" s="558"/>
      <c r="O27" s="558"/>
      <c r="P27" s="558"/>
      <c r="Q27" s="558"/>
    </row>
    <row r="28" spans="1:18" s="516" customFormat="1" ht="15" customHeight="1">
      <c r="B28" s="554" t="s">
        <v>5</v>
      </c>
      <c r="C28" s="555" t="s">
        <v>149</v>
      </c>
      <c r="D28" s="556" t="s">
        <v>150</v>
      </c>
      <c r="E28" s="557" t="s">
        <v>96</v>
      </c>
      <c r="F28" s="557" t="s">
        <v>506</v>
      </c>
      <c r="H28" s="558"/>
      <c r="I28" s="558"/>
      <c r="J28" s="558"/>
      <c r="K28" s="558"/>
      <c r="L28" s="558"/>
      <c r="M28" s="558"/>
      <c r="N28" s="558"/>
      <c r="O28" s="558"/>
      <c r="P28" s="558"/>
      <c r="Q28" s="558"/>
    </row>
    <row r="29" spans="1:18" s="516" customFormat="1" ht="15" customHeight="1">
      <c r="B29" s="554" t="s">
        <v>4</v>
      </c>
      <c r="C29" s="559" t="s">
        <v>82</v>
      </c>
      <c r="D29" s="560" t="s">
        <v>151</v>
      </c>
      <c r="E29" s="560" t="s">
        <v>507</v>
      </c>
      <c r="F29" s="561" t="s">
        <v>508</v>
      </c>
      <c r="H29" s="558"/>
      <c r="I29" s="558"/>
      <c r="J29" s="558"/>
      <c r="K29" s="558"/>
      <c r="L29" s="558"/>
      <c r="M29" s="558"/>
      <c r="N29" s="558"/>
      <c r="O29" s="558"/>
      <c r="P29" s="558"/>
      <c r="Q29" s="558"/>
    </row>
    <row r="30" spans="1:18" s="516" customFormat="1" ht="15" customHeight="1">
      <c r="B30" s="554" t="s">
        <v>113</v>
      </c>
      <c r="C30" s="557" t="s">
        <v>152</v>
      </c>
      <c r="D30" s="556" t="s">
        <v>153</v>
      </c>
      <c r="E30" s="557" t="s">
        <v>154</v>
      </c>
      <c r="F30" s="557" t="s">
        <v>509</v>
      </c>
      <c r="H30" s="558"/>
      <c r="I30" s="558"/>
      <c r="J30" s="558"/>
      <c r="K30" s="558"/>
      <c r="L30" s="558"/>
      <c r="M30" s="558"/>
      <c r="N30" s="558"/>
      <c r="O30" s="558"/>
      <c r="P30" s="558"/>
      <c r="Q30" s="558"/>
    </row>
    <row r="31" spans="1:18" s="516" customFormat="1" ht="15" customHeight="1">
      <c r="B31" s="554" t="s">
        <v>140</v>
      </c>
      <c r="C31" s="559" t="s">
        <v>173</v>
      </c>
      <c r="D31" s="560"/>
      <c r="E31" s="560"/>
      <c r="F31" s="561"/>
      <c r="H31" s="558"/>
      <c r="I31" s="558"/>
      <c r="J31" s="558"/>
      <c r="K31" s="558"/>
      <c r="L31" s="558"/>
      <c r="M31" s="558"/>
      <c r="N31" s="558"/>
      <c r="O31" s="558"/>
      <c r="P31" s="558"/>
      <c r="Q31" s="558"/>
    </row>
    <row r="32" spans="1:18" s="516" customFormat="1" ht="15" customHeight="1">
      <c r="B32" s="550"/>
      <c r="C32"/>
      <c r="H32" s="562"/>
      <c r="I32" s="562"/>
      <c r="J32" s="562"/>
      <c r="K32" s="562"/>
      <c r="L32" s="562"/>
      <c r="M32" s="562"/>
      <c r="N32" s="562"/>
      <c r="O32" s="562"/>
      <c r="P32" s="562"/>
      <c r="Q32" s="562"/>
    </row>
    <row r="33" spans="1:18" s="516" customFormat="1" ht="15" customHeight="1">
      <c r="B33" s="511"/>
      <c r="C33" s="563" t="s">
        <v>124</v>
      </c>
      <c r="D33" s="551"/>
      <c r="E33" s="551"/>
      <c r="F33" s="513"/>
      <c r="H33" s="511"/>
      <c r="I33" s="552"/>
      <c r="J33" s="552"/>
      <c r="K33" s="552"/>
      <c r="L33" s="552"/>
      <c r="M33" s="552"/>
      <c r="N33" s="552"/>
      <c r="O33" s="552"/>
      <c r="P33" s="552"/>
      <c r="Q33" s="553"/>
    </row>
    <row r="34" spans="1:18" ht="3.75" customHeight="1">
      <c r="C34" s="565"/>
      <c r="H34" s="566"/>
      <c r="I34" s="567"/>
      <c r="J34" s="567"/>
      <c r="K34" s="568"/>
      <c r="L34" s="569"/>
      <c r="M34" s="569"/>
      <c r="N34" s="568"/>
      <c r="O34" s="568"/>
      <c r="P34" s="568"/>
      <c r="Q34" s="570"/>
    </row>
    <row r="35" spans="1:18" s="578" customFormat="1" ht="15" customHeight="1">
      <c r="A35" s="571"/>
      <c r="B35" s="572"/>
      <c r="C35" s="573" t="s">
        <v>125</v>
      </c>
      <c r="D35" s="573"/>
      <c r="E35" s="573"/>
      <c r="F35" s="574"/>
      <c r="G35" s="3"/>
      <c r="H35" s="572"/>
      <c r="I35" s="575"/>
      <c r="J35" s="575"/>
      <c r="K35" s="575"/>
      <c r="L35" s="575"/>
      <c r="M35" s="575"/>
      <c r="N35" s="575"/>
      <c r="O35" s="575"/>
      <c r="P35" s="575"/>
      <c r="Q35" s="576"/>
      <c r="R35" s="577"/>
    </row>
    <row r="36" spans="1:18" ht="15" customHeight="1">
      <c r="A36" s="510"/>
      <c r="B36" s="579" t="s">
        <v>2</v>
      </c>
      <c r="C36" s="580" t="s">
        <v>56</v>
      </c>
      <c r="D36" s="556" t="s">
        <v>164</v>
      </c>
      <c r="E36" s="557" t="s">
        <v>510</v>
      </c>
      <c r="F36" s="557" t="s">
        <v>511</v>
      </c>
      <c r="H36" s="581">
        <f>(1/12)</f>
        <v>8.3333333333333329E-2</v>
      </c>
      <c r="I36" s="581">
        <f t="shared" ref="I36:P36" si="0">(1/12)</f>
        <v>8.3333333333333329E-2</v>
      </c>
      <c r="J36" s="581">
        <f t="shared" si="0"/>
        <v>8.3333333333333329E-2</v>
      </c>
      <c r="K36" s="581">
        <f t="shared" si="0"/>
        <v>8.3333333333333329E-2</v>
      </c>
      <c r="L36" s="581">
        <f t="shared" si="0"/>
        <v>8.3333333333333329E-2</v>
      </c>
      <c r="M36" s="581">
        <f t="shared" si="0"/>
        <v>8.3333333333333329E-2</v>
      </c>
      <c r="N36" s="581">
        <f t="shared" si="0"/>
        <v>8.3333333333333329E-2</v>
      </c>
      <c r="O36" s="581">
        <f t="shared" si="0"/>
        <v>8.3333333333333329E-2</v>
      </c>
      <c r="P36" s="581">
        <f t="shared" si="0"/>
        <v>8.3333333333333329E-2</v>
      </c>
      <c r="Q36" s="581">
        <f>IFERROR(ROUND(IF($Q$17="Simples",
INDEX(H36:P36,MATCH($Q$18,$H$18:$P$18,1)),
INDEX(H36:P36,MATCH($Q$17,$H$15:$P$15,0))
),4),"")</f>
        <v>8.3299999999999999E-2</v>
      </c>
      <c r="R36" s="540"/>
    </row>
    <row r="37" spans="1:18" ht="15" customHeight="1">
      <c r="A37" s="510"/>
      <c r="B37" s="579" t="s">
        <v>1</v>
      </c>
      <c r="C37" s="580" t="s">
        <v>21</v>
      </c>
      <c r="D37" s="556" t="s">
        <v>165</v>
      </c>
      <c r="E37" s="557" t="s">
        <v>512</v>
      </c>
      <c r="F37" s="557" t="s">
        <v>513</v>
      </c>
      <c r="H37" s="581">
        <f xml:space="preserve"> (1/12) +( 1/3)/12</f>
        <v>0.1111111111111111</v>
      </c>
      <c r="I37" s="581">
        <f t="shared" ref="I37:P37" si="1" xml:space="preserve"> (1/12) +( 1/3)/12</f>
        <v>0.1111111111111111</v>
      </c>
      <c r="J37" s="581">
        <f t="shared" si="1"/>
        <v>0.1111111111111111</v>
      </c>
      <c r="K37" s="581">
        <f t="shared" si="1"/>
        <v>0.1111111111111111</v>
      </c>
      <c r="L37" s="581">
        <f t="shared" si="1"/>
        <v>0.1111111111111111</v>
      </c>
      <c r="M37" s="581">
        <f t="shared" si="1"/>
        <v>0.1111111111111111</v>
      </c>
      <c r="N37" s="581">
        <f t="shared" si="1"/>
        <v>0.1111111111111111</v>
      </c>
      <c r="O37" s="581">
        <f t="shared" si="1"/>
        <v>0.1111111111111111</v>
      </c>
      <c r="P37" s="581">
        <f t="shared" si="1"/>
        <v>0.1111111111111111</v>
      </c>
      <c r="Q37" s="581">
        <f t="shared" ref="Q37:Q38" si="2">IFERROR(ROUND(IF($Q$17="Simples",
INDEX(H37:P37,MATCH($Q$18,$H$18:$P$18,1)),
INDEX(H37:P37,MATCH($Q$17,$H$15:$P$15,0))
),4),"")</f>
        <v>0.1111</v>
      </c>
      <c r="R37" s="540"/>
    </row>
    <row r="38" spans="1:18" ht="15" customHeight="1">
      <c r="A38" s="510"/>
      <c r="B38" s="579" t="s">
        <v>0</v>
      </c>
      <c r="C38" s="580" t="s">
        <v>80</v>
      </c>
      <c r="D38" s="556" t="s">
        <v>166</v>
      </c>
      <c r="E38" s="557"/>
      <c r="F38" s="557" t="s">
        <v>514</v>
      </c>
      <c r="H38" s="581">
        <f t="shared" ref="H38:P38" si="3">(H36+H37)*H51</f>
        <v>7.1555555555555567E-2</v>
      </c>
      <c r="I38" s="581">
        <f t="shared" si="3"/>
        <v>7.1555555555555567E-2</v>
      </c>
      <c r="J38" s="581">
        <f>(J36+J37)*J51</f>
        <v>6.0277777777777777E-2</v>
      </c>
      <c r="K38" s="581">
        <f t="shared" si="3"/>
        <v>6.0277777777777777E-2</v>
      </c>
      <c r="L38" s="581">
        <f t="shared" si="3"/>
        <v>6.0277777777777777E-2</v>
      </c>
      <c r="M38" s="581">
        <f t="shared" si="3"/>
        <v>6.0277777777777777E-2</v>
      </c>
      <c r="N38" s="581">
        <f t="shared" si="3"/>
        <v>6.0277777777777777E-2</v>
      </c>
      <c r="O38" s="581">
        <f t="shared" si="3"/>
        <v>6.0277777777777777E-2</v>
      </c>
      <c r="P38" s="581">
        <f t="shared" si="3"/>
        <v>6.0277777777777777E-2</v>
      </c>
      <c r="Q38" s="581">
        <f t="shared" si="2"/>
        <v>7.1599999999999997E-2</v>
      </c>
      <c r="R38" s="540"/>
    </row>
    <row r="39" spans="1:18" ht="3.75" customHeight="1">
      <c r="B39" s="582"/>
      <c r="C39" s="583"/>
      <c r="D39" s="583"/>
      <c r="E39" s="583"/>
      <c r="F39" s="583"/>
      <c r="H39" s="584"/>
      <c r="I39" s="584"/>
      <c r="J39" s="584"/>
      <c r="K39" s="584"/>
      <c r="L39" s="584"/>
      <c r="M39" s="584"/>
      <c r="N39" s="584"/>
      <c r="O39" s="584"/>
      <c r="P39" s="584"/>
      <c r="Q39" s="584"/>
    </row>
    <row r="40" spans="1:18" s="578" customFormat="1" ht="15" customHeight="1">
      <c r="A40" s="571"/>
      <c r="B40" s="572"/>
      <c r="C40" s="573" t="s">
        <v>223</v>
      </c>
      <c r="D40" s="573"/>
      <c r="E40" s="573"/>
      <c r="F40" s="574"/>
      <c r="G40" s="3"/>
      <c r="H40" s="572"/>
      <c r="I40" s="575"/>
      <c r="J40" s="575"/>
      <c r="K40" s="575"/>
      <c r="L40" s="575"/>
      <c r="M40" s="575"/>
      <c r="N40" s="575"/>
      <c r="O40" s="575"/>
      <c r="P40" s="575"/>
      <c r="Q40" s="576"/>
      <c r="R40" s="577"/>
    </row>
    <row r="41" spans="1:18" ht="15" customHeight="1">
      <c r="A41" s="510"/>
      <c r="B41" s="518" t="s">
        <v>2</v>
      </c>
      <c r="C41" s="519" t="s">
        <v>49</v>
      </c>
      <c r="D41" s="556"/>
      <c r="E41" s="557" t="s">
        <v>515</v>
      </c>
      <c r="F41" s="557" t="s">
        <v>516</v>
      </c>
      <c r="H41" s="585">
        <v>0.2</v>
      </c>
      <c r="I41" s="585">
        <v>0.2</v>
      </c>
      <c r="J41" s="585">
        <v>0.2</v>
      </c>
      <c r="K41" s="585">
        <v>0.2</v>
      </c>
      <c r="L41" s="585">
        <v>0.2</v>
      </c>
      <c r="M41" s="585">
        <v>0.2</v>
      </c>
      <c r="N41" s="585">
        <v>0.2</v>
      </c>
      <c r="O41" s="585">
        <v>0.2</v>
      </c>
      <c r="P41" s="585">
        <v>0.2</v>
      </c>
      <c r="Q41" s="585">
        <f t="shared" ref="Q41:Q51" si="4">IFERROR(ROUND(IF($Q$17="Simples",
INDEX(H41:P41,MATCH($Q$18,$H$18:$P$18,1)),
INDEX(H41:P41,MATCH($Q$17,$H$15:$P$15,0))
),4),"")</f>
        <v>0.2</v>
      </c>
      <c r="R41" s="540"/>
    </row>
    <row r="42" spans="1:18" ht="15" customHeight="1">
      <c r="A42" s="510"/>
      <c r="B42" s="586" t="s">
        <v>1</v>
      </c>
      <c r="C42" s="587" t="s">
        <v>50</v>
      </c>
      <c r="D42" s="556"/>
      <c r="E42" s="557" t="s">
        <v>616</v>
      </c>
      <c r="F42" s="557" t="s">
        <v>517</v>
      </c>
      <c r="H42" s="585">
        <v>1.4999999999999999E-2</v>
      </c>
      <c r="I42" s="585">
        <v>1.4999999999999999E-2</v>
      </c>
      <c r="J42" s="585"/>
      <c r="K42" s="585"/>
      <c r="L42" s="585"/>
      <c r="M42" s="585"/>
      <c r="N42" s="585"/>
      <c r="O42" s="585"/>
      <c r="P42" s="585"/>
      <c r="Q42" s="585">
        <f t="shared" si="4"/>
        <v>1.4999999999999999E-2</v>
      </c>
      <c r="R42" s="540"/>
    </row>
    <row r="43" spans="1:18" ht="15" customHeight="1">
      <c r="A43" s="510"/>
      <c r="B43" s="586" t="s">
        <v>0</v>
      </c>
      <c r="C43" s="519" t="s">
        <v>51</v>
      </c>
      <c r="D43" s="556"/>
      <c r="E43" s="557" t="s">
        <v>617</v>
      </c>
      <c r="F43" s="557" t="s">
        <v>517</v>
      </c>
      <c r="H43" s="585">
        <v>0.01</v>
      </c>
      <c r="I43" s="585">
        <v>0.01</v>
      </c>
      <c r="J43" s="585"/>
      <c r="K43" s="585"/>
      <c r="L43" s="585"/>
      <c r="M43" s="585"/>
      <c r="N43" s="585"/>
      <c r="O43" s="585"/>
      <c r="P43" s="585"/>
      <c r="Q43" s="585">
        <f t="shared" si="4"/>
        <v>0.01</v>
      </c>
      <c r="R43" s="540"/>
    </row>
    <row r="44" spans="1:18" ht="15" customHeight="1">
      <c r="A44" s="510"/>
      <c r="B44" s="518" t="s">
        <v>3</v>
      </c>
      <c r="C44" s="587" t="s">
        <v>52</v>
      </c>
      <c r="D44" s="556"/>
      <c r="E44" s="557" t="s">
        <v>618</v>
      </c>
      <c r="F44" s="557" t="s">
        <v>517</v>
      </c>
      <c r="H44" s="585">
        <v>2E-3</v>
      </c>
      <c r="I44" s="585">
        <v>2E-3</v>
      </c>
      <c r="J44" s="585"/>
      <c r="K44" s="585"/>
      <c r="L44" s="585"/>
      <c r="M44" s="585"/>
      <c r="N44" s="585"/>
      <c r="O44" s="585"/>
      <c r="P44" s="585"/>
      <c r="Q44" s="585">
        <f t="shared" si="4"/>
        <v>2E-3</v>
      </c>
      <c r="R44" s="540"/>
    </row>
    <row r="45" spans="1:18" ht="15" customHeight="1">
      <c r="A45" s="510"/>
      <c r="B45" s="586" t="s">
        <v>7</v>
      </c>
      <c r="C45" s="519" t="s">
        <v>53</v>
      </c>
      <c r="D45" s="556"/>
      <c r="E45" s="557" t="s">
        <v>619</v>
      </c>
      <c r="F45" s="557" t="s">
        <v>517</v>
      </c>
      <c r="H45" s="585">
        <v>2.5000000000000001E-2</v>
      </c>
      <c r="I45" s="585">
        <v>2.5000000000000001E-2</v>
      </c>
      <c r="J45" s="585"/>
      <c r="K45" s="585"/>
      <c r="L45" s="585"/>
      <c r="M45" s="585"/>
      <c r="N45" s="585"/>
      <c r="O45" s="585"/>
      <c r="P45" s="585"/>
      <c r="Q45" s="585">
        <f t="shared" si="4"/>
        <v>2.5000000000000001E-2</v>
      </c>
      <c r="R45" s="540"/>
    </row>
    <row r="46" spans="1:18" ht="15" customHeight="1">
      <c r="A46" s="510"/>
      <c r="B46" s="586" t="s">
        <v>6</v>
      </c>
      <c r="C46" s="587" t="s">
        <v>54</v>
      </c>
      <c r="D46" s="556"/>
      <c r="E46" s="557" t="s">
        <v>518</v>
      </c>
      <c r="F46" s="557"/>
      <c r="H46" s="585">
        <v>0.08</v>
      </c>
      <c r="I46" s="585">
        <v>0.08</v>
      </c>
      <c r="J46" s="585">
        <v>0.08</v>
      </c>
      <c r="K46" s="585">
        <v>0.08</v>
      </c>
      <c r="L46" s="585">
        <v>0.08</v>
      </c>
      <c r="M46" s="585">
        <v>0.08</v>
      </c>
      <c r="N46" s="585">
        <v>0.08</v>
      </c>
      <c r="O46" s="585">
        <v>0.08</v>
      </c>
      <c r="P46" s="585">
        <v>0.08</v>
      </c>
      <c r="Q46" s="585">
        <f t="shared" si="4"/>
        <v>0.08</v>
      </c>
      <c r="R46" s="540"/>
    </row>
    <row r="47" spans="1:18" ht="15" customHeight="1">
      <c r="A47" s="510"/>
      <c r="B47" s="846" t="s">
        <v>5</v>
      </c>
      <c r="C47" s="519" t="s">
        <v>519</v>
      </c>
      <c r="D47" s="556" t="s">
        <v>278</v>
      </c>
      <c r="E47" s="557" t="s">
        <v>520</v>
      </c>
      <c r="F47" s="557" t="s">
        <v>620</v>
      </c>
      <c r="H47" s="585">
        <f>ROUND(H48*H49,2)</f>
        <v>0.03</v>
      </c>
      <c r="I47" s="585">
        <f t="shared" ref="I47:P47" si="5">ROUND(I48*I49,2)</f>
        <v>0.03</v>
      </c>
      <c r="J47" s="585">
        <f>ROUND(J48*J49,2)</f>
        <v>0.03</v>
      </c>
      <c r="K47" s="585">
        <f t="shared" si="5"/>
        <v>0.03</v>
      </c>
      <c r="L47" s="585">
        <f t="shared" si="5"/>
        <v>0.03</v>
      </c>
      <c r="M47" s="585">
        <f t="shared" si="5"/>
        <v>0.03</v>
      </c>
      <c r="N47" s="585">
        <f t="shared" si="5"/>
        <v>0.03</v>
      </c>
      <c r="O47" s="585">
        <f t="shared" si="5"/>
        <v>0.03</v>
      </c>
      <c r="P47" s="585">
        <f t="shared" si="5"/>
        <v>0.03</v>
      </c>
      <c r="Q47" s="585">
        <f t="shared" si="4"/>
        <v>0.03</v>
      </c>
      <c r="R47" s="540"/>
    </row>
    <row r="48" spans="1:18" ht="15" customHeight="1">
      <c r="A48" s="510"/>
      <c r="B48" s="846"/>
      <c r="C48" s="588" t="s">
        <v>47</v>
      </c>
      <c r="D48" s="589"/>
      <c r="E48" s="589" t="s">
        <v>521</v>
      </c>
      <c r="F48" s="589"/>
      <c r="H48" s="585">
        <v>0.03</v>
      </c>
      <c r="I48" s="585">
        <f>H48</f>
        <v>0.03</v>
      </c>
      <c r="J48" s="585">
        <f>I48</f>
        <v>0.03</v>
      </c>
      <c r="K48" s="585">
        <f>I48</f>
        <v>0.03</v>
      </c>
      <c r="L48" s="585">
        <f t="shared" ref="I48:P49" si="6">K48</f>
        <v>0.03</v>
      </c>
      <c r="M48" s="585">
        <f t="shared" si="6"/>
        <v>0.03</v>
      </c>
      <c r="N48" s="585">
        <f t="shared" si="6"/>
        <v>0.03</v>
      </c>
      <c r="O48" s="585">
        <f t="shared" si="6"/>
        <v>0.03</v>
      </c>
      <c r="P48" s="585">
        <f t="shared" si="6"/>
        <v>0.03</v>
      </c>
      <c r="Q48" s="585">
        <f t="shared" si="4"/>
        <v>0.03</v>
      </c>
      <c r="R48" s="540"/>
    </row>
    <row r="49" spans="1:18" ht="15" customHeight="1">
      <c r="A49" s="510"/>
      <c r="B49" s="846"/>
      <c r="C49" s="588" t="s">
        <v>42</v>
      </c>
      <c r="D49" s="590"/>
      <c r="E49" s="590" t="s">
        <v>522</v>
      </c>
      <c r="F49" s="590" t="s">
        <v>523</v>
      </c>
      <c r="H49" s="591">
        <v>1</v>
      </c>
      <c r="I49" s="591">
        <f t="shared" si="6"/>
        <v>1</v>
      </c>
      <c r="J49" s="591">
        <f t="shared" si="6"/>
        <v>1</v>
      </c>
      <c r="K49" s="591">
        <f>I49</f>
        <v>1</v>
      </c>
      <c r="L49" s="591">
        <f t="shared" si="6"/>
        <v>1</v>
      </c>
      <c r="M49" s="591">
        <f t="shared" si="6"/>
        <v>1</v>
      </c>
      <c r="N49" s="591">
        <f t="shared" si="6"/>
        <v>1</v>
      </c>
      <c r="O49" s="591">
        <f t="shared" si="6"/>
        <v>1</v>
      </c>
      <c r="P49" s="591">
        <f t="shared" si="6"/>
        <v>1</v>
      </c>
      <c r="Q49" s="591">
        <f t="shared" si="4"/>
        <v>1</v>
      </c>
      <c r="R49" s="540"/>
    </row>
    <row r="50" spans="1:18" ht="15" customHeight="1">
      <c r="A50" s="510"/>
      <c r="B50" s="586" t="s">
        <v>4</v>
      </c>
      <c r="C50" s="587" t="s">
        <v>55</v>
      </c>
      <c r="D50" s="556"/>
      <c r="E50" s="557" t="s">
        <v>97</v>
      </c>
      <c r="F50" s="557" t="s">
        <v>517</v>
      </c>
      <c r="H50" s="585">
        <v>6.0000000000000001E-3</v>
      </c>
      <c r="I50" s="585">
        <v>6.0000000000000001E-3</v>
      </c>
      <c r="J50" s="585"/>
      <c r="K50" s="585"/>
      <c r="L50" s="585"/>
      <c r="M50" s="585"/>
      <c r="N50" s="585"/>
      <c r="O50" s="585"/>
      <c r="P50" s="585"/>
      <c r="Q50" s="585">
        <f t="shared" si="4"/>
        <v>6.0000000000000001E-3</v>
      </c>
      <c r="R50" s="540"/>
    </row>
    <row r="51" spans="1:18" ht="15" customHeight="1">
      <c r="A51" s="510"/>
      <c r="B51" s="572"/>
      <c r="C51" s="592"/>
      <c r="D51" s="573"/>
      <c r="E51" s="573"/>
      <c r="F51" s="574"/>
      <c r="H51" s="593">
        <f>SUM(H41:H50)-H48-H49</f>
        <v>0.3680000000000001</v>
      </c>
      <c r="I51" s="593">
        <f>SUM(I41:I50)-I48-I49</f>
        <v>0.3680000000000001</v>
      </c>
      <c r="J51" s="593">
        <f>SUM(J41:J50)-J48-J49</f>
        <v>0.31000000000000005</v>
      </c>
      <c r="K51" s="593">
        <f>SUM(K41:K47)+K50</f>
        <v>0.31000000000000005</v>
      </c>
      <c r="L51" s="593">
        <f>SUM(L41:L50)-L48-L49</f>
        <v>0.31000000000000005</v>
      </c>
      <c r="M51" s="593">
        <f>SUM(M41:M50)-M48-M49</f>
        <v>0.31000000000000005</v>
      </c>
      <c r="N51" s="593">
        <f>SUM(N41:N50)-N48-N49</f>
        <v>0.31000000000000005</v>
      </c>
      <c r="O51" s="593">
        <f>SUM(O41:O50)-O48-O49</f>
        <v>0.31000000000000005</v>
      </c>
      <c r="P51" s="593">
        <f>SUM(P41:P50)-P48-P49</f>
        <v>0.31000000000000005</v>
      </c>
      <c r="Q51" s="593">
        <f t="shared" si="4"/>
        <v>0.36799999999999999</v>
      </c>
      <c r="R51" s="540"/>
    </row>
    <row r="52" spans="1:18" ht="3.75" customHeight="1">
      <c r="H52" s="594"/>
      <c r="I52" s="594"/>
      <c r="J52" s="594"/>
      <c r="K52" s="594"/>
      <c r="L52" s="595"/>
      <c r="M52" s="594"/>
      <c r="N52" s="594"/>
      <c r="O52" s="594"/>
      <c r="P52" s="594"/>
      <c r="Q52" s="594"/>
    </row>
    <row r="53" spans="1:18" s="578" customFormat="1" ht="15" customHeight="1">
      <c r="B53" s="572"/>
      <c r="C53" s="573" t="s">
        <v>126</v>
      </c>
      <c r="D53" s="573"/>
      <c r="E53" s="573"/>
      <c r="F53" s="574"/>
      <c r="G53" s="3"/>
      <c r="H53" s="572"/>
      <c r="I53" s="575"/>
      <c r="J53" s="575"/>
      <c r="K53" s="575"/>
      <c r="L53" s="575"/>
      <c r="M53" s="575"/>
      <c r="N53" s="575"/>
      <c r="O53" s="575"/>
      <c r="P53" s="575"/>
      <c r="Q53" s="576"/>
    </row>
    <row r="54" spans="1:18" ht="15" customHeight="1">
      <c r="B54" s="554" t="s">
        <v>2</v>
      </c>
      <c r="C54" s="555" t="s">
        <v>86</v>
      </c>
      <c r="D54" s="556" t="s">
        <v>158</v>
      </c>
      <c r="E54" s="557" t="s">
        <v>622</v>
      </c>
      <c r="F54" s="557" t="s">
        <v>582</v>
      </c>
      <c r="H54" s="585"/>
      <c r="I54" s="585"/>
      <c r="J54" s="585"/>
      <c r="K54" s="585"/>
      <c r="L54" s="585"/>
      <c r="M54" s="585"/>
      <c r="N54" s="585"/>
      <c r="O54" s="585"/>
      <c r="P54" s="585"/>
      <c r="Q54" s="585"/>
    </row>
    <row r="55" spans="1:18" ht="15" customHeight="1">
      <c r="B55" s="554" t="s">
        <v>1</v>
      </c>
      <c r="C55" s="555" t="s">
        <v>23</v>
      </c>
      <c r="D55" s="556" t="s">
        <v>156</v>
      </c>
      <c r="E55" s="557" t="s">
        <v>524</v>
      </c>
      <c r="F55" s="557" t="s">
        <v>581</v>
      </c>
      <c r="H55" s="585"/>
      <c r="I55" s="585"/>
      <c r="J55" s="585"/>
      <c r="K55" s="585"/>
      <c r="L55" s="585"/>
      <c r="M55" s="585"/>
      <c r="N55" s="585"/>
      <c r="O55" s="585"/>
      <c r="P55" s="585"/>
      <c r="Q55" s="585"/>
    </row>
    <row r="56" spans="1:18" ht="15" customHeight="1">
      <c r="B56" s="554" t="s">
        <v>0</v>
      </c>
      <c r="C56" s="555" t="s">
        <v>25</v>
      </c>
      <c r="D56" s="556" t="s">
        <v>159</v>
      </c>
      <c r="E56" s="557" t="s">
        <v>525</v>
      </c>
      <c r="F56" s="557" t="s">
        <v>582</v>
      </c>
      <c r="H56" s="585"/>
      <c r="I56" s="585"/>
      <c r="J56" s="585"/>
      <c r="K56" s="585"/>
      <c r="L56" s="585"/>
      <c r="M56" s="585"/>
      <c r="N56" s="585"/>
      <c r="O56" s="585"/>
      <c r="P56" s="585"/>
      <c r="Q56" s="585"/>
    </row>
    <row r="57" spans="1:18" ht="15" customHeight="1">
      <c r="B57" s="554" t="s">
        <v>3</v>
      </c>
      <c r="C57" s="555" t="s">
        <v>27</v>
      </c>
      <c r="D57" s="556" t="s">
        <v>157</v>
      </c>
      <c r="E57" s="557" t="s">
        <v>525</v>
      </c>
      <c r="F57" s="557" t="s">
        <v>583</v>
      </c>
      <c r="H57" s="585"/>
      <c r="I57" s="585"/>
      <c r="J57" s="585"/>
      <c r="K57" s="585"/>
      <c r="L57" s="585"/>
      <c r="M57" s="585"/>
      <c r="N57" s="585"/>
      <c r="O57" s="585"/>
      <c r="P57" s="585"/>
      <c r="Q57" s="585"/>
    </row>
    <row r="58" spans="1:18" ht="15" customHeight="1">
      <c r="B58" s="554" t="s">
        <v>7</v>
      </c>
      <c r="C58" s="555" t="s">
        <v>28</v>
      </c>
      <c r="D58" s="556" t="s">
        <v>157</v>
      </c>
      <c r="E58" s="557"/>
      <c r="F58" s="557" t="s">
        <v>583</v>
      </c>
      <c r="H58" s="585"/>
      <c r="I58" s="585"/>
      <c r="J58" s="585"/>
      <c r="K58" s="585"/>
      <c r="L58" s="585"/>
      <c r="M58" s="585"/>
      <c r="N58" s="585"/>
      <c r="O58" s="585"/>
      <c r="P58" s="585"/>
      <c r="Q58" s="585"/>
    </row>
    <row r="59" spans="1:18" ht="15" customHeight="1">
      <c r="B59" s="554" t="s">
        <v>6</v>
      </c>
      <c r="C59" s="555" t="s">
        <v>29</v>
      </c>
      <c r="D59" s="556" t="s">
        <v>159</v>
      </c>
      <c r="E59" s="557"/>
      <c r="F59" s="557" t="s">
        <v>582</v>
      </c>
      <c r="H59" s="585"/>
      <c r="I59" s="585"/>
      <c r="J59" s="585"/>
      <c r="K59" s="585"/>
      <c r="L59" s="585"/>
      <c r="M59" s="585"/>
      <c r="N59" s="585"/>
      <c r="O59" s="585"/>
      <c r="P59" s="585"/>
      <c r="Q59" s="585"/>
    </row>
    <row r="60" spans="1:18" ht="15" customHeight="1">
      <c r="B60" s="554" t="s">
        <v>5</v>
      </c>
      <c r="C60" s="555" t="s">
        <v>30</v>
      </c>
      <c r="D60" s="556" t="s">
        <v>157</v>
      </c>
      <c r="E60" s="557"/>
      <c r="F60" s="557" t="s">
        <v>583</v>
      </c>
      <c r="H60" s="585"/>
      <c r="I60" s="585"/>
      <c r="J60" s="585"/>
      <c r="K60" s="585"/>
      <c r="L60" s="585"/>
      <c r="M60" s="585"/>
      <c r="N60" s="585"/>
      <c r="O60" s="585"/>
      <c r="P60" s="585"/>
      <c r="Q60" s="585"/>
    </row>
    <row r="61" spans="1:18" ht="15" customHeight="1">
      <c r="B61" s="554" t="s">
        <v>4</v>
      </c>
      <c r="C61" s="555" t="s">
        <v>114</v>
      </c>
      <c r="D61" s="556" t="s">
        <v>157</v>
      </c>
      <c r="E61" s="557"/>
      <c r="F61" s="557" t="s">
        <v>583</v>
      </c>
      <c r="H61" s="585"/>
      <c r="I61" s="585"/>
      <c r="J61" s="585"/>
      <c r="K61" s="585"/>
      <c r="L61" s="585"/>
      <c r="M61" s="585"/>
      <c r="N61" s="585"/>
      <c r="O61" s="585"/>
      <c r="P61" s="585"/>
      <c r="Q61" s="585"/>
    </row>
    <row r="62" spans="1:18" ht="15" customHeight="1">
      <c r="H62" s="594"/>
      <c r="I62" s="594"/>
      <c r="J62" s="594"/>
      <c r="K62" s="594"/>
      <c r="L62" s="595"/>
      <c r="M62" s="594"/>
      <c r="N62" s="594"/>
      <c r="O62" s="594"/>
      <c r="P62" s="594"/>
      <c r="Q62" s="594"/>
    </row>
    <row r="63" spans="1:18" s="3" customFormat="1" ht="15" customHeight="1">
      <c r="B63" s="511"/>
      <c r="C63" s="551" t="s">
        <v>127</v>
      </c>
      <c r="D63" s="551"/>
      <c r="E63" s="551"/>
      <c r="F63" s="513"/>
      <c r="H63" s="511"/>
      <c r="I63" s="552"/>
      <c r="J63" s="552"/>
      <c r="K63" s="552"/>
      <c r="L63" s="552"/>
      <c r="M63" s="552"/>
      <c r="N63" s="552"/>
      <c r="O63" s="552"/>
      <c r="P63" s="552"/>
      <c r="Q63" s="553"/>
    </row>
    <row r="64" spans="1:18" ht="3.75" customHeight="1">
      <c r="B64" s="596"/>
      <c r="H64" s="597"/>
      <c r="I64" s="597"/>
      <c r="J64" s="597"/>
      <c r="K64" s="597"/>
      <c r="L64" s="597"/>
      <c r="M64" s="597"/>
      <c r="N64" s="597"/>
      <c r="O64" s="597"/>
      <c r="P64" s="597"/>
      <c r="Q64" s="597"/>
    </row>
    <row r="65" spans="1:18" s="578" customFormat="1" ht="15" customHeight="1">
      <c r="B65" s="572"/>
      <c r="C65" s="573" t="s">
        <v>198</v>
      </c>
      <c r="D65" s="573"/>
      <c r="E65" s="573"/>
      <c r="F65" s="574"/>
      <c r="G65" s="3"/>
      <c r="H65" s="572"/>
      <c r="I65" s="575"/>
      <c r="J65" s="575"/>
      <c r="K65" s="575"/>
      <c r="L65" s="575"/>
      <c r="M65" s="575"/>
      <c r="N65" s="575"/>
      <c r="O65" s="575"/>
      <c r="P65" s="575"/>
      <c r="Q65" s="576"/>
    </row>
    <row r="66" spans="1:18" ht="15" customHeight="1">
      <c r="A66" s="510"/>
      <c r="B66" s="518"/>
      <c r="C66" s="598" t="s">
        <v>199</v>
      </c>
      <c r="D66" s="599"/>
      <c r="E66" s="599"/>
      <c r="F66" s="599"/>
      <c r="H66" s="600">
        <v>0.05</v>
      </c>
      <c r="I66" s="600">
        <f>H66</f>
        <v>0.05</v>
      </c>
      <c r="J66" s="600">
        <f>I66</f>
        <v>0.05</v>
      </c>
      <c r="K66" s="600">
        <f t="shared" ref="K66:K71" si="7">I66</f>
        <v>0.05</v>
      </c>
      <c r="L66" s="600">
        <f>K66</f>
        <v>0.05</v>
      </c>
      <c r="M66" s="600">
        <f>L66</f>
        <v>0.05</v>
      </c>
      <c r="N66" s="600">
        <f>M66</f>
        <v>0.05</v>
      </c>
      <c r="O66" s="600">
        <f>N66</f>
        <v>0.05</v>
      </c>
      <c r="P66" s="600">
        <f>O66</f>
        <v>0.05</v>
      </c>
      <c r="Q66" s="600">
        <f t="shared" ref="Q66:Q71" si="8">IFERROR(ROUND(IF($Q$17="Simples",
INDEX(H66:P66,MATCH($Q$18,$H$18:$P$18,1)),
INDEX(H66:P66,MATCH($Q$17,$H$15:$P$15,0))
),4),"")</f>
        <v>0.05</v>
      </c>
      <c r="R66" s="540"/>
    </row>
    <row r="67" spans="1:18" ht="15" customHeight="1">
      <c r="A67" s="510"/>
      <c r="B67" s="518"/>
      <c r="C67" s="598" t="s">
        <v>54</v>
      </c>
      <c r="D67" s="599"/>
      <c r="E67" s="599"/>
      <c r="F67" s="599"/>
      <c r="H67" s="600">
        <v>0.08</v>
      </c>
      <c r="I67" s="600">
        <f t="shared" ref="I67:P71" si="9">H67</f>
        <v>0.08</v>
      </c>
      <c r="J67" s="600">
        <f t="shared" si="9"/>
        <v>0.08</v>
      </c>
      <c r="K67" s="600">
        <f t="shared" si="7"/>
        <v>0.08</v>
      </c>
      <c r="L67" s="600">
        <f t="shared" si="9"/>
        <v>0.08</v>
      </c>
      <c r="M67" s="600">
        <f t="shared" si="9"/>
        <v>0.08</v>
      </c>
      <c r="N67" s="600">
        <f t="shared" si="9"/>
        <v>0.08</v>
      </c>
      <c r="O67" s="600">
        <f t="shared" si="9"/>
        <v>0.08</v>
      </c>
      <c r="P67" s="600">
        <f t="shared" si="9"/>
        <v>0.08</v>
      </c>
      <c r="Q67" s="600">
        <f t="shared" si="8"/>
        <v>0.08</v>
      </c>
      <c r="R67" s="540"/>
    </row>
    <row r="68" spans="1:18" ht="15" customHeight="1">
      <c r="A68" s="510"/>
      <c r="B68" s="518"/>
      <c r="C68" s="598" t="s">
        <v>200</v>
      </c>
      <c r="D68" s="599"/>
      <c r="E68" s="599"/>
      <c r="F68" s="599"/>
      <c r="H68" s="600">
        <v>0.4</v>
      </c>
      <c r="I68" s="600">
        <f t="shared" si="9"/>
        <v>0.4</v>
      </c>
      <c r="J68" s="600">
        <f t="shared" si="9"/>
        <v>0.4</v>
      </c>
      <c r="K68" s="600">
        <f t="shared" si="7"/>
        <v>0.4</v>
      </c>
      <c r="L68" s="600">
        <f t="shared" si="9"/>
        <v>0.4</v>
      </c>
      <c r="M68" s="600">
        <f t="shared" si="9"/>
        <v>0.4</v>
      </c>
      <c r="N68" s="600">
        <f t="shared" si="9"/>
        <v>0.4</v>
      </c>
      <c r="O68" s="600">
        <f t="shared" si="9"/>
        <v>0.4</v>
      </c>
      <c r="P68" s="600">
        <f t="shared" si="9"/>
        <v>0.4</v>
      </c>
      <c r="Q68" s="600">
        <f t="shared" si="8"/>
        <v>0.4</v>
      </c>
      <c r="R68" s="540"/>
    </row>
    <row r="69" spans="1:18" ht="15" customHeight="1">
      <c r="A69" s="510"/>
      <c r="B69" s="518"/>
      <c r="C69" s="598" t="s">
        <v>201</v>
      </c>
      <c r="D69" s="599"/>
      <c r="E69" s="599"/>
      <c r="F69" s="599"/>
      <c r="H69" s="600">
        <v>0.02</v>
      </c>
      <c r="I69" s="600">
        <f t="shared" si="9"/>
        <v>0.02</v>
      </c>
      <c r="J69" s="600">
        <f t="shared" si="9"/>
        <v>0.02</v>
      </c>
      <c r="K69" s="600">
        <f t="shared" si="7"/>
        <v>0.02</v>
      </c>
      <c r="L69" s="600">
        <f t="shared" si="9"/>
        <v>0.02</v>
      </c>
      <c r="M69" s="600">
        <f t="shared" si="9"/>
        <v>0.02</v>
      </c>
      <c r="N69" s="600">
        <f t="shared" si="9"/>
        <v>0.02</v>
      </c>
      <c r="O69" s="600">
        <f t="shared" si="9"/>
        <v>0.02</v>
      </c>
      <c r="P69" s="600">
        <f t="shared" si="9"/>
        <v>0.02</v>
      </c>
      <c r="Q69" s="600">
        <f t="shared" si="8"/>
        <v>0.02</v>
      </c>
      <c r="R69" s="540"/>
    </row>
    <row r="70" spans="1:18" ht="15" customHeight="1">
      <c r="A70" s="510"/>
      <c r="B70" s="518"/>
      <c r="C70" s="598" t="s">
        <v>202</v>
      </c>
      <c r="D70" s="599"/>
      <c r="E70" s="599"/>
      <c r="F70" s="599"/>
      <c r="H70" s="600">
        <v>1</v>
      </c>
      <c r="I70" s="600">
        <f t="shared" si="9"/>
        <v>1</v>
      </c>
      <c r="J70" s="600">
        <f t="shared" si="9"/>
        <v>1</v>
      </c>
      <c r="K70" s="600">
        <f t="shared" si="7"/>
        <v>1</v>
      </c>
      <c r="L70" s="600">
        <f t="shared" si="9"/>
        <v>1</v>
      </c>
      <c r="M70" s="600">
        <f t="shared" si="9"/>
        <v>1</v>
      </c>
      <c r="N70" s="600">
        <f t="shared" si="9"/>
        <v>1</v>
      </c>
      <c r="O70" s="600">
        <f t="shared" si="9"/>
        <v>1</v>
      </c>
      <c r="P70" s="600">
        <f t="shared" si="9"/>
        <v>1</v>
      </c>
      <c r="Q70" s="600">
        <f t="shared" si="8"/>
        <v>1</v>
      </c>
      <c r="R70" s="540"/>
    </row>
    <row r="71" spans="1:18" ht="15" customHeight="1">
      <c r="A71" s="510"/>
      <c r="B71" s="518"/>
      <c r="C71" s="598" t="s">
        <v>203</v>
      </c>
      <c r="D71" s="601"/>
      <c r="E71" s="601"/>
      <c r="F71" s="601"/>
      <c r="H71" s="602">
        <v>7</v>
      </c>
      <c r="I71" s="602">
        <f t="shared" si="9"/>
        <v>7</v>
      </c>
      <c r="J71" s="602">
        <f t="shared" si="9"/>
        <v>7</v>
      </c>
      <c r="K71" s="602">
        <f t="shared" si="7"/>
        <v>7</v>
      </c>
      <c r="L71" s="602">
        <f t="shared" si="9"/>
        <v>7</v>
      </c>
      <c r="M71" s="602">
        <f t="shared" si="9"/>
        <v>7</v>
      </c>
      <c r="N71" s="602">
        <f t="shared" si="9"/>
        <v>7</v>
      </c>
      <c r="O71" s="602">
        <f t="shared" si="9"/>
        <v>7</v>
      </c>
      <c r="P71" s="602">
        <f t="shared" si="9"/>
        <v>7</v>
      </c>
      <c r="Q71" s="602">
        <f t="shared" si="8"/>
        <v>7</v>
      </c>
      <c r="R71" s="540"/>
    </row>
    <row r="72" spans="1:18" ht="3.75" customHeight="1">
      <c r="B72" s="603"/>
      <c r="C72" s="604"/>
      <c r="D72" s="603"/>
      <c r="E72" s="603"/>
      <c r="F72" s="603"/>
      <c r="H72" s="605"/>
      <c r="I72" s="605"/>
      <c r="J72" s="605"/>
      <c r="K72" s="605"/>
      <c r="L72" s="605"/>
      <c r="M72" s="605"/>
      <c r="N72" s="605"/>
      <c r="O72" s="605"/>
      <c r="P72" s="605"/>
      <c r="Q72" s="605"/>
    </row>
    <row r="73" spans="1:18" s="578" customFormat="1" ht="15" customHeight="1">
      <c r="B73" s="572"/>
      <c r="C73" s="573" t="s">
        <v>314</v>
      </c>
      <c r="D73" s="573"/>
      <c r="E73" s="573"/>
      <c r="F73" s="574"/>
      <c r="G73" s="3"/>
      <c r="H73" s="572"/>
      <c r="I73" s="575"/>
      <c r="J73" s="575"/>
      <c r="K73" s="575"/>
      <c r="L73" s="575"/>
      <c r="M73" s="575"/>
      <c r="N73" s="575"/>
      <c r="O73" s="575"/>
      <c r="P73" s="575"/>
      <c r="Q73" s="576"/>
    </row>
    <row r="74" spans="1:18" ht="15" customHeight="1">
      <c r="A74" s="510"/>
      <c r="B74" s="518" t="s">
        <v>2</v>
      </c>
      <c r="C74" s="519" t="s">
        <v>221</v>
      </c>
      <c r="D74" s="556" t="s">
        <v>163</v>
      </c>
      <c r="E74" s="557" t="s">
        <v>526</v>
      </c>
      <c r="F74" s="557" t="s">
        <v>527</v>
      </c>
      <c r="H74" s="585">
        <f>(($D$5/$D$5)/$D$10)*H66</f>
        <v>4.1666666666666666E-3</v>
      </c>
      <c r="I74" s="585">
        <f t="shared" ref="I74:J79" si="10">H74</f>
        <v>4.1666666666666666E-3</v>
      </c>
      <c r="J74" s="585">
        <f t="shared" si="10"/>
        <v>4.1666666666666666E-3</v>
      </c>
      <c r="K74" s="585">
        <f t="shared" ref="K74:K79" si="11">I74</f>
        <v>4.1666666666666666E-3</v>
      </c>
      <c r="L74" s="585">
        <f t="shared" ref="L74:P79" si="12">K74</f>
        <v>4.1666666666666666E-3</v>
      </c>
      <c r="M74" s="585">
        <f t="shared" si="12"/>
        <v>4.1666666666666666E-3</v>
      </c>
      <c r="N74" s="585">
        <f t="shared" si="12"/>
        <v>4.1666666666666666E-3</v>
      </c>
      <c r="O74" s="585">
        <f t="shared" si="12"/>
        <v>4.1666666666666666E-3</v>
      </c>
      <c r="P74" s="585">
        <f t="shared" si="12"/>
        <v>4.1666666666666666E-3</v>
      </c>
      <c r="Q74" s="585">
        <f t="shared" ref="Q74:Q79" si="13">IFERROR(ROUND(IF($Q$17="Simples",
INDEX(H74:P74,MATCH($Q$18,$H$18:$P$18,1)),
INDEX(H74:P74,MATCH($Q$17,$H$15:$P$15,0))
),4),"")</f>
        <v>4.1999999999999997E-3</v>
      </c>
      <c r="R74" s="540"/>
    </row>
    <row r="75" spans="1:18" ht="15" customHeight="1">
      <c r="A75" s="510"/>
      <c r="B75" s="586" t="s">
        <v>1</v>
      </c>
      <c r="C75" s="519" t="s">
        <v>31</v>
      </c>
      <c r="D75" s="556" t="s">
        <v>160</v>
      </c>
      <c r="E75" s="557" t="s">
        <v>98</v>
      </c>
      <c r="F75" s="557"/>
      <c r="H75" s="585">
        <f>(($D$5/$D$5)/$D$10)*H66*H67</f>
        <v>3.3333333333333332E-4</v>
      </c>
      <c r="I75" s="585">
        <f t="shared" si="10"/>
        <v>3.3333333333333332E-4</v>
      </c>
      <c r="J75" s="585">
        <f t="shared" si="10"/>
        <v>3.3333333333333332E-4</v>
      </c>
      <c r="K75" s="585">
        <f t="shared" si="11"/>
        <v>3.3333333333333332E-4</v>
      </c>
      <c r="L75" s="585">
        <f t="shared" si="12"/>
        <v>3.3333333333333332E-4</v>
      </c>
      <c r="M75" s="585">
        <f t="shared" si="12"/>
        <v>3.3333333333333332E-4</v>
      </c>
      <c r="N75" s="585">
        <f t="shared" si="12"/>
        <v>3.3333333333333332E-4</v>
      </c>
      <c r="O75" s="585">
        <f t="shared" si="12"/>
        <v>3.3333333333333332E-4</v>
      </c>
      <c r="P75" s="585">
        <f t="shared" si="12"/>
        <v>3.3333333333333332E-4</v>
      </c>
      <c r="Q75" s="585">
        <f t="shared" si="13"/>
        <v>2.9999999999999997E-4</v>
      </c>
      <c r="R75" s="540"/>
    </row>
    <row r="76" spans="1:18" ht="15" customHeight="1">
      <c r="A76" s="510"/>
      <c r="B76" s="586" t="s">
        <v>0</v>
      </c>
      <c r="C76" s="519" t="s">
        <v>555</v>
      </c>
      <c r="D76" s="556" t="s">
        <v>161</v>
      </c>
      <c r="E76" s="557" t="s">
        <v>528</v>
      </c>
      <c r="F76" s="557" t="s">
        <v>529</v>
      </c>
      <c r="H76" s="606">
        <f>H74*H67*H68</f>
        <v>1.3333333333333334E-4</v>
      </c>
      <c r="I76" s="585">
        <f t="shared" si="10"/>
        <v>1.3333333333333334E-4</v>
      </c>
      <c r="J76" s="585">
        <f t="shared" si="10"/>
        <v>1.3333333333333334E-4</v>
      </c>
      <c r="K76" s="585">
        <f t="shared" si="11"/>
        <v>1.3333333333333334E-4</v>
      </c>
      <c r="L76" s="585">
        <f t="shared" si="12"/>
        <v>1.3333333333333334E-4</v>
      </c>
      <c r="M76" s="585">
        <f t="shared" si="12"/>
        <v>1.3333333333333334E-4</v>
      </c>
      <c r="N76" s="585">
        <f t="shared" si="12"/>
        <v>1.3333333333333334E-4</v>
      </c>
      <c r="O76" s="585">
        <f t="shared" si="12"/>
        <v>1.3333333333333334E-4</v>
      </c>
      <c r="P76" s="585">
        <f t="shared" si="12"/>
        <v>1.3333333333333334E-4</v>
      </c>
      <c r="Q76" s="585">
        <f t="shared" si="13"/>
        <v>1E-4</v>
      </c>
      <c r="R76" s="540"/>
    </row>
    <row r="77" spans="1:18" ht="15" customHeight="1">
      <c r="A77" s="510"/>
      <c r="B77" s="518" t="s">
        <v>3</v>
      </c>
      <c r="C77" s="519" t="s">
        <v>32</v>
      </c>
      <c r="D77" s="556" t="s">
        <v>483</v>
      </c>
      <c r="E77" s="557" t="s">
        <v>530</v>
      </c>
      <c r="F77" s="557" t="s">
        <v>531</v>
      </c>
      <c r="H77" s="606">
        <f>(H71/$D$5*(1+0.1*MAX(0,ROUNDUP('Mão de Obra'!$D$12/12,0)-1))/'Mão de Obra'!$D$12)</f>
        <v>1.9444444444444445E-2</v>
      </c>
      <c r="I77" s="585">
        <f t="shared" si="10"/>
        <v>1.9444444444444445E-2</v>
      </c>
      <c r="J77" s="585">
        <f t="shared" si="10"/>
        <v>1.9444444444444445E-2</v>
      </c>
      <c r="K77" s="585">
        <f t="shared" si="11"/>
        <v>1.9444444444444445E-2</v>
      </c>
      <c r="L77" s="585">
        <f t="shared" si="12"/>
        <v>1.9444444444444445E-2</v>
      </c>
      <c r="M77" s="585">
        <f t="shared" si="12"/>
        <v>1.9444444444444445E-2</v>
      </c>
      <c r="N77" s="585">
        <f t="shared" si="12"/>
        <v>1.9444444444444445E-2</v>
      </c>
      <c r="O77" s="585">
        <f t="shared" si="12"/>
        <v>1.9444444444444445E-2</v>
      </c>
      <c r="P77" s="585">
        <f t="shared" si="12"/>
        <v>1.9444444444444445E-2</v>
      </c>
      <c r="Q77" s="585">
        <f t="shared" si="13"/>
        <v>1.9400000000000001E-2</v>
      </c>
      <c r="R77" s="540"/>
    </row>
    <row r="78" spans="1:18" ht="15" customHeight="1">
      <c r="A78" s="510"/>
      <c r="B78" s="586" t="s">
        <v>7</v>
      </c>
      <c r="C78" s="519" t="s">
        <v>33</v>
      </c>
      <c r="D78" s="556" t="s">
        <v>556</v>
      </c>
      <c r="E78" s="557" t="s">
        <v>532</v>
      </c>
      <c r="F78" s="658" t="s">
        <v>533</v>
      </c>
      <c r="H78" s="585">
        <f>H77*H51</f>
        <v>7.1555555555555574E-3</v>
      </c>
      <c r="I78" s="585">
        <f t="shared" ref="I78:P78" si="14">I77*I51</f>
        <v>7.1555555555555574E-3</v>
      </c>
      <c r="J78" s="585">
        <f t="shared" si="14"/>
        <v>6.0277777777777786E-3</v>
      </c>
      <c r="K78" s="585">
        <f t="shared" si="14"/>
        <v>6.0277777777777786E-3</v>
      </c>
      <c r="L78" s="585">
        <f t="shared" si="14"/>
        <v>6.0277777777777786E-3</v>
      </c>
      <c r="M78" s="585">
        <f t="shared" si="14"/>
        <v>6.0277777777777786E-3</v>
      </c>
      <c r="N78" s="585">
        <f t="shared" si="14"/>
        <v>6.0277777777777786E-3</v>
      </c>
      <c r="O78" s="585">
        <f t="shared" si="14"/>
        <v>6.0277777777777786E-3</v>
      </c>
      <c r="P78" s="585">
        <f t="shared" si="14"/>
        <v>6.0277777777777786E-3</v>
      </c>
      <c r="Q78" s="585">
        <f t="shared" si="13"/>
        <v>7.1999999999999998E-3</v>
      </c>
      <c r="R78" s="540"/>
    </row>
    <row r="79" spans="1:18" ht="15" customHeight="1">
      <c r="A79" s="510"/>
      <c r="B79" s="586" t="s">
        <v>6</v>
      </c>
      <c r="C79" s="519" t="s">
        <v>34</v>
      </c>
      <c r="D79" s="556" t="s">
        <v>162</v>
      </c>
      <c r="E79" s="557" t="s">
        <v>534</v>
      </c>
      <c r="F79" s="557" t="s">
        <v>535</v>
      </c>
      <c r="H79" s="581">
        <v>0.04</v>
      </c>
      <c r="I79" s="585">
        <f t="shared" si="10"/>
        <v>0.04</v>
      </c>
      <c r="J79" s="585">
        <f t="shared" si="10"/>
        <v>0.04</v>
      </c>
      <c r="K79" s="585">
        <f t="shared" si="11"/>
        <v>0.04</v>
      </c>
      <c r="L79" s="585">
        <f t="shared" si="12"/>
        <v>0.04</v>
      </c>
      <c r="M79" s="585">
        <f t="shared" si="12"/>
        <v>0.04</v>
      </c>
      <c r="N79" s="585">
        <f t="shared" si="12"/>
        <v>0.04</v>
      </c>
      <c r="O79" s="585">
        <f t="shared" si="12"/>
        <v>0.04</v>
      </c>
      <c r="P79" s="585">
        <f t="shared" si="12"/>
        <v>0.04</v>
      </c>
      <c r="Q79" s="585">
        <f t="shared" si="13"/>
        <v>0.04</v>
      </c>
      <c r="R79" s="540"/>
    </row>
    <row r="80" spans="1:18" ht="15" customHeight="1">
      <c r="B80" s="603"/>
      <c r="C80" s="604"/>
      <c r="D80" s="603"/>
      <c r="E80" s="603"/>
      <c r="F80" s="603"/>
      <c r="H80" s="605"/>
      <c r="I80" s="605"/>
      <c r="J80" s="605"/>
      <c r="K80" s="605"/>
      <c r="L80" s="605"/>
      <c r="M80" s="605"/>
      <c r="N80" s="605"/>
      <c r="O80" s="605"/>
      <c r="P80" s="605"/>
      <c r="Q80" s="605"/>
    </row>
    <row r="81" spans="1:18" s="3" customFormat="1" ht="15" customHeight="1">
      <c r="B81" s="511"/>
      <c r="C81" s="551" t="s">
        <v>128</v>
      </c>
      <c r="D81" s="551"/>
      <c r="E81" s="551"/>
      <c r="F81" s="513"/>
      <c r="H81" s="511"/>
      <c r="I81" s="552"/>
      <c r="J81" s="552"/>
      <c r="K81" s="552"/>
      <c r="L81" s="552"/>
      <c r="M81" s="552"/>
      <c r="N81" s="552"/>
      <c r="O81" s="552"/>
      <c r="P81" s="552"/>
      <c r="Q81" s="553"/>
    </row>
    <row r="82" spans="1:18" s="578" customFormat="1" ht="3.75" customHeight="1">
      <c r="B82" s="607"/>
      <c r="C82" s="608"/>
      <c r="D82" s="607"/>
      <c r="E82" s="607"/>
      <c r="F82" s="607"/>
      <c r="G82" s="3"/>
      <c r="H82" s="609"/>
      <c r="I82" s="609"/>
      <c r="J82" s="609"/>
      <c r="K82" s="609"/>
      <c r="L82" s="609"/>
      <c r="M82" s="609"/>
      <c r="N82" s="609"/>
      <c r="O82" s="609"/>
      <c r="P82" s="609"/>
      <c r="Q82" s="609"/>
    </row>
    <row r="83" spans="1:18" s="578" customFormat="1" ht="15" customHeight="1">
      <c r="B83" s="572"/>
      <c r="C83" s="573" t="s">
        <v>198</v>
      </c>
      <c r="D83" s="573"/>
      <c r="E83" s="573"/>
      <c r="F83" s="574"/>
      <c r="G83" s="3"/>
      <c r="H83" s="572"/>
      <c r="I83" s="575"/>
      <c r="J83" s="575"/>
      <c r="K83" s="575"/>
      <c r="L83" s="575"/>
      <c r="M83" s="575"/>
      <c r="N83" s="575"/>
      <c r="O83" s="575"/>
      <c r="P83" s="575"/>
      <c r="Q83" s="576"/>
    </row>
    <row r="84" spans="1:18" ht="15" customHeight="1">
      <c r="A84" s="510"/>
      <c r="B84" s="610"/>
      <c r="C84" s="598" t="s">
        <v>204</v>
      </c>
      <c r="D84" s="601"/>
      <c r="E84" s="704"/>
      <c r="F84" s="557" t="s">
        <v>280</v>
      </c>
      <c r="H84" s="602">
        <v>5</v>
      </c>
      <c r="I84" s="602">
        <f>H84</f>
        <v>5</v>
      </c>
      <c r="J84" s="602">
        <f>I84</f>
        <v>5</v>
      </c>
      <c r="K84" s="602">
        <f t="shared" ref="K84:K97" si="15">I84</f>
        <v>5</v>
      </c>
      <c r="L84" s="602">
        <f>K84</f>
        <v>5</v>
      </c>
      <c r="M84" s="602">
        <f>L84</f>
        <v>5</v>
      </c>
      <c r="N84" s="602">
        <f>M84</f>
        <v>5</v>
      </c>
      <c r="O84" s="602">
        <f>N84</f>
        <v>5</v>
      </c>
      <c r="P84" s="602">
        <f>O84</f>
        <v>5</v>
      </c>
      <c r="Q84" s="602">
        <f t="shared" ref="Q84:Q97" si="16">IFERROR(ROUND(IF($Q$17="Simples",
INDEX(H84:P84,MATCH($Q$18,$H$18:$P$18,1)),
INDEX(H84:P84,MATCH($Q$17,$H$15:$P$15,0))
),4),"")</f>
        <v>5</v>
      </c>
      <c r="R84" s="540"/>
    </row>
    <row r="85" spans="1:18" ht="15" customHeight="1">
      <c r="A85" s="510"/>
      <c r="B85" s="610"/>
      <c r="C85" s="598" t="s">
        <v>205</v>
      </c>
      <c r="D85" s="601"/>
      <c r="E85" s="601"/>
      <c r="F85" s="601"/>
      <c r="H85" s="602">
        <v>5</v>
      </c>
      <c r="I85" s="602">
        <f t="shared" ref="I85:P97" si="17">H85</f>
        <v>5</v>
      </c>
      <c r="J85" s="602">
        <f t="shared" si="17"/>
        <v>5</v>
      </c>
      <c r="K85" s="602">
        <f t="shared" si="15"/>
        <v>5</v>
      </c>
      <c r="L85" s="602">
        <f t="shared" si="17"/>
        <v>5</v>
      </c>
      <c r="M85" s="602">
        <f t="shared" si="17"/>
        <v>5</v>
      </c>
      <c r="N85" s="602">
        <f t="shared" si="17"/>
        <v>5</v>
      </c>
      <c r="O85" s="602">
        <f t="shared" si="17"/>
        <v>5</v>
      </c>
      <c r="P85" s="602">
        <f t="shared" si="17"/>
        <v>5</v>
      </c>
      <c r="Q85" s="602">
        <f t="shared" si="16"/>
        <v>5</v>
      </c>
      <c r="R85" s="540"/>
    </row>
    <row r="86" spans="1:18" ht="15" customHeight="1">
      <c r="A86" s="510"/>
      <c r="B86" s="610"/>
      <c r="C86" s="598" t="s">
        <v>206</v>
      </c>
      <c r="D86" s="611"/>
      <c r="E86" s="611"/>
      <c r="F86" s="557" t="s">
        <v>281</v>
      </c>
      <c r="H86" s="581">
        <v>1.4999999999999999E-2</v>
      </c>
      <c r="I86" s="581">
        <f t="shared" si="17"/>
        <v>1.4999999999999999E-2</v>
      </c>
      <c r="J86" s="581">
        <f t="shared" si="17"/>
        <v>1.4999999999999999E-2</v>
      </c>
      <c r="K86" s="581">
        <f t="shared" si="15"/>
        <v>1.4999999999999999E-2</v>
      </c>
      <c r="L86" s="581">
        <f t="shared" si="17"/>
        <v>1.4999999999999999E-2</v>
      </c>
      <c r="M86" s="581">
        <f t="shared" si="17"/>
        <v>1.4999999999999999E-2</v>
      </c>
      <c r="N86" s="581">
        <f t="shared" si="17"/>
        <v>1.4999999999999999E-2</v>
      </c>
      <c r="O86" s="581">
        <f t="shared" si="17"/>
        <v>1.4999999999999999E-2</v>
      </c>
      <c r="P86" s="581">
        <f t="shared" si="17"/>
        <v>1.4999999999999999E-2</v>
      </c>
      <c r="Q86" s="581">
        <f t="shared" si="16"/>
        <v>1.4999999999999999E-2</v>
      </c>
      <c r="R86" s="540"/>
    </row>
    <row r="87" spans="1:18" ht="15" customHeight="1">
      <c r="A87" s="510"/>
      <c r="B87" s="610"/>
      <c r="C87" s="598" t="s">
        <v>207</v>
      </c>
      <c r="D87" s="612"/>
      <c r="E87" s="612"/>
      <c r="F87" s="557" t="s">
        <v>282</v>
      </c>
      <c r="H87" s="613">
        <v>2.96</v>
      </c>
      <c r="I87" s="613">
        <f t="shared" si="17"/>
        <v>2.96</v>
      </c>
      <c r="J87" s="613">
        <f t="shared" si="17"/>
        <v>2.96</v>
      </c>
      <c r="K87" s="613">
        <f t="shared" si="15"/>
        <v>2.96</v>
      </c>
      <c r="L87" s="613">
        <f t="shared" si="17"/>
        <v>2.96</v>
      </c>
      <c r="M87" s="613">
        <f t="shared" si="17"/>
        <v>2.96</v>
      </c>
      <c r="N87" s="613">
        <f t="shared" si="17"/>
        <v>2.96</v>
      </c>
      <c r="O87" s="613">
        <f t="shared" si="17"/>
        <v>2.96</v>
      </c>
      <c r="P87" s="613">
        <f t="shared" si="17"/>
        <v>2.96</v>
      </c>
      <c r="Q87" s="613">
        <f t="shared" si="16"/>
        <v>2.96</v>
      </c>
      <c r="R87" s="540"/>
    </row>
    <row r="88" spans="1:18" ht="15" customHeight="1">
      <c r="A88" s="510"/>
      <c r="B88" s="610"/>
      <c r="C88" s="598" t="s">
        <v>208</v>
      </c>
      <c r="D88" s="611"/>
      <c r="E88" s="611"/>
      <c r="F88" s="557" t="s">
        <v>283</v>
      </c>
      <c r="H88" s="581">
        <v>7.7999999999999996E-3</v>
      </c>
      <c r="I88" s="581">
        <f t="shared" si="17"/>
        <v>7.7999999999999996E-3</v>
      </c>
      <c r="J88" s="581">
        <f t="shared" si="17"/>
        <v>7.7999999999999996E-3</v>
      </c>
      <c r="K88" s="581">
        <f t="shared" si="15"/>
        <v>7.7999999999999996E-3</v>
      </c>
      <c r="L88" s="581">
        <f t="shared" si="17"/>
        <v>7.7999999999999996E-3</v>
      </c>
      <c r="M88" s="581">
        <f t="shared" si="17"/>
        <v>7.7999999999999996E-3</v>
      </c>
      <c r="N88" s="581">
        <f t="shared" si="17"/>
        <v>7.7999999999999996E-3</v>
      </c>
      <c r="O88" s="581">
        <f t="shared" si="17"/>
        <v>7.7999999999999996E-3</v>
      </c>
      <c r="P88" s="581">
        <f t="shared" si="17"/>
        <v>7.7999999999999996E-3</v>
      </c>
      <c r="Q88" s="581">
        <f t="shared" si="16"/>
        <v>7.7999999999999996E-3</v>
      </c>
      <c r="R88" s="540"/>
    </row>
    <row r="89" spans="1:18" ht="15" customHeight="1">
      <c r="A89" s="510"/>
      <c r="B89" s="610"/>
      <c r="C89" s="598" t="s">
        <v>209</v>
      </c>
      <c r="D89" s="601"/>
      <c r="E89" s="601"/>
      <c r="F89" s="601"/>
      <c r="H89" s="602">
        <v>15</v>
      </c>
      <c r="I89" s="602">
        <f t="shared" si="17"/>
        <v>15</v>
      </c>
      <c r="J89" s="602">
        <f t="shared" si="17"/>
        <v>15</v>
      </c>
      <c r="K89" s="602">
        <f t="shared" si="15"/>
        <v>15</v>
      </c>
      <c r="L89" s="602">
        <f t="shared" si="17"/>
        <v>15</v>
      </c>
      <c r="M89" s="602">
        <f t="shared" si="17"/>
        <v>15</v>
      </c>
      <c r="N89" s="602">
        <f t="shared" si="17"/>
        <v>15</v>
      </c>
      <c r="O89" s="602">
        <f t="shared" si="17"/>
        <v>15</v>
      </c>
      <c r="P89" s="602">
        <f t="shared" si="17"/>
        <v>15</v>
      </c>
      <c r="Q89" s="602">
        <f t="shared" si="16"/>
        <v>15</v>
      </c>
      <c r="R89" s="540"/>
    </row>
    <row r="90" spans="1:18" ht="15" customHeight="1">
      <c r="A90" s="510"/>
      <c r="B90" s="610"/>
      <c r="C90" s="598" t="s">
        <v>210</v>
      </c>
      <c r="D90" s="614"/>
      <c r="E90" s="659"/>
      <c r="F90" s="614"/>
      <c r="H90" s="615">
        <v>4</v>
      </c>
      <c r="I90" s="615">
        <f t="shared" si="17"/>
        <v>4</v>
      </c>
      <c r="J90" s="615">
        <f t="shared" si="17"/>
        <v>4</v>
      </c>
      <c r="K90" s="615">
        <f t="shared" si="15"/>
        <v>4</v>
      </c>
      <c r="L90" s="615">
        <f t="shared" si="17"/>
        <v>4</v>
      </c>
      <c r="M90" s="615">
        <f t="shared" si="17"/>
        <v>4</v>
      </c>
      <c r="N90" s="615">
        <f t="shared" si="17"/>
        <v>4</v>
      </c>
      <c r="O90" s="615">
        <f t="shared" si="17"/>
        <v>4</v>
      </c>
      <c r="P90" s="615">
        <f t="shared" si="17"/>
        <v>4</v>
      </c>
      <c r="Q90" s="615">
        <f t="shared" si="16"/>
        <v>4</v>
      </c>
      <c r="R90" s="540"/>
    </row>
    <row r="91" spans="1:18" ht="15" customHeight="1">
      <c r="A91" s="510"/>
      <c r="B91" s="610"/>
      <c r="C91" s="598" t="s">
        <v>211</v>
      </c>
      <c r="D91" s="611"/>
      <c r="E91" s="611"/>
      <c r="F91" s="611"/>
      <c r="H91" s="581">
        <f>H90/12</f>
        <v>0.33333333333333331</v>
      </c>
      <c r="I91" s="581">
        <f t="shared" si="17"/>
        <v>0.33333333333333331</v>
      </c>
      <c r="J91" s="581">
        <f t="shared" si="17"/>
        <v>0.33333333333333331</v>
      </c>
      <c r="K91" s="581">
        <f t="shared" si="15"/>
        <v>0.33333333333333331</v>
      </c>
      <c r="L91" s="581">
        <f t="shared" si="17"/>
        <v>0.33333333333333331</v>
      </c>
      <c r="M91" s="581">
        <f t="shared" si="17"/>
        <v>0.33333333333333331</v>
      </c>
      <c r="N91" s="581">
        <f t="shared" si="17"/>
        <v>0.33333333333333331</v>
      </c>
      <c r="O91" s="581">
        <f t="shared" si="17"/>
        <v>0.33333333333333331</v>
      </c>
      <c r="P91" s="581">
        <f t="shared" si="17"/>
        <v>0.33333333333333331</v>
      </c>
      <c r="Q91" s="581">
        <f t="shared" si="16"/>
        <v>0.33329999999999999</v>
      </c>
      <c r="R91" s="540"/>
    </row>
    <row r="92" spans="1:18" ht="15" customHeight="1">
      <c r="A92" s="510"/>
      <c r="B92" s="610"/>
      <c r="C92" s="598" t="s">
        <v>212</v>
      </c>
      <c r="D92" s="616"/>
      <c r="E92" s="616"/>
      <c r="F92" s="616"/>
      <c r="H92" s="617">
        <v>2820968</v>
      </c>
      <c r="I92" s="617">
        <f t="shared" si="17"/>
        <v>2820968</v>
      </c>
      <c r="J92" s="617">
        <f t="shared" si="17"/>
        <v>2820968</v>
      </c>
      <c r="K92" s="617">
        <f t="shared" si="15"/>
        <v>2820968</v>
      </c>
      <c r="L92" s="617">
        <f t="shared" si="17"/>
        <v>2820968</v>
      </c>
      <c r="M92" s="617">
        <f t="shared" si="17"/>
        <v>2820968</v>
      </c>
      <c r="N92" s="617">
        <f t="shared" si="17"/>
        <v>2820968</v>
      </c>
      <c r="O92" s="617">
        <f t="shared" si="17"/>
        <v>2820968</v>
      </c>
      <c r="P92" s="617">
        <f t="shared" si="17"/>
        <v>2820968</v>
      </c>
      <c r="Q92" s="617">
        <f t="shared" si="16"/>
        <v>2820968</v>
      </c>
      <c r="R92" s="540"/>
    </row>
    <row r="93" spans="1:18" ht="15" customHeight="1">
      <c r="A93" s="510"/>
      <c r="B93" s="610"/>
      <c r="C93" s="598" t="s">
        <v>213</v>
      </c>
      <c r="D93" s="616"/>
      <c r="E93" s="616"/>
      <c r="F93" s="616"/>
      <c r="H93" s="617">
        <v>1303632</v>
      </c>
      <c r="I93" s="617">
        <f t="shared" si="17"/>
        <v>1303632</v>
      </c>
      <c r="J93" s="617">
        <f t="shared" si="17"/>
        <v>1303632</v>
      </c>
      <c r="K93" s="617">
        <f t="shared" si="15"/>
        <v>1303632</v>
      </c>
      <c r="L93" s="617">
        <f t="shared" si="17"/>
        <v>1303632</v>
      </c>
      <c r="M93" s="617">
        <f t="shared" si="17"/>
        <v>1303632</v>
      </c>
      <c r="N93" s="617">
        <f t="shared" si="17"/>
        <v>1303632</v>
      </c>
      <c r="O93" s="617">
        <f t="shared" si="17"/>
        <v>1303632</v>
      </c>
      <c r="P93" s="617">
        <f t="shared" si="17"/>
        <v>1303632</v>
      </c>
      <c r="Q93" s="617">
        <f t="shared" si="16"/>
        <v>1303632</v>
      </c>
      <c r="R93" s="540"/>
    </row>
    <row r="94" spans="1:18" ht="15" customHeight="1">
      <c r="A94" s="510"/>
      <c r="B94" s="610"/>
      <c r="C94" s="598" t="s">
        <v>214</v>
      </c>
      <c r="D94" s="616"/>
      <c r="E94" s="616"/>
      <c r="F94" s="616"/>
      <c r="H94" s="617">
        <v>52313</v>
      </c>
      <c r="I94" s="617">
        <f t="shared" si="17"/>
        <v>52313</v>
      </c>
      <c r="J94" s="617">
        <f t="shared" si="17"/>
        <v>52313</v>
      </c>
      <c r="K94" s="617">
        <f t="shared" si="15"/>
        <v>52313</v>
      </c>
      <c r="L94" s="617">
        <f t="shared" si="17"/>
        <v>52313</v>
      </c>
      <c r="M94" s="617">
        <f t="shared" si="17"/>
        <v>52313</v>
      </c>
      <c r="N94" s="617">
        <f t="shared" si="17"/>
        <v>52313</v>
      </c>
      <c r="O94" s="617">
        <f t="shared" si="17"/>
        <v>52313</v>
      </c>
      <c r="P94" s="617">
        <f t="shared" si="17"/>
        <v>52313</v>
      </c>
      <c r="Q94" s="617">
        <f t="shared" si="16"/>
        <v>52313</v>
      </c>
      <c r="R94" s="540"/>
    </row>
    <row r="95" spans="1:18" ht="15" customHeight="1">
      <c r="A95" s="510"/>
      <c r="B95" s="610"/>
      <c r="C95" s="598" t="s">
        <v>215</v>
      </c>
      <c r="D95" s="611"/>
      <c r="E95" s="611"/>
      <c r="F95" s="611"/>
      <c r="H95" s="581">
        <f>H94/H93</f>
        <v>4.012865593971305E-2</v>
      </c>
      <c r="I95" s="581">
        <f t="shared" si="17"/>
        <v>4.012865593971305E-2</v>
      </c>
      <c r="J95" s="581">
        <f t="shared" si="17"/>
        <v>4.012865593971305E-2</v>
      </c>
      <c r="K95" s="581">
        <f t="shared" si="15"/>
        <v>4.012865593971305E-2</v>
      </c>
      <c r="L95" s="581">
        <f t="shared" si="17"/>
        <v>4.012865593971305E-2</v>
      </c>
      <c r="M95" s="581">
        <f t="shared" si="17"/>
        <v>4.012865593971305E-2</v>
      </c>
      <c r="N95" s="581">
        <f t="shared" si="17"/>
        <v>4.012865593971305E-2</v>
      </c>
      <c r="O95" s="581">
        <f t="shared" si="17"/>
        <v>4.012865593971305E-2</v>
      </c>
      <c r="P95" s="581">
        <f t="shared" si="17"/>
        <v>4.012865593971305E-2</v>
      </c>
      <c r="Q95" s="581">
        <f t="shared" si="16"/>
        <v>4.0099999999999997E-2</v>
      </c>
      <c r="R95" s="540"/>
    </row>
    <row r="96" spans="1:18" ht="15" customHeight="1">
      <c r="A96" s="510"/>
      <c r="B96" s="610"/>
      <c r="C96" s="598" t="s">
        <v>216</v>
      </c>
      <c r="D96" s="599"/>
      <c r="E96" s="599"/>
      <c r="F96" s="599"/>
      <c r="H96" s="600">
        <f>H93/H92</f>
        <v>0.46212222187561147</v>
      </c>
      <c r="I96" s="600">
        <f t="shared" si="17"/>
        <v>0.46212222187561147</v>
      </c>
      <c r="J96" s="600">
        <f t="shared" si="17"/>
        <v>0.46212222187561147</v>
      </c>
      <c r="K96" s="600">
        <f t="shared" si="15"/>
        <v>0.46212222187561147</v>
      </c>
      <c r="L96" s="600">
        <f t="shared" si="17"/>
        <v>0.46212222187561147</v>
      </c>
      <c r="M96" s="600">
        <f t="shared" si="17"/>
        <v>0.46212222187561147</v>
      </c>
      <c r="N96" s="600">
        <f t="shared" si="17"/>
        <v>0.46212222187561147</v>
      </c>
      <c r="O96" s="600">
        <f t="shared" si="17"/>
        <v>0.46212222187561147</v>
      </c>
      <c r="P96" s="600">
        <f t="shared" si="17"/>
        <v>0.46212222187561147</v>
      </c>
      <c r="Q96" s="600">
        <f t="shared" si="16"/>
        <v>0.46210000000000001</v>
      </c>
      <c r="R96" s="540"/>
    </row>
    <row r="97" spans="1:18" ht="15" customHeight="1">
      <c r="A97" s="510"/>
      <c r="B97" s="610"/>
      <c r="C97" s="598" t="s">
        <v>218</v>
      </c>
      <c r="D97" s="611"/>
      <c r="E97" s="611"/>
      <c r="F97" s="557" t="s">
        <v>621</v>
      </c>
      <c r="H97" s="581">
        <f>H91*H95*H96</f>
        <v>6.181447881247382E-3</v>
      </c>
      <c r="I97" s="581">
        <f t="shared" si="17"/>
        <v>6.181447881247382E-3</v>
      </c>
      <c r="J97" s="581">
        <f t="shared" si="17"/>
        <v>6.181447881247382E-3</v>
      </c>
      <c r="K97" s="581">
        <f t="shared" si="15"/>
        <v>6.181447881247382E-3</v>
      </c>
      <c r="L97" s="581">
        <f t="shared" si="17"/>
        <v>6.181447881247382E-3</v>
      </c>
      <c r="M97" s="581">
        <f t="shared" si="17"/>
        <v>6.181447881247382E-3</v>
      </c>
      <c r="N97" s="581">
        <f t="shared" si="17"/>
        <v>6.181447881247382E-3</v>
      </c>
      <c r="O97" s="581">
        <f t="shared" si="17"/>
        <v>6.181447881247382E-3</v>
      </c>
      <c r="P97" s="581">
        <f t="shared" si="17"/>
        <v>6.181447881247382E-3</v>
      </c>
      <c r="Q97" s="581">
        <f t="shared" si="16"/>
        <v>6.1999999999999998E-3</v>
      </c>
      <c r="R97" s="540"/>
    </row>
    <row r="98" spans="1:18" ht="3.75" customHeight="1">
      <c r="B98" s="618"/>
      <c r="C98" s="619"/>
      <c r="D98" s="620"/>
      <c r="E98" s="620"/>
      <c r="F98" s="620"/>
      <c r="H98" s="605"/>
      <c r="I98" s="605"/>
      <c r="J98" s="605"/>
      <c r="K98" s="605"/>
      <c r="L98" s="605"/>
      <c r="M98" s="605"/>
      <c r="N98" s="605"/>
      <c r="O98" s="605"/>
      <c r="P98" s="605"/>
      <c r="Q98" s="605"/>
    </row>
    <row r="99" spans="1:18" s="578" customFormat="1" ht="15" customHeight="1">
      <c r="B99" s="572"/>
      <c r="C99" s="573" t="s">
        <v>172</v>
      </c>
      <c r="D99" s="573"/>
      <c r="E99" s="573"/>
      <c r="F99" s="574"/>
      <c r="G99" s="3"/>
      <c r="H99" s="572"/>
      <c r="I99" s="575"/>
      <c r="J99" s="575"/>
      <c r="K99" s="575"/>
      <c r="L99" s="575"/>
      <c r="M99" s="575"/>
      <c r="N99" s="575"/>
      <c r="O99" s="575"/>
      <c r="P99" s="575"/>
      <c r="Q99" s="576"/>
    </row>
    <row r="100" spans="1:18" ht="15" customHeight="1">
      <c r="A100" s="510"/>
      <c r="B100" s="518" t="s">
        <v>2</v>
      </c>
      <c r="C100" s="519" t="s">
        <v>35</v>
      </c>
      <c r="D100" s="556" t="s">
        <v>463</v>
      </c>
      <c r="E100" s="557" t="s">
        <v>99</v>
      </c>
      <c r="F100" s="557" t="s">
        <v>279</v>
      </c>
      <c r="H100" s="581">
        <f>((1/12)/12)+((1/12)/12)+((1/3)*((1/12)/12))</f>
        <v>1.6203703703703703E-2</v>
      </c>
      <c r="I100" s="581">
        <f>H100</f>
        <v>1.6203703703703703E-2</v>
      </c>
      <c r="J100" s="581">
        <f>I100</f>
        <v>1.6203703703703703E-2</v>
      </c>
      <c r="K100" s="581">
        <f t="shared" ref="K100:K108" si="18">I100</f>
        <v>1.6203703703703703E-2</v>
      </c>
      <c r="L100" s="581">
        <f>K100</f>
        <v>1.6203703703703703E-2</v>
      </c>
      <c r="M100" s="581">
        <f>L100</f>
        <v>1.6203703703703703E-2</v>
      </c>
      <c r="N100" s="581">
        <f>M100</f>
        <v>1.6203703703703703E-2</v>
      </c>
      <c r="O100" s="581">
        <f>N100</f>
        <v>1.6203703703703703E-2</v>
      </c>
      <c r="P100" s="581">
        <f>O100</f>
        <v>1.6203703703703703E-2</v>
      </c>
      <c r="Q100" s="581">
        <f t="shared" ref="Q100:Q108" si="19">IFERROR(ROUND(IF($Q$17="Simples",
INDEX(H100:P100,MATCH($Q$18,$H$18:$P$18,1)),
INDEX(H100:P100,MATCH($Q$17,$H$15:$P$15,0))
),4),"")</f>
        <v>1.6199999999999999E-2</v>
      </c>
      <c r="R100" s="540"/>
    </row>
    <row r="101" spans="1:18" ht="15" customHeight="1">
      <c r="A101" s="510"/>
      <c r="B101" s="518" t="s">
        <v>1</v>
      </c>
      <c r="C101" s="519" t="s">
        <v>187</v>
      </c>
      <c r="D101" s="556" t="s">
        <v>167</v>
      </c>
      <c r="E101" s="557" t="s">
        <v>536</v>
      </c>
      <c r="F101" s="557" t="s">
        <v>280</v>
      </c>
      <c r="H101" s="581">
        <f>(H84/$D$5)/$D$10</f>
        <v>1.3888888888888888E-2</v>
      </c>
      <c r="I101" s="581">
        <f t="shared" ref="I101:P108" si="20">H101</f>
        <v>1.3888888888888888E-2</v>
      </c>
      <c r="J101" s="581">
        <f t="shared" si="20"/>
        <v>1.3888888888888888E-2</v>
      </c>
      <c r="K101" s="581">
        <f t="shared" si="18"/>
        <v>1.3888888888888888E-2</v>
      </c>
      <c r="L101" s="581">
        <f t="shared" si="20"/>
        <v>1.3888888888888888E-2</v>
      </c>
      <c r="M101" s="581">
        <f t="shared" si="20"/>
        <v>1.3888888888888888E-2</v>
      </c>
      <c r="N101" s="581">
        <f t="shared" si="20"/>
        <v>1.3888888888888888E-2</v>
      </c>
      <c r="O101" s="581">
        <f t="shared" si="20"/>
        <v>1.3888888888888888E-2</v>
      </c>
      <c r="P101" s="581">
        <f t="shared" si="20"/>
        <v>1.3888888888888888E-2</v>
      </c>
      <c r="Q101" s="581">
        <f t="shared" si="19"/>
        <v>1.3899999999999999E-2</v>
      </c>
      <c r="R101" s="540"/>
    </row>
    <row r="102" spans="1:18" ht="15" customHeight="1">
      <c r="A102" s="510"/>
      <c r="B102" s="518" t="s">
        <v>0</v>
      </c>
      <c r="C102" s="519" t="s">
        <v>36</v>
      </c>
      <c r="D102" s="556" t="s">
        <v>168</v>
      </c>
      <c r="E102" s="557" t="s">
        <v>100</v>
      </c>
      <c r="F102" s="557" t="s">
        <v>281</v>
      </c>
      <c r="H102" s="581">
        <f>((H85/$D$5)/$D$10*H86)</f>
        <v>2.0833333333333332E-4</v>
      </c>
      <c r="I102" s="581">
        <f t="shared" si="20"/>
        <v>2.0833333333333332E-4</v>
      </c>
      <c r="J102" s="581">
        <f t="shared" si="20"/>
        <v>2.0833333333333332E-4</v>
      </c>
      <c r="K102" s="581">
        <f t="shared" si="18"/>
        <v>2.0833333333333332E-4</v>
      </c>
      <c r="L102" s="581">
        <f t="shared" si="20"/>
        <v>2.0833333333333332E-4</v>
      </c>
      <c r="M102" s="581">
        <f t="shared" si="20"/>
        <v>2.0833333333333332E-4</v>
      </c>
      <c r="N102" s="581">
        <f t="shared" si="20"/>
        <v>2.0833333333333332E-4</v>
      </c>
      <c r="O102" s="581">
        <f t="shared" si="20"/>
        <v>2.0833333333333332E-4</v>
      </c>
      <c r="P102" s="581">
        <f t="shared" si="20"/>
        <v>2.0833333333333332E-4</v>
      </c>
      <c r="Q102" s="581">
        <f t="shared" si="19"/>
        <v>2.0000000000000001E-4</v>
      </c>
      <c r="R102" s="540"/>
    </row>
    <row r="103" spans="1:18" ht="15" customHeight="1">
      <c r="A103" s="510"/>
      <c r="B103" s="518" t="s">
        <v>3</v>
      </c>
      <c r="C103" s="519" t="s">
        <v>37</v>
      </c>
      <c r="D103" s="556" t="s">
        <v>169</v>
      </c>
      <c r="E103" s="557" t="s">
        <v>101</v>
      </c>
      <c r="F103" s="557" t="s">
        <v>537</v>
      </c>
      <c r="H103" s="581">
        <f>H87/$D$5/$D$10</f>
        <v>8.2222222222222228E-3</v>
      </c>
      <c r="I103" s="581">
        <f t="shared" si="20"/>
        <v>8.2222222222222228E-3</v>
      </c>
      <c r="J103" s="581">
        <f t="shared" si="20"/>
        <v>8.2222222222222228E-3</v>
      </c>
      <c r="K103" s="581">
        <f t="shared" si="18"/>
        <v>8.2222222222222228E-3</v>
      </c>
      <c r="L103" s="581">
        <f t="shared" si="20"/>
        <v>8.2222222222222228E-3</v>
      </c>
      <c r="M103" s="581">
        <f t="shared" si="20"/>
        <v>8.2222222222222228E-3</v>
      </c>
      <c r="N103" s="581">
        <f t="shared" si="20"/>
        <v>8.2222222222222228E-3</v>
      </c>
      <c r="O103" s="581">
        <f t="shared" si="20"/>
        <v>8.2222222222222228E-3</v>
      </c>
      <c r="P103" s="581">
        <f t="shared" si="20"/>
        <v>8.2222222222222228E-3</v>
      </c>
      <c r="Q103" s="581">
        <f t="shared" si="19"/>
        <v>8.2000000000000007E-3</v>
      </c>
      <c r="R103" s="540"/>
    </row>
    <row r="104" spans="1:18" ht="15" customHeight="1">
      <c r="A104" s="510"/>
      <c r="B104" s="518" t="s">
        <v>7</v>
      </c>
      <c r="C104" s="519" t="s">
        <v>188</v>
      </c>
      <c r="D104" s="556" t="s">
        <v>170</v>
      </c>
      <c r="E104" s="557" t="s">
        <v>538</v>
      </c>
      <c r="F104" s="557" t="s">
        <v>283</v>
      </c>
      <c r="H104" s="581">
        <f>(H89/$D$5/$D$10)*H88</f>
        <v>3.2499999999999999E-4</v>
      </c>
      <c r="I104" s="581">
        <f t="shared" si="20"/>
        <v>3.2499999999999999E-4</v>
      </c>
      <c r="J104" s="581">
        <f t="shared" si="20"/>
        <v>3.2499999999999999E-4</v>
      </c>
      <c r="K104" s="581">
        <f t="shared" si="18"/>
        <v>3.2499999999999999E-4</v>
      </c>
      <c r="L104" s="581">
        <f t="shared" si="20"/>
        <v>3.2499999999999999E-4</v>
      </c>
      <c r="M104" s="581">
        <f t="shared" si="20"/>
        <v>3.2499999999999999E-4</v>
      </c>
      <c r="N104" s="581">
        <f t="shared" si="20"/>
        <v>3.2499999999999999E-4</v>
      </c>
      <c r="O104" s="581">
        <f t="shared" si="20"/>
        <v>3.2499999999999999E-4</v>
      </c>
      <c r="P104" s="581">
        <f t="shared" si="20"/>
        <v>3.2499999999999999E-4</v>
      </c>
      <c r="Q104" s="581">
        <f t="shared" si="19"/>
        <v>2.9999999999999997E-4</v>
      </c>
      <c r="R104" s="540"/>
    </row>
    <row r="105" spans="1:18" ht="15" customHeight="1">
      <c r="A105" s="510"/>
      <c r="B105" s="518" t="s">
        <v>6</v>
      </c>
      <c r="C105" s="519" t="s">
        <v>38</v>
      </c>
      <c r="D105" s="556" t="s">
        <v>171</v>
      </c>
      <c r="E105" s="557" t="s">
        <v>539</v>
      </c>
      <c r="F105" s="557" t="s">
        <v>621</v>
      </c>
      <c r="H105" s="581">
        <f>((1/12)+((1/3)*(1/12)))*H97</f>
        <v>6.868275423608202E-4</v>
      </c>
      <c r="I105" s="581">
        <f t="shared" si="20"/>
        <v>6.868275423608202E-4</v>
      </c>
      <c r="J105" s="581">
        <f t="shared" si="20"/>
        <v>6.868275423608202E-4</v>
      </c>
      <c r="K105" s="581">
        <f t="shared" si="18"/>
        <v>6.868275423608202E-4</v>
      </c>
      <c r="L105" s="581">
        <f t="shared" si="20"/>
        <v>6.868275423608202E-4</v>
      </c>
      <c r="M105" s="581">
        <f t="shared" si="20"/>
        <v>6.868275423608202E-4</v>
      </c>
      <c r="N105" s="581">
        <f t="shared" si="20"/>
        <v>6.868275423608202E-4</v>
      </c>
      <c r="O105" s="581">
        <f t="shared" si="20"/>
        <v>6.868275423608202E-4</v>
      </c>
      <c r="P105" s="581">
        <f t="shared" si="20"/>
        <v>6.868275423608202E-4</v>
      </c>
      <c r="Q105" s="581">
        <f t="shared" si="19"/>
        <v>6.9999999999999999E-4</v>
      </c>
      <c r="R105" s="540"/>
    </row>
    <row r="106" spans="1:18" ht="15" customHeight="1">
      <c r="A106" s="510"/>
      <c r="B106" s="518" t="s">
        <v>5</v>
      </c>
      <c r="C106" s="519" t="s">
        <v>92</v>
      </c>
      <c r="D106" s="556" t="s">
        <v>540</v>
      </c>
      <c r="E106" s="557"/>
      <c r="F106" s="557" t="s">
        <v>541</v>
      </c>
      <c r="H106" s="621">
        <f>SUM(H100:H105)*H51</f>
        <v>1.4548871054107302E-2</v>
      </c>
      <c r="I106" s="621">
        <f t="shared" ref="I106:P106" si="21">SUM(I100:I105)*I51</f>
        <v>1.4548871054107302E-2</v>
      </c>
      <c r="J106" s="621">
        <f t="shared" si="21"/>
        <v>1.2255842464057781E-2</v>
      </c>
      <c r="K106" s="621">
        <f t="shared" si="21"/>
        <v>1.2255842464057781E-2</v>
      </c>
      <c r="L106" s="621">
        <f t="shared" si="21"/>
        <v>1.2255842464057781E-2</v>
      </c>
      <c r="M106" s="621">
        <f t="shared" si="21"/>
        <v>1.2255842464057781E-2</v>
      </c>
      <c r="N106" s="621">
        <f t="shared" si="21"/>
        <v>1.2255842464057781E-2</v>
      </c>
      <c r="O106" s="621">
        <f t="shared" si="21"/>
        <v>1.2255842464057781E-2</v>
      </c>
      <c r="P106" s="621">
        <f t="shared" si="21"/>
        <v>1.2255842464057781E-2</v>
      </c>
      <c r="Q106" s="621">
        <f t="shared" si="19"/>
        <v>1.4500000000000001E-2</v>
      </c>
      <c r="R106" s="540"/>
    </row>
    <row r="107" spans="1:18" ht="15" customHeight="1">
      <c r="A107" s="510"/>
      <c r="B107" s="518" t="s">
        <v>4</v>
      </c>
      <c r="C107" s="519" t="s">
        <v>89</v>
      </c>
      <c r="D107" s="556" t="s">
        <v>284</v>
      </c>
      <c r="E107" s="557"/>
      <c r="F107" s="557" t="s">
        <v>543</v>
      </c>
      <c r="H107" s="622">
        <v>37.96</v>
      </c>
      <c r="I107" s="622">
        <f t="shared" si="20"/>
        <v>37.96</v>
      </c>
      <c r="J107" s="622">
        <f t="shared" si="20"/>
        <v>37.96</v>
      </c>
      <c r="K107" s="622">
        <f t="shared" si="18"/>
        <v>37.96</v>
      </c>
      <c r="L107" s="622">
        <f t="shared" si="20"/>
        <v>37.96</v>
      </c>
      <c r="M107" s="622">
        <f t="shared" si="20"/>
        <v>37.96</v>
      </c>
      <c r="N107" s="622">
        <f t="shared" si="20"/>
        <v>37.96</v>
      </c>
      <c r="O107" s="622">
        <f t="shared" si="20"/>
        <v>37.96</v>
      </c>
      <c r="P107" s="622">
        <f t="shared" si="20"/>
        <v>37.96</v>
      </c>
      <c r="Q107" s="623">
        <f t="shared" si="19"/>
        <v>37.96</v>
      </c>
      <c r="R107" s="540"/>
    </row>
    <row r="108" spans="1:18" ht="15" customHeight="1">
      <c r="A108" s="510"/>
      <c r="B108" s="518" t="s">
        <v>113</v>
      </c>
      <c r="C108" s="519" t="s">
        <v>39</v>
      </c>
      <c r="D108" s="556" t="s">
        <v>542</v>
      </c>
      <c r="E108" s="557"/>
      <c r="F108" s="557" t="s">
        <v>543</v>
      </c>
      <c r="H108" s="622">
        <v>37.96</v>
      </c>
      <c r="I108" s="622">
        <f t="shared" si="20"/>
        <v>37.96</v>
      </c>
      <c r="J108" s="622">
        <f t="shared" si="20"/>
        <v>37.96</v>
      </c>
      <c r="K108" s="622">
        <f t="shared" si="18"/>
        <v>37.96</v>
      </c>
      <c r="L108" s="622">
        <f t="shared" si="20"/>
        <v>37.96</v>
      </c>
      <c r="M108" s="622">
        <f t="shared" si="20"/>
        <v>37.96</v>
      </c>
      <c r="N108" s="622">
        <f t="shared" si="20"/>
        <v>37.96</v>
      </c>
      <c r="O108" s="622">
        <f t="shared" si="20"/>
        <v>37.96</v>
      </c>
      <c r="P108" s="622">
        <f t="shared" si="20"/>
        <v>37.96</v>
      </c>
      <c r="Q108" s="623">
        <f t="shared" si="19"/>
        <v>37.96</v>
      </c>
      <c r="R108" s="540"/>
    </row>
    <row r="109" spans="1:18" customFormat="1" ht="3.75" customHeight="1">
      <c r="H109" s="12"/>
      <c r="I109" s="12"/>
      <c r="J109" s="12"/>
      <c r="K109" s="12"/>
      <c r="L109" s="12"/>
      <c r="M109" s="12"/>
      <c r="N109" s="12"/>
      <c r="O109" s="12"/>
      <c r="P109" s="12"/>
      <c r="Q109" s="12"/>
    </row>
    <row r="110" spans="1:18" s="578" customFormat="1" ht="15" customHeight="1">
      <c r="B110" s="572"/>
      <c r="C110" s="573" t="s">
        <v>129</v>
      </c>
      <c r="D110" s="573"/>
      <c r="E110" s="573"/>
      <c r="F110" s="574"/>
      <c r="G110" s="3"/>
      <c r="H110" s="572"/>
      <c r="I110" s="575"/>
      <c r="J110" s="575"/>
      <c r="K110" s="575"/>
      <c r="L110" s="575"/>
      <c r="M110" s="575"/>
      <c r="N110" s="575"/>
      <c r="O110" s="575"/>
      <c r="P110" s="575"/>
      <c r="Q110" s="576"/>
    </row>
    <row r="111" spans="1:18" ht="15" customHeight="1">
      <c r="B111" s="838" t="s">
        <v>2</v>
      </c>
      <c r="C111" s="555" t="s">
        <v>102</v>
      </c>
      <c r="D111" s="556" t="s">
        <v>111</v>
      </c>
      <c r="E111" s="557" t="s">
        <v>104</v>
      </c>
      <c r="F111" s="557" t="s">
        <v>544</v>
      </c>
      <c r="H111" s="622"/>
      <c r="I111" s="622"/>
      <c r="J111" s="622"/>
      <c r="K111" s="622"/>
      <c r="L111" s="622"/>
      <c r="M111" s="622"/>
      <c r="N111" s="622"/>
      <c r="O111" s="622"/>
      <c r="P111" s="622"/>
      <c r="Q111" s="623"/>
      <c r="R111" s="540"/>
    </row>
    <row r="112" spans="1:18" ht="15" customHeight="1">
      <c r="B112" s="839"/>
      <c r="C112" s="555" t="s">
        <v>103</v>
      </c>
      <c r="D112" s="556" t="s">
        <v>112</v>
      </c>
      <c r="E112" s="557" t="s">
        <v>104</v>
      </c>
      <c r="F112" s="557" t="s">
        <v>545</v>
      </c>
      <c r="H112" s="622"/>
      <c r="I112" s="622"/>
      <c r="J112" s="622"/>
      <c r="K112" s="622"/>
      <c r="L112" s="622"/>
      <c r="M112" s="622"/>
      <c r="N112" s="622"/>
      <c r="O112" s="622"/>
      <c r="P112" s="622"/>
      <c r="Q112" s="623"/>
      <c r="R112" s="540"/>
    </row>
    <row r="113" spans="1:18" ht="15" customHeight="1">
      <c r="B113" s="624"/>
      <c r="C113" s="625"/>
      <c r="D113" s="626"/>
      <c r="E113" s="627"/>
      <c r="F113" s="627"/>
      <c r="H113" s="12"/>
      <c r="I113" s="12"/>
      <c r="J113" s="12"/>
      <c r="K113" s="12"/>
      <c r="L113" s="12"/>
      <c r="M113" s="12"/>
      <c r="N113" s="12"/>
      <c r="O113" s="12"/>
      <c r="P113" s="12"/>
      <c r="Q113" s="12"/>
      <c r="R113"/>
    </row>
    <row r="114" spans="1:18" s="3" customFormat="1" ht="15" customHeight="1">
      <c r="B114" s="511"/>
      <c r="C114" s="551" t="s">
        <v>326</v>
      </c>
      <c r="D114" s="551"/>
      <c r="E114" s="551"/>
      <c r="F114" s="551"/>
      <c r="G114"/>
      <c r="H114" s="551"/>
      <c r="I114" s="551"/>
      <c r="J114" s="551"/>
      <c r="K114" s="551"/>
      <c r="L114" s="551"/>
      <c r="M114" s="551"/>
      <c r="N114" s="551"/>
      <c r="O114" s="551"/>
      <c r="P114" s="551"/>
      <c r="Q114" s="551"/>
    </row>
    <row r="115" spans="1:18" ht="5.25" customHeight="1">
      <c r="B115"/>
      <c r="C115"/>
      <c r="D115"/>
      <c r="E115"/>
      <c r="F115"/>
      <c r="G115"/>
      <c r="H115"/>
      <c r="I115"/>
      <c r="J115"/>
      <c r="K115"/>
      <c r="L115"/>
      <c r="M115"/>
      <c r="N115"/>
      <c r="O115"/>
      <c r="P115"/>
      <c r="Q115"/>
      <c r="R115" s="540"/>
    </row>
    <row r="116" spans="1:18" ht="15" customHeight="1">
      <c r="A116" s="510"/>
      <c r="B116" s="572"/>
      <c r="C116" s="573" t="s">
        <v>327</v>
      </c>
      <c r="D116" s="573"/>
      <c r="E116" s="573"/>
      <c r="F116" s="574"/>
      <c r="G116"/>
      <c r="H116" s="628"/>
      <c r="I116" s="573"/>
      <c r="J116" s="573"/>
      <c r="K116" s="573"/>
      <c r="L116" s="573"/>
      <c r="M116" s="573"/>
      <c r="N116" s="573"/>
      <c r="O116" s="573"/>
      <c r="P116" s="573"/>
      <c r="Q116" s="574"/>
      <c r="R116" s="540"/>
    </row>
    <row r="117" spans="1:18" ht="15" customHeight="1">
      <c r="B117" s="629" t="s">
        <v>2</v>
      </c>
      <c r="C117" s="705" t="s">
        <v>224</v>
      </c>
      <c r="D117" s="706"/>
      <c r="E117" s="706" t="s">
        <v>546</v>
      </c>
      <c r="F117" s="706" t="s">
        <v>547</v>
      </c>
      <c r="G117"/>
      <c r="H117" s="630"/>
      <c r="I117" s="630"/>
      <c r="J117" s="630"/>
      <c r="K117" s="630"/>
      <c r="L117" s="630"/>
      <c r="M117" s="630"/>
      <c r="N117" s="630"/>
      <c r="O117" s="630"/>
      <c r="P117" s="630"/>
      <c r="Q117" s="630"/>
      <c r="R117" s="540"/>
    </row>
    <row r="118" spans="1:18" ht="15" customHeight="1">
      <c r="B118" s="629" t="s">
        <v>1</v>
      </c>
      <c r="C118" s="705" t="s">
        <v>225</v>
      </c>
      <c r="D118" s="706"/>
      <c r="E118" s="630"/>
      <c r="F118" s="707" t="s">
        <v>548</v>
      </c>
      <c r="G118"/>
      <c r="H118" s="630"/>
      <c r="I118" s="630"/>
      <c r="J118" s="630"/>
      <c r="K118" s="630"/>
      <c r="L118" s="630"/>
      <c r="M118" s="630"/>
      <c r="N118" s="630"/>
      <c r="O118" s="630"/>
      <c r="P118" s="630"/>
      <c r="Q118" s="630"/>
      <c r="R118" s="540"/>
    </row>
    <row r="119" spans="1:18" ht="5.25" customHeight="1">
      <c r="B119"/>
      <c r="C119"/>
      <c r="D119"/>
      <c r="E119"/>
      <c r="F119"/>
      <c r="G119"/>
      <c r="H119"/>
      <c r="I119"/>
      <c r="J119"/>
      <c r="K119"/>
      <c r="L119"/>
      <c r="M119"/>
      <c r="N119"/>
      <c r="O119"/>
      <c r="P119"/>
      <c r="Q119"/>
      <c r="R119" s="540"/>
    </row>
    <row r="120" spans="1:18" ht="5.25" customHeight="1">
      <c r="B120" s="296"/>
      <c r="C120" s="296"/>
      <c r="D120" s="296"/>
      <c r="E120" s="296"/>
      <c r="F120" s="296"/>
      <c r="G120"/>
      <c r="H120" s="296"/>
      <c r="I120" s="296"/>
      <c r="J120" s="296"/>
      <c r="K120" s="296"/>
      <c r="L120" s="296"/>
      <c r="M120" s="296"/>
      <c r="N120" s="296"/>
      <c r="O120" s="296"/>
      <c r="P120" s="296"/>
      <c r="Q120" s="296"/>
      <c r="R120" s="540"/>
    </row>
    <row r="121" spans="1:18" ht="15" customHeight="1">
      <c r="A121" s="510"/>
      <c r="B121" s="572"/>
      <c r="C121" s="573" t="s">
        <v>328</v>
      </c>
      <c r="D121" s="573"/>
      <c r="E121" s="573"/>
      <c r="F121" s="574"/>
      <c r="G121"/>
      <c r="H121" s="628"/>
      <c r="I121" s="573"/>
      <c r="J121" s="573"/>
      <c r="K121" s="573"/>
      <c r="L121" s="573"/>
      <c r="M121" s="573"/>
      <c r="N121" s="573"/>
      <c r="O121" s="573"/>
      <c r="P121" s="573"/>
      <c r="Q121" s="574"/>
      <c r="R121" s="540"/>
    </row>
    <row r="122" spans="1:18" ht="15" customHeight="1">
      <c r="B122" s="631" t="s">
        <v>332</v>
      </c>
      <c r="C122" s="708" t="s">
        <v>238</v>
      </c>
      <c r="D122" s="519"/>
      <c r="E122" s="632"/>
      <c r="F122" s="519" t="s">
        <v>547</v>
      </c>
      <c r="G122"/>
      <c r="H122" s="632"/>
      <c r="I122" s="632"/>
      <c r="J122" s="632"/>
      <c r="K122" s="632"/>
      <c r="L122" s="632"/>
      <c r="M122" s="632"/>
      <c r="N122" s="632"/>
      <c r="O122" s="632"/>
      <c r="P122" s="632"/>
      <c r="Q122" s="632"/>
      <c r="R122" s="540"/>
    </row>
    <row r="123" spans="1:18" ht="15" customHeight="1">
      <c r="B123" s="633" t="s">
        <v>333</v>
      </c>
      <c r="C123" s="709" t="s">
        <v>237</v>
      </c>
      <c r="D123" s="710"/>
      <c r="E123" s="634"/>
      <c r="F123" s="710" t="s">
        <v>547</v>
      </c>
      <c r="G123"/>
      <c r="H123" s="634"/>
      <c r="I123" s="634"/>
      <c r="J123" s="634"/>
      <c r="K123" s="634"/>
      <c r="L123" s="634"/>
      <c r="M123" s="634"/>
      <c r="N123" s="634"/>
      <c r="O123" s="634"/>
      <c r="P123" s="634"/>
      <c r="Q123" s="634"/>
      <c r="R123" s="540"/>
    </row>
    <row r="124" spans="1:18" ht="15" customHeight="1">
      <c r="B124" s="635" t="s">
        <v>334</v>
      </c>
      <c r="C124" s="711" t="s">
        <v>331</v>
      </c>
      <c r="D124" s="710"/>
      <c r="E124" s="634"/>
      <c r="F124" s="710" t="s">
        <v>547</v>
      </c>
      <c r="G124"/>
      <c r="H124" s="634"/>
      <c r="I124" s="634"/>
      <c r="J124" s="634"/>
      <c r="K124" s="634"/>
      <c r="L124" s="634"/>
      <c r="M124" s="634"/>
      <c r="N124" s="634"/>
      <c r="O124" s="634"/>
      <c r="P124" s="634"/>
      <c r="Q124" s="634"/>
      <c r="R124" s="540"/>
    </row>
    <row r="125" spans="1:18" ht="15" customHeight="1">
      <c r="B125" s="636" t="s">
        <v>335</v>
      </c>
      <c r="C125" s="712" t="s">
        <v>239</v>
      </c>
      <c r="D125" s="710"/>
      <c r="E125" s="634"/>
      <c r="F125" s="710" t="s">
        <v>547</v>
      </c>
      <c r="G125"/>
      <c r="H125" s="634"/>
      <c r="I125" s="634"/>
      <c r="J125" s="634"/>
      <c r="K125" s="634"/>
      <c r="L125" s="634"/>
      <c r="M125" s="634"/>
      <c r="N125" s="634"/>
      <c r="O125" s="634"/>
      <c r="P125" s="634"/>
      <c r="Q125" s="634"/>
      <c r="R125" s="540"/>
    </row>
    <row r="126" spans="1:18" ht="15" customHeight="1">
      <c r="B126" s="637" t="s">
        <v>336</v>
      </c>
      <c r="C126" s="713" t="s">
        <v>14</v>
      </c>
      <c r="D126" s="519"/>
      <c r="E126" s="632"/>
      <c r="F126" s="632"/>
      <c r="G126"/>
      <c r="H126" s="632"/>
      <c r="I126" s="632"/>
      <c r="J126" s="632"/>
      <c r="K126" s="632"/>
      <c r="L126" s="632"/>
      <c r="M126" s="632"/>
      <c r="N126" s="632"/>
      <c r="O126" s="632"/>
      <c r="P126" s="632"/>
      <c r="Q126" s="632"/>
      <c r="R126" s="540"/>
    </row>
    <row r="127" spans="1:18" ht="5.25" customHeight="1">
      <c r="B127" s="308"/>
      <c r="C127" s="39"/>
      <c r="D127" s="39"/>
      <c r="E127" s="39"/>
      <c r="F127" s="39"/>
      <c r="G127"/>
      <c r="H127" s="39"/>
      <c r="I127" s="39"/>
      <c r="J127" s="39"/>
      <c r="K127" s="39"/>
      <c r="L127" s="39"/>
      <c r="M127" s="39"/>
      <c r="N127" s="39"/>
      <c r="O127" s="39"/>
      <c r="P127" s="39"/>
      <c r="Q127" s="39"/>
      <c r="R127" s="540"/>
    </row>
    <row r="128" spans="1:18" ht="15" customHeight="1">
      <c r="A128" s="510"/>
      <c r="B128" s="572"/>
      <c r="C128" s="573" t="s">
        <v>329</v>
      </c>
      <c r="D128" s="573"/>
      <c r="E128" s="573"/>
      <c r="F128" s="574"/>
      <c r="G128"/>
      <c r="H128" s="628"/>
      <c r="I128" s="573"/>
      <c r="J128" s="573"/>
      <c r="K128" s="573"/>
      <c r="L128" s="573"/>
      <c r="M128" s="573"/>
      <c r="N128" s="573"/>
      <c r="O128" s="573"/>
      <c r="P128" s="573"/>
      <c r="Q128" s="574"/>
      <c r="R128" s="540"/>
    </row>
    <row r="129" spans="1:18" ht="15" customHeight="1">
      <c r="B129" s="638" t="s">
        <v>338</v>
      </c>
      <c r="C129" s="714" t="s">
        <v>13</v>
      </c>
      <c r="D129" s="519"/>
      <c r="E129" s="519" t="s">
        <v>549</v>
      </c>
      <c r="F129" s="519"/>
      <c r="G129"/>
      <c r="H129" s="632"/>
      <c r="I129" s="632"/>
      <c r="J129" s="632"/>
      <c r="K129" s="632"/>
      <c r="L129" s="632"/>
      <c r="M129" s="632"/>
      <c r="N129" s="632"/>
      <c r="O129" s="632"/>
      <c r="P129" s="632"/>
      <c r="Q129" s="632"/>
      <c r="R129" s="540"/>
    </row>
    <row r="130" spans="1:18" ht="15" customHeight="1">
      <c r="B130" s="638" t="s">
        <v>339</v>
      </c>
      <c r="C130" s="714" t="s">
        <v>12</v>
      </c>
      <c r="D130" s="519"/>
      <c r="E130" s="519" t="s">
        <v>550</v>
      </c>
      <c r="F130" s="519"/>
      <c r="G130"/>
      <c r="H130" s="632"/>
      <c r="I130" s="632"/>
      <c r="J130" s="632"/>
      <c r="K130" s="632"/>
      <c r="L130" s="632"/>
      <c r="M130" s="632"/>
      <c r="N130" s="632"/>
      <c r="O130" s="632"/>
      <c r="P130" s="632"/>
      <c r="Q130" s="632"/>
      <c r="R130" s="540"/>
    </row>
    <row r="131" spans="1:18" ht="15" customHeight="1">
      <c r="B131" s="639" t="s">
        <v>340</v>
      </c>
      <c r="C131" s="715" t="s">
        <v>11</v>
      </c>
      <c r="D131" s="519"/>
      <c r="E131" s="632"/>
      <c r="F131" s="632"/>
      <c r="G131"/>
      <c r="H131" s="632"/>
      <c r="I131" s="632"/>
      <c r="J131" s="632"/>
      <c r="K131" s="632"/>
      <c r="L131" s="632"/>
      <c r="M131" s="632"/>
      <c r="N131" s="632"/>
      <c r="O131" s="632"/>
      <c r="P131" s="632"/>
      <c r="Q131" s="632"/>
      <c r="R131" s="540"/>
    </row>
    <row r="132" spans="1:18" ht="15" customHeight="1">
      <c r="B132" s="638" t="s">
        <v>341</v>
      </c>
      <c r="C132" s="714" t="s">
        <v>10</v>
      </c>
      <c r="D132" s="519"/>
      <c r="E132" s="632"/>
      <c r="F132" s="632"/>
      <c r="G132"/>
      <c r="H132" s="632"/>
      <c r="I132" s="632"/>
      <c r="J132" s="632"/>
      <c r="K132" s="632"/>
      <c r="L132" s="632"/>
      <c r="M132" s="632"/>
      <c r="N132" s="632"/>
      <c r="O132" s="632"/>
      <c r="P132" s="632"/>
      <c r="Q132" s="632"/>
      <c r="R132" s="540"/>
    </row>
    <row r="133" spans="1:18" ht="15" customHeight="1">
      <c r="B133" s="640" t="s">
        <v>342</v>
      </c>
      <c r="C133" s="713" t="s">
        <v>9</v>
      </c>
      <c r="D133" s="519"/>
      <c r="E133" s="519" t="s">
        <v>551</v>
      </c>
      <c r="F133" s="519"/>
      <c r="G133"/>
      <c r="H133" s="632"/>
      <c r="I133" s="632"/>
      <c r="J133" s="632"/>
      <c r="K133" s="632"/>
      <c r="L133" s="632"/>
      <c r="M133" s="632"/>
      <c r="N133" s="632"/>
      <c r="O133" s="632"/>
      <c r="P133" s="632"/>
      <c r="Q133" s="632"/>
      <c r="R133" s="540"/>
    </row>
    <row r="134" spans="1:18" ht="5.25" customHeight="1">
      <c r="B134" s="308"/>
      <c r="C134" s="39"/>
      <c r="D134" s="39"/>
      <c r="E134" s="39"/>
      <c r="F134" s="39"/>
      <c r="G134"/>
      <c r="H134" s="39"/>
      <c r="I134" s="39"/>
      <c r="J134" s="39"/>
      <c r="K134" s="39"/>
      <c r="L134" s="39"/>
      <c r="M134" s="39"/>
      <c r="N134" s="39"/>
      <c r="O134" s="39"/>
      <c r="P134" s="39"/>
      <c r="Q134" s="39"/>
      <c r="R134" s="540"/>
    </row>
    <row r="135" spans="1:18" ht="15" customHeight="1">
      <c r="A135" s="510"/>
      <c r="B135" s="572"/>
      <c r="C135" s="573" t="s">
        <v>330</v>
      </c>
      <c r="D135" s="573"/>
      <c r="E135" s="573"/>
      <c r="F135" s="574"/>
      <c r="G135"/>
      <c r="H135" s="628"/>
      <c r="I135" s="573"/>
      <c r="J135" s="573"/>
      <c r="K135" s="573"/>
      <c r="L135" s="573"/>
      <c r="M135" s="573"/>
      <c r="N135" s="573"/>
      <c r="O135" s="573"/>
      <c r="P135" s="573"/>
      <c r="Q135" s="574"/>
      <c r="R135" s="540"/>
    </row>
    <row r="136" spans="1:18" ht="15" customHeight="1">
      <c r="B136" s="641" t="s">
        <v>343</v>
      </c>
      <c r="C136" s="708" t="s">
        <v>240</v>
      </c>
      <c r="D136" s="519"/>
      <c r="E136" s="632"/>
      <c r="F136" s="632"/>
      <c r="G136"/>
      <c r="H136" s="632"/>
      <c r="I136" s="632"/>
      <c r="J136" s="632"/>
      <c r="K136" s="632"/>
      <c r="L136" s="632"/>
      <c r="M136" s="632"/>
      <c r="N136" s="632"/>
      <c r="O136" s="632"/>
      <c r="P136" s="632"/>
      <c r="Q136" s="632"/>
      <c r="R136" s="540"/>
    </row>
    <row r="137" spans="1:18" ht="15" customHeight="1">
      <c r="B137" s="638" t="s">
        <v>344</v>
      </c>
      <c r="C137" s="714" t="s">
        <v>8</v>
      </c>
      <c r="D137" s="519"/>
      <c r="E137" s="632"/>
      <c r="F137" s="519" t="s">
        <v>552</v>
      </c>
      <c r="G137"/>
      <c r="H137" s="632"/>
      <c r="I137" s="632"/>
      <c r="J137" s="632"/>
      <c r="K137" s="632"/>
      <c r="L137" s="632"/>
      <c r="M137" s="632"/>
      <c r="N137" s="632"/>
      <c r="O137" s="632"/>
      <c r="P137" s="632"/>
      <c r="Q137" s="632"/>
      <c r="R137" s="540"/>
    </row>
    <row r="138" spans="1:18" ht="15" customHeight="1">
      <c r="B138" s="624"/>
      <c r="C138" s="625"/>
      <c r="D138" s="626"/>
      <c r="E138" s="627"/>
      <c r="F138" s="627"/>
      <c r="H138" s="642"/>
      <c r="I138" s="642"/>
      <c r="J138" s="642"/>
      <c r="K138" s="642"/>
      <c r="L138" s="642"/>
      <c r="M138" s="642"/>
      <c r="N138" s="642"/>
      <c r="O138" s="642"/>
      <c r="P138" s="642"/>
      <c r="Q138" s="643"/>
      <c r="R138" s="540"/>
    </row>
    <row r="139" spans="1:18" s="3" customFormat="1" ht="15" customHeight="1">
      <c r="B139" s="511"/>
      <c r="C139" s="551" t="s">
        <v>217</v>
      </c>
      <c r="D139" s="551"/>
      <c r="E139" s="551"/>
      <c r="F139" s="513"/>
      <c r="H139" s="511"/>
      <c r="I139" s="552"/>
      <c r="J139" s="552"/>
      <c r="K139" s="552"/>
      <c r="L139" s="552"/>
      <c r="M139" s="552"/>
      <c r="N139" s="552"/>
      <c r="O139" s="552"/>
      <c r="P139" s="552"/>
      <c r="Q139" s="553"/>
    </row>
    <row r="140" spans="1:18" s="3" customFormat="1" ht="3.75" customHeight="1">
      <c r="H140" s="6"/>
      <c r="I140" s="6"/>
      <c r="J140" s="6"/>
      <c r="K140" s="6"/>
      <c r="L140" s="6"/>
      <c r="M140" s="6"/>
      <c r="N140" s="6"/>
      <c r="O140" s="6"/>
      <c r="P140" s="6"/>
      <c r="Q140" s="6"/>
    </row>
    <row r="141" spans="1:18" s="578" customFormat="1" ht="15" customHeight="1">
      <c r="B141" s="572"/>
      <c r="C141" s="573" t="s">
        <v>230</v>
      </c>
      <c r="D141" s="573"/>
      <c r="E141" s="573"/>
      <c r="F141" s="574"/>
      <c r="G141" s="3"/>
      <c r="H141" s="572"/>
      <c r="I141" s="575"/>
      <c r="J141" s="575"/>
      <c r="K141" s="575"/>
      <c r="L141" s="575"/>
      <c r="M141" s="575"/>
      <c r="N141" s="575"/>
      <c r="O141" s="575"/>
      <c r="P141" s="575"/>
      <c r="Q141" s="576"/>
    </row>
    <row r="142" spans="1:18" ht="15" customHeight="1">
      <c r="A142" s="510"/>
      <c r="B142" s="518" t="s">
        <v>2</v>
      </c>
      <c r="C142" s="519" t="s">
        <v>227</v>
      </c>
      <c r="D142" s="519"/>
      <c r="E142" s="519"/>
      <c r="F142" s="557" t="s">
        <v>177</v>
      </c>
      <c r="H142" s="581">
        <v>0.05</v>
      </c>
      <c r="I142" s="581">
        <f t="shared" ref="I142:P143" si="22">H142</f>
        <v>0.05</v>
      </c>
      <c r="J142" s="581">
        <f t="shared" si="22"/>
        <v>0.05</v>
      </c>
      <c r="K142" s="581">
        <f>I142</f>
        <v>0.05</v>
      </c>
      <c r="L142" s="581">
        <f t="shared" si="22"/>
        <v>0.05</v>
      </c>
      <c r="M142" s="581">
        <f t="shared" si="22"/>
        <v>0.05</v>
      </c>
      <c r="N142" s="581">
        <f t="shared" si="22"/>
        <v>0.05</v>
      </c>
      <c r="O142" s="581">
        <f t="shared" si="22"/>
        <v>0.05</v>
      </c>
      <c r="P142" s="581">
        <f t="shared" si="22"/>
        <v>0.05</v>
      </c>
      <c r="Q142" s="581">
        <f t="shared" ref="Q142:Q143" si="23">IFERROR(ROUND(IF($Q$17="Simples",
INDEX(H142:P142,MATCH($Q$18,$H$18:$P$18,1)),
INDEX(H142:P142,MATCH($Q$17,$H$15:$P$15,0))
),4),"")</f>
        <v>0.05</v>
      </c>
      <c r="R142" s="540"/>
    </row>
    <row r="143" spans="1:18" ht="15" customHeight="1">
      <c r="A143" s="510"/>
      <c r="B143" s="518" t="s">
        <v>1</v>
      </c>
      <c r="C143" s="519" t="s">
        <v>228</v>
      </c>
      <c r="D143" s="519"/>
      <c r="E143" s="519"/>
      <c r="F143" s="557" t="s">
        <v>176</v>
      </c>
      <c r="H143" s="581">
        <v>0.1</v>
      </c>
      <c r="I143" s="581">
        <f t="shared" si="22"/>
        <v>0.1</v>
      </c>
      <c r="J143" s="581">
        <f t="shared" si="22"/>
        <v>0.1</v>
      </c>
      <c r="K143" s="581">
        <f>I143</f>
        <v>0.1</v>
      </c>
      <c r="L143" s="581">
        <f t="shared" si="22"/>
        <v>0.1</v>
      </c>
      <c r="M143" s="581">
        <f t="shared" si="22"/>
        <v>0.1</v>
      </c>
      <c r="N143" s="581">
        <f t="shared" si="22"/>
        <v>0.1</v>
      </c>
      <c r="O143" s="581">
        <f t="shared" si="22"/>
        <v>0.1</v>
      </c>
      <c r="P143" s="581">
        <f t="shared" si="22"/>
        <v>0.1</v>
      </c>
      <c r="Q143" s="581">
        <f t="shared" si="23"/>
        <v>0.1</v>
      </c>
      <c r="R143" s="540"/>
    </row>
    <row r="144" spans="1:18" customFormat="1" ht="3.75" customHeight="1">
      <c r="H144" s="12"/>
      <c r="I144" s="12"/>
      <c r="J144" s="12"/>
      <c r="K144" s="12"/>
      <c r="L144" s="12"/>
      <c r="M144" s="12"/>
      <c r="N144" s="12"/>
      <c r="O144" s="12"/>
      <c r="P144" s="12"/>
      <c r="Q144" s="12"/>
    </row>
    <row r="145" spans="1:18" s="578" customFormat="1" ht="15" customHeight="1">
      <c r="B145" s="572"/>
      <c r="C145" s="573" t="s">
        <v>309</v>
      </c>
      <c r="D145" s="573"/>
      <c r="E145" s="573"/>
      <c r="F145" s="574"/>
      <c r="G145" s="3"/>
      <c r="H145" s="572"/>
      <c r="I145" s="575"/>
      <c r="J145" s="575"/>
      <c r="K145" s="575"/>
      <c r="L145" s="575"/>
      <c r="M145" s="575"/>
      <c r="N145" s="575"/>
      <c r="O145" s="575"/>
      <c r="P145" s="575"/>
      <c r="Q145" s="576"/>
    </row>
    <row r="146" spans="1:18" ht="15" customHeight="1">
      <c r="A146" s="510"/>
      <c r="B146" s="554" t="s">
        <v>2</v>
      </c>
      <c r="C146" s="555" t="s">
        <v>43</v>
      </c>
      <c r="D146" s="519"/>
      <c r="E146" s="519"/>
      <c r="F146" s="557" t="s">
        <v>175</v>
      </c>
      <c r="H146" s="581">
        <v>0.03</v>
      </c>
      <c r="I146" s="581">
        <v>7.5999999999999998E-2</v>
      </c>
      <c r="J146" s="581"/>
      <c r="K146" s="581" t="str">
        <f>IFERROR(((Proposta!$J$10*K$19-K$18)/Proposta!$J$10)*12.82%,"")</f>
        <v/>
      </c>
      <c r="L146" s="581" t="str">
        <f>IFERROR(((Proposta!$J$10*L$19-L$18)/Proposta!$J$10)*14.05%,"")</f>
        <v/>
      </c>
      <c r="M146" s="581" t="str">
        <f>IFERROR(((Proposta!$J$10*M$19-M$18)/Proposta!$J$10)*13.64%,"")</f>
        <v/>
      </c>
      <c r="N146" s="581" t="str">
        <f>IFERROR(((Proposta!$J$10*N$19-N$18)/Proposta!$J$10)*14%,"")</f>
        <v/>
      </c>
      <c r="O146" s="581" t="str">
        <f>IFERROR(((Proposta!$J$10*O$19-O$18)/Proposta!$J$10)*12.82%,"")</f>
        <v/>
      </c>
      <c r="P146" s="581" t="str">
        <f>IFERROR(((Proposta!$J$10*P$19-P$18)/Proposta!$J$10)*16.03%,"")</f>
        <v/>
      </c>
      <c r="Q146" s="581">
        <f t="shared" ref="Q146:Q149" si="24">IFERROR(ROUND(IF($Q$17="Simples",
INDEX(H146:P146,MATCH($Q$18,$H$18:$P$18,1)),
INDEX(H146:P146,MATCH($Q$17,$H$15:$P$15,0))
),4),"")</f>
        <v>0.03</v>
      </c>
      <c r="R146" s="540"/>
    </row>
    <row r="147" spans="1:18" ht="15" customHeight="1">
      <c r="A147" s="510"/>
      <c r="B147" s="554" t="s">
        <v>1</v>
      </c>
      <c r="C147" s="555" t="s">
        <v>107</v>
      </c>
      <c r="D147" s="519"/>
      <c r="E147" s="519"/>
      <c r="F147" s="557" t="s">
        <v>175</v>
      </c>
      <c r="H147" s="581">
        <v>6.4999999999999997E-3</v>
      </c>
      <c r="I147" s="581">
        <v>1.6500000000000001E-2</v>
      </c>
      <c r="J147" s="581">
        <v>6.4999999999999997E-3</v>
      </c>
      <c r="K147" s="581" t="str">
        <f>IFERROR(((Proposta!$J$10*K$19-K$18)/Proposta!$J$10)*2.78%,"")</f>
        <v/>
      </c>
      <c r="L147" s="581" t="str">
        <f>IFERROR(((Proposta!$J$10*L$19-L$18)/Proposta!$J$10)*3.05%,"")</f>
        <v/>
      </c>
      <c r="M147" s="581" t="str">
        <f>IFERROR(((Proposta!$J$10*M$19-M$18)/Proposta!$J$10)*2.96%,"")</f>
        <v/>
      </c>
      <c r="N147" s="581" t="str">
        <f>IFERROR(((Proposta!$J$10*N$19-N$18)/Proposta!$J$10)*3%,"")</f>
        <v/>
      </c>
      <c r="O147" s="581" t="str">
        <f>IFERROR(((Proposta!$J$10*O$19-O$18)/Proposta!$J$10)*2.78%,"")</f>
        <v/>
      </c>
      <c r="P147" s="581" t="str">
        <f>IFERROR(((Proposta!$J$10*P$19-P$18)/Proposta!$J$10)*3.47%,"")</f>
        <v/>
      </c>
      <c r="Q147" s="581">
        <f t="shared" si="24"/>
        <v>6.4999999999999997E-3</v>
      </c>
      <c r="R147" s="540"/>
    </row>
    <row r="148" spans="1:18" ht="15" customHeight="1">
      <c r="A148" s="510"/>
      <c r="B148" s="554" t="s">
        <v>0</v>
      </c>
      <c r="C148" s="555" t="s">
        <v>44</v>
      </c>
      <c r="D148" s="519"/>
      <c r="E148" s="519"/>
      <c r="F148" s="557" t="s">
        <v>175</v>
      </c>
      <c r="H148" s="581">
        <v>0.05</v>
      </c>
      <c r="I148" s="581">
        <v>0.05</v>
      </c>
      <c r="J148" s="581">
        <v>2.5000000000000001E-2</v>
      </c>
      <c r="K148" s="581" t="str">
        <f>IFERROR(((Proposta!$J$10*K$19-K$18)/Proposta!$J$10)*33.5%,"")</f>
        <v/>
      </c>
      <c r="L148" s="581" t="str">
        <f>IFERROR(((Proposta!$J$10*L$19-L$18)/Proposta!$J$10)*32%,"")</f>
        <v/>
      </c>
      <c r="M148" s="581" t="str">
        <f>IFERROR(((Proposta!$J$10*M$19-M$18)/Proposta!$J$10)*32.5%,"")</f>
        <v/>
      </c>
      <c r="N148" s="581" t="str">
        <f>IFERROR(((Proposta!$J$10*N$19-N$18)/Proposta!$J$10)*33%,"")</f>
        <v/>
      </c>
      <c r="O148" s="581" t="str">
        <f>IFERROR(((Proposta!$J$10*O$19-O$18)/Proposta!$J$10)*33.5%,"")</f>
        <v/>
      </c>
      <c r="P148" s="581" t="str">
        <f>IFERROR(((Proposta!$J$10*P$19-P$18)/Proposta!$J$10)*30.5%,"")</f>
        <v/>
      </c>
      <c r="Q148" s="581">
        <f t="shared" si="24"/>
        <v>0.05</v>
      </c>
      <c r="R148" s="540"/>
    </row>
    <row r="149" spans="1:18" ht="15" customHeight="1">
      <c r="B149" s="554" t="s">
        <v>3</v>
      </c>
      <c r="C149" s="555" t="s">
        <v>303</v>
      </c>
      <c r="D149" s="519"/>
      <c r="E149" s="519"/>
      <c r="F149" s="557"/>
      <c r="H149" s="622"/>
      <c r="I149" s="622"/>
      <c r="J149" s="622"/>
      <c r="K149" s="622"/>
      <c r="L149" s="622"/>
      <c r="M149" s="622"/>
      <c r="N149" s="622"/>
      <c r="O149" s="622"/>
      <c r="P149" s="622"/>
      <c r="Q149" s="623">
        <f t="shared" si="24"/>
        <v>0</v>
      </c>
    </row>
    <row r="151" spans="1:18" ht="15" customHeight="1">
      <c r="B151" s="511"/>
      <c r="C151" s="551" t="s">
        <v>380</v>
      </c>
      <c r="D151" s="551"/>
      <c r="E151" s="551"/>
      <c r="F151" s="513"/>
      <c r="G151" s="3"/>
      <c r="H151" s="511"/>
      <c r="I151" s="552"/>
      <c r="J151" s="552"/>
      <c r="K151" s="552"/>
      <c r="L151" s="552"/>
      <c r="M151" s="552"/>
      <c r="N151" s="552"/>
      <c r="O151" s="552"/>
      <c r="P151" s="552"/>
      <c r="Q151" s="553"/>
    </row>
    <row r="152" spans="1:18" ht="4.5" customHeight="1">
      <c r="B152" s="3"/>
      <c r="C152" s="3"/>
      <c r="D152" s="3"/>
      <c r="E152" s="3"/>
      <c r="F152" s="3"/>
      <c r="G152" s="3"/>
      <c r="H152" s="6"/>
      <c r="I152" s="6"/>
      <c r="J152" s="6"/>
      <c r="K152" s="6"/>
      <c r="L152" s="6"/>
      <c r="M152" s="6"/>
      <c r="N152" s="6"/>
      <c r="O152" s="6"/>
      <c r="P152" s="6"/>
      <c r="Q152" s="6"/>
    </row>
    <row r="153" spans="1:18" ht="15" customHeight="1">
      <c r="B153" s="572"/>
      <c r="C153" s="573" t="s">
        <v>391</v>
      </c>
      <c r="D153" s="573"/>
      <c r="E153" s="573"/>
      <c r="F153" s="574"/>
      <c r="G153" s="3"/>
      <c r="H153" s="572"/>
      <c r="I153" s="575"/>
      <c r="J153" s="575"/>
      <c r="K153" s="575"/>
      <c r="L153" s="575"/>
      <c r="M153" s="575"/>
      <c r="N153" s="575"/>
      <c r="O153" s="575"/>
      <c r="P153" s="575"/>
      <c r="Q153" s="644"/>
      <c r="R153" s="540"/>
    </row>
    <row r="154" spans="1:18" ht="15" customHeight="1">
      <c r="B154" s="645" t="s">
        <v>2</v>
      </c>
      <c r="C154" s="646" t="s">
        <v>358</v>
      </c>
      <c r="D154" s="519"/>
      <c r="E154" s="519" t="s">
        <v>553</v>
      </c>
      <c r="F154" s="557" t="s">
        <v>658</v>
      </c>
      <c r="H154" s="581"/>
      <c r="I154" s="581"/>
      <c r="J154" s="581"/>
      <c r="K154" s="581"/>
      <c r="L154" s="581"/>
      <c r="M154" s="581"/>
      <c r="N154" s="581"/>
      <c r="O154" s="581"/>
      <c r="P154" s="581"/>
      <c r="Q154" s="647">
        <v>800</v>
      </c>
    </row>
    <row r="155" spans="1:18" ht="15" customHeight="1">
      <c r="B155" s="645" t="s">
        <v>1</v>
      </c>
      <c r="C155" s="646" t="s">
        <v>359</v>
      </c>
      <c r="D155" s="519"/>
      <c r="E155" s="519" t="s">
        <v>553</v>
      </c>
      <c r="F155" s="557"/>
      <c r="H155" s="581"/>
      <c r="I155" s="581"/>
      <c r="J155" s="581"/>
      <c r="K155" s="581"/>
      <c r="L155" s="581"/>
      <c r="M155" s="581"/>
      <c r="N155" s="581"/>
      <c r="O155" s="581"/>
      <c r="P155" s="581"/>
      <c r="Q155" s="647">
        <v>800</v>
      </c>
    </row>
    <row r="156" spans="1:18" ht="15" customHeight="1">
      <c r="B156" s="645" t="s">
        <v>0</v>
      </c>
      <c r="C156" s="646" t="s">
        <v>360</v>
      </c>
      <c r="D156" s="519"/>
      <c r="E156" s="519" t="s">
        <v>553</v>
      </c>
      <c r="F156" s="557"/>
      <c r="H156" s="581"/>
      <c r="I156" s="581"/>
      <c r="J156" s="581"/>
      <c r="K156" s="581"/>
      <c r="L156" s="581"/>
      <c r="M156" s="581"/>
      <c r="N156" s="581"/>
      <c r="O156" s="581"/>
      <c r="P156" s="581"/>
      <c r="Q156" s="647">
        <v>360</v>
      </c>
    </row>
    <row r="157" spans="1:18" ht="15" customHeight="1">
      <c r="B157" s="645" t="s">
        <v>3</v>
      </c>
      <c r="C157" s="646" t="s">
        <v>361</v>
      </c>
      <c r="D157" s="519"/>
      <c r="E157" s="519" t="s">
        <v>553</v>
      </c>
      <c r="F157" s="557"/>
      <c r="H157" s="581"/>
      <c r="I157" s="581"/>
      <c r="J157" s="581"/>
      <c r="K157" s="581"/>
      <c r="L157" s="581"/>
      <c r="M157" s="581"/>
      <c r="N157" s="581"/>
      <c r="O157" s="581"/>
      <c r="P157" s="581"/>
      <c r="Q157" s="647">
        <v>1500</v>
      </c>
    </row>
    <row r="158" spans="1:18" ht="15" customHeight="1">
      <c r="B158" s="645" t="s">
        <v>7</v>
      </c>
      <c r="C158" s="646" t="s">
        <v>356</v>
      </c>
      <c r="D158" s="519"/>
      <c r="E158" s="519" t="s">
        <v>553</v>
      </c>
      <c r="F158" s="557"/>
      <c r="H158" s="581"/>
      <c r="I158" s="581"/>
      <c r="J158" s="581"/>
      <c r="K158" s="581"/>
      <c r="L158" s="581"/>
      <c r="M158" s="581"/>
      <c r="N158" s="581"/>
      <c r="O158" s="581"/>
      <c r="P158" s="581"/>
      <c r="Q158" s="647">
        <v>1200</v>
      </c>
    </row>
    <row r="159" spans="1:18" ht="15" customHeight="1">
      <c r="B159" s="645" t="s">
        <v>6</v>
      </c>
      <c r="C159" s="648" t="s">
        <v>389</v>
      </c>
      <c r="D159" s="519"/>
      <c r="E159" s="519" t="s">
        <v>553</v>
      </c>
      <c r="F159" s="557"/>
      <c r="H159" s="581"/>
      <c r="I159" s="581"/>
      <c r="J159" s="581"/>
      <c r="K159" s="581"/>
      <c r="L159" s="581"/>
      <c r="M159" s="581"/>
      <c r="N159" s="581"/>
      <c r="O159" s="581"/>
      <c r="P159" s="581"/>
      <c r="Q159" s="647">
        <v>1000</v>
      </c>
    </row>
    <row r="160" spans="1:18" ht="15" customHeight="1">
      <c r="B160" s="645" t="s">
        <v>5</v>
      </c>
      <c r="C160" s="648" t="s">
        <v>390</v>
      </c>
      <c r="D160" s="519"/>
      <c r="E160" s="519" t="s">
        <v>553</v>
      </c>
      <c r="F160" s="557"/>
      <c r="H160" s="581"/>
      <c r="I160" s="581"/>
      <c r="J160" s="581"/>
      <c r="K160" s="581"/>
      <c r="L160" s="581"/>
      <c r="M160" s="581"/>
      <c r="N160" s="581"/>
      <c r="O160" s="581"/>
      <c r="P160" s="581"/>
      <c r="Q160" s="647">
        <v>200</v>
      </c>
    </row>
    <row r="161" spans="2:18" ht="4.5" customHeight="1">
      <c r="C161" s="411"/>
      <c r="Q161" s="649"/>
    </row>
    <row r="162" spans="2:18" ht="15" customHeight="1">
      <c r="B162" s="572"/>
      <c r="C162" s="573" t="s">
        <v>392</v>
      </c>
      <c r="D162" s="573"/>
      <c r="E162" s="573"/>
      <c r="F162" s="574"/>
      <c r="G162" s="3"/>
      <c r="H162" s="572"/>
      <c r="I162" s="575"/>
      <c r="J162" s="575"/>
      <c r="K162" s="575"/>
      <c r="L162" s="575"/>
      <c r="M162" s="575"/>
      <c r="N162" s="575"/>
      <c r="O162" s="575"/>
      <c r="P162" s="575"/>
      <c r="Q162" s="650"/>
      <c r="R162" s="540"/>
    </row>
    <row r="163" spans="2:18" ht="15" customHeight="1">
      <c r="B163" s="645" t="s">
        <v>2</v>
      </c>
      <c r="C163" s="646" t="s">
        <v>362</v>
      </c>
      <c r="D163" s="519"/>
      <c r="E163" s="519" t="s">
        <v>553</v>
      </c>
      <c r="F163" s="557"/>
      <c r="H163" s="581"/>
      <c r="I163" s="581"/>
      <c r="J163" s="581"/>
      <c r="K163" s="581"/>
      <c r="L163" s="581"/>
      <c r="M163" s="581"/>
      <c r="N163" s="581"/>
      <c r="O163" s="581"/>
      <c r="P163" s="581"/>
      <c r="Q163" s="647">
        <v>1800</v>
      </c>
    </row>
    <row r="164" spans="2:18" ht="15" customHeight="1">
      <c r="B164" s="645" t="s">
        <v>1</v>
      </c>
      <c r="C164" s="646" t="s">
        <v>357</v>
      </c>
      <c r="D164" s="519"/>
      <c r="E164" s="519" t="s">
        <v>553</v>
      </c>
      <c r="F164" s="557"/>
      <c r="H164" s="581"/>
      <c r="I164" s="581"/>
      <c r="J164" s="581"/>
      <c r="K164" s="581"/>
      <c r="L164" s="581"/>
      <c r="M164" s="581"/>
      <c r="N164" s="581"/>
      <c r="O164" s="581"/>
      <c r="P164" s="581"/>
      <c r="Q164" s="647">
        <v>6000</v>
      </c>
    </row>
    <row r="165" spans="2:18" ht="15" customHeight="1">
      <c r="B165" s="645" t="s">
        <v>0</v>
      </c>
      <c r="C165" s="646" t="s">
        <v>363</v>
      </c>
      <c r="D165" s="519"/>
      <c r="E165" s="707" t="s">
        <v>553</v>
      </c>
      <c r="F165" s="557"/>
      <c r="H165" s="581"/>
      <c r="I165" s="581"/>
      <c r="J165" s="581"/>
      <c r="K165" s="581"/>
      <c r="L165" s="581"/>
      <c r="M165" s="581"/>
      <c r="N165" s="581"/>
      <c r="O165" s="581"/>
      <c r="P165" s="581"/>
      <c r="Q165" s="647">
        <v>1800</v>
      </c>
    </row>
    <row r="166" spans="2:18" ht="15" customHeight="1">
      <c r="B166" s="645" t="s">
        <v>3</v>
      </c>
      <c r="C166" s="646" t="s">
        <v>364</v>
      </c>
      <c r="D166" s="519"/>
      <c r="E166" s="707" t="s">
        <v>553</v>
      </c>
      <c r="F166" s="557"/>
      <c r="H166" s="581"/>
      <c r="I166" s="581"/>
      <c r="J166" s="581"/>
      <c r="K166" s="581"/>
      <c r="L166" s="581"/>
      <c r="M166" s="581"/>
      <c r="N166" s="581"/>
      <c r="O166" s="581"/>
      <c r="P166" s="581"/>
      <c r="Q166" s="647">
        <v>1800</v>
      </c>
    </row>
    <row r="167" spans="2:18" ht="15" customHeight="1">
      <c r="B167" s="645" t="s">
        <v>7</v>
      </c>
      <c r="C167" s="646" t="s">
        <v>365</v>
      </c>
      <c r="D167" s="519"/>
      <c r="E167" s="707" t="s">
        <v>553</v>
      </c>
      <c r="F167" s="557"/>
      <c r="H167" s="581"/>
      <c r="I167" s="581"/>
      <c r="J167" s="581"/>
      <c r="K167" s="581"/>
      <c r="L167" s="581"/>
      <c r="M167" s="581"/>
      <c r="N167" s="581"/>
      <c r="O167" s="581"/>
      <c r="P167" s="581"/>
      <c r="Q167" s="647">
        <v>1800</v>
      </c>
    </row>
    <row r="168" spans="2:18" ht="15" customHeight="1">
      <c r="B168" s="645" t="s">
        <v>6</v>
      </c>
      <c r="C168" s="646" t="s">
        <v>366</v>
      </c>
      <c r="D168" s="519"/>
      <c r="E168" s="519" t="s">
        <v>553</v>
      </c>
      <c r="F168" s="557"/>
      <c r="H168" s="581"/>
      <c r="I168" s="581"/>
      <c r="J168" s="581"/>
      <c r="K168" s="581"/>
      <c r="L168" s="581"/>
      <c r="M168" s="581"/>
      <c r="N168" s="581"/>
      <c r="O168" s="581"/>
      <c r="P168" s="581"/>
      <c r="Q168" s="647">
        <v>100000</v>
      </c>
    </row>
    <row r="169" spans="2:18" ht="4.5" customHeight="1">
      <c r="C169" s="411"/>
      <c r="Q169" s="649"/>
    </row>
    <row r="170" spans="2:18" ht="15" customHeight="1">
      <c r="B170" s="572"/>
      <c r="C170" s="573" t="s">
        <v>393</v>
      </c>
      <c r="D170" s="573"/>
      <c r="E170" s="573"/>
      <c r="F170" s="574"/>
      <c r="G170" s="3"/>
      <c r="H170" s="572"/>
      <c r="I170" s="575"/>
      <c r="J170" s="575"/>
      <c r="K170" s="575"/>
      <c r="L170" s="575"/>
      <c r="M170" s="575"/>
      <c r="N170" s="575"/>
      <c r="O170" s="575"/>
      <c r="P170" s="575"/>
      <c r="Q170" s="650"/>
      <c r="R170" s="540"/>
    </row>
    <row r="171" spans="2:18" ht="15" customHeight="1">
      <c r="B171" s="645" t="s">
        <v>2</v>
      </c>
      <c r="C171" s="648" t="s">
        <v>385</v>
      </c>
      <c r="D171" s="519"/>
      <c r="E171" s="519" t="s">
        <v>553</v>
      </c>
      <c r="F171" s="557"/>
      <c r="H171" s="581"/>
      <c r="I171" s="581"/>
      <c r="J171" s="581"/>
      <c r="K171" s="581"/>
      <c r="L171" s="581"/>
      <c r="M171" s="581"/>
      <c r="N171" s="581"/>
      <c r="O171" s="581"/>
      <c r="P171" s="581"/>
      <c r="Q171" s="647">
        <v>130</v>
      </c>
    </row>
    <row r="172" spans="2:18" ht="15" customHeight="1">
      <c r="B172" s="645" t="s">
        <v>1</v>
      </c>
      <c r="C172" s="648" t="s">
        <v>386</v>
      </c>
      <c r="D172" s="519"/>
      <c r="E172" s="519" t="s">
        <v>553</v>
      </c>
      <c r="F172" s="557"/>
      <c r="H172" s="581"/>
      <c r="I172" s="581"/>
      <c r="J172" s="581"/>
      <c r="K172" s="581"/>
      <c r="L172" s="581"/>
      <c r="M172" s="581"/>
      <c r="N172" s="581"/>
      <c r="O172" s="581"/>
      <c r="P172" s="581"/>
      <c r="Q172" s="647">
        <v>300</v>
      </c>
    </row>
    <row r="173" spans="2:18" ht="15" customHeight="1">
      <c r="B173" s="645" t="s">
        <v>0</v>
      </c>
      <c r="C173" s="648" t="s">
        <v>387</v>
      </c>
      <c r="D173" s="519"/>
      <c r="E173" s="519" t="s">
        <v>553</v>
      </c>
      <c r="F173" s="557"/>
      <c r="H173" s="581"/>
      <c r="I173" s="581"/>
      <c r="J173" s="581"/>
      <c r="K173" s="581"/>
      <c r="L173" s="581"/>
      <c r="M173" s="581"/>
      <c r="N173" s="581"/>
      <c r="O173" s="581"/>
      <c r="P173" s="581"/>
      <c r="Q173" s="647">
        <v>300</v>
      </c>
    </row>
    <row r="174" spans="2:18" ht="4.5" customHeight="1">
      <c r="C174" s="411"/>
      <c r="Q174" s="649"/>
    </row>
    <row r="175" spans="2:18" ht="15" customHeight="1">
      <c r="B175" s="572"/>
      <c r="C175" s="573" t="s">
        <v>394</v>
      </c>
      <c r="D175" s="573"/>
      <c r="E175" s="573"/>
      <c r="F175" s="574"/>
      <c r="G175" s="3"/>
      <c r="H175" s="572"/>
      <c r="I175" s="575"/>
      <c r="J175" s="575"/>
      <c r="K175" s="575"/>
      <c r="L175" s="575"/>
      <c r="M175" s="575"/>
      <c r="N175" s="575"/>
      <c r="O175" s="575"/>
      <c r="P175" s="575"/>
      <c r="Q175" s="650"/>
      <c r="R175" s="540"/>
    </row>
    <row r="176" spans="2:18" ht="15" customHeight="1">
      <c r="B176" s="645" t="s">
        <v>2</v>
      </c>
      <c r="C176" s="646" t="s">
        <v>371</v>
      </c>
      <c r="D176" s="519"/>
      <c r="E176" s="519" t="s">
        <v>553</v>
      </c>
      <c r="F176" s="557"/>
      <c r="H176" s="581"/>
      <c r="I176" s="581"/>
      <c r="J176" s="581"/>
      <c r="K176" s="581"/>
      <c r="L176" s="581"/>
      <c r="M176" s="581"/>
      <c r="N176" s="581"/>
      <c r="O176" s="581"/>
      <c r="P176" s="581"/>
      <c r="Q176" s="647">
        <v>130</v>
      </c>
    </row>
    <row r="177" spans="2:18" ht="4.5" customHeight="1">
      <c r="C177" s="411"/>
      <c r="Q177" s="649"/>
    </row>
    <row r="178" spans="2:18" ht="15" customHeight="1">
      <c r="B178" s="572"/>
      <c r="C178" s="573" t="s">
        <v>395</v>
      </c>
      <c r="D178" s="573"/>
      <c r="E178" s="573"/>
      <c r="F178" s="574"/>
      <c r="G178" s="3"/>
      <c r="H178" s="572"/>
      <c r="I178" s="575"/>
      <c r="J178" s="575"/>
      <c r="K178" s="575"/>
      <c r="L178" s="575"/>
      <c r="M178" s="575"/>
      <c r="N178" s="575"/>
      <c r="O178" s="575"/>
      <c r="P178" s="575"/>
      <c r="Q178" s="650"/>
      <c r="R178" s="540"/>
    </row>
    <row r="179" spans="2:18" ht="15" customHeight="1">
      <c r="B179" s="645" t="s">
        <v>2</v>
      </c>
      <c r="C179" s="646" t="s">
        <v>372</v>
      </c>
      <c r="D179" s="519"/>
      <c r="E179" s="519" t="s">
        <v>553</v>
      </c>
      <c r="F179" s="557"/>
      <c r="H179" s="581"/>
      <c r="I179" s="581"/>
      <c r="J179" s="581"/>
      <c r="K179" s="581"/>
      <c r="L179" s="581"/>
      <c r="M179" s="581"/>
      <c r="N179" s="581"/>
      <c r="O179" s="581"/>
      <c r="P179" s="581"/>
      <c r="Q179" s="647">
        <v>360</v>
      </c>
    </row>
  </sheetData>
  <sheetProtection algorithmName="SHA-512" hashValue="6jtV8uYv/bVcstTmH8FL5QThJaQ28G0NSYA/A5LMSITTakxUYGmc3YmcrAP3hPihkoVuMMQ5jQF9rqNwvqsw5g==" saltValue="JO9+mLgPlhg6IRdM7OV4uA=="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hyperlink ref="F105" r:id="rId2" display=" Anuário RAIS do Ministério do Trabalho"/>
    <hyperlink ref="F97" r:id="rId3" display=" Anuário RAIS do Ministério do Trabalho"/>
    <hyperlink ref="C117" location="'Mat Individual e Uniformes func'!A1" display="Material Individual e Uniformes"/>
    <hyperlink ref="C118" location="'Mat Coletivo e Equipamentos'!A1" display="Material Coletivo e Equipamentos"/>
  </hyperlinks>
  <pageMargins left="0.511811024" right="0.511811024" top="0.78740157499999996" bottom="0.78740157499999996" header="0.31496062000000002" footer="0.31496062000000002"/>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T634"/>
  <sheetViews>
    <sheetView showGridLines="0" topLeftCell="B1" zoomScale="85" zoomScaleNormal="85" workbookViewId="0">
      <pane ySplit="1" topLeftCell="A4" activePane="bottomLeft" state="frozen"/>
      <selection pane="bottomLeft" activeCell="F22" sqref="F22"/>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6" t="s">
        <v>256</v>
      </c>
      <c r="B1" s="266" t="s">
        <v>257</v>
      </c>
      <c r="C1" s="267" t="s">
        <v>258</v>
      </c>
      <c r="D1" s="266" t="s">
        <v>261</v>
      </c>
      <c r="E1" s="268" t="s">
        <v>268</v>
      </c>
      <c r="F1" s="268" t="s">
        <v>260</v>
      </c>
      <c r="G1" s="269" t="s">
        <v>308</v>
      </c>
      <c r="H1" s="270" t="s">
        <v>259</v>
      </c>
      <c r="I1" s="271" t="s">
        <v>262</v>
      </c>
      <c r="J1" s="271" t="s">
        <v>263</v>
      </c>
      <c r="K1" s="271" t="s">
        <v>286</v>
      </c>
      <c r="L1" s="271" t="s">
        <v>285</v>
      </c>
      <c r="M1" s="271" t="s">
        <v>297</v>
      </c>
      <c r="N1" s="271" t="s">
        <v>399</v>
      </c>
      <c r="O1" s="271" t="s">
        <v>291</v>
      </c>
      <c r="P1" s="271" t="s">
        <v>324</v>
      </c>
      <c r="Q1" s="271" t="s">
        <v>325</v>
      </c>
      <c r="R1" s="271" t="s">
        <v>294</v>
      </c>
      <c r="S1" s="271" t="s">
        <v>290</v>
      </c>
      <c r="T1" s="271" t="s">
        <v>44</v>
      </c>
    </row>
    <row r="2" spans="1:20" s="249" customFormat="1">
      <c r="A2" s="360"/>
      <c r="B2" s="360"/>
      <c r="C2" s="361"/>
      <c r="D2" s="360"/>
      <c r="E2" s="362"/>
      <c r="F2" s="362"/>
      <c r="G2" s="363"/>
      <c r="H2" s="364"/>
      <c r="I2" s="365"/>
      <c r="J2" s="365"/>
      <c r="K2" s="365"/>
      <c r="L2" s="365"/>
      <c r="M2" s="365"/>
      <c r="N2" s="365"/>
      <c r="O2" s="365"/>
      <c r="P2" s="365"/>
      <c r="Q2" s="365"/>
      <c r="R2" s="365"/>
      <c r="S2" s="365"/>
      <c r="T2" s="365"/>
    </row>
    <row r="3" spans="1:20" s="70" customFormat="1">
      <c r="A3" s="366" t="s">
        <v>264</v>
      </c>
      <c r="B3" s="367">
        <v>4141</v>
      </c>
      <c r="C3" s="368" t="s">
        <v>123</v>
      </c>
      <c r="D3" s="724" t="s">
        <v>585</v>
      </c>
      <c r="E3" s="369">
        <v>45658</v>
      </c>
      <c r="F3" s="369">
        <v>46022</v>
      </c>
      <c r="G3" s="370">
        <v>1653.58</v>
      </c>
      <c r="H3" s="371">
        <v>220</v>
      </c>
      <c r="I3" s="370">
        <v>25.42</v>
      </c>
      <c r="J3" s="370">
        <f>I3/2</f>
        <v>12.71</v>
      </c>
      <c r="K3" s="367"/>
      <c r="L3" s="367"/>
      <c r="M3" s="372"/>
      <c r="N3" s="372" t="s">
        <v>317</v>
      </c>
      <c r="O3" s="372"/>
      <c r="P3" s="372">
        <v>0.06</v>
      </c>
      <c r="Q3" s="372">
        <v>0.19</v>
      </c>
      <c r="R3" s="370">
        <v>24.1</v>
      </c>
      <c r="S3" s="370"/>
      <c r="T3" s="508">
        <v>0.05</v>
      </c>
    </row>
    <row r="4" spans="1:20" s="2" customFormat="1">
      <c r="A4" s="272" t="s">
        <v>302</v>
      </c>
      <c r="B4" s="280">
        <v>4110</v>
      </c>
      <c r="C4" s="273" t="s">
        <v>123</v>
      </c>
      <c r="D4" s="725" t="s">
        <v>585</v>
      </c>
      <c r="E4" s="275">
        <v>45658</v>
      </c>
      <c r="F4" s="369">
        <v>46022</v>
      </c>
      <c r="G4" s="279">
        <v>2161.09</v>
      </c>
      <c r="H4" s="277">
        <v>220</v>
      </c>
      <c r="I4" s="370">
        <v>25.42</v>
      </c>
      <c r="J4" s="276">
        <f t="shared" ref="J4:J15" si="0">I4/2</f>
        <v>12.71</v>
      </c>
      <c r="K4" s="280"/>
      <c r="L4" s="280"/>
      <c r="M4" s="278"/>
      <c r="N4" s="278" t="s">
        <v>317</v>
      </c>
      <c r="O4" s="278"/>
      <c r="P4" s="278">
        <v>0.06</v>
      </c>
      <c r="Q4" s="278">
        <v>0.19</v>
      </c>
      <c r="R4" s="276">
        <v>24.1</v>
      </c>
      <c r="S4" s="276"/>
      <c r="T4" s="721">
        <v>0.05</v>
      </c>
    </row>
    <row r="5" spans="1:20" s="2" customFormat="1">
      <c r="A5" s="272" t="s">
        <v>301</v>
      </c>
      <c r="B5" s="280">
        <v>5143</v>
      </c>
      <c r="C5" s="273" t="s">
        <v>123</v>
      </c>
      <c r="D5" s="725" t="s">
        <v>585</v>
      </c>
      <c r="E5" s="275">
        <v>45658</v>
      </c>
      <c r="F5" s="275">
        <v>46022</v>
      </c>
      <c r="G5" s="279">
        <v>1653.58</v>
      </c>
      <c r="H5" s="277">
        <v>220</v>
      </c>
      <c r="I5" s="723">
        <v>25.42</v>
      </c>
      <c r="J5" s="276">
        <f t="shared" si="0"/>
        <v>12.71</v>
      </c>
      <c r="K5" s="280"/>
      <c r="L5" s="280"/>
      <c r="M5" s="278"/>
      <c r="N5" s="278" t="s">
        <v>317</v>
      </c>
      <c r="O5" s="278"/>
      <c r="P5" s="278">
        <v>0.06</v>
      </c>
      <c r="Q5" s="278">
        <v>0.19</v>
      </c>
      <c r="R5" s="276">
        <v>24.1</v>
      </c>
      <c r="S5" s="276"/>
      <c r="T5" s="721">
        <v>0.05</v>
      </c>
    </row>
    <row r="6" spans="1:20" s="2" customFormat="1">
      <c r="A6" s="272" t="s">
        <v>266</v>
      </c>
      <c r="B6" s="280">
        <v>5135</v>
      </c>
      <c r="C6" s="273" t="s">
        <v>123</v>
      </c>
      <c r="D6" s="725" t="s">
        <v>585</v>
      </c>
      <c r="E6" s="275">
        <v>45658</v>
      </c>
      <c r="F6" s="275">
        <v>46022</v>
      </c>
      <c r="G6" s="279">
        <v>1653.58</v>
      </c>
      <c r="H6" s="281">
        <v>220</v>
      </c>
      <c r="I6" s="370">
        <v>25.42</v>
      </c>
      <c r="J6" s="276">
        <f t="shared" si="0"/>
        <v>12.71</v>
      </c>
      <c r="K6" s="280"/>
      <c r="L6" s="280"/>
      <c r="M6" s="278">
        <v>0.2</v>
      </c>
      <c r="N6" s="278" t="s">
        <v>317</v>
      </c>
      <c r="O6" s="278"/>
      <c r="P6" s="278">
        <v>0.06</v>
      </c>
      <c r="Q6" s="719">
        <v>0.19</v>
      </c>
      <c r="R6" s="276">
        <v>24.1</v>
      </c>
      <c r="S6" s="276"/>
      <c r="T6" s="721">
        <v>0.05</v>
      </c>
    </row>
    <row r="7" spans="1:20" s="2" customFormat="1">
      <c r="A7" s="272" t="s">
        <v>300</v>
      </c>
      <c r="B7" s="280">
        <v>5142</v>
      </c>
      <c r="C7" s="273" t="s">
        <v>123</v>
      </c>
      <c r="D7" s="725" t="s">
        <v>585</v>
      </c>
      <c r="E7" s="275">
        <v>45658</v>
      </c>
      <c r="F7" s="275">
        <v>46022</v>
      </c>
      <c r="G7" s="279">
        <v>1949.91</v>
      </c>
      <c r="H7" s="281">
        <v>220</v>
      </c>
      <c r="I7" s="276">
        <v>25.42</v>
      </c>
      <c r="J7" s="276">
        <f t="shared" si="0"/>
        <v>12.71</v>
      </c>
      <c r="K7" s="280"/>
      <c r="L7" s="280"/>
      <c r="M7" s="278">
        <v>0.4</v>
      </c>
      <c r="N7" s="278" t="s">
        <v>317</v>
      </c>
      <c r="O7" s="278"/>
      <c r="P7" s="278">
        <v>0.06</v>
      </c>
      <c r="Q7" s="719">
        <v>0.19</v>
      </c>
      <c r="R7" s="276">
        <v>24.1</v>
      </c>
      <c r="S7" s="276"/>
      <c r="T7" s="721">
        <v>0.05</v>
      </c>
    </row>
    <row r="8" spans="1:20">
      <c r="A8" s="272" t="s">
        <v>299</v>
      </c>
      <c r="B8" s="280">
        <v>5134</v>
      </c>
      <c r="C8" s="273" t="s">
        <v>123</v>
      </c>
      <c r="D8" s="725" t="s">
        <v>585</v>
      </c>
      <c r="E8" s="275">
        <v>45658</v>
      </c>
      <c r="F8" s="275">
        <v>46022</v>
      </c>
      <c r="G8" s="279">
        <v>1653.58</v>
      </c>
      <c r="H8" s="281">
        <v>220</v>
      </c>
      <c r="I8" s="276">
        <v>25.42</v>
      </c>
      <c r="J8" s="276">
        <f t="shared" si="0"/>
        <v>12.71</v>
      </c>
      <c r="K8" s="272"/>
      <c r="L8" s="272"/>
      <c r="M8" s="278">
        <v>0.2</v>
      </c>
      <c r="N8" s="278" t="s">
        <v>317</v>
      </c>
      <c r="O8" s="278"/>
      <c r="P8" s="278">
        <v>0.06</v>
      </c>
      <c r="Q8" s="719">
        <v>0.19</v>
      </c>
      <c r="R8" s="276">
        <v>24.1</v>
      </c>
      <c r="S8" s="276"/>
      <c r="T8" s="721">
        <v>0.05</v>
      </c>
    </row>
    <row r="9" spans="1:20">
      <c r="A9" s="272" t="s">
        <v>265</v>
      </c>
      <c r="B9" s="280">
        <v>5132</v>
      </c>
      <c r="C9" s="273" t="s">
        <v>123</v>
      </c>
      <c r="D9" s="725" t="s">
        <v>585</v>
      </c>
      <c r="E9" s="275">
        <v>45658</v>
      </c>
      <c r="F9" s="275">
        <v>46022</v>
      </c>
      <c r="G9" s="279">
        <v>1736.16</v>
      </c>
      <c r="H9" s="281">
        <v>220</v>
      </c>
      <c r="I9" s="276">
        <v>25.42</v>
      </c>
      <c r="J9" s="276">
        <f t="shared" si="0"/>
        <v>12.71</v>
      </c>
      <c r="K9" s="272"/>
      <c r="L9" s="272"/>
      <c r="M9" s="278">
        <v>0.2</v>
      </c>
      <c r="N9" s="278" t="s">
        <v>317</v>
      </c>
      <c r="O9" s="278"/>
      <c r="P9" s="278">
        <v>0.06</v>
      </c>
      <c r="Q9" s="719">
        <v>0.19</v>
      </c>
      <c r="R9" s="276">
        <v>24.1</v>
      </c>
      <c r="S9" s="276"/>
      <c r="T9" s="721">
        <v>0.05</v>
      </c>
    </row>
    <row r="10" spans="1:20">
      <c r="A10" s="272" t="s">
        <v>298</v>
      </c>
      <c r="B10" s="280">
        <v>5143</v>
      </c>
      <c r="C10" s="273" t="s">
        <v>123</v>
      </c>
      <c r="D10" s="725" t="s">
        <v>585</v>
      </c>
      <c r="E10" s="275">
        <v>45658</v>
      </c>
      <c r="F10" s="275">
        <v>46022</v>
      </c>
      <c r="G10" s="279">
        <v>1653.58</v>
      </c>
      <c r="H10" s="281">
        <v>220</v>
      </c>
      <c r="I10" s="276">
        <v>25.42</v>
      </c>
      <c r="J10" s="276">
        <f t="shared" si="0"/>
        <v>12.71</v>
      </c>
      <c r="K10" s="272"/>
      <c r="L10" s="272"/>
      <c r="M10" s="278">
        <v>0.4</v>
      </c>
      <c r="N10" s="278" t="s">
        <v>317</v>
      </c>
      <c r="O10" s="278"/>
      <c r="P10" s="278">
        <v>0.06</v>
      </c>
      <c r="Q10" s="719">
        <v>0.19</v>
      </c>
      <c r="R10" s="276">
        <v>24.1</v>
      </c>
      <c r="S10" s="276"/>
      <c r="T10" s="721">
        <v>2.5000000000000001E-2</v>
      </c>
    </row>
    <row r="11" spans="1:20">
      <c r="A11" s="282" t="s">
        <v>251</v>
      </c>
      <c r="B11" s="280">
        <v>5174</v>
      </c>
      <c r="C11" s="273" t="s">
        <v>123</v>
      </c>
      <c r="D11" s="725" t="s">
        <v>585</v>
      </c>
      <c r="E11" s="275">
        <v>45658</v>
      </c>
      <c r="F11" s="275">
        <v>46022</v>
      </c>
      <c r="G11" s="279">
        <v>1991.06</v>
      </c>
      <c r="H11" s="281">
        <v>220</v>
      </c>
      <c r="I11" s="276">
        <v>25.42</v>
      </c>
      <c r="J11" s="276">
        <f t="shared" si="0"/>
        <v>12.71</v>
      </c>
      <c r="K11" s="272"/>
      <c r="L11" s="272"/>
      <c r="M11" s="278"/>
      <c r="N11" s="278" t="s">
        <v>317</v>
      </c>
      <c r="O11" s="278"/>
      <c r="P11" s="278">
        <v>0.06</v>
      </c>
      <c r="Q11" s="719">
        <v>0.19</v>
      </c>
      <c r="R11" s="276">
        <v>24.1</v>
      </c>
      <c r="S11" s="276"/>
      <c r="T11" s="721">
        <v>2.5000000000000001E-2</v>
      </c>
    </row>
    <row r="12" spans="1:20">
      <c r="A12" s="282" t="s">
        <v>296</v>
      </c>
      <c r="B12" s="280">
        <v>4221</v>
      </c>
      <c r="C12" s="273" t="s">
        <v>123</v>
      </c>
      <c r="D12" s="725" t="s">
        <v>585</v>
      </c>
      <c r="E12" s="275">
        <v>45658</v>
      </c>
      <c r="F12" s="275">
        <v>46022</v>
      </c>
      <c r="G12" s="279">
        <v>1869.5</v>
      </c>
      <c r="H12" s="281">
        <v>220</v>
      </c>
      <c r="I12" s="276">
        <v>25.42</v>
      </c>
      <c r="J12" s="276">
        <f t="shared" si="0"/>
        <v>12.71</v>
      </c>
      <c r="K12" s="272"/>
      <c r="L12" s="272"/>
      <c r="M12" s="278"/>
      <c r="N12" s="278" t="s">
        <v>317</v>
      </c>
      <c r="O12" s="278"/>
      <c r="P12" s="278">
        <v>0.06</v>
      </c>
      <c r="Q12" s="719">
        <v>0.19</v>
      </c>
      <c r="R12" s="276">
        <v>24.1</v>
      </c>
      <c r="S12" s="276"/>
      <c r="T12" s="721">
        <v>2.5000000000000001E-2</v>
      </c>
    </row>
    <row r="13" spans="1:20">
      <c r="A13" s="272" t="s">
        <v>295</v>
      </c>
      <c r="B13" s="280">
        <v>5142</v>
      </c>
      <c r="C13" s="273" t="s">
        <v>123</v>
      </c>
      <c r="D13" s="725" t="s">
        <v>585</v>
      </c>
      <c r="E13" s="275">
        <v>45658</v>
      </c>
      <c r="F13" s="275">
        <v>46022</v>
      </c>
      <c r="G13" s="279">
        <v>1685.25</v>
      </c>
      <c r="H13" s="281">
        <v>220</v>
      </c>
      <c r="I13" s="276">
        <v>25.42</v>
      </c>
      <c r="J13" s="276">
        <f t="shared" si="0"/>
        <v>12.71</v>
      </c>
      <c r="K13" s="272"/>
      <c r="L13" s="272"/>
      <c r="M13" s="278">
        <v>0.2</v>
      </c>
      <c r="N13" s="278" t="s">
        <v>317</v>
      </c>
      <c r="O13" s="278"/>
      <c r="P13" s="278">
        <v>0.06</v>
      </c>
      <c r="Q13" s="719">
        <v>0.19</v>
      </c>
      <c r="R13" s="276">
        <v>24.1</v>
      </c>
      <c r="S13" s="276"/>
      <c r="T13" s="721">
        <v>2.5000000000000001E-2</v>
      </c>
    </row>
    <row r="14" spans="1:20">
      <c r="A14" s="282" t="s">
        <v>305</v>
      </c>
      <c r="B14" s="280">
        <v>5143</v>
      </c>
      <c r="C14" s="273" t="s">
        <v>123</v>
      </c>
      <c r="D14" s="725" t="s">
        <v>585</v>
      </c>
      <c r="E14" s="275">
        <v>45658</v>
      </c>
      <c r="F14" s="275">
        <v>46022</v>
      </c>
      <c r="G14" s="279">
        <v>2101.14</v>
      </c>
      <c r="H14" s="281">
        <v>220</v>
      </c>
      <c r="I14" s="276">
        <v>25.42</v>
      </c>
      <c r="J14" s="276">
        <f t="shared" si="0"/>
        <v>12.71</v>
      </c>
      <c r="K14" s="272"/>
      <c r="L14" s="272"/>
      <c r="M14" s="278"/>
      <c r="N14" s="278" t="s">
        <v>317</v>
      </c>
      <c r="O14" s="278">
        <v>0.3</v>
      </c>
      <c r="P14" s="278">
        <v>0.06</v>
      </c>
      <c r="Q14" s="719">
        <v>0.19</v>
      </c>
      <c r="R14" s="276">
        <v>24.1</v>
      </c>
      <c r="S14" s="276"/>
      <c r="T14" s="721">
        <v>2.5000000000000001E-2</v>
      </c>
    </row>
    <row r="15" spans="1:20">
      <c r="A15" s="282" t="s">
        <v>306</v>
      </c>
      <c r="B15" s="280">
        <v>4227</v>
      </c>
      <c r="C15" s="273" t="s">
        <v>123</v>
      </c>
      <c r="D15" s="725" t="s">
        <v>585</v>
      </c>
      <c r="E15" s="275">
        <v>45658</v>
      </c>
      <c r="F15" s="275">
        <v>46022</v>
      </c>
      <c r="G15" s="279">
        <v>1991.06</v>
      </c>
      <c r="H15" s="281">
        <v>220</v>
      </c>
      <c r="I15" s="276">
        <v>25.42</v>
      </c>
      <c r="J15" s="276">
        <f t="shared" si="0"/>
        <v>12.71</v>
      </c>
      <c r="K15" s="272"/>
      <c r="L15" s="272"/>
      <c r="M15" s="278"/>
      <c r="N15" s="278" t="s">
        <v>317</v>
      </c>
      <c r="O15" s="278"/>
      <c r="P15" s="278">
        <v>0.06</v>
      </c>
      <c r="Q15" s="719">
        <v>0.19</v>
      </c>
      <c r="R15" s="276">
        <v>24.1</v>
      </c>
      <c r="S15" s="276"/>
      <c r="T15" s="721">
        <v>0.05</v>
      </c>
    </row>
    <row r="16" spans="1:20">
      <c r="A16" s="282" t="s">
        <v>307</v>
      </c>
      <c r="B16" s="280">
        <v>4222</v>
      </c>
      <c r="C16" s="273" t="s">
        <v>123</v>
      </c>
      <c r="D16" s="725" t="s">
        <v>585</v>
      </c>
      <c r="E16" s="275">
        <v>45658</v>
      </c>
      <c r="F16" s="275">
        <v>46022</v>
      </c>
      <c r="G16" s="279">
        <v>1869.5</v>
      </c>
      <c r="H16" s="281">
        <v>180</v>
      </c>
      <c r="I16" s="276">
        <v>25.42</v>
      </c>
      <c r="J16" s="276">
        <f t="shared" ref="J16" si="1">I16/2</f>
        <v>12.71</v>
      </c>
      <c r="K16" s="272"/>
      <c r="L16" s="272"/>
      <c r="M16" s="278"/>
      <c r="N16" s="278" t="s">
        <v>317</v>
      </c>
      <c r="O16" s="278"/>
      <c r="P16" s="278">
        <v>0.06</v>
      </c>
      <c r="Q16" s="719">
        <v>0.19</v>
      </c>
      <c r="R16" s="276">
        <v>24.1</v>
      </c>
      <c r="S16" s="276"/>
      <c r="T16" s="721">
        <v>0.05</v>
      </c>
    </row>
    <row r="17" spans="1:20">
      <c r="A17" s="282" t="s">
        <v>292</v>
      </c>
      <c r="B17" s="280">
        <v>5173</v>
      </c>
      <c r="C17" s="273" t="s">
        <v>293</v>
      </c>
      <c r="D17" s="274" t="s">
        <v>480</v>
      </c>
      <c r="E17" s="275">
        <v>45323</v>
      </c>
      <c r="F17" s="275">
        <v>45688</v>
      </c>
      <c r="G17" s="279">
        <v>1977.8</v>
      </c>
      <c r="H17" s="281">
        <v>220</v>
      </c>
      <c r="I17" s="276">
        <v>27</v>
      </c>
      <c r="J17" s="276"/>
      <c r="K17" s="272"/>
      <c r="L17" s="283">
        <f>G17/H17*1.3/6</f>
        <v>1.9478333333333335</v>
      </c>
      <c r="M17" s="278"/>
      <c r="N17" s="278" t="s">
        <v>316</v>
      </c>
      <c r="O17" s="278">
        <v>0.3</v>
      </c>
      <c r="P17" s="278">
        <v>0.06</v>
      </c>
      <c r="Q17" s="719">
        <v>0.2</v>
      </c>
      <c r="R17" s="276"/>
      <c r="S17" s="276">
        <f>$R$4</f>
        <v>24.1</v>
      </c>
      <c r="T17" s="721">
        <v>2.5000000000000001E-2</v>
      </c>
    </row>
    <row r="18" spans="1:20">
      <c r="A18" s="282" t="s">
        <v>288</v>
      </c>
      <c r="B18" s="280">
        <v>7823</v>
      </c>
      <c r="C18" s="273" t="s">
        <v>289</v>
      </c>
      <c r="D18" s="274" t="s">
        <v>615</v>
      </c>
      <c r="E18" s="275">
        <v>45566</v>
      </c>
      <c r="F18" s="275">
        <v>45930</v>
      </c>
      <c r="G18" s="279">
        <f>2091.44</f>
        <v>2091.44</v>
      </c>
      <c r="H18" s="281">
        <v>220</v>
      </c>
      <c r="I18" s="276">
        <v>30</v>
      </c>
      <c r="J18" s="276"/>
      <c r="K18" s="272"/>
      <c r="L18" s="272"/>
      <c r="M18" s="278"/>
      <c r="N18" s="278" t="s">
        <v>316</v>
      </c>
      <c r="O18" s="278"/>
      <c r="P18" s="278">
        <v>0.06</v>
      </c>
      <c r="Q18" s="719">
        <v>0.2</v>
      </c>
      <c r="R18" s="276"/>
      <c r="S18" s="276">
        <f t="shared" ref="S18:S21" si="2">$R$4</f>
        <v>24.1</v>
      </c>
      <c r="T18" s="721">
        <v>2.5000000000000001E-2</v>
      </c>
    </row>
    <row r="19" spans="1:20">
      <c r="A19" s="282" t="s">
        <v>287</v>
      </c>
      <c r="B19" s="280">
        <v>7823</v>
      </c>
      <c r="C19" s="273" t="s">
        <v>289</v>
      </c>
      <c r="D19" s="274" t="s">
        <v>615</v>
      </c>
      <c r="E19" s="275">
        <v>45566</v>
      </c>
      <c r="F19" s="275">
        <v>45930</v>
      </c>
      <c r="G19" s="279">
        <f>2159.19</f>
        <v>2159.19</v>
      </c>
      <c r="H19" s="281">
        <v>220</v>
      </c>
      <c r="I19" s="276">
        <v>30</v>
      </c>
      <c r="J19" s="276"/>
      <c r="K19" s="272"/>
      <c r="L19" s="272"/>
      <c r="M19" s="278"/>
      <c r="N19" s="278" t="s">
        <v>316</v>
      </c>
      <c r="O19" s="278"/>
      <c r="P19" s="278">
        <v>0.06</v>
      </c>
      <c r="Q19" s="719">
        <v>0.2</v>
      </c>
      <c r="R19" s="276"/>
      <c r="S19" s="276">
        <f t="shared" si="2"/>
        <v>24.1</v>
      </c>
      <c r="T19" s="721">
        <v>2.5000000000000001E-2</v>
      </c>
    </row>
    <row r="20" spans="1:20">
      <c r="A20" s="272" t="s">
        <v>425</v>
      </c>
      <c r="B20" s="280">
        <v>7825</v>
      </c>
      <c r="C20" s="273" t="s">
        <v>289</v>
      </c>
      <c r="D20" s="274" t="s">
        <v>615</v>
      </c>
      <c r="E20" s="275">
        <v>45566</v>
      </c>
      <c r="F20" s="275">
        <v>45930</v>
      </c>
      <c r="G20" s="279">
        <f>2123.47</f>
        <v>2123.4699999999998</v>
      </c>
      <c r="H20" s="281">
        <v>220</v>
      </c>
      <c r="I20" s="276">
        <v>30</v>
      </c>
      <c r="J20" s="276"/>
      <c r="K20" s="272"/>
      <c r="L20" s="272"/>
      <c r="M20" s="278"/>
      <c r="N20" s="278" t="s">
        <v>316</v>
      </c>
      <c r="O20" s="278"/>
      <c r="P20" s="278">
        <v>0.06</v>
      </c>
      <c r="Q20" s="719">
        <v>0.2</v>
      </c>
      <c r="R20" s="276"/>
      <c r="S20" s="276">
        <f t="shared" si="2"/>
        <v>24.1</v>
      </c>
      <c r="T20" s="721">
        <v>2.5000000000000001E-2</v>
      </c>
    </row>
    <row r="21" spans="1:20">
      <c r="A21" s="284" t="s">
        <v>426</v>
      </c>
      <c r="B21" s="293">
        <v>7825</v>
      </c>
      <c r="C21" s="285" t="s">
        <v>289</v>
      </c>
      <c r="D21" s="286" t="s">
        <v>615</v>
      </c>
      <c r="E21" s="287">
        <v>45566</v>
      </c>
      <c r="F21" s="287">
        <v>45930</v>
      </c>
      <c r="G21" s="288">
        <f>2176.43</f>
        <v>2176.4299999999998</v>
      </c>
      <c r="H21" s="289">
        <v>220</v>
      </c>
      <c r="I21" s="290">
        <v>30</v>
      </c>
      <c r="J21" s="290"/>
      <c r="K21" s="291"/>
      <c r="L21" s="291"/>
      <c r="M21" s="292"/>
      <c r="N21" s="292" t="s">
        <v>316</v>
      </c>
      <c r="O21" s="292"/>
      <c r="P21" s="292">
        <v>0.06</v>
      </c>
      <c r="Q21" s="720">
        <v>0.2</v>
      </c>
      <c r="R21" s="290"/>
      <c r="S21" s="290">
        <f t="shared" si="2"/>
        <v>24.1</v>
      </c>
      <c r="T21" s="722">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4"/>
      <c r="C30"/>
      <c r="E30" s="64"/>
      <c r="F30" s="64"/>
    </row>
    <row r="31" spans="1:20">
      <c r="I31"/>
    </row>
    <row r="32" spans="1:20">
      <c r="C32"/>
      <c r="E32" s="64"/>
      <c r="F32" s="64"/>
    </row>
    <row r="33" spans="1:9">
      <c r="B33" s="294"/>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4"/>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4"/>
      <c r="C63" s="65"/>
      <c r="E63" s="64"/>
      <c r="F63" s="64"/>
    </row>
    <row r="64" spans="1:9">
      <c r="A64" s="66"/>
      <c r="B64" s="294"/>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4"/>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sheetProtection algorithmName="SHA-512" hashValue="h5a9tQfYrDn5EJ61S4Eb2mfJsHKXGhdlDO5Vvh649p8IIi9yNICBBuqYpK5oABd/LjpQMta0q3ff8GqxipFz1g==" saltValue="QGlOBA3fFwYqF6O/rrdrqA==" spinCount="100000" sheet="1" objects="1" scenarios="1"/>
  <autoFilter ref="A1:S634"/>
  <phoneticPr fontId="45" type="noConversion"/>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60"/>
      <c r="D1" s="460"/>
      <c r="E1" s="460"/>
      <c r="F1" s="460"/>
      <c r="G1" s="460"/>
      <c r="I1" s="460"/>
      <c r="J1" s="460"/>
    </row>
    <row r="2" spans="1:10">
      <c r="A2" s="458" t="s">
        <v>587</v>
      </c>
      <c r="D2" s="397" t="str">
        <f t="shared" ref="D2:D29" si="0">IF(AND(G2&gt;0,ISNUMBER(G2)),ROW(),"")</f>
        <v/>
      </c>
      <c r="E2" s="397" t="str">
        <f>Produtividade!C192</f>
        <v>2.1 - Áreas internas</v>
      </c>
      <c r="F2" s="397"/>
      <c r="G2" s="404" t="str">
        <f>IFERROR(INDEX(Produtividade!L:L,MATCH(E2,Produtividade!C:C,0)),"")</f>
        <v>Área contratada</v>
      </c>
      <c r="I2" s="397" t="str">
        <f>IFERROR(SMALL(D:D,ROW()-1),"")</f>
        <v/>
      </c>
      <c r="J2" s="397" t="str">
        <f t="shared" ref="J2:J19" si="1">IF($I2="","",INDEX(E:E,MATCH($I2,$D:$D,0)))</f>
        <v/>
      </c>
    </row>
    <row r="3" spans="1:10">
      <c r="A3" s="458" t="s">
        <v>588</v>
      </c>
      <c r="D3" s="397" t="str">
        <f t="shared" si="0"/>
        <v/>
      </c>
      <c r="E3" s="397" t="str">
        <f>Produtividade!C193</f>
        <v>Pisos acarpetados</v>
      </c>
      <c r="F3" s="397" t="s">
        <v>354</v>
      </c>
      <c r="G3" s="404">
        <f>IFERROR(INDEX(Produtividade!L:L,MATCH(E3,Produtividade!C:C,0)),"")</f>
        <v>0</v>
      </c>
      <c r="I3" s="397" t="str">
        <f t="shared" ref="I3:I19" si="2">IFERROR(SMALL(D:D,ROW()-1),"")</f>
        <v/>
      </c>
      <c r="J3" s="397" t="str">
        <f t="shared" si="1"/>
        <v/>
      </c>
    </row>
    <row r="4" spans="1:10">
      <c r="A4" s="458" t="s">
        <v>589</v>
      </c>
      <c r="D4" s="397" t="str">
        <f t="shared" si="0"/>
        <v/>
      </c>
      <c r="E4" s="397" t="str">
        <f>Produtividade!C194</f>
        <v>Pisos Frios</v>
      </c>
      <c r="F4" s="397" t="s">
        <v>354</v>
      </c>
      <c r="G4" s="404">
        <f>IFERROR(INDEX(Produtividade!L:L,MATCH(E4,Produtividade!C:C,0)),"")</f>
        <v>0</v>
      </c>
      <c r="I4" s="397" t="str">
        <f t="shared" si="2"/>
        <v/>
      </c>
      <c r="J4" s="397" t="str">
        <f t="shared" si="1"/>
        <v/>
      </c>
    </row>
    <row r="5" spans="1:10">
      <c r="A5" s="458" t="s">
        <v>590</v>
      </c>
      <c r="D5" s="397" t="str">
        <f t="shared" si="0"/>
        <v/>
      </c>
      <c r="E5" s="397" t="str">
        <f>Produtividade!C195</f>
        <v>Laboratoriais</v>
      </c>
      <c r="F5" s="397" t="s">
        <v>354</v>
      </c>
      <c r="G5" s="404">
        <f>IFERROR(INDEX(Produtividade!L:L,MATCH(E5,Produtividade!C:C,0)),"")</f>
        <v>0</v>
      </c>
      <c r="I5" s="397" t="str">
        <f t="shared" si="2"/>
        <v/>
      </c>
      <c r="J5" s="397" t="str">
        <f t="shared" si="1"/>
        <v/>
      </c>
    </row>
    <row r="6" spans="1:10">
      <c r="A6" s="458" t="s">
        <v>591</v>
      </c>
      <c r="D6" s="397" t="str">
        <f t="shared" si="0"/>
        <v/>
      </c>
      <c r="E6" s="397" t="str">
        <f>Produtividade!C196</f>
        <v>Almoxarifados/galpões</v>
      </c>
      <c r="F6" s="397" t="s">
        <v>354</v>
      </c>
      <c r="G6" s="404">
        <f>IFERROR(INDEX(Produtividade!L:L,MATCH(E6,Produtividade!C:C,0)),"")</f>
        <v>0</v>
      </c>
      <c r="I6" s="397" t="str">
        <f t="shared" si="2"/>
        <v/>
      </c>
      <c r="J6" s="397" t="str">
        <f t="shared" si="1"/>
        <v/>
      </c>
    </row>
    <row r="7" spans="1:10">
      <c r="A7" s="458" t="s">
        <v>592</v>
      </c>
      <c r="D7" s="397" t="str">
        <f t="shared" si="0"/>
        <v/>
      </c>
      <c r="E7" s="397" t="str">
        <f>Produtividade!C197</f>
        <v>Oficinas</v>
      </c>
      <c r="F7" s="397" t="s">
        <v>354</v>
      </c>
      <c r="G7" s="404">
        <f>IFERROR(INDEX(Produtividade!L:L,MATCH(E7,Produtividade!C:C,0)),"")</f>
        <v>0</v>
      </c>
      <c r="I7" s="397" t="str">
        <f t="shared" si="2"/>
        <v/>
      </c>
      <c r="J7" s="397" t="str">
        <f t="shared" si="1"/>
        <v/>
      </c>
    </row>
    <row r="8" spans="1:10">
      <c r="A8" s="458" t="s">
        <v>593</v>
      </c>
      <c r="D8" s="397" t="str">
        <f t="shared" si="0"/>
        <v/>
      </c>
      <c r="E8" s="397" t="str">
        <f>Produtividade!C198</f>
        <v>Áreas com espaços livres - saguão, hall e salão</v>
      </c>
      <c r="F8" s="397" t="s">
        <v>354</v>
      </c>
      <c r="G8" s="404">
        <f>IFERROR(INDEX(Produtividade!L:L,MATCH(E8,Produtividade!C:C,0)),"")</f>
        <v>0</v>
      </c>
      <c r="I8" s="397" t="str">
        <f t="shared" si="2"/>
        <v/>
      </c>
      <c r="J8" s="397" t="str">
        <f t="shared" si="1"/>
        <v/>
      </c>
    </row>
    <row r="9" spans="1:10">
      <c r="A9" s="458" t="s">
        <v>594</v>
      </c>
      <c r="D9" s="397" t="str">
        <f t="shared" si="0"/>
        <v/>
      </c>
      <c r="E9" s="397" t="str">
        <f>Produtividade!C199</f>
        <v>Banheiros</v>
      </c>
      <c r="F9" s="397" t="s">
        <v>354</v>
      </c>
      <c r="G9" s="404">
        <f>IFERROR(INDEX(Produtividade!L:L,MATCH(E9,Produtividade!C:C,0)),"")</f>
        <v>0</v>
      </c>
      <c r="I9" s="397" t="str">
        <f t="shared" si="2"/>
        <v/>
      </c>
      <c r="J9" s="397" t="str">
        <f t="shared" si="1"/>
        <v/>
      </c>
    </row>
    <row r="10" spans="1:10">
      <c r="A10" s="458" t="s">
        <v>595</v>
      </c>
      <c r="D10" s="397" t="str">
        <f t="shared" si="0"/>
        <v/>
      </c>
      <c r="E10" s="397">
        <f>Produtividade!C200</f>
        <v>0</v>
      </c>
      <c r="F10" s="397"/>
      <c r="G10" s="404" t="str">
        <f>IFERROR(INDEX(Produtividade!L:L,MATCH(E10,Produtividade!C:C,0)),"")</f>
        <v/>
      </c>
      <c r="I10" s="397" t="str">
        <f t="shared" si="2"/>
        <v/>
      </c>
      <c r="J10" s="397" t="str">
        <f t="shared" si="1"/>
        <v/>
      </c>
    </row>
    <row r="11" spans="1:10">
      <c r="A11" s="458" t="s">
        <v>596</v>
      </c>
      <c r="D11" s="397" t="str">
        <f t="shared" si="0"/>
        <v/>
      </c>
      <c r="E11" s="397" t="str">
        <f>Produtividade!C201</f>
        <v>2.2 - Áreas externas</v>
      </c>
      <c r="F11" s="397"/>
      <c r="G11" s="404">
        <f>IFERROR(INDEX(Produtividade!L:L,MATCH(E11,Produtividade!C:C,0)),"")</f>
        <v>0</v>
      </c>
      <c r="I11" s="397" t="str">
        <f t="shared" si="2"/>
        <v/>
      </c>
      <c r="J11" s="397" t="str">
        <f t="shared" si="1"/>
        <v/>
      </c>
    </row>
    <row r="12" spans="1:10">
      <c r="A12" s="458" t="s">
        <v>597</v>
      </c>
      <c r="D12" s="397" t="str">
        <f t="shared" si="0"/>
        <v/>
      </c>
      <c r="E12" s="397" t="str">
        <f>Produtividade!C202</f>
        <v>Pisos pavimentados adjacentes/contíguos às edificações</v>
      </c>
      <c r="F12" s="397" t="s">
        <v>355</v>
      </c>
      <c r="G12" s="404">
        <f>IFERROR(INDEX(Produtividade!L:L,MATCH(E12,Produtividade!C:C,0)),"")</f>
        <v>0</v>
      </c>
      <c r="I12" s="397" t="str">
        <f t="shared" si="2"/>
        <v/>
      </c>
      <c r="J12" s="397" t="str">
        <f t="shared" si="1"/>
        <v/>
      </c>
    </row>
    <row r="13" spans="1:10">
      <c r="A13" s="458" t="s">
        <v>598</v>
      </c>
      <c r="D13" s="397" t="str">
        <f t="shared" si="0"/>
        <v/>
      </c>
      <c r="E13" s="397" t="str">
        <f>Produtividade!C203</f>
        <v>Varrição de passeios e arruamentos</v>
      </c>
      <c r="F13" s="397" t="s">
        <v>355</v>
      </c>
      <c r="G13" s="404">
        <f>IFERROR(INDEX(Produtividade!L:L,MATCH(E13,Produtividade!C:C,0)),"")</f>
        <v>0</v>
      </c>
      <c r="I13" s="397" t="str">
        <f t="shared" si="2"/>
        <v/>
      </c>
      <c r="J13" s="397" t="str">
        <f t="shared" si="1"/>
        <v/>
      </c>
    </row>
    <row r="14" spans="1:10">
      <c r="A14" s="458" t="s">
        <v>599</v>
      </c>
      <c r="D14" s="397" t="str">
        <f t="shared" si="0"/>
        <v/>
      </c>
      <c r="E14" s="397" t="str">
        <f>Produtividade!C204</f>
        <v>Pátios e áreas verdes com alta frequência (semanal)</v>
      </c>
      <c r="F14" s="397" t="s">
        <v>355</v>
      </c>
      <c r="G14" s="404">
        <f>IFERROR(INDEX(Produtividade!L:L,MATCH(E14,Produtividade!C:C,0)),"")</f>
        <v>0</v>
      </c>
      <c r="I14" s="397" t="str">
        <f t="shared" si="2"/>
        <v/>
      </c>
      <c r="J14" s="397" t="str">
        <f t="shared" si="1"/>
        <v/>
      </c>
    </row>
    <row r="15" spans="1:10">
      <c r="A15" s="458" t="s">
        <v>600</v>
      </c>
      <c r="D15" s="397" t="str">
        <f t="shared" si="0"/>
        <v/>
      </c>
      <c r="E15" s="397" t="str">
        <f>Produtividade!C205</f>
        <v>Pátios e áreas verdes com média frequência (quinzenal)</v>
      </c>
      <c r="F15" s="397" t="s">
        <v>355</v>
      </c>
      <c r="G15" s="404">
        <f>IFERROR(INDEX(Produtividade!L:L,MATCH(E15,Produtividade!C:C,0)),"")</f>
        <v>0</v>
      </c>
      <c r="I15" s="397" t="str">
        <f t="shared" si="2"/>
        <v/>
      </c>
      <c r="J15" s="397" t="str">
        <f t="shared" si="1"/>
        <v/>
      </c>
    </row>
    <row r="16" spans="1:10">
      <c r="A16" s="458" t="s">
        <v>601</v>
      </c>
      <c r="D16" s="397" t="str">
        <f t="shared" si="0"/>
        <v/>
      </c>
      <c r="E16" s="397" t="str">
        <f>Produtividade!C206</f>
        <v>Pátios e áreas verdes com baixa frequência (mensal)</v>
      </c>
      <c r="F16" s="397" t="s">
        <v>355</v>
      </c>
      <c r="G16" s="404">
        <f>IFERROR(INDEX(Produtividade!L:L,MATCH(E16,Produtividade!C:C,0)),"")</f>
        <v>0</v>
      </c>
      <c r="I16" s="397" t="str">
        <f t="shared" si="2"/>
        <v/>
      </c>
      <c r="J16" s="397" t="str">
        <f t="shared" si="1"/>
        <v/>
      </c>
    </row>
    <row r="17" spans="1:10">
      <c r="A17" s="458" t="s">
        <v>602</v>
      </c>
      <c r="D17" s="397" t="str">
        <f t="shared" si="0"/>
        <v/>
      </c>
      <c r="E17" s="397" t="str">
        <f>Produtividade!C207</f>
        <v>Coleta de detritos em pátios e áreas verdes com frequência diária</v>
      </c>
      <c r="F17" s="397" t="s">
        <v>355</v>
      </c>
      <c r="G17" s="404">
        <f>IFERROR(INDEX(Produtividade!L:L,MATCH(E17,Produtividade!C:C,0)),"")</f>
        <v>0</v>
      </c>
      <c r="I17" s="397" t="str">
        <f t="shared" si="2"/>
        <v/>
      </c>
      <c r="J17" s="397" t="str">
        <f t="shared" si="1"/>
        <v/>
      </c>
    </row>
    <row r="18" spans="1:10">
      <c r="A18" s="458" t="s">
        <v>603</v>
      </c>
      <c r="D18" s="397" t="str">
        <f t="shared" si="0"/>
        <v/>
      </c>
      <c r="E18" s="397">
        <f>Produtividade!C208</f>
        <v>0</v>
      </c>
      <c r="F18" s="397"/>
      <c r="G18" s="404" t="str">
        <f>IFERROR(INDEX(Produtividade!L:L,MATCH(E18,Produtividade!C:C,0)),"")</f>
        <v/>
      </c>
      <c r="I18" s="397" t="str">
        <f t="shared" si="2"/>
        <v/>
      </c>
      <c r="J18" s="397" t="str">
        <f t="shared" si="1"/>
        <v/>
      </c>
    </row>
    <row r="19" spans="1:10">
      <c r="A19" s="458" t="s">
        <v>604</v>
      </c>
      <c r="D19" s="397" t="str">
        <f t="shared" si="0"/>
        <v/>
      </c>
      <c r="E19" s="397" t="str">
        <f>Produtividade!C209</f>
        <v>2.3 - Esquadrias externas</v>
      </c>
      <c r="F19" s="397"/>
      <c r="G19" s="404">
        <f>IFERROR(INDEX(Produtividade!L:L,MATCH(E19,Produtividade!C:C,0)),"")</f>
        <v>0</v>
      </c>
      <c r="I19" s="397" t="str">
        <f t="shared" si="2"/>
        <v/>
      </c>
      <c r="J19" s="397" t="str">
        <f t="shared" si="1"/>
        <v/>
      </c>
    </row>
    <row r="20" spans="1:10">
      <c r="A20" s="458" t="s">
        <v>605</v>
      </c>
      <c r="D20" s="397" t="str">
        <f t="shared" si="0"/>
        <v/>
      </c>
      <c r="E20" s="397" t="str">
        <f>Produtividade!C210</f>
        <v>Face externa com exposição a situação de risco (trimestral)</v>
      </c>
      <c r="F20" s="397" t="s">
        <v>382</v>
      </c>
      <c r="G20" s="404">
        <f>IFERROR(INDEX(Produtividade!L:L,MATCH(E20,Produtividade!C:C,0)),"")</f>
        <v>0</v>
      </c>
      <c r="I20" t="str">
        <f t="shared" ref="I20:I25" si="3">IFERROR(SMALL(D:D,ROW()-1),"")</f>
        <v/>
      </c>
      <c r="J20" t="str">
        <f t="shared" ref="J20:J25" si="4">IF($I20="","",INDEX(E:E,MATCH($I20,$D:$D,0)))</f>
        <v/>
      </c>
    </row>
    <row r="21" spans="1:10">
      <c r="A21" s="458" t="s">
        <v>606</v>
      </c>
      <c r="D21" s="397" t="str">
        <f t="shared" si="0"/>
        <v/>
      </c>
      <c r="E21" s="397" t="str">
        <f>Produtividade!C211</f>
        <v>Face externa - sem exposição a situação de risco (trimestral)</v>
      </c>
      <c r="F21" s="397" t="s">
        <v>382</v>
      </c>
      <c r="G21" s="404">
        <f>IFERROR(INDEX(Produtividade!L:L,MATCH(E21,Produtividade!C:C,0)),"")</f>
        <v>0</v>
      </c>
      <c r="I21" t="str">
        <f t="shared" si="3"/>
        <v/>
      </c>
      <c r="J21" t="str">
        <f t="shared" si="4"/>
        <v/>
      </c>
    </row>
    <row r="22" spans="1:10">
      <c r="A22" s="458" t="s">
        <v>614</v>
      </c>
      <c r="D22" s="397" t="str">
        <f t="shared" si="0"/>
        <v/>
      </c>
      <c r="E22" s="397" t="str">
        <f>Produtividade!C212</f>
        <v>Face interna - sem exposição a situação de risco (quinzenal)</v>
      </c>
      <c r="F22" s="397" t="s">
        <v>382</v>
      </c>
      <c r="G22" s="404">
        <f>IFERROR(INDEX(Produtividade!L:L,MATCH(E22,Produtividade!C:C,0)),"")</f>
        <v>0</v>
      </c>
      <c r="I22" t="str">
        <f t="shared" si="3"/>
        <v/>
      </c>
      <c r="J22" t="str">
        <f t="shared" si="4"/>
        <v/>
      </c>
    </row>
    <row r="23" spans="1:10">
      <c r="A23" s="458" t="s">
        <v>607</v>
      </c>
      <c r="D23" s="397" t="str">
        <f t="shared" si="0"/>
        <v/>
      </c>
      <c r="E23" s="397">
        <f>Produtividade!C213</f>
        <v>0</v>
      </c>
      <c r="F23" s="397"/>
      <c r="G23" s="404" t="str">
        <f>IFERROR(INDEX(Produtividade!L:L,MATCH(E23,Produtividade!C:C,0)),"")</f>
        <v/>
      </c>
      <c r="I23" t="str">
        <f t="shared" si="3"/>
        <v/>
      </c>
      <c r="J23" t="str">
        <f t="shared" si="4"/>
        <v/>
      </c>
    </row>
    <row r="24" spans="1:10">
      <c r="A24" s="458" t="s">
        <v>608</v>
      </c>
      <c r="D24" s="397" t="str">
        <f t="shared" si="0"/>
        <v/>
      </c>
      <c r="E24" s="397" t="str">
        <f>Produtividade!C214</f>
        <v>2.4 - Fachadas</v>
      </c>
      <c r="F24" s="397"/>
      <c r="G24" s="404">
        <f>IFERROR(INDEX(Produtividade!L:L,MATCH(E24,Produtividade!C:C,0)),"")</f>
        <v>0</v>
      </c>
      <c r="I24" t="str">
        <f t="shared" si="3"/>
        <v/>
      </c>
      <c r="J24" t="str">
        <f t="shared" si="4"/>
        <v/>
      </c>
    </row>
    <row r="25" spans="1:10">
      <c r="A25" s="458" t="s">
        <v>609</v>
      </c>
      <c r="D25" s="397" t="str">
        <f t="shared" si="0"/>
        <v/>
      </c>
      <c r="E25" s="397" t="str">
        <f>Produtividade!C215</f>
        <v>Fachadas Envidraçadas (trimestral)</v>
      </c>
      <c r="F25" s="397" t="s">
        <v>383</v>
      </c>
      <c r="G25" s="404">
        <f>IFERROR(INDEX(Produtividade!L:L,MATCH(E25,Produtividade!C:C,0)),"")</f>
        <v>0</v>
      </c>
      <c r="I25" t="str">
        <f t="shared" si="3"/>
        <v/>
      </c>
      <c r="J25" t="str">
        <f t="shared" si="4"/>
        <v/>
      </c>
    </row>
    <row r="26" spans="1:10">
      <c r="A26" s="458" t="s">
        <v>610</v>
      </c>
      <c r="D26" s="397" t="str">
        <f t="shared" si="0"/>
        <v/>
      </c>
      <c r="E26" s="397">
        <f>Produtividade!C216</f>
        <v>0</v>
      </c>
      <c r="F26" s="397"/>
      <c r="G26" s="404" t="str">
        <f>IFERROR(INDEX(Produtividade!L:L,MATCH(E26,Produtividade!C:C,0)),"")</f>
        <v/>
      </c>
      <c r="I26" t="str">
        <f>IFERROR(SMALL(D:D,ROW()-1),"")</f>
        <v/>
      </c>
      <c r="J26" t="str">
        <f>IF($I26="","",INDEX(E:E,MATCH($I26,$D:$D,0)))</f>
        <v/>
      </c>
    </row>
    <row r="27" spans="1:10">
      <c r="A27" s="458" t="s">
        <v>611</v>
      </c>
      <c r="D27" s="397" t="str">
        <f t="shared" si="0"/>
        <v/>
      </c>
      <c r="E27" s="397" t="str">
        <f>Produtividade!C217</f>
        <v>2.5 - Áreas Hospitalares</v>
      </c>
      <c r="F27" s="397"/>
      <c r="G27" s="404">
        <f>IFERROR(INDEX(Produtividade!L:L,MATCH(E27,Produtividade!C:C,0)),"")</f>
        <v>0</v>
      </c>
      <c r="I27" t="str">
        <f>IFERROR(SMALL(D:D,ROW()-1),"")</f>
        <v/>
      </c>
      <c r="J27" t="str">
        <f>IF($I27="","",INDEX(E:E,MATCH($I27,$D:$D,0)))</f>
        <v/>
      </c>
    </row>
    <row r="28" spans="1:10">
      <c r="A28" s="458" t="s">
        <v>612</v>
      </c>
      <c r="D28" s="397" t="str">
        <f t="shared" si="0"/>
        <v/>
      </c>
      <c r="E28" s="397" t="str">
        <f>Produtividade!C218</f>
        <v>Áreas Hospitalares e assemelhadas</v>
      </c>
      <c r="F28" s="397" t="s">
        <v>384</v>
      </c>
      <c r="G28" s="404">
        <f>IFERROR(INDEX(Produtividade!L:L,MATCH(E28,Produtividade!C:C,0)),"")</f>
        <v>0</v>
      </c>
      <c r="I28" t="str">
        <f>IFERROR(SMALL(D:D,ROW()-1),"")</f>
        <v/>
      </c>
      <c r="J28" t="str">
        <f>IF($I28="","",INDEX(E:E,MATCH($I28,$D:$D,0)))</f>
        <v/>
      </c>
    </row>
    <row r="29" spans="1:10">
      <c r="A29" s="458" t="s">
        <v>613</v>
      </c>
      <c r="D29" s="397" t="str">
        <f t="shared" si="0"/>
        <v/>
      </c>
      <c r="E29" s="397">
        <f>Produtividade!C219</f>
        <v>0</v>
      </c>
      <c r="F29" s="397"/>
      <c r="G29" s="404" t="str">
        <f>IFERROR(INDEX(Produtividade!L:L,MATCH(E29,Produtividade!C:C,0)),"")</f>
        <v/>
      </c>
      <c r="I29" t="str">
        <f>IFERROR(SMALL(D:D,ROW()-1),"")</f>
        <v/>
      </c>
      <c r="J29" t="str">
        <f>IF($I29="","",INDEX(E:E,MATCH($I29,$D:$D,0)))</f>
        <v/>
      </c>
    </row>
    <row r="30" spans="1:10">
      <c r="A30" s="458"/>
      <c r="G30"/>
    </row>
    <row r="31" spans="1:10">
      <c r="A31" s="458"/>
      <c r="G31"/>
    </row>
    <row r="32" spans="1:10">
      <c r="A32" s="458"/>
      <c r="G32"/>
    </row>
    <row r="33" spans="1:1">
      <c r="A33" s="458"/>
    </row>
    <row r="34" spans="1:1">
      <c r="A34" s="458"/>
    </row>
    <row r="35" spans="1:1">
      <c r="A35" s="458"/>
    </row>
    <row r="36" spans="1:1">
      <c r="A36" s="459"/>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2</vt:i4>
      </vt:variant>
    </vt:vector>
  </HeadingPairs>
  <TitlesOfParts>
    <vt:vector size="12" baseType="lpstr">
      <vt:lpstr>Mão de Obra</vt:lpstr>
      <vt:lpstr>Mat Individual e Uniformes</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Viviane Mosna Demoly</cp:lastModifiedBy>
  <cp:lastPrinted>2023-11-16T17:30:01Z</cp:lastPrinted>
  <dcterms:created xsi:type="dcterms:W3CDTF">2015-06-05T18:19:34Z</dcterms:created>
  <dcterms:modified xsi:type="dcterms:W3CDTF">2026-04-08T13:30:44Z</dcterms:modified>
</cp:coreProperties>
</file>