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EstaPasta_de_trabalho" defaultThemeVersion="124226"/>
  <xr:revisionPtr revIDLastSave="0" documentId="13_ncr:1_{8885F864-B4D0-448F-98E6-B2DF7961622C}" xr6:coauthVersionLast="47" xr6:coauthVersionMax="47" xr10:uidLastSave="{00000000-0000-0000-0000-000000000000}"/>
  <bookViews>
    <workbookView xWindow="2868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P844"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H989" i="2" l="1"/>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S21" i="2" l="1"/>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W8" i="12" s="1"/>
  <c r="AJ8" i="12"/>
  <c r="Y8" i="12"/>
  <c r="AD8" i="12"/>
  <c r="Z8" i="12"/>
  <c r="AA8" i="12" s="1"/>
  <c r="N8" i="12"/>
  <c r="AB8" i="12"/>
  <c r="AF8" i="12"/>
  <c r="F9" i="11"/>
  <c r="H9" i="11"/>
  <c r="L9" i="11"/>
  <c r="I9" i="11"/>
  <c r="B10" i="11"/>
  <c r="G9" i="11"/>
  <c r="I9" i="12"/>
  <c r="G9" i="12"/>
  <c r="H9" i="12"/>
  <c r="B10" i="12"/>
  <c r="F9" i="12"/>
  <c r="AC8" i="12" l="1"/>
  <c r="AG8" i="12"/>
  <c r="AI8" i="12"/>
  <c r="S8" i="12"/>
  <c r="O8" i="12"/>
  <c r="AE8" i="12"/>
  <c r="AK8" i="12"/>
  <c r="U8" i="12"/>
  <c r="Q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AF9" i="12" l="1"/>
  <c r="AG9" i="12" s="1"/>
  <c r="AD9" i="12"/>
  <c r="R9" i="12"/>
  <c r="S9" i="12" s="1"/>
  <c r="Z9" i="12"/>
  <c r="AB9" i="12"/>
  <c r="AJ9" i="12"/>
  <c r="N9" i="12"/>
  <c r="O9" i="12" s="1"/>
  <c r="P9" i="12"/>
  <c r="X9" i="12"/>
  <c r="T9" i="12"/>
  <c r="U9" i="12" s="1"/>
  <c r="AH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Q9" i="12" l="1"/>
  <c r="AK9" i="12"/>
  <c r="AC9" i="12"/>
  <c r="AI9" i="12"/>
  <c r="Y9" i="12"/>
  <c r="AA9" i="12"/>
  <c r="AE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U14" i="12" s="1"/>
  <c r="K13" i="12"/>
  <c r="T13" i="12"/>
  <c r="U13" i="12" s="1"/>
  <c r="L13" i="12"/>
  <c r="R13" i="12"/>
  <c r="S13" i="12" s="1"/>
  <c r="V13" i="12"/>
  <c r="W13" i="12" s="1"/>
  <c r="AJ13" i="12"/>
  <c r="AK13" i="12" s="1"/>
  <c r="AH13" i="12"/>
  <c r="AI13" i="12" s="1"/>
  <c r="D13" i="11"/>
  <c r="C13" i="11"/>
  <c r="Z14" i="12" l="1"/>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C74" i="10" l="1"/>
  <c r="C45" i="10"/>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l="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s="1" a="1"/>
  <c r="H59" i="10" s="1"/>
  <c r="E34" i="10" l="1"/>
  <c r="H34" i="10" s="1" a="1"/>
  <c r="H34" i="10" s="1"/>
  <c r="E23" i="10"/>
  <c r="E13" i="10"/>
  <c r="E92" i="10"/>
  <c r="E11" i="10"/>
  <c r="E99" i="10"/>
  <c r="E26" i="10"/>
  <c r="N26" i="10" s="1"/>
  <c r="E86" i="10"/>
  <c r="E29" i="10"/>
  <c r="E70" i="10"/>
  <c r="E97" i="10"/>
  <c r="G97" i="10" s="1"/>
  <c r="E46" i="10"/>
  <c r="E21" i="10"/>
  <c r="E45" i="10"/>
  <c r="E69" i="10"/>
  <c r="L70" i="10" s="1" a="1"/>
  <c r="L70" i="10" s="1"/>
  <c r="E91" i="10"/>
  <c r="E73" i="10"/>
  <c r="I73" i="10" s="1"/>
  <c r="E78" i="10"/>
  <c r="E37" i="10"/>
  <c r="E100" i="10"/>
  <c r="E17" i="10"/>
  <c r="G17" i="10" s="1"/>
  <c r="E93" i="10"/>
  <c r="E95" i="10"/>
  <c r="L96" i="10" s="1" a="1"/>
  <c r="L96" i="10" s="1"/>
  <c r="E96" i="10"/>
  <c r="E9" i="10"/>
  <c r="F9" i="10" s="1"/>
  <c r="E87" i="10"/>
  <c r="E90" i="10"/>
  <c r="M90" i="10" s="1"/>
  <c r="E74" i="10"/>
  <c r="E56" i="10"/>
  <c r="E76" i="10"/>
  <c r="E94" i="10"/>
  <c r="I94" i="10" s="1"/>
  <c r="E101" i="10"/>
  <c r="E30" i="10"/>
  <c r="E31" i="10"/>
  <c r="E33" i="10"/>
  <c r="I33" i="10" s="1"/>
  <c r="E88" i="10"/>
  <c r="E49" i="10"/>
  <c r="J49" i="10" s="1"/>
  <c r="E47" i="10"/>
  <c r="E82" i="10"/>
  <c r="E89" i="10"/>
  <c r="E39" i="10"/>
  <c r="G39" i="10" s="1"/>
  <c r="E54" i="10"/>
  <c r="E27" i="10"/>
  <c r="K27" i="10" s="1" a="1"/>
  <c r="K27" i="10" s="1"/>
  <c r="E72" i="10"/>
  <c r="E62" i="10"/>
  <c r="E104" i="10"/>
  <c r="E68" i="10"/>
  <c r="I68" i="10" s="1"/>
  <c r="E6" i="10"/>
  <c r="E98" i="10"/>
  <c r="L99" i="10" s="1" a="1"/>
  <c r="L99" i="10" s="1"/>
  <c r="F59" i="10"/>
  <c r="E105" i="10"/>
  <c r="G105" i="10" s="1"/>
  <c r="E14" i="10"/>
  <c r="E67" i="10"/>
  <c r="E36" i="10"/>
  <c r="E60" i="10"/>
  <c r="E28" i="10"/>
  <c r="E19" i="10"/>
  <c r="K19" i="10" s="1" a="1"/>
  <c r="K19" i="10" s="1"/>
  <c r="E8" i="10"/>
  <c r="E102" i="10"/>
  <c r="E15" i="10"/>
  <c r="L15" i="10" s="1" a="1"/>
  <c r="L15" i="10" s="1"/>
  <c r="E66" i="10"/>
  <c r="E25" i="10"/>
  <c r="E61" i="10"/>
  <c r="N61" i="10" s="1"/>
  <c r="E41" i="10"/>
  <c r="E79" i="10"/>
  <c r="E16" i="10"/>
  <c r="E35" i="10"/>
  <c r="M35" i="10" s="1"/>
  <c r="E32" i="10"/>
  <c r="E53" i="10"/>
  <c r="H53" i="10" s="1" a="1"/>
  <c r="H53" i="10" s="1"/>
  <c r="E58" i="10"/>
  <c r="E84" i="10"/>
  <c r="I84" i="10" s="1"/>
  <c r="E55" i="10"/>
  <c r="E50" i="10"/>
  <c r="E57" i="10"/>
  <c r="E24" i="10"/>
  <c r="L24" i="10" s="1" a="1"/>
  <c r="L24" i="10" s="1"/>
  <c r="E7" i="10"/>
  <c r="E51" i="10"/>
  <c r="G51" i="10" s="1"/>
  <c r="E77" i="10"/>
  <c r="E38" i="10"/>
  <c r="E81" i="10"/>
  <c r="E43" i="10"/>
  <c r="M44" i="10" s="1"/>
  <c r="E64" i="10"/>
  <c r="E75" i="10"/>
  <c r="N75" i="10" s="1"/>
  <c r="E83" i="10"/>
  <c r="E103" i="10"/>
  <c r="E10" i="10"/>
  <c r="E12" i="10"/>
  <c r="H12" i="10" s="1" a="1"/>
  <c r="H12" i="10" s="1"/>
  <c r="E48" i="10"/>
  <c r="E42" i="10"/>
  <c r="M42" i="10" s="1"/>
  <c r="E40" i="10"/>
  <c r="E18" i="10"/>
  <c r="E52" i="10"/>
  <c r="E80" i="10"/>
  <c r="I80" i="10" s="1"/>
  <c r="E44" i="10"/>
  <c r="E22" i="10"/>
  <c r="H22" i="10" s="1" a="1"/>
  <c r="H22" i="10" s="1"/>
  <c r="E85" i="10"/>
  <c r="E20" i="10"/>
  <c r="E65" i="10"/>
  <c r="E71" i="10"/>
  <c r="K71" i="10" s="1" a="1"/>
  <c r="K71" i="10" s="1"/>
  <c r="G59" i="10"/>
  <c r="I59" i="10"/>
  <c r="E63" i="10"/>
  <c r="J59" i="10"/>
  <c r="N59" i="10"/>
  <c r="K59" i="10" a="1"/>
  <c r="K59" i="10" s="1"/>
  <c r="G23" i="10"/>
  <c r="H23" i="10" a="1"/>
  <c r="H23" i="10" s="1"/>
  <c r="F23" i="10"/>
  <c r="J23" i="10"/>
  <c r="I23" i="10"/>
  <c r="N23" i="10"/>
  <c r="K23" i="10" a="1"/>
  <c r="K23" i="10" s="1"/>
  <c r="I69" i="10"/>
  <c r="F11" i="10"/>
  <c r="I11" i="10"/>
  <c r="K11" i="10" a="1"/>
  <c r="K11" i="10" s="1"/>
  <c r="J78" i="10"/>
  <c r="G78" i="10"/>
  <c r="N78" i="10"/>
  <c r="K78" i="10" a="1"/>
  <c r="K78" i="10" s="1"/>
  <c r="F78" i="10"/>
  <c r="I78" i="10"/>
  <c r="H78" i="10" a="1"/>
  <c r="H78" i="10" s="1"/>
  <c r="K86" i="10" a="1"/>
  <c r="K86" i="10" s="1"/>
  <c r="F86" i="10"/>
  <c r="J86" i="10"/>
  <c r="G86" i="10"/>
  <c r="M87" i="10"/>
  <c r="L87" i="10" a="1"/>
  <c r="L87" i="10" s="1"/>
  <c r="I86" i="10"/>
  <c r="H86" i="10" a="1"/>
  <c r="H86" i="10" s="1"/>
  <c r="N86" i="10"/>
  <c r="I17" i="10"/>
  <c r="J97" i="10"/>
  <c r="H96" i="10" a="1"/>
  <c r="H96" i="10" s="1"/>
  <c r="I96" i="10"/>
  <c r="F96" i="10"/>
  <c r="N96" i="10"/>
  <c r="K96" i="10" a="1"/>
  <c r="K96" i="10" s="1"/>
  <c r="J96" i="10"/>
  <c r="G96" i="10"/>
  <c r="F34" i="10"/>
  <c r="G74" i="10"/>
  <c r="H74" i="10" a="1"/>
  <c r="H74" i="10" s="1"/>
  <c r="I74" i="10"/>
  <c r="J74" i="10"/>
  <c r="N74" i="10"/>
  <c r="F74" i="10"/>
  <c r="K74" i="10" a="1"/>
  <c r="K74" i="10" s="1"/>
  <c r="J31" i="10"/>
  <c r="F31" i="10"/>
  <c r="N31" i="10"/>
  <c r="M32" i="10"/>
  <c r="G31" i="10"/>
  <c r="H31" i="10" a="1"/>
  <c r="H31" i="10" s="1"/>
  <c r="K31" i="10" a="1"/>
  <c r="K31" i="10" s="1"/>
  <c r="L32" i="10" a="1"/>
  <c r="L32" i="10" s="1"/>
  <c r="I31" i="10"/>
  <c r="H49" i="10" a="1"/>
  <c r="H49" i="10" s="1"/>
  <c r="G89" i="10"/>
  <c r="N89" i="10"/>
  <c r="F89" i="10"/>
  <c r="K89" i="10" a="1"/>
  <c r="K89" i="10" s="1"/>
  <c r="J89" i="10"/>
  <c r="I89" i="10"/>
  <c r="H89" i="10" a="1"/>
  <c r="H89" i="10" s="1"/>
  <c r="G27" i="10"/>
  <c r="J27" i="10"/>
  <c r="J104" i="10"/>
  <c r="N104" i="10"/>
  <c r="I104" i="10"/>
  <c r="F104" i="10"/>
  <c r="G104" i="10"/>
  <c r="K104" i="10" a="1"/>
  <c r="K104" i="10" s="1"/>
  <c r="L105" i="10" a="1"/>
  <c r="L105" i="10" s="1"/>
  <c r="H104" i="10" a="1"/>
  <c r="H104" i="10" s="1"/>
  <c r="I63" i="10"/>
  <c r="F63" i="10"/>
  <c r="K63" i="10" a="1"/>
  <c r="K63" i="10" s="1"/>
  <c r="J63" i="10"/>
  <c r="N63" i="10"/>
  <c r="H63" i="10" a="1"/>
  <c r="H63" i="10" s="1"/>
  <c r="L64" i="10" a="1"/>
  <c r="L64" i="10" s="1"/>
  <c r="G63" i="10"/>
  <c r="M64" i="10"/>
  <c r="J84" i="10"/>
  <c r="M10" i="10"/>
  <c r="N9" i="10"/>
  <c r="H9" i="10" a="1"/>
  <c r="H9" i="10" s="1"/>
  <c r="I9" i="10"/>
  <c r="J9" i="10"/>
  <c r="I14" i="10"/>
  <c r="N14" i="10"/>
  <c r="H14" i="10" a="1"/>
  <c r="H14" i="10" s="1"/>
  <c r="G14" i="10"/>
  <c r="F14" i="10"/>
  <c r="J14" i="10"/>
  <c r="K14" i="10" a="1"/>
  <c r="K14" i="10" s="1"/>
  <c r="I8" i="10"/>
  <c r="N8" i="10"/>
  <c r="H8" i="10" a="1"/>
  <c r="H8" i="10" s="1"/>
  <c r="K8" i="10" a="1"/>
  <c r="K8" i="10" s="1"/>
  <c r="J8" i="10"/>
  <c r="F8" i="10"/>
  <c r="G8" i="10"/>
  <c r="M9" i="10"/>
  <c r="J41" i="10"/>
  <c r="L42" i="10" a="1"/>
  <c r="L42" i="10" s="1"/>
  <c r="H41" i="10" a="1"/>
  <c r="H41" i="10" s="1"/>
  <c r="N41"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H98" i="10" a="1"/>
  <c r="H98" i="10" s="1"/>
  <c r="I98" i="10"/>
  <c r="G98" i="10"/>
  <c r="J98" i="10"/>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F73" i="10"/>
  <c r="J73" i="10"/>
  <c r="H73" i="10" a="1"/>
  <c r="H73" i="10" s="1"/>
  <c r="G73" i="10"/>
  <c r="J26" i="10"/>
  <c r="I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F95" i="10"/>
  <c r="N95" i="10"/>
  <c r="I95" i="10"/>
  <c r="G95" i="10"/>
  <c r="M43" i="10"/>
  <c r="H42" i="10" a="1"/>
  <c r="H42" i="10" s="1"/>
  <c r="K42" i="10" a="1"/>
  <c r="K42" i="10" s="1"/>
  <c r="F42" i="10"/>
  <c r="L102" i="10" a="1"/>
  <c r="L102" i="10" s="1"/>
  <c r="F101" i="10"/>
  <c r="M102" i="10"/>
  <c r="K101" i="10" a="1"/>
  <c r="K101" i="10" s="1"/>
  <c r="J101" i="10"/>
  <c r="N101" i="10"/>
  <c r="G101" i="10"/>
  <c r="I101" i="10"/>
  <c r="H101" i="10" a="1"/>
  <c r="H101" i="10" s="1"/>
  <c r="N33" i="10"/>
  <c r="J33" i="10"/>
  <c r="H33" i="10" a="1"/>
  <c r="H33" i="10" s="1"/>
  <c r="L34" i="10" a="1"/>
  <c r="L34" i="10" s="1"/>
  <c r="N47" i="10"/>
  <c r="G47" i="10"/>
  <c r="J47" i="10"/>
  <c r="L48" i="10" a="1"/>
  <c r="L48" i="10" s="1"/>
  <c r="K47" i="10" a="1"/>
  <c r="K47" i="10" s="1"/>
  <c r="F47" i="10"/>
  <c r="H47" i="10" a="1"/>
  <c r="H47" i="10" s="1"/>
  <c r="I47" i="10"/>
  <c r="M48" i="10"/>
  <c r="J39" i="10"/>
  <c r="M40" i="10"/>
  <c r="L40" i="10" a="1"/>
  <c r="L40" i="10" s="1"/>
  <c r="I39" i="10"/>
  <c r="N72" i="10"/>
  <c r="K72" i="10" a="1"/>
  <c r="K72" i="10" s="1"/>
  <c r="H72" i="10" a="1"/>
  <c r="H72" i="10" s="1"/>
  <c r="I72" i="10"/>
  <c r="G72" i="10"/>
  <c r="F72" i="10"/>
  <c r="L73" i="10" a="1"/>
  <c r="L73" i="10" s="1"/>
  <c r="J72" i="10"/>
  <c r="J68" i="10"/>
  <c r="K68" i="10" a="1"/>
  <c r="K68" i="10" s="1"/>
  <c r="M69" i="10"/>
  <c r="G68" i="10"/>
  <c r="I22" i="10"/>
  <c r="J22" i="10"/>
  <c r="L23" i="10" a="1"/>
  <c r="L23" i="10" s="1"/>
  <c r="N22" i="10"/>
  <c r="F22" i="10"/>
  <c r="F15" i="10"/>
  <c r="H15" i="10" a="1"/>
  <c r="H15" i="10" s="1"/>
  <c r="I15" i="10"/>
  <c r="K15" i="10" a="1"/>
  <c r="K15" i="10" s="1"/>
  <c r="G15" i="10"/>
  <c r="J15" i="10"/>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L16" i="10" l="1" a="1"/>
  <c r="L16" i="10" s="1"/>
  <c r="M16" i="10"/>
  <c r="M95" i="10"/>
  <c r="N15" i="10"/>
  <c r="M27" i="10"/>
  <c r="M15" i="10"/>
  <c r="L27" i="10" a="1"/>
  <c r="L27" i="10" s="1"/>
  <c r="M85" i="10"/>
  <c r="F27" i="10"/>
  <c r="I27" i="10"/>
  <c r="N27" i="10"/>
  <c r="N49" i="10"/>
  <c r="J94" i="10"/>
  <c r="N69" i="10"/>
  <c r="H84" i="10" a="1"/>
  <c r="H84" i="10" s="1"/>
  <c r="L85" i="10" a="1"/>
  <c r="L85" i="10" s="1"/>
  <c r="N24" i="10"/>
  <c r="M13" i="10"/>
  <c r="K61" i="10" a="1"/>
  <c r="K61" i="10" s="1"/>
  <c r="N80" i="10"/>
  <c r="K75" i="10" a="1"/>
  <c r="K75" i="10" s="1"/>
  <c r="F105" i="10"/>
  <c r="J71" i="10"/>
  <c r="F12" i="10"/>
  <c r="K43" i="10" a="1"/>
  <c r="K43" i="10" s="1"/>
  <c r="M54" i="10"/>
  <c r="N19" i="10"/>
  <c r="M98" i="10"/>
  <c r="K105" i="10" a="1"/>
  <c r="K105" i="10" s="1"/>
  <c r="I71" i="10"/>
  <c r="G80" i="10"/>
  <c r="N12" i="10"/>
  <c r="L44" i="10" a="1"/>
  <c r="L44" i="10" s="1"/>
  <c r="J24" i="10"/>
  <c r="N53" i="10"/>
  <c r="H61" i="10" a="1"/>
  <c r="H61" i="10" s="1"/>
  <c r="F61" i="10"/>
  <c r="J19" i="10"/>
  <c r="G75" i="10"/>
  <c r="K51" i="10" a="1"/>
  <c r="K51" i="10" s="1"/>
  <c r="L18" i="10" a="1"/>
  <c r="L18" i="10" s="1"/>
  <c r="L12" i="10" a="1"/>
  <c r="L12" i="10" s="1"/>
  <c r="M23" i="10"/>
  <c r="G22" i="10"/>
  <c r="K22" i="10" a="1"/>
  <c r="K22" i="10" s="1"/>
  <c r="N68" i="10"/>
  <c r="F68" i="10"/>
  <c r="L69" i="10" a="1"/>
  <c r="L69" i="10" s="1"/>
  <c r="H68" i="10" a="1"/>
  <c r="H68" i="10" s="1"/>
  <c r="M73" i="10"/>
  <c r="H39" i="10" a="1"/>
  <c r="H39" i="10" s="1"/>
  <c r="N39" i="10"/>
  <c r="K39" i="10" a="1"/>
  <c r="K39" i="10" s="1"/>
  <c r="F39" i="10"/>
  <c r="G33" i="10"/>
  <c r="F33" i="10"/>
  <c r="M34" i="10"/>
  <c r="K33" i="10" a="1"/>
  <c r="K33" i="10" s="1"/>
  <c r="G42" i="10"/>
  <c r="L43" i="10" a="1"/>
  <c r="L43" i="10" s="1"/>
  <c r="I42" i="10"/>
  <c r="J42" i="10"/>
  <c r="N42" i="10"/>
  <c r="H95" i="10" a="1"/>
  <c r="H95" i="10" s="1"/>
  <c r="J95" i="10"/>
  <c r="M96" i="10"/>
  <c r="G26" i="10"/>
  <c r="K26" i="10" a="1"/>
  <c r="K26" i="10" s="1"/>
  <c r="H26" i="10" a="1"/>
  <c r="H26" i="10" s="1"/>
  <c r="F26" i="10"/>
  <c r="K73" i="10" a="1"/>
  <c r="K73" i="10" s="1"/>
  <c r="L74" i="10" a="1"/>
  <c r="L74" i="10" s="1"/>
  <c r="N73" i="10"/>
  <c r="K98" i="10" a="1"/>
  <c r="K98" i="10" s="1"/>
  <c r="M99" i="10"/>
  <c r="F98" i="10"/>
  <c r="N98" i="10"/>
  <c r="L49" i="10" a="1"/>
  <c r="L49" i="10" s="1"/>
  <c r="L9" i="10" a="1"/>
  <c r="L9" i="10" s="1"/>
  <c r="K9" i="10" a="1"/>
  <c r="K9" i="10" s="1"/>
  <c r="L10" i="10" a="1"/>
  <c r="L10" i="10" s="1"/>
  <c r="G9" i="10"/>
  <c r="G84" i="10"/>
  <c r="K84" i="10" a="1"/>
  <c r="K84" i="10" s="1"/>
  <c r="N84" i="10"/>
  <c r="F84" i="10"/>
  <c r="M105" i="10"/>
  <c r="M28" i="10"/>
  <c r="H27" i="10" a="1"/>
  <c r="H27" i="10" s="1"/>
  <c r="L28" i="10" a="1"/>
  <c r="L28" i="10" s="1"/>
  <c r="L90" i="10" a="1"/>
  <c r="L90" i="10" s="1"/>
  <c r="L50" i="10" a="1"/>
  <c r="L50" i="10" s="1"/>
  <c r="K49" i="10" a="1"/>
  <c r="K49" i="10" s="1"/>
  <c r="G94" i="10"/>
  <c r="K94" i="10" a="1"/>
  <c r="K94" i="10" s="1"/>
  <c r="L75" i="10" a="1"/>
  <c r="L75" i="10" s="1"/>
  <c r="M75" i="10"/>
  <c r="N105" i="10"/>
  <c r="N34" i="10"/>
  <c r="M72" i="10"/>
  <c r="N71" i="10"/>
  <c r="M81" i="10"/>
  <c r="L13" i="10" a="1"/>
  <c r="L13" i="10" s="1"/>
  <c r="I43" i="10"/>
  <c r="K24" i="10" a="1"/>
  <c r="K24" i="10" s="1"/>
  <c r="L25" i="10" a="1"/>
  <c r="L25" i="10" s="1"/>
  <c r="I24" i="10"/>
  <c r="I53" i="10"/>
  <c r="G61" i="10"/>
  <c r="H19" i="10" a="1"/>
  <c r="H19" i="10" s="1"/>
  <c r="F75" i="10"/>
  <c r="J75" i="10"/>
  <c r="L98" i="10" a="1"/>
  <c r="L98" i="10" s="1"/>
  <c r="I97" i="10"/>
  <c r="F17" i="10"/>
  <c r="M12" i="10"/>
  <c r="K69" i="10" a="1"/>
  <c r="K69" i="10" s="1"/>
  <c r="I51" i="10"/>
  <c r="G71" i="10"/>
  <c r="L72" i="10" a="1"/>
  <c r="L72" i="10" s="1"/>
  <c r="F71" i="10"/>
  <c r="H71" i="10" a="1"/>
  <c r="H71" i="10" s="1"/>
  <c r="K80" i="10" a="1"/>
  <c r="K80" i="10" s="1"/>
  <c r="H80" i="10" a="1"/>
  <c r="H80" i="10" s="1"/>
  <c r="L81" i="10" a="1"/>
  <c r="L81" i="10" s="1"/>
  <c r="F80" i="10"/>
  <c r="J80" i="10"/>
  <c r="K12" i="10" a="1"/>
  <c r="K12" i="10" s="1"/>
  <c r="G12" i="10"/>
  <c r="I12" i="10"/>
  <c r="J12" i="10"/>
  <c r="I75" i="10"/>
  <c r="M76" i="10"/>
  <c r="L76" i="10" a="1"/>
  <c r="L76" i="10" s="1"/>
  <c r="H75" i="10" a="1"/>
  <c r="H75" i="10" s="1"/>
  <c r="G43" i="10"/>
  <c r="J43" i="10"/>
  <c r="H43" i="10" a="1"/>
  <c r="H43" i="10" s="1"/>
  <c r="N43" i="10"/>
  <c r="F43" i="10"/>
  <c r="F51" i="10"/>
  <c r="H51" i="10" a="1"/>
  <c r="H51" i="10" s="1"/>
  <c r="N51" i="10"/>
  <c r="J51" i="10"/>
  <c r="M24" i="10"/>
  <c r="F24" i="10"/>
  <c r="M25" i="10"/>
  <c r="G24" i="10"/>
  <c r="H24" i="10" a="1"/>
  <c r="H24" i="10" s="1"/>
  <c r="K53" i="10" a="1"/>
  <c r="K53" i="10" s="1"/>
  <c r="F53" i="10"/>
  <c r="L54" i="10" a="1"/>
  <c r="L54" i="10" s="1"/>
  <c r="J53" i="10"/>
  <c r="G53" i="10"/>
  <c r="M79" i="10"/>
  <c r="L79" i="10" a="1"/>
  <c r="L79" i="10" s="1"/>
  <c r="I61" i="10"/>
  <c r="M62" i="10"/>
  <c r="L62" i="10" a="1"/>
  <c r="L62" i="10" s="1"/>
  <c r="J61" i="10"/>
  <c r="I19" i="10"/>
  <c r="G19" i="10"/>
  <c r="F19" i="10"/>
  <c r="L20" i="10" a="1"/>
  <c r="L20" i="10" s="1"/>
  <c r="M20" i="10"/>
  <c r="I105" i="10"/>
  <c r="H105" i="10" a="1"/>
  <c r="H105" i="10" s="1"/>
  <c r="J105" i="10"/>
  <c r="G49" i="10"/>
  <c r="M50" i="10"/>
  <c r="I49" i="10"/>
  <c r="F49" i="10"/>
  <c r="N94" i="10"/>
  <c r="H94" i="10" a="1"/>
  <c r="H94" i="10" s="1"/>
  <c r="L95" i="10" a="1"/>
  <c r="L95" i="10" s="1"/>
  <c r="F94" i="10"/>
  <c r="J17" i="10"/>
  <c r="M18" i="10"/>
  <c r="N17" i="10"/>
  <c r="K17" i="10" a="1"/>
  <c r="K17" i="10" s="1"/>
  <c r="H17" i="10" a="1"/>
  <c r="H17" i="10" s="1"/>
  <c r="H69" i="10" a="1"/>
  <c r="H69" i="10" s="1"/>
  <c r="F69" i="10"/>
  <c r="G69" i="10"/>
  <c r="M70" i="10"/>
  <c r="J69" i="10"/>
  <c r="H97" i="10" a="1"/>
  <c r="H97" i="10" s="1"/>
  <c r="K97" i="10" a="1"/>
  <c r="K97" i="10" s="1"/>
  <c r="N97" i="10"/>
  <c r="F97" i="10"/>
  <c r="M97" i="10"/>
  <c r="L97" i="10" a="1"/>
  <c r="L97" i="10" s="1"/>
  <c r="G11" i="10"/>
  <c r="J11" i="10"/>
  <c r="H11" i="10" a="1"/>
  <c r="H11" i="10" s="1"/>
  <c r="N11" i="10"/>
  <c r="J34" i="10"/>
  <c r="K34" i="10" a="1"/>
  <c r="K34" i="10" s="1"/>
  <c r="G34" i="10"/>
  <c r="L35" i="10" a="1"/>
  <c r="L35" i="10" s="1"/>
  <c r="I34" i="10"/>
  <c r="L52" i="10" a="1"/>
  <c r="L52" i="10" s="1"/>
  <c r="M52" i="10"/>
  <c r="O7" i="10"/>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<sst xmlns="http://schemas.openxmlformats.org/spreadsheetml/2006/main" count="3448" uniqueCount="441">
  <si>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</si>
  <si>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</si>
  <si>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</si>
  <si>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</si>
  <si>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</si>
  <si>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</si>
  <si>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</si>
  <si>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</si>
  <si>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</si>
  <si>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</si>
  <si>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</si>
  <si>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</si>
  <si>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</si>
  <si>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</si>
  <si>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</si>
  <si>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</si>
  <si>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</si>
  <si>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</si>
  <si>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</si>
  <si>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</si>
  <si>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</si>
  <si>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</si>
  <si>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</si>
  <si>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</si>
  <si>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</si>
  <si>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</si>
  <si>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</si>
  <si>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</si>
  <si>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</si>
  <si>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</si>
  <si>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</si>
  <si>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</si>
  <si>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</si>
  <si>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</si>
  <si>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</si>
  <si>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</si>
  <si>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</si>
  <si>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</si>
  <si>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</si>
  <si>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</si>
  <si>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</si>
  <si>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</si>
  <si>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</si>
  <si>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</si>
  <si>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</si>
  <si>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</si>
  <si>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</si>
  <si>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</si>
  <si>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</si>
  <si>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</si>
  <si>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</si>
  <si>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</si>
  <si>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</si>
  <si>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</si>
  <si>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</si>
  <si>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</si>
  <si>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</si>
  <si>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</si>
  <si>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</si>
  <si>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</si>
  <si>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</si>
  <si>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</si>
  <si>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</si>
  <si>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</si>
  <si>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</si>
  <si>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</si>
  <si>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</si>
  <si>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</si>
  <si>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</si>
  <si>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</si>
  <si>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</si>
  <si>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</si>
  <si>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</si>
  <si>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</si>
  <si>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</si>
  <si>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</si>
  <si>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</si>
  <si>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</si>
  <si>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</si>
  <si>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</si>
  <si>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</si>
  <si>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</si>
  <si>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</si>
  <si>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</si>
  <si>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</si>
  <si>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</si>
  <si>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</si>
  <si>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</si>
  <si>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</si>
  <si>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</si>
  <si>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</si>
  <si>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</si>
  <si>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</si>
  <si>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</si>
  <si>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</si>
  <si>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</si>
  <si>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</si>
  <si>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</si>
  <si>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</si>
  <si>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</si>
  <si>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</si>
  <si>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</si>
  <si>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</si>
  <si>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</si>
  <si>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</si>
  <si>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</si>
  <si>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</si>
  <si>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</si>
  <si>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</si>
  <si>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</si>
  <si>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</si>
  <si>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</si>
  <si>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</si>
  <si>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</si>
  <si>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</si>
  <si>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</si>
  <si>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</si>
  <si>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</si>
  <si>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</si>
  <si>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</si>
  <si>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</si>
  <si>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</si>
  <si>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</si>
  <si>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</si>
  <si>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</si>
  <si>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</si>
  <si>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</si>
  <si>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</si>
  <si>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</si>
  <si>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</si>
  <si>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</si>
  <si>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</si>
  <si>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</si>
  <si>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</si>
  <si>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</si>
  <si>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</si>
  <si>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</si>
  <si>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</si>
  <si>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</si>
  <si>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</si>
  <si>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</si>
  <si>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</si>
  <si>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</si>
  <si>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</si>
  <si>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</si>
  <si>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</si>
  <si>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</si>
  <si>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</si>
  <si>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</si>
  <si>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</si>
  <si>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</si>
  <si>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</si>
  <si>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</si>
  <si>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</si>
  <si>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</si>
  <si>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</si>
  <si>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</si>
  <si>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</si>
  <si>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</si>
  <si>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</si>
  <si>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</si>
  <si>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</si>
  <si>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</si>
  <si>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</si>
  <si>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</si>
  <si>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</si>
  <si>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</si>
  <si>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</si>
  <si>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</si>
  <si>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</si>
  <si>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</si>
  <si>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</si>
  <si>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</si>
  <si>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</si>
  <si>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</si>
  <si>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</si>
  <si>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</si>
  <si>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</si>
  <si>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</si>
  <si>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</si>
  <si>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</si>
  <si>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</si>
  <si>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</si>
  <si>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</si>
  <si>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</si>
  <si>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</si>
  <si>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</si>
  <si>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</si>
  <si>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</si>
  <si>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</si>
  <si>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</si>
  <si>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</si>
  <si>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</si>
  <si>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</si>
  <si>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</si>
  <si>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</si>
  <si>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</si>
  <si>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</si>
  <si>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</si>
  <si>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</si>
  <si>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</si>
  <si>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</si>
  <si>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</si>
  <si>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</si>
  <si>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</si>
  <si>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</si>
  <si>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</si>
  <si>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</si>
  <si>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</si>
  <si>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</si>
  <si>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</si>
  <si>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</si>
  <si>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</si>
  <si>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</si>
  <si>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</si>
  <si>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</si>
  <si>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</si>
  <si>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</si>
  <si>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</si>
  <si>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</si>
  <si>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</si>
  <si>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</si>
  <si>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</si>
  <si>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</si>
  <si>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</si>
  <si>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</si>
  <si>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</si>
  <si>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</si>
  <si>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</si>
  <si>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</si>
  <si>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</si>
  <si>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</si>
  <si>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</si>
  <si>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</si>
  <si>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</si>
  <si>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</si>
  <si>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</si>
  <si>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</si>
  <si>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</si>
  <si>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</si>
  <si>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</si>
  <si>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</si>
  <si>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</si>
  <si>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</si>
  <si>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</si>
  <si>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</si>
  <si>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</si>
  <si>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</si>
  <si>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</si>
  <si>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</si>
  <si>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</si>
  <si>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</si>
  <si>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</si>
  <si>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</si>
  <si>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</si>
  <si>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</si>
  <si>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</si>
  <si>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</si>
  <si>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</si>
  <si>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</si>
  <si>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</si>
  <si>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</si>
  <si>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</si>
  <si>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</si>
  <si>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</si>
  <si>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</si>
  <si>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</si>
  <si>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</si>
  <si>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</si>
  <si>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</si>
  <si>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</si>
  <si>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</si>
  <si>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</si>
  <si>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</si>
  <si>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</si>
  <si>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</si>
  <si>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</si>
  <si>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</si>
  <si>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</si>
  <si>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</si>
  <si>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</si>
  <si>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</si>
  <si>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</si>
  <si>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</si>
  <si>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</si>
  <si>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</si>
  <si>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</si>
  <si>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</si>
  <si>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</si>
  <si>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</si>
  <si>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</si>
  <si>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</si>
  <si>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</si>
  <si>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</si>
  <si>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</si>
  <si>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</si>
  <si>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</si>
  <si>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</si>
  <si>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</si>
  <si>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</si>
  <si>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</si>
  <si>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</si>
  <si>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</si>
  <si>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</si>
  <si>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</si>
  <si>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</si>
  <si>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</si>
  <si>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</si>
  <si>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</si>
  <si>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</si>
  <si>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</si>
  <si>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</si>
  <si>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</si>
  <si>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</si>
  <si>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</si>
  <si>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</si>
  <si>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</si>
  <si>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</si>
  <si>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</si>
  <si>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</si>
  <si>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</si>
  <si>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</si>
  <si>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</si>
  <si>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</si>
  <si>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</si>
  <si>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</si>
  <si>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</si>
  <si>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</si>
  <si>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</si>
  <si>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</si>
  <si>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</si>
  <si>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</si>
  <si>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</si>
  <si>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</si>
  <si>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</si>
  <si>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</si>
  <si>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</si>
  <si>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</si>
  <si>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</si>
  <si>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</si>
  <si>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</si>
  <si>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</si>
  <si>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</si>
  <si>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</si>
  <si>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</si>
  <si>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</si>
  <si>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</si>
  <si>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</si>
  <si>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</si>
  <si>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</si>
  <si>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</si>
  <si>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</si>
  <si>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</si>
  <si>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</si>
  <si>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</si>
  <si>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</si>
  <si>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</si>
  <si>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</si>
  <si>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</si>
  <si>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</si>
  <si>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</si>
  <si>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</si>
  <si>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</si>
  <si>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</si>
  <si>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</si>
  <si>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</si>
  <si>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</si>
  <si>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</si>
  <si>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</si>
  <si>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</si>
  <si>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</si>
  <si>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</si>
  <si>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</si>
  <si>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</si>
  <si>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</si>
  <si>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</si>
  <si>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</si>
  <si>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</si>
  <si>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</si>
  <si>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</si>
  <si>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</si>
  <si>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</si>
  <si>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</si>
  <si>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</si>
  <si>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</si>
  <si>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</si>
  <si>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</si>
  <si>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</si>
  <si>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</si>
  <si>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</si>
  <si>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</si>
  <si>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</si>
  <si>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</si>
  <si>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</si>
  <si>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</si>
  <si>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</si>
  <si>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</si>
  <si>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</si>
  <si>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</si>
  <si>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</si>
  <si>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</si>
  <si>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</si>
  <si>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</si>
  <si>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</si>
  <si>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</si>
  <si>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</si>
  <si>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</si>
  <si>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</si>
  <si>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</si>
  <si>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</si>
  <si>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</si>
  <si>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</si>
  <si>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</si>
  <si>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</si>
  <si>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</si>
  <si>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</si>
  <si>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</si>
  <si>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</si>
  <si>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</si>
  <si>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</si>
  <si>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</si>
  <si>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</si>
  <si>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</si>
  <si>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</si>
  <si>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</si>
  <si>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</si>
  <si>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</si>
  <si>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</si>
  <si>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</si>
  <si>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</si>
  <si>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</si>
  <si>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</si>
  <si>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</si>
  <si>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25.0.000075287-0</t>
  </si>
  <si>
    <t>DAC/RM</t>
  </si>
  <si>
    <t>Marcelo Aguiar de Menezes</t>
  </si>
  <si>
    <t>544878/02</t>
  </si>
  <si>
    <t>Serviços Técnicos especializados para consultoria na Tecnologia QLIK.</t>
  </si>
  <si>
    <t>Ata RP 025/2024 - Salvador/BA</t>
  </si>
  <si>
    <t>Ata RP 001/2026 - Rio de Janeiro/RJ</t>
  </si>
  <si>
    <t>Ata RP 30/2024 TRF 5° Região - Recife/PE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</si>
</sst>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5" borderId="1" xfId="2"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R60" sqref="R6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6" width="29.5703125" style="121" customWidth="1"/>
    <col min="17" max="17" width="33.5703125" style="121" customWidth="1"/>
    <col min="18" max="18" width="38" style="121" customWidth="1"/>
    <col min="19" max="19" width="30.7109375" style="121" customWidth="1"/>
    <col min="20"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6" t="str">
        <f>CONCATENATE("PREFEITURA MUNICIPAL DE PORTO ALEGRE
",H5,"
MAPA DE PREÇOS - ", UPPER(TEXT(MAX('Tabela de Apoio'!A:A),"MMM/AA")))</f>
        <v>PREFEITURA MUNICIPAL DE PORTO ALEGRE
SECRETARIA MUNICIPAL DA FAZENDA (SMF)
MAPA DE PREÇOS - DEZ/25</v>
      </c>
      <c r="F2" s="206"/>
      <c r="G2" s="206"/>
      <c r="H2" s="206"/>
      <c r="I2" s="206"/>
      <c r="J2" s="206"/>
      <c r="K2" s="206"/>
      <c r="L2" s="206"/>
      <c r="M2" s="206"/>
      <c r="N2" s="206"/>
      <c r="O2" s="206"/>
      <c r="P2" s="206"/>
      <c r="Q2" s="206"/>
      <c r="R2" s="206"/>
      <c r="S2" s="206"/>
      <c r="T2" s="206"/>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13" t="s">
        <v>14</v>
      </c>
      <c r="S4" s="213"/>
      <c r="T4" s="213"/>
      <c r="U4" s="213"/>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08" t="s">
        <v>410</v>
      </c>
      <c r="I5" s="208"/>
      <c r="J5" s="208"/>
      <c r="K5" s="141"/>
      <c r="L5" s="216" t="s">
        <v>321</v>
      </c>
      <c r="M5" s="207"/>
      <c r="N5" s="207"/>
      <c r="O5" s="209" t="s">
        <v>434</v>
      </c>
      <c r="P5" s="210"/>
      <c r="Q5" s="98"/>
      <c r="R5" s="214" t="s">
        <v>383</v>
      </c>
      <c r="S5" s="214"/>
      <c r="T5" s="214"/>
      <c r="U5" s="21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12"/>
      <c r="I6" s="212"/>
      <c r="J6" s="212"/>
      <c r="K6" s="142"/>
      <c r="L6" s="216" t="s">
        <v>352</v>
      </c>
      <c r="M6" s="207"/>
      <c r="N6" s="207"/>
      <c r="O6" s="209" t="s">
        <v>435</v>
      </c>
      <c r="P6" s="210"/>
      <c r="Q6" s="98"/>
      <c r="R6" s="214"/>
      <c r="S6" s="214"/>
      <c r="T6" s="214"/>
      <c r="U6" s="21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08" t="s">
        <v>433</v>
      </c>
      <c r="I7" s="208"/>
      <c r="J7" s="208"/>
      <c r="K7" s="141"/>
      <c r="L7" s="216" t="s">
        <v>351</v>
      </c>
      <c r="M7" s="207"/>
      <c r="N7" s="207"/>
      <c r="O7" s="209" t="s">
        <v>436</v>
      </c>
      <c r="P7" s="210"/>
      <c r="Q7" s="98"/>
      <c r="R7" s="214"/>
      <c r="S7" s="214"/>
      <c r="T7" s="214"/>
      <c r="U7" s="21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26">
        <f>MIN(MAX(COUNTA('BASE FORMAÇÃO'!C:C)-1,1),100)</f>
        <v>1</v>
      </c>
      <c r="I8" s="227"/>
      <c r="J8" s="228"/>
      <c r="K8" s="141"/>
      <c r="L8" s="229" t="s">
        <v>301</v>
      </c>
      <c r="M8" s="230"/>
      <c r="N8" s="231"/>
      <c r="O8" s="220">
        <v>46094</v>
      </c>
      <c r="P8" s="221"/>
      <c r="Q8" s="97"/>
      <c r="R8" s="215" t="s">
        <v>379</v>
      </c>
      <c r="S8" s="215"/>
      <c r="T8" s="215"/>
      <c r="U8" s="21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25">
        <f>SUMIF(L:L,"TOTAL ITEM",M:M)</f>
        <v>361433.35</v>
      </c>
      <c r="I9" s="225"/>
      <c r="J9" s="225"/>
      <c r="K9" s="141"/>
      <c r="L9" s="217"/>
      <c r="M9" s="218"/>
      <c r="N9" s="219"/>
      <c r="O9" s="222"/>
      <c r="P9" s="223"/>
      <c r="Q9" s="97"/>
      <c r="R9" s="215"/>
      <c r="S9" s="215"/>
      <c r="T9" s="215"/>
      <c r="U9" s="21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3" t="s">
        <v>314</v>
      </c>
      <c r="F11" s="65"/>
      <c r="G11" s="213" t="s">
        <v>324</v>
      </c>
      <c r="H11" s="213"/>
      <c r="I11" s="213"/>
      <c r="J11" s="213"/>
      <c r="K11" s="65"/>
      <c r="L11" s="213" t="s">
        <v>10</v>
      </c>
      <c r="M11" s="213"/>
      <c r="N11" s="68"/>
      <c r="O11" s="21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3"/>
      <c r="F12" s="65"/>
      <c r="G12" s="213"/>
      <c r="H12" s="213"/>
      <c r="I12" s="213"/>
      <c r="J12" s="213"/>
      <c r="K12" s="65"/>
      <c r="L12" s="213"/>
      <c r="M12" s="213"/>
      <c r="N12" s="69"/>
      <c r="O12" s="21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190.73</v>
      </c>
      <c r="N15" s="69"/>
      <c r="O15" s="27" t="s">
        <v>17</v>
      </c>
      <c r="P15" s="113">
        <v>172</v>
      </c>
      <c r="Q15" s="113">
        <v>191</v>
      </c>
      <c r="R15" s="113">
        <v>206</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224" t="s">
        <v>437</v>
      </c>
      <c r="I16" s="192"/>
      <c r="J16" s="193"/>
      <c r="K16" s="66"/>
      <c r="L16" s="184"/>
      <c r="M16" s="186"/>
      <c r="N16" s="70"/>
      <c r="O16" s="27" t="s">
        <v>13</v>
      </c>
      <c r="P16" s="122">
        <v>45843</v>
      </c>
      <c r="Q16" s="122">
        <v>46078</v>
      </c>
      <c r="R16" s="122">
        <v>45986</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1895</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182" t="s">
        <v>295</v>
      </c>
      <c r="N18" s="71"/>
      <c r="O18" s="27" t="s">
        <v>381</v>
      </c>
      <c r="P18" s="115" t="s">
        <v>438</v>
      </c>
      <c r="Q18" s="115" t="s">
        <v>439</v>
      </c>
      <c r="R18" s="115" t="s">
        <v>440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7.04888672309429E-2</v>
      </c>
      <c r="N19" s="71"/>
      <c r="O19" s="27" t="s">
        <v>18</v>
      </c>
      <c r="P19" s="106">
        <f>IF(P15="","",
IF(OR(P17="Orçamento",P16="",MAX('Tabela de Apoio'!$A:$A)&lt;=P16),
P15,
(INDEX('Tabela de Apoio'!$B:$B,MATCH('MAPA DE PREÇOS'!$O$8,'Tabela de Apoio'!$A:$A,1))/INDEX('Tabela de Apoio'!$B:$B,MATCH('MAPA DE PREÇOS'!P16,'Tabela de Apoio'!$A:$A,1)-1))*P15))</f>
        <v>174.12431337746494</v>
      </c>
      <c r="Q19" s="106">
        <f>IF(Q15="","",
IF(OR(Q17="Orçamento",Q16="",MAX('Tabela de Apoio'!$A:$A)&lt;=Q16),
Q15,
(INDEX('Tabela de Apoio'!$B:$B,MATCH('MAPA DE PREÇOS'!$O$8,'Tabela de Apoio'!$A:$A,1))/INDEX('Tabela de Apoio'!$B:$B,MATCH('MAPA DE PREÇOS'!Q16,'Tabela de Apoio'!$A:$A,1)-1))*Q15))</f>
        <v>191</v>
      </c>
      <c r="R19" s="106">
        <f>IF(R15="","",
IF(OR(R17="Orçamento",R16="",MAX('Tabela de Apoio'!$A:$A)&lt;=R16),
R15,
(INDEX('Tabela de Apoio'!$B:$B,MATCH('MAPA DE PREÇOS'!$O$8,'Tabela de Apoio'!$A:$A,1))/INDEX('Tabela de Apoio'!$B:$B,MATCH('MAPA DE PREÇOS'!R16,'Tabela de Apoio'!$A:$A,1)-1))*R15))</f>
        <v>207.05185943456681</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f>IF(IFERROR(VLOOKUP(P17,'Tabela de Apoio'!$D:$E,2,FALSE),1)=1,"",P21)</f>
        <v>174.12431337746494</v>
      </c>
      <c r="Q20" s="107">
        <f>IF(IFERROR(VLOOKUP(Q17,'Tabela de Apoio'!$D:$E,2,FALSE),1)=1,"",Q21)</f>
        <v>191</v>
      </c>
      <c r="R20" s="107">
        <f>IF(IFERROR(VLOOKUP(R17,'Tabela de Apoio'!$D:$E,2,FALSE),1)=1,"",R21)</f>
        <v>207.05185943456681</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7.04888672309429E-2</v>
      </c>
      <c r="J21" s="7">
        <f>ROW()</f>
        <v>21</v>
      </c>
      <c r="K21" s="67"/>
      <c r="L21" s="29" t="s">
        <v>10</v>
      </c>
      <c r="M21" s="30">
        <f>IFERROR(
IF(COUNTA(P15:AI15)=COUNTIF(P17:XX17,"Orçamento"),MIN(M26,M23),
IF(M24&lt;&gt;"",M24,
IF(M25&lt;&gt;"",M25,
M23
))),"")</f>
        <v>190.72539093734392</v>
      </c>
      <c r="N21" s="71"/>
      <c r="O21" s="27" t="s">
        <v>376</v>
      </c>
      <c r="P21" s="106">
        <f>IFERROR(IF(P19="",
            "",
            IF(COUNT($P19:$XX19)&lt;=4,
               P19,
               IF(OR(P19&gt;(QUARTILE($P19:$XX19,3)+(QUARTILE($P19:$XX19,3)-QUARTILE($P19:$XX19,1))),
                     P19&lt;(QUARTILE($P19:$XX19,1)-(QUARTILE($P19:$XX19,3)-QUARTILE($P19:$XX19,1)))
                  ),
               "DESCARTADO",P19)
             )
  ),P19)</f>
        <v>174.12431337746494</v>
      </c>
      <c r="Q21" s="106">
        <f t="shared" ref="Q21:AI21" si="3">IFERROR(IF(Q19="",
            "",
            IF(COUNT($P19:$XX19)&lt;=4,
               Q19,
               IF(OR(Q19&gt;(QUARTILE($P19:$XX19,3)+(QUARTILE($P19:$XX19,3)-QUARTILE($P19:$XX19,1))),
                     Q19&lt;(QUARTILE($P19:$XX19,1)-(QUARTILE($P19:$XX19,3)-QUARTILE($P19:$XX19,1)))
                  ),
               "DESCARTADO",Q19)
             )
  ),Q19)</f>
        <v>191</v>
      </c>
      <c r="R21" s="106">
        <f t="shared" si="3"/>
        <v>207.05185943456681</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190.72539093734392</v>
      </c>
      <c r="N22" s="71"/>
      <c r="O22" s="27" t="str">
        <f>"1 POND"</f>
        <v>1 POND</v>
      </c>
      <c r="P22" s="107">
        <f>IF(IFERROR(VLOOKUP(P17,'Tabela de Apoio'!$D:$E,2,FALSE),1)=1,"",P23)</f>
        <v>174.12431337746494</v>
      </c>
      <c r="Q22" s="107">
        <f>IF(IFERROR(VLOOKUP(Q17,'Tabela de Apoio'!$D:$E,2,FALSE),1)=1,"",Q23)</f>
        <v>191</v>
      </c>
      <c r="R22" s="107">
        <f>IF(IFERROR(VLOOKUP(R17,'Tabela de Apoio'!$D:$E,2,FALSE),1)=1,"",R23)</f>
        <v>207.05185943456681</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3</v>
      </c>
      <c r="I23" s="132">
        <f>_xlfn.STDEV.P($P22:$XX23)/AVERAGE($P22:$XX23)</f>
        <v>7.04888672309429E-2</v>
      </c>
      <c r="J23" s="7">
        <f>IF(AND(H23&gt;2,
OR(L15="MÉDIA SANEADA",L15="MEDIANA SANEADA",
AND(L15="PREÇO ESTIMADO",NOT(AND(P17="Orçamento",COUNTA(P15:XX15)=COUNTIF(P17:XX17,"Orçamento")))))),
ROW(),0)</f>
        <v>23</v>
      </c>
      <c r="K23" s="66"/>
      <c r="L23" s="29" t="s">
        <v>361</v>
      </c>
      <c r="M23" s="30">
        <f>MEDIAN($P21:$XX21)</f>
        <v>191</v>
      </c>
      <c r="N23" s="71"/>
      <c r="O23" s="27" t="str">
        <f>"1 RODADA"</f>
        <v>1 RODADA</v>
      </c>
      <c r="P23" s="107">
        <f>IF(P21="","",IF((_xlfn.STDEV.P($P20:$XX21)/AVERAGE($P20:$XX21))&lt;=25%,P21,IF(OR(P21&gt;(AVERAGE($P20:$XX21)+_xlfn.STDEV.P($P20:$XX21)),P21&lt;(AVERAGE($P20:$XX21)-_xlfn.STDEV.P($P20:$XX21))),"DESCARTADO",P21)))</f>
        <v>174.12431337746494</v>
      </c>
      <c r="Q23" s="107">
        <f t="shared" ref="Q23:AI23" si="6">IF(Q21="","",IF((_xlfn.STDEV.P($P20:$XX21)/AVERAGE($P20:$XX21))&lt;=25%,Q21,IF(OR(Q21&gt;(AVERAGE($P20:$XX21)+_xlfn.STDEV.P($P20:$XX21)),Q21&lt;(AVERAGE($P20:$XX21)-_xlfn.STDEV.P($P20:$XX21))),"DESCARTADO",Q21)))</f>
        <v>191</v>
      </c>
      <c r="R23" s="107">
        <f t="shared" si="6"/>
        <v>207.05185943456681</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190.72539093734392</v>
      </c>
      <c r="N24" s="71"/>
      <c r="O24" s="27" t="str">
        <f>"2 POND"</f>
        <v>2 POND</v>
      </c>
      <c r="P24" s="107">
        <f>IF(IFERROR(VLOOKUP(P17,'Tabela de Apoio'!$D:$E,2,FALSE),1)=1,"",P25)</f>
        <v>174.12431337746494</v>
      </c>
      <c r="Q24" s="107">
        <f>IF(IFERROR(VLOOKUP(Q17,'Tabela de Apoio'!$D:$E,2,FALSE),1)=1,"",Q25)</f>
        <v>191</v>
      </c>
      <c r="R24" s="107">
        <f>IF(IFERROR(VLOOKUP(R17,'Tabela de Apoio'!$D:$E,2,FALSE),1)=1,"",R25)</f>
        <v>207.05185943456681</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3</v>
      </c>
      <c r="I25" s="132">
        <f>_xlfn.STDEV.P($P24:$XX25)/AVERAGE($P24:$XX25)</f>
        <v>7.04888672309429E-2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191</v>
      </c>
      <c r="N25" s="71"/>
      <c r="O25" s="27" t="str">
        <f>"2 RODADA"</f>
        <v>2 RODADA</v>
      </c>
      <c r="P25" s="107">
        <f>IF(P23="","",IF((_xlfn.STDEV.P($P22:$XX23)/AVERAGE($P22:$XX23))&lt;=25%,P23,IF(OR(P23&gt;(AVERAGE($P22:$XX23)+_xlfn.STDEV.P($P22:$XX23)),P23&lt;(AVERAGE($P22:$XX23)-_xlfn.STDEV.P($P22:$XX23))),"DESCARTADO",P23)))</f>
        <v>174.12431337746494</v>
      </c>
      <c r="Q25" s="107">
        <f t="shared" ref="Q25:AI25" si="7">IF(Q23="","",IF((_xlfn.STDEV.P($P22:$XX23)/AVERAGE($P22:$XX23))&lt;=25%,Q23,IF(OR(Q23&gt;(AVERAGE($P22:$XX23)+_xlfn.STDEV.P($P22:$XX23)),Q23&lt;(AVERAGE($P22:$XX23)-_xlfn.STDEV.P($P22:$XX23))),"DESCARTADO",Q23)))</f>
        <v>191</v>
      </c>
      <c r="R25" s="107">
        <f t="shared" si="7"/>
        <v>207.05185943456681</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189.773326074209</v>
      </c>
      <c r="N26" s="71"/>
      <c r="O26" s="27" t="str">
        <f>"3 POND"</f>
        <v>3 POND</v>
      </c>
      <c r="P26" s="107">
        <f>IF(IFERROR(VLOOKUP(P17,'Tabela de Apoio'!$D:$E,2,FALSE),1)=1,"",P27)</f>
        <v>174.12431337746494</v>
      </c>
      <c r="Q26" s="107">
        <f>IF(IFERROR(VLOOKUP(Q17,'Tabela de Apoio'!$D:$E,2,FALSE),1)=1,"",Q27)</f>
        <v>191</v>
      </c>
      <c r="R26" s="107">
        <f>IF(IFERROR(VLOOKUP(R17,'Tabela de Apoio'!$D:$E,2,FALSE),1)=1,"",R27)</f>
        <v>207.05185943456681</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3</v>
      </c>
      <c r="I27" s="132">
        <f>_xlfn.STDEV.P($P26:$XX27)/AVERAGE($P26:$XX27)</f>
        <v>7.04888672309429E-2</v>
      </c>
      <c r="J27" s="7">
        <f>IF(AND(H27&gt;2,
OR(L15="MÉDIA SANEADA",L15="MEDIANA SANEADA",
AND(L15="PREÇO ESTIMADO",NOT(AND(P17="Orçamento",COUNTA(P15:XX15)=COUNTIF(P17:XX17,"Orçamento")))))),
ROW(),0)</f>
        <v>27</v>
      </c>
      <c r="K27" s="66"/>
      <c r="L27" s="29" t="s">
        <v>41</v>
      </c>
      <c r="M27" s="30">
        <f>IFERROR(_xlfn.QUARTILE.EXC($P21:$XX21,1),"")</f>
        <v>174.12431337746494</v>
      </c>
      <c r="N27" s="71"/>
      <c r="O27" s="27" t="str">
        <f>"3 RODADA"</f>
        <v>3 RODADA</v>
      </c>
      <c r="P27" s="107">
        <f>IF(P25="","",IF((_xlfn.STDEV.P($P24:$XX25)/AVERAGE($P24:$XX25))&lt;=25%,P25,IF(OR(P25&gt;(AVERAGE($P24:$XX25)+_xlfn.STDEV.P($P24:$XX25)),P25&lt;(AVERAGE($P24:$XX25)-_xlfn.STDEV.P($P24:$XX25))),"DESCARTADO",P25)))</f>
        <v>174.12431337746494</v>
      </c>
      <c r="Q27" s="107">
        <f t="shared" ref="Q27:AI27" si="8">IF(Q25="","",IF((_xlfn.STDEV.P($P24:$XX25)/AVERAGE($P24:$XX25))&lt;=25%,Q25,IF(OR(Q25&gt;(AVERAGE($P24:$XX25)+_xlfn.STDEV.P($P24:$XX25)),Q25&lt;(AVERAGE($P24:$XX25)-_xlfn.STDEV.P($P24:$XX25))),"DESCARTADO",Q25)))</f>
        <v>191</v>
      </c>
      <c r="R27" s="107">
        <f t="shared" si="8"/>
        <v>207.05185943456681</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207.05185943456681</v>
      </c>
      <c r="N28" s="71"/>
      <c r="O28" s="27" t="str">
        <f>"4 POND"</f>
        <v>4 POND</v>
      </c>
      <c r="P28" s="107">
        <f>IF(IFERROR(VLOOKUP(P17,'Tabela de Apoio'!$D:$E,2,FALSE),1)=1,"",P29)</f>
        <v>174.12431337746494</v>
      </c>
      <c r="Q28" s="107">
        <f>IF(IFERROR(VLOOKUP(Q17,'Tabela de Apoio'!$D:$E,2,FALSE),1)=1,"",Q29)</f>
        <v>191</v>
      </c>
      <c r="R28" s="107">
        <f>IF(IFERROR(VLOOKUP(R17,'Tabela de Apoio'!$D:$E,2,FALSE),1)=1,"",R29)</f>
        <v>207.05185943456681</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3</v>
      </c>
      <c r="I29" s="132">
        <f>_xlfn.STDEV.P($P28:$XX29)/AVERAGE($P28:$XX29)</f>
        <v>7.04888672309429E-2</v>
      </c>
      <c r="J29" s="7">
        <f>IF(AND(H29&gt;2,
OR(L15="MÉDIA SANEADA",L15="MEDIANA SANEADA",
AND(L15="PREÇO ESTIMADO",NOT(AND(P17="Orçamento",COUNTA(P15:XX15)=COUNTIF(P17:XX17,"Orçamento")))))),
ROW(),0)</f>
        <v>29</v>
      </c>
      <c r="K29" s="66"/>
      <c r="L29" s="29" t="s">
        <v>42</v>
      </c>
      <c r="M29" s="30">
        <f>MIN($P21:$XX21)</f>
        <v>174.12431337746494</v>
      </c>
      <c r="N29" s="71"/>
      <c r="O29" s="27" t="str">
        <f>"4 RODADA"</f>
        <v>4 RODADA</v>
      </c>
      <c r="P29" s="107">
        <f>IF(P27="","",IF((_xlfn.STDEV.P($P26:$XX27)/AVERAGE($P26:$XX27))&lt;=25%,P27,IF(OR(P27&gt;(AVERAGE($P26:$XX27)+_xlfn.STDEV.P($P26:$XX27)),P27&lt;(AVERAGE($P26:$XX27)-_xlfn.STDEV.P($P26:$XX27))),"DESCARTADO",P27)))</f>
        <v>174.12431337746494</v>
      </c>
      <c r="Q29" s="107">
        <f t="shared" ref="Q29:AI29" si="9">IF(Q27="","",IF((_xlfn.STDEV.P($P26:$XX27)/AVERAGE($P26:$XX27))&lt;=25%,Q27,IF(OR(Q27&gt;(AVERAGE($P26:$XX27)+_xlfn.STDEV.P($P26:$XX27)),Q27&lt;(AVERAGE($P26:$XX27)-_xlfn.STDEV.P($P26:$XX27))),"DESCARTADO",Q27)))</f>
        <v>191</v>
      </c>
      <c r="R29" s="107">
        <f t="shared" si="9"/>
        <v>207.05185943456681</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207.05185943456681</v>
      </c>
      <c r="N30" s="71"/>
      <c r="O30" s="27" t="str">
        <f>"5 POND"</f>
        <v>5 POND</v>
      </c>
      <c r="P30" s="107">
        <f>IF(IFERROR(VLOOKUP(P17,'Tabela de Apoio'!$D:$E,2,FALSE),1)=1,"",P31)</f>
        <v>174.12431337746494</v>
      </c>
      <c r="Q30" s="107">
        <f>IF(IFERROR(VLOOKUP(Q17,'Tabela de Apoio'!$D:$E,2,FALSE),1)=1,"",Q31)</f>
        <v>191</v>
      </c>
      <c r="R30" s="107">
        <f>IF(IFERROR(VLOOKUP(R17,'Tabela de Apoio'!$D:$E,2,FALSE),1)=1,"",R31)</f>
        <v>207.05185943456681</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3</v>
      </c>
      <c r="I31" s="132">
        <f>_xlfn.STDEV.P($P30:$XX31)/AVERAGE($P30:$XX31)</f>
        <v>7.04888672309429E-2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174.12431337746494</v>
      </c>
      <c r="Q31" s="107">
        <f t="shared" ref="Q31:AI31" si="10">IF(Q29="","",IF((_xlfn.STDEV.P($P28:$XX29)/AVERAGE($P28:$XX29))&lt;=25%,Q29,IF(OR(Q29&gt;(AVERAGE($P28:$XX29)+_xlfn.STDEV.P($P28:$XX29)),Q29&lt;(AVERAGE($P28:$XX29)-_xlfn.STDEV.P($P28:$XX29))),"DESCARTADO",Q29)))</f>
        <v>191</v>
      </c>
      <c r="R31" s="107">
        <f t="shared" si="10"/>
        <v>207.05185943456681</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f>IF(IFERROR(VLOOKUP(P17,'Tabela de Apoio'!$D:$E,2,FALSE),1)=1,"",P33)</f>
        <v>174.12431337746494</v>
      </c>
      <c r="Q32" s="107">
        <f>IF(IFERROR(VLOOKUP(Q17,'Tabela de Apoio'!$D:$E,2,FALSE),1)=1,"",Q33)</f>
        <v>191</v>
      </c>
      <c r="R32" s="107">
        <f>IF(IFERROR(VLOOKUP(R17,'Tabela de Apoio'!$D:$E,2,FALSE),1)=1,"",R33)</f>
        <v>207.05185943456681</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3</v>
      </c>
      <c r="I33" s="132">
        <f>_xlfn.STDEV.P($P32:$XX33)/AVERAGE($P32:$XX33)</f>
        <v>7.04888672309429E-2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174.12431337746494</v>
      </c>
      <c r="Q33" s="107">
        <f t="shared" ref="Q33:AI33" si="11">IFERROR(IF(Q31="","",IF((_xlfn.STDEV.P($P30:$XX31)/AVERAGE($P30:$XX31))&lt;=25%,Q31,IF(OR(Q31&gt;(AVERAGE($P30:$XX31)+_xlfn.STDEV.P($P30:$XX31)),Q31&lt;(AVERAGE($P30:$XX31)-_xlfn.STDEV.P($P30:$XX31))),"DESCARTADO",Q31))),)</f>
        <v>191</v>
      </c>
      <c r="R33" s="107">
        <f t="shared" si="11"/>
        <v>207.05185943456681</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361433.35</v>
      </c>
      <c r="O34" s="27" t="s">
        <v>363</v>
      </c>
      <c r="P34" s="107">
        <f>INDEX(P21:P33,MATCH(MAX($J21:$J33),$J21:$J33,0))</f>
        <v>174.12431337746494</v>
      </c>
      <c r="Q34" s="107">
        <f t="shared" ref="Q34:R34" si="12">INDEX(Q21:Q33,MATCH(MAX($J21:$J33),$J21:$J33,0))</f>
        <v>191</v>
      </c>
      <c r="R34" s="107">
        <f t="shared" si="12"/>
        <v>207.05185943456681</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3" t="s">
        <v>10</v>
      </c>
      <c r="M36" s="185"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7">
        <f t="shared" ref="E37" si="34">D36</f>
        <v>1</v>
      </c>
      <c r="F37" s="92"/>
      <c r="G37" s="189" t="s">
        <v>1</v>
      </c>
      <c r="H37" s="192" t="e">
        <f>INDEX('BASE FORMAÇÃO'!C:C,B36+1)</f>
        <v>#VALUE!</v>
      </c>
      <c r="I37" s="192"/>
      <c r="J37" s="193"/>
      <c r="K37" s="66"/>
      <c r="L37" s="184"/>
      <c r="M37" s="186"/>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8"/>
      <c r="F38" s="93"/>
      <c r="G38" s="190"/>
      <c r="H38" s="194"/>
      <c r="I38" s="194"/>
      <c r="J38" s="195"/>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1"/>
      <c r="H39" s="196"/>
      <c r="I39" s="196"/>
      <c r="J39" s="197"/>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8" t="e">
        <f t="shared" ref="E40" si="38">C36</f>
        <v>#VALUE!</v>
      </c>
      <c r="F40" s="93"/>
      <c r="G40" s="200" t="s">
        <v>304</v>
      </c>
      <c r="H40" s="202"/>
      <c r="I40" s="203"/>
      <c r="J40" s="203"/>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9"/>
      <c r="F42" s="93"/>
      <c r="G42" s="201"/>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9"/>
      <c r="F43" s="93"/>
      <c r="G43" s="201"/>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9"/>
      <c r="F44" s="93"/>
      <c r="G44" s="201"/>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9"/>
      <c r="F45" s="93"/>
      <c r="G45" s="201"/>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9"/>
      <c r="F46" s="93"/>
      <c r="G46" s="201"/>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9"/>
      <c r="F47" s="93"/>
      <c r="G47" s="201"/>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9"/>
      <c r="F48" s="93"/>
      <c r="G48" s="201"/>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9"/>
      <c r="F49" s="93"/>
      <c r="G49" s="201"/>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9"/>
      <c r="F50" s="93"/>
      <c r="G50" s="201"/>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9"/>
      <c r="F51" s="93"/>
      <c r="G51" s="201"/>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9"/>
      <c r="F52" s="93"/>
      <c r="G52" s="201"/>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9"/>
      <c r="F54" s="93"/>
      <c r="G54" s="201"/>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9"/>
      <c r="F55" s="136"/>
      <c r="G55" s="201"/>
      <c r="H55" s="204"/>
      <c r="I55" s="204"/>
      <c r="J55" s="205"/>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3" t="s">
        <v>10</v>
      </c>
      <c r="M57" s="185"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7">
        <f t="shared" ref="E58" si="102">D57</f>
        <v>1</v>
      </c>
      <c r="F58" s="92"/>
      <c r="G58" s="189" t="s">
        <v>1</v>
      </c>
      <c r="H58" s="192" t="e">
        <f>INDEX('BASE FORMAÇÃO'!C:C,B57+1)</f>
        <v>#VALUE!</v>
      </c>
      <c r="I58" s="192"/>
      <c r="J58" s="193"/>
      <c r="K58" s="66"/>
      <c r="L58" s="184"/>
      <c r="M58" s="186"/>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8"/>
      <c r="F59" s="93"/>
      <c r="G59" s="190"/>
      <c r="H59" s="194"/>
      <c r="I59" s="194"/>
      <c r="J59" s="195"/>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1"/>
      <c r="H60" s="196"/>
      <c r="I60" s="196"/>
      <c r="J60" s="197"/>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8" t="e">
        <f t="shared" ref="E61" si="106">C57</f>
        <v>#VALUE!</v>
      </c>
      <c r="F61" s="93"/>
      <c r="G61" s="200" t="s">
        <v>304</v>
      </c>
      <c r="H61" s="202"/>
      <c r="I61" s="203"/>
      <c r="J61" s="203"/>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9"/>
      <c r="F63" s="93"/>
      <c r="G63" s="201"/>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9"/>
      <c r="F64" s="93"/>
      <c r="G64" s="201"/>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9"/>
      <c r="F65" s="93"/>
      <c r="G65" s="201"/>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9"/>
      <c r="F66" s="93"/>
      <c r="G66" s="201"/>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9"/>
      <c r="F67" s="93"/>
      <c r="G67" s="201"/>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9"/>
      <c r="F68" s="93"/>
      <c r="G68" s="201"/>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9"/>
      <c r="F69" s="93"/>
      <c r="G69" s="201"/>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9"/>
      <c r="F70" s="93"/>
      <c r="G70" s="201"/>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9"/>
      <c r="F71" s="93"/>
      <c r="G71" s="201"/>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9"/>
      <c r="F72" s="93"/>
      <c r="G72" s="201"/>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9"/>
      <c r="F73" s="93"/>
      <c r="G73" s="201"/>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9"/>
      <c r="F75" s="93"/>
      <c r="G75" s="201"/>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9"/>
      <c r="F76" s="136"/>
      <c r="G76" s="201"/>
      <c r="H76" s="204"/>
      <c r="I76" s="204"/>
      <c r="J76" s="205"/>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3" t="s">
        <v>10</v>
      </c>
      <c r="M78" s="185"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7">
        <f t="shared" ref="E79" si="168">D78</f>
        <v>1</v>
      </c>
      <c r="F79" s="92"/>
      <c r="G79" s="189" t="s">
        <v>1</v>
      </c>
      <c r="H79" s="192" t="e">
        <f>INDEX('BASE FORMAÇÃO'!C:C,B78+1)</f>
        <v>#VALUE!</v>
      </c>
      <c r="I79" s="192"/>
      <c r="J79" s="193"/>
      <c r="K79" s="66"/>
      <c r="L79" s="184"/>
      <c r="M79" s="186"/>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8"/>
      <c r="F80" s="93"/>
      <c r="G80" s="190"/>
      <c r="H80" s="194"/>
      <c r="I80" s="194"/>
      <c r="J80" s="195"/>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1"/>
      <c r="H81" s="196"/>
      <c r="I81" s="196"/>
      <c r="J81" s="197"/>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8" t="e">
        <f t="shared" ref="E82" si="172">C78</f>
        <v>#VALUE!</v>
      </c>
      <c r="F82" s="93"/>
      <c r="G82" s="200" t="s">
        <v>304</v>
      </c>
      <c r="H82" s="202"/>
      <c r="I82" s="203"/>
      <c r="J82" s="203"/>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9"/>
      <c r="F84" s="93"/>
      <c r="G84" s="201"/>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9"/>
      <c r="F85" s="93"/>
      <c r="G85" s="201"/>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9"/>
      <c r="F86" s="93"/>
      <c r="G86" s="201"/>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9"/>
      <c r="F87" s="93"/>
      <c r="G87" s="201"/>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9"/>
      <c r="F88" s="93"/>
      <c r="G88" s="201"/>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9"/>
      <c r="F89" s="93"/>
      <c r="G89" s="201"/>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9"/>
      <c r="F90" s="93"/>
      <c r="G90" s="201"/>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9"/>
      <c r="F91" s="93"/>
      <c r="G91" s="201"/>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9"/>
      <c r="F92" s="93"/>
      <c r="G92" s="201"/>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9"/>
      <c r="F93" s="93"/>
      <c r="G93" s="201"/>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9"/>
      <c r="F94" s="93"/>
      <c r="G94" s="201"/>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9"/>
      <c r="F96" s="93"/>
      <c r="G96" s="201"/>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9"/>
      <c r="F97" s="136"/>
      <c r="G97" s="201"/>
      <c r="H97" s="204"/>
      <c r="I97" s="204"/>
      <c r="J97" s="205"/>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3" t="s">
        <v>10</v>
      </c>
      <c r="M99" s="185"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7">
        <f t="shared" ref="E100" si="234">D99</f>
        <v>1</v>
      </c>
      <c r="F100" s="92"/>
      <c r="G100" s="189" t="s">
        <v>1</v>
      </c>
      <c r="H100" s="192" t="e">
        <f>INDEX('BASE FORMAÇÃO'!C:C,B99+1)</f>
        <v>#VALUE!</v>
      </c>
      <c r="I100" s="192"/>
      <c r="J100" s="193"/>
      <c r="K100" s="66"/>
      <c r="L100" s="184"/>
      <c r="M100" s="186"/>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8"/>
      <c r="F101" s="93"/>
      <c r="G101" s="190"/>
      <c r="H101" s="194"/>
      <c r="I101" s="194"/>
      <c r="J101" s="195"/>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1"/>
      <c r="H102" s="196"/>
      <c r="I102" s="196"/>
      <c r="J102" s="197"/>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8" t="e">
        <f t="shared" ref="E103" si="238">C99</f>
        <v>#VALUE!</v>
      </c>
      <c r="F103" s="93"/>
      <c r="G103" s="200" t="s">
        <v>304</v>
      </c>
      <c r="H103" s="202"/>
      <c r="I103" s="203"/>
      <c r="J103" s="203"/>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9"/>
      <c r="F105" s="93"/>
      <c r="G105" s="201"/>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9"/>
      <c r="F106" s="93"/>
      <c r="G106" s="201"/>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9"/>
      <c r="F107" s="93"/>
      <c r="G107" s="201"/>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9"/>
      <c r="F109" s="93"/>
      <c r="G109" s="201"/>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9"/>
      <c r="F110" s="93"/>
      <c r="G110" s="201"/>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9"/>
      <c r="F111" s="93"/>
      <c r="G111" s="201"/>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9"/>
      <c r="F112" s="93"/>
      <c r="G112" s="201"/>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9"/>
      <c r="F113" s="93"/>
      <c r="G113" s="201"/>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9"/>
      <c r="F114" s="93"/>
      <c r="G114" s="201"/>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9"/>
      <c r="F115" s="93"/>
      <c r="G115" s="201"/>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9"/>
      <c r="F117" s="93"/>
      <c r="G117" s="201"/>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9"/>
      <c r="F118" s="136"/>
      <c r="G118" s="201"/>
      <c r="H118" s="204"/>
      <c r="I118" s="204"/>
      <c r="J118" s="205"/>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3" t="s">
        <v>10</v>
      </c>
      <c r="M120" s="185"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7">
        <f t="shared" ref="E121" si="300">D120</f>
        <v>1</v>
      </c>
      <c r="F121" s="92"/>
      <c r="G121" s="189" t="s">
        <v>1</v>
      </c>
      <c r="H121" s="192" t="e">
        <f>INDEX('BASE FORMAÇÃO'!C:C,B120+1)</f>
        <v>#VALUE!</v>
      </c>
      <c r="I121" s="192"/>
      <c r="J121" s="193"/>
      <c r="K121" s="66"/>
      <c r="L121" s="184"/>
      <c r="M121" s="186"/>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8"/>
      <c r="F122" s="93"/>
      <c r="G122" s="190"/>
      <c r="H122" s="194"/>
      <c r="I122" s="194"/>
      <c r="J122" s="195"/>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1"/>
      <c r="H123" s="196"/>
      <c r="I123" s="196"/>
      <c r="J123" s="197"/>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8" t="e">
        <f t="shared" ref="E124" si="304">C120</f>
        <v>#VALUE!</v>
      </c>
      <c r="F124" s="93"/>
      <c r="G124" s="200" t="s">
        <v>304</v>
      </c>
      <c r="H124" s="202"/>
      <c r="I124" s="203"/>
      <c r="J124" s="203"/>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9"/>
      <c r="F126" s="93"/>
      <c r="G126" s="201"/>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9"/>
      <c r="F127" s="93"/>
      <c r="G127" s="201"/>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9"/>
      <c r="F128" s="93"/>
      <c r="G128" s="201"/>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9"/>
      <c r="F129" s="93"/>
      <c r="G129" s="201"/>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9"/>
      <c r="F130" s="93"/>
      <c r="G130" s="201"/>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9"/>
      <c r="F131" s="93"/>
      <c r="G131" s="201"/>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9"/>
      <c r="F132" s="93"/>
      <c r="G132" s="201"/>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9"/>
      <c r="F133" s="93"/>
      <c r="G133" s="201"/>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9"/>
      <c r="F134" s="93"/>
      <c r="G134" s="201"/>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9"/>
      <c r="F135" s="93"/>
      <c r="G135" s="201"/>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9"/>
      <c r="F136" s="93"/>
      <c r="G136" s="201"/>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9"/>
      <c r="F138" s="93"/>
      <c r="G138" s="201"/>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9"/>
      <c r="F139" s="136"/>
      <c r="G139" s="201"/>
      <c r="H139" s="204"/>
      <c r="I139" s="204"/>
      <c r="J139" s="205"/>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3" t="s">
        <v>10</v>
      </c>
      <c r="M141" s="185"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7">
        <f t="shared" ref="E142" si="366">D141</f>
        <v>1</v>
      </c>
      <c r="F142" s="92"/>
      <c r="G142" s="189" t="s">
        <v>1</v>
      </c>
      <c r="H142" s="192" t="e">
        <f>INDEX('BASE FORMAÇÃO'!C:C,B141+1)</f>
        <v>#VALUE!</v>
      </c>
      <c r="I142" s="192"/>
      <c r="J142" s="193"/>
      <c r="K142" s="66"/>
      <c r="L142" s="184"/>
      <c r="M142" s="186"/>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8"/>
      <c r="F143" s="93"/>
      <c r="G143" s="190"/>
      <c r="H143" s="194"/>
      <c r="I143" s="194"/>
      <c r="J143" s="195"/>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1"/>
      <c r="H144" s="196"/>
      <c r="I144" s="196"/>
      <c r="J144" s="197"/>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8" t="e">
        <f t="shared" ref="E145" si="370">C141</f>
        <v>#VALUE!</v>
      </c>
      <c r="F145" s="93"/>
      <c r="G145" s="200" t="s">
        <v>304</v>
      </c>
      <c r="H145" s="202"/>
      <c r="I145" s="203"/>
      <c r="J145" s="203"/>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9"/>
      <c r="F147" s="93"/>
      <c r="G147" s="201"/>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9"/>
      <c r="F148" s="93"/>
      <c r="G148" s="201"/>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9"/>
      <c r="F149" s="93"/>
      <c r="G149" s="201"/>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9"/>
      <c r="F151" s="93"/>
      <c r="G151" s="201"/>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9"/>
      <c r="F152" s="93"/>
      <c r="G152" s="201"/>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9"/>
      <c r="F153" s="93"/>
      <c r="G153" s="201"/>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9"/>
      <c r="F154" s="93"/>
      <c r="G154" s="201"/>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9"/>
      <c r="F155" s="93"/>
      <c r="G155" s="201"/>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9"/>
      <c r="F156" s="93"/>
      <c r="G156" s="201"/>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9"/>
      <c r="F157" s="93"/>
      <c r="G157" s="201"/>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9"/>
      <c r="F159" s="93"/>
      <c r="G159" s="201"/>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9"/>
      <c r="F160" s="136"/>
      <c r="G160" s="201"/>
      <c r="H160" s="204"/>
      <c r="I160" s="204"/>
      <c r="J160" s="205"/>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2" t="e">
        <f>INDEX('BASE FORMAÇÃO'!C:C,B162+1)</f>
        <v>#VALUE!</v>
      </c>
      <c r="I163" s="192"/>
      <c r="J163" s="193"/>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4"/>
      <c r="I164" s="194"/>
      <c r="J164" s="195"/>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6"/>
      <c r="I165" s="196"/>
      <c r="J165" s="197"/>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8" t="e">
        <f t="shared" ref="E166" si="436">C162</f>
        <v>#VALUE!</v>
      </c>
      <c r="F166" s="93"/>
      <c r="G166" s="200" t="s">
        <v>304</v>
      </c>
      <c r="H166" s="202"/>
      <c r="I166" s="203"/>
      <c r="J166" s="203"/>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9"/>
      <c r="F168" s="93"/>
      <c r="G168" s="201"/>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9"/>
      <c r="F169" s="93"/>
      <c r="G169" s="201"/>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9"/>
      <c r="F170" s="93"/>
      <c r="G170" s="201"/>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9"/>
      <c r="F172" s="93"/>
      <c r="G172" s="201"/>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9"/>
      <c r="F173" s="93"/>
      <c r="G173" s="201"/>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9"/>
      <c r="F174" s="93"/>
      <c r="G174" s="201"/>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9"/>
      <c r="F176" s="93"/>
      <c r="G176" s="201"/>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9"/>
      <c r="F177" s="93"/>
      <c r="G177" s="201"/>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9"/>
      <c r="F178" s="93"/>
      <c r="G178" s="201"/>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9"/>
      <c r="F180" s="93"/>
      <c r="G180" s="201"/>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9"/>
      <c r="F181" s="136"/>
      <c r="G181" s="201"/>
      <c r="H181" s="204"/>
      <c r="I181" s="204"/>
      <c r="J181" s="205"/>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8" t="e">
        <f t="shared" ref="E187" si="502">C183</f>
        <v>#VALUE!</v>
      </c>
      <c r="F187" s="93"/>
      <c r="G187" s="200" t="s">
        <v>304</v>
      </c>
      <c r="H187" s="202"/>
      <c r="I187" s="203"/>
      <c r="J187" s="203"/>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9"/>
      <c r="F189" s="93"/>
      <c r="G189" s="201"/>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9"/>
      <c r="F190" s="93"/>
      <c r="G190" s="201"/>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9"/>
      <c r="F191" s="93"/>
      <c r="G191" s="201"/>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9"/>
      <c r="F192" s="93"/>
      <c r="G192" s="201"/>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9"/>
      <c r="F193" s="93"/>
      <c r="G193" s="201"/>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9"/>
      <c r="F194" s="93"/>
      <c r="G194" s="201"/>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9"/>
      <c r="F195" s="93"/>
      <c r="G195" s="201"/>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9"/>
      <c r="F197" s="93"/>
      <c r="G197" s="201"/>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9"/>
      <c r="F198" s="93"/>
      <c r="G198" s="201"/>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9"/>
      <c r="F199" s="93"/>
      <c r="G199" s="201"/>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9"/>
      <c r="F201" s="93"/>
      <c r="G201" s="201"/>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9"/>
      <c r="F202" s="136"/>
      <c r="G202" s="201"/>
      <c r="H202" s="204"/>
      <c r="I202" s="204"/>
      <c r="J202" s="205"/>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I15" sqref="I15"/>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2" t="s">
        <v>305</v>
      </c>
      <c r="F2" s="233"/>
      <c r="G2" s="233"/>
      <c r="H2" s="233"/>
      <c r="I2" s="233"/>
      <c r="J2" s="233"/>
      <c r="K2" s="233"/>
      <c r="L2" s="234"/>
    </row>
    <row r="3" spans="2:14" ht="21" x14ac:dyDescent="0.35">
      <c r="E3" s="235" t="str">
        <f>'MAPA DE PREÇOS'!H5</f>
        <v>SECRETARIA MUNICIPAL DA FAZENDA (SMF)</v>
      </c>
      <c r="F3" s="236"/>
      <c r="G3" s="236"/>
      <c r="H3" s="236"/>
      <c r="I3" s="236"/>
      <c r="J3" s="236"/>
      <c r="K3" s="236"/>
      <c r="L3" s="237"/>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8" t="str">
        <f t="shared" ref="E5:E36" si="0">IF($B4="","",IF($C5=$C2,D5,IF($C5=$C3,"Item",IF(AND(MAX(C:C)&gt;1,$C5=$C4),CONCATENATE("LOTE ",C5),""))))</f>
        <v/>
      </c>
      <c r="F5" s="239"/>
      <c r="G5" s="239"/>
      <c r="H5" s="239"/>
      <c r="I5" s="239"/>
      <c r="J5" s="239"/>
      <c r="K5" s="239"/>
      <c r="L5" s="240"/>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3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Serviços Técnicos especializados para consultoria na Tecnologia QLIK.</v>
      </c>
      <c r="H8" s="84" t="str">
        <f>IF($B7="","",IF($C8=$C5,INDEX('MAPA DE PREÇOS'!$M:$M,MATCH($B8,'MAPA DE PREÇOS'!$B:$B)-16),IF($C8=$C6,"Unidade","")))</f>
        <v>UST</v>
      </c>
      <c r="I8" s="84">
        <f>IF($B7="","",IF($C8=$C5,INDEX('MAPA DE PREÇOS'!$M:$M,MATCH($B8,'MAPA DE PREÇOS'!$B:$B)-17),IF($C8=$C6,"Quant.","")))</f>
        <v>1895</v>
      </c>
      <c r="J8" s="60">
        <f>IF(AND(COUNTBLANK($B5:$B7)=2,$B7="",$B6="",MAX(C:C)&gt;1),"Total Estimado",IF($B7="","",IF($C8=$C5,INDEX('MAPA DE PREÇOS'!$M:$M,MATCH($B8,'MAPA DE PREÇOS'!$B:$B)-19),IF($C8=$C6,"Valor Unit. (R$)",IF(AND($C8&lt;&gt;$C7,$J7&lt;&gt;""),IF(MAX(C:C)=1,"Total Estimado","Subtotal"),"")))))</f>
        <v>190.73</v>
      </c>
      <c r="K8" s="75">
        <f>IFERROR(IF(AND(COUNTBLANK($B5:$B7)=2,$B7="",$B6="",MAX($C:$C)&gt;1),SUM($K$3:K7)/2,IF($B7="","",IF($C8=$C5,ROUND(J8*I8,2),IF($C8=$C6,"Total Item (R$)",IF(AND($C8&lt;&gt;$C7,$J7&lt;&gt;""),SUMIFS(K:K,$C:$C,C7,J:J,"&lt;&gt;Subtotal"),""))))),"")</f>
        <v>361433.35</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361433.35</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5" t="str">
        <f>'MAPA DE PREÇOS'!H5</f>
        <v>SECRETARIA MUNICIPAL DA FAZENDA (SMF)</v>
      </c>
      <c r="F3" s="236"/>
      <c r="G3" s="236"/>
      <c r="H3" s="236"/>
      <c r="I3" s="236"/>
      <c r="J3" s="236"/>
      <c r="K3" s="236"/>
      <c r="L3" s="237"/>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7" t="s">
        <v>354</v>
      </c>
      <c r="O7" s="248"/>
      <c r="P7" s="247" t="s">
        <v>364</v>
      </c>
      <c r="Q7" s="248"/>
      <c r="R7" s="247" t="s">
        <v>365</v>
      </c>
      <c r="S7" s="248"/>
      <c r="T7" s="247" t="s">
        <v>366</v>
      </c>
      <c r="U7" s="248"/>
      <c r="V7" s="247" t="s">
        <v>367</v>
      </c>
      <c r="W7" s="248"/>
      <c r="X7" s="247" t="s">
        <v>368</v>
      </c>
      <c r="Y7" s="248"/>
      <c r="Z7" s="247" t="s">
        <v>369</v>
      </c>
      <c r="AA7" s="248"/>
      <c r="AB7" s="247" t="s">
        <v>370</v>
      </c>
      <c r="AC7" s="248"/>
      <c r="AD7" s="247" t="s">
        <v>371</v>
      </c>
      <c r="AE7" s="248"/>
      <c r="AF7" s="247" t="s">
        <v>372</v>
      </c>
      <c r="AG7" s="248"/>
      <c r="AH7" s="247" t="s">
        <v>373</v>
      </c>
      <c r="AI7" s="248"/>
      <c r="AJ7" s="247" t="s">
        <v>374</v>
      </c>
      <c r="AK7" s="248"/>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Serviços Técnicos especializados para consultoria na Tecnologia QLIK.</v>
      </c>
      <c r="H8" s="84" t="str">
        <f>IF($B7="","",IF($C8=$C5,INDEX('MAPA DE PREÇOS'!$M:$M,MATCH($B8,'MAPA DE PREÇOS'!$B:$B)-16),IF($C8=$C6,"Unidade","")))</f>
        <v>UST</v>
      </c>
      <c r="I8" s="84">
        <f>IF($B7="","",IF($C8=$C5,INDEX('MAPA DE PREÇOS'!$M:$M,MATCH($B8,'MAPA DE PREÇOS'!$B:$B)-17),IF($C8=$C6,"Quant.","")))</f>
        <v>1895</v>
      </c>
      <c r="J8" s="60">
        <f>IF(J7="Total Mensal","Total Acumulado",IF($B7="","",IF($C8=$C5,INDEX('MAPA DE PREÇOS'!$M:$M,MATCH($B8,'MAPA DE PREÇOS'!$B:$B)-19),IF($C8=$C6,"Valor Unit. (R$)",IF(AND($C8&lt;&gt;$C7,$J7&lt;&gt;""),"Total Mensal","")))))</f>
        <v>190.73</v>
      </c>
      <c r="K8" s="75">
        <f>IF(J8="","",IF(J8="Total Mensal","-",IF(J8="Total Acumulado",SUM(K$7:K7),I8*J8)))</f>
        <v>361433.35</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361433.35</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9" t="s">
        <v>305</v>
      </c>
      <c r="F2" s="250"/>
      <c r="G2" s="250"/>
      <c r="H2" s="250"/>
      <c r="I2" s="250"/>
      <c r="J2" s="250"/>
      <c r="K2" s="250"/>
      <c r="L2" s="250"/>
      <c r="M2" s="250"/>
      <c r="N2" s="250"/>
      <c r="O2" s="250"/>
      <c r="P2" s="251"/>
    </row>
    <row r="3" spans="1:21" ht="21" x14ac:dyDescent="0.35">
      <c r="A3" s="138"/>
      <c r="E3" s="252" t="str">
        <f>IFERROR('MAPA DE PREÇOS'!H5:J5,"")</f>
        <v/>
      </c>
      <c r="F3" s="253"/>
      <c r="G3" s="253"/>
      <c r="H3" s="253"/>
      <c r="I3" s="253"/>
      <c r="J3" s="253"/>
      <c r="K3" s="253"/>
      <c r="L3" s="253"/>
      <c r="M3" s="253"/>
      <c r="N3" s="253"/>
      <c r="O3" s="253"/>
      <c r="P3" s="254"/>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Serviços Técnicos especializados para consultoria na Tecnologia QLIK.</v>
      </c>
      <c r="J6" s="41" t="str">
        <f>IFERROR(IF(E6="","",INDEX('MAPA DE PREÇOS'!M:M,3+MATCH(ABC!E6,'MAPA DE PREÇOS'!B:B,0))),"")</f>
        <v>UST</v>
      </c>
      <c r="K6" s="52">
        <f t="array" ref="K6">IFERROR(IF(E6="","",INDEX('MAPA DE PREÇOS'!M:M,2+MATCH(ABC!E6,'MAPA DE PREÇOS'!B:B,0))),"")</f>
        <v>1895</v>
      </c>
      <c r="L6" s="53">
        <f t="array" ref="L6">IFERROR(IF(AND(E5&lt;&gt;"",E6=""),"TOTAL ESTIMADO",INDEX('MAPA DE PREÇOS'!M:M,0+MATCH(ABC!E6,'MAPA DE PREÇOS'!B:B,0))),"")</f>
        <v>190.73</v>
      </c>
      <c r="M6" s="54">
        <f>IFERROR(IF(AND(E5&lt;&gt;"",E6=""),SUM($M$5:M5),INDEX('MAPA DE PREÇOS'!M:M,19+MATCH(ABC!E6,'MAPA DE PREÇOS'!B:B,0))),"")</f>
        <v>361433.35</v>
      </c>
      <c r="N6" s="90">
        <f t="shared" ref="N6:N37" si="1">IFERROR(VLOOKUP(E6,$B:$C,2),"")</f>
        <v>1</v>
      </c>
      <c r="O6" s="90">
        <f>N6</f>
        <v>1</v>
      </c>
      <c r="P6" s="54" t="str">
        <f>IF(O6="","",IF(OR(N6&gt;=$S$6,O6&lt;=$S$6),"A",IF(O6&lt;=SUM($S$6:$S$7),"B","C")))</f>
        <v>A</v>
      </c>
      <c r="R6" s="156" t="s">
        <v>310</v>
      </c>
      <c r="S6" s="157">
        <v>0.8</v>
      </c>
      <c r="T6" s="156">
        <f>COUNTIF($P$6:$P$107,$R6)</f>
        <v>1</v>
      </c>
      <c r="U6" s="158">
        <f>SUMIFS($M$6:$M$107,$P$6:$P$107,$R6)</f>
        <v>361433.35</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361433.35</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1" t="s">
        <v>35</v>
      </c>
      <c r="C2" s="272"/>
      <c r="D2" s="273"/>
    </row>
    <row r="3" spans="2:4" ht="78" customHeight="1" x14ac:dyDescent="0.2">
      <c r="B3" s="274" t="s">
        <v>384</v>
      </c>
      <c r="C3" s="275"/>
      <c r="D3" s="276"/>
    </row>
    <row r="4" spans="2:4" s="32" customFormat="1" ht="32.1" customHeight="1" x14ac:dyDescent="0.25">
      <c r="B4" s="277" t="s">
        <v>385</v>
      </c>
      <c r="C4" s="277"/>
      <c r="D4" s="277"/>
    </row>
    <row r="5" spans="2:4" ht="61.5" customHeight="1" x14ac:dyDescent="0.2">
      <c r="B5" s="268" t="s">
        <v>386</v>
      </c>
      <c r="C5" s="269"/>
      <c r="D5" s="270"/>
    </row>
    <row r="6" spans="2:4" s="33" customFormat="1" ht="32.1" customHeight="1" x14ac:dyDescent="0.25">
      <c r="B6" s="277" t="s">
        <v>387</v>
      </c>
      <c r="C6" s="277"/>
      <c r="D6" s="277"/>
    </row>
    <row r="7" spans="2:4" ht="61.5" customHeight="1" x14ac:dyDescent="0.2">
      <c r="B7" s="268" t="s">
        <v>388</v>
      </c>
      <c r="C7" s="269"/>
      <c r="D7" s="270"/>
    </row>
    <row r="8" spans="2:4" ht="21.6" customHeight="1" x14ac:dyDescent="0.2">
      <c r="B8" s="255" t="s">
        <v>389</v>
      </c>
      <c r="C8" s="256"/>
      <c r="D8" s="257"/>
    </row>
    <row r="9" spans="2:4" ht="14.25" x14ac:dyDescent="0.2">
      <c r="B9" s="258"/>
      <c r="C9" s="259"/>
      <c r="D9" s="260"/>
    </row>
    <row r="10" spans="2:4" ht="14.25" x14ac:dyDescent="0.2">
      <c r="B10" s="258"/>
      <c r="C10" s="259"/>
      <c r="D10" s="260"/>
    </row>
    <row r="11" spans="2:4" ht="14.25" x14ac:dyDescent="0.2">
      <c r="B11" s="258"/>
      <c r="C11" s="259"/>
      <c r="D11" s="260"/>
    </row>
    <row r="12" spans="2:4" ht="14.25" x14ac:dyDescent="0.2">
      <c r="B12" s="258"/>
      <c r="C12" s="259"/>
      <c r="D12" s="260"/>
    </row>
    <row r="13" spans="2:4" ht="61.5" customHeight="1" x14ac:dyDescent="0.2">
      <c r="B13" s="258"/>
      <c r="C13" s="259"/>
      <c r="D13" s="260"/>
    </row>
    <row r="14" spans="2:4" ht="61.5" customHeight="1" x14ac:dyDescent="0.2">
      <c r="B14" s="258"/>
      <c r="C14" s="259"/>
      <c r="D14" s="260"/>
    </row>
    <row r="15" spans="2:4" ht="61.5" customHeight="1" x14ac:dyDescent="0.2">
      <c r="B15" s="258"/>
      <c r="C15" s="259"/>
      <c r="D15" s="260"/>
    </row>
    <row r="16" spans="2:4" ht="61.5" customHeight="1" x14ac:dyDescent="0.2">
      <c r="B16" s="258"/>
      <c r="C16" s="259"/>
      <c r="D16" s="260"/>
    </row>
    <row r="17" spans="2:4" ht="61.5" customHeight="1" x14ac:dyDescent="0.2">
      <c r="B17" s="258"/>
      <c r="C17" s="259"/>
      <c r="D17" s="260"/>
    </row>
    <row r="18" spans="2:4" ht="61.5" customHeight="1" x14ac:dyDescent="0.2">
      <c r="B18" s="258"/>
      <c r="C18" s="259"/>
      <c r="D18" s="260"/>
    </row>
    <row r="19" spans="2:4" ht="15" customHeight="1" x14ac:dyDescent="0.2">
      <c r="B19" s="258"/>
      <c r="C19" s="259"/>
      <c r="D19" s="260"/>
    </row>
    <row r="20" spans="2:4" ht="15" customHeight="1" x14ac:dyDescent="0.2">
      <c r="B20" s="258"/>
      <c r="C20" s="259"/>
      <c r="D20" s="260"/>
    </row>
    <row r="21" spans="2:4" ht="15" customHeight="1" x14ac:dyDescent="0.2">
      <c r="B21" s="258"/>
      <c r="C21" s="259"/>
      <c r="D21" s="260"/>
    </row>
    <row r="22" spans="2:4" ht="15" customHeight="1" x14ac:dyDescent="0.2">
      <c r="B22" s="258"/>
      <c r="C22" s="259"/>
      <c r="D22" s="260"/>
    </row>
    <row r="23" spans="2:4" ht="15" customHeight="1" x14ac:dyDescent="0.2">
      <c r="B23" s="258"/>
      <c r="C23" s="259"/>
      <c r="D23" s="260"/>
    </row>
    <row r="24" spans="2:4" ht="15" customHeight="1" x14ac:dyDescent="0.2">
      <c r="B24" s="258"/>
      <c r="C24" s="259"/>
      <c r="D24" s="260"/>
    </row>
    <row r="25" spans="2:4" ht="15" customHeight="1" x14ac:dyDescent="0.2">
      <c r="B25" s="258"/>
      <c r="C25" s="259"/>
      <c r="D25" s="260"/>
    </row>
    <row r="26" spans="2:4" ht="15" customHeight="1" x14ac:dyDescent="0.2">
      <c r="B26" s="258"/>
      <c r="C26" s="259"/>
      <c r="D26" s="260"/>
    </row>
    <row r="27" spans="2:4" ht="15" customHeight="1" x14ac:dyDescent="0.2">
      <c r="B27" s="258"/>
      <c r="C27" s="259"/>
      <c r="D27" s="260"/>
    </row>
    <row r="28" spans="2:4" ht="15" customHeight="1" x14ac:dyDescent="0.2">
      <c r="B28" s="258"/>
      <c r="C28" s="259"/>
      <c r="D28" s="260"/>
    </row>
    <row r="29" spans="2:4" ht="15" customHeight="1" x14ac:dyDescent="0.2">
      <c r="B29" s="258"/>
      <c r="C29" s="259"/>
      <c r="D29" s="260"/>
    </row>
    <row r="30" spans="2:4" ht="15" customHeight="1" x14ac:dyDescent="0.2">
      <c r="B30" s="258"/>
      <c r="C30" s="259"/>
      <c r="D30" s="260"/>
    </row>
    <row r="31" spans="2:4" ht="15" customHeight="1" x14ac:dyDescent="0.2">
      <c r="B31" s="258"/>
      <c r="C31" s="259"/>
      <c r="D31" s="260"/>
    </row>
    <row r="32" spans="2:4" ht="15" customHeight="1" x14ac:dyDescent="0.2">
      <c r="B32" s="258"/>
      <c r="C32" s="259"/>
      <c r="D32" s="260"/>
    </row>
    <row r="33" spans="2:4" ht="15" customHeight="1" x14ac:dyDescent="0.2">
      <c r="B33" s="258"/>
      <c r="C33" s="259"/>
      <c r="D33" s="260"/>
    </row>
    <row r="34" spans="2:4" ht="15" customHeight="1" x14ac:dyDescent="0.2">
      <c r="B34" s="258"/>
      <c r="C34" s="259"/>
      <c r="D34" s="260"/>
    </row>
    <row r="35" spans="2:4" ht="15" customHeight="1" x14ac:dyDescent="0.2">
      <c r="B35" s="258"/>
      <c r="C35" s="259"/>
      <c r="D35" s="260"/>
    </row>
    <row r="36" spans="2:4" ht="15" customHeight="1" x14ac:dyDescent="0.2">
      <c r="B36" s="258"/>
      <c r="C36" s="259"/>
      <c r="D36" s="260"/>
    </row>
    <row r="37" spans="2:4" ht="15" customHeight="1" x14ac:dyDescent="0.2">
      <c r="B37" s="258"/>
      <c r="C37" s="259"/>
      <c r="D37" s="260"/>
    </row>
    <row r="38" spans="2:4" s="34" customFormat="1" ht="32.450000000000003" customHeight="1" x14ac:dyDescent="0.2">
      <c r="B38" s="261"/>
      <c r="C38" s="262"/>
      <c r="D38" s="263"/>
    </row>
    <row r="39" spans="2:4" s="32" customFormat="1" ht="32.1" customHeight="1" x14ac:dyDescent="0.25">
      <c r="B39" s="264" t="s">
        <v>390</v>
      </c>
      <c r="C39" s="265"/>
      <c r="D39" s="266"/>
    </row>
    <row r="40" spans="2:4" s="164" customFormat="1" ht="64.900000000000006" customHeight="1" x14ac:dyDescent="0.25">
      <c r="B40" s="267" t="s">
        <v>391</v>
      </c>
      <c r="C40" s="267"/>
      <c r="D40" s="267"/>
    </row>
    <row r="41" spans="2:4" s="164" customFormat="1" ht="64.900000000000006" customHeight="1" x14ac:dyDescent="0.25">
      <c r="B41" s="267"/>
      <c r="C41" s="267"/>
      <c r="D41" s="267"/>
    </row>
    <row r="42" spans="2:4" s="164" customFormat="1" ht="64.900000000000006" customHeight="1" x14ac:dyDescent="0.25">
      <c r="B42" s="267"/>
      <c r="C42" s="267"/>
      <c r="D42" s="267"/>
    </row>
    <row r="43" spans="2:4" s="164" customFormat="1" ht="64.900000000000006" customHeight="1" x14ac:dyDescent="0.25">
      <c r="B43" s="267"/>
      <c r="C43" s="267"/>
      <c r="D43" s="267"/>
    </row>
    <row r="44" spans="2:4" s="164" customFormat="1" ht="64.900000000000006" customHeight="1" x14ac:dyDescent="0.25">
      <c r="B44" s="267"/>
      <c r="C44" s="267"/>
      <c r="D44" s="267"/>
    </row>
    <row r="45" spans="2:4" s="164" customFormat="1" ht="112.15" customHeight="1" x14ac:dyDescent="0.25">
      <c r="B45" s="267"/>
      <c r="C45" s="267"/>
      <c r="D45" s="267"/>
    </row>
    <row r="46" spans="2:4" s="33" customFormat="1" ht="32.1" customHeight="1" x14ac:dyDescent="0.25">
      <c r="B46" s="271" t="s">
        <v>392</v>
      </c>
      <c r="C46" s="272"/>
      <c r="D46" s="273"/>
    </row>
    <row r="47" spans="2:4" ht="140.44999999999999" customHeight="1" x14ac:dyDescent="0.2">
      <c r="B47" s="278" t="s">
        <v>393</v>
      </c>
      <c r="C47" s="279"/>
      <c r="D47" s="280"/>
    </row>
    <row r="48" spans="2:4" s="33" customFormat="1" ht="32.1" customHeight="1" x14ac:dyDescent="0.25">
      <c r="B48" s="277" t="s">
        <v>394</v>
      </c>
      <c r="C48" s="277"/>
      <c r="D48" s="277"/>
    </row>
    <row r="49" spans="2:4" ht="14.25" x14ac:dyDescent="0.2">
      <c r="B49" s="278" t="s">
        <v>395</v>
      </c>
      <c r="C49" s="279"/>
      <c r="D49" s="280"/>
    </row>
    <row r="50" spans="2:4" ht="14.25" x14ac:dyDescent="0.2">
      <c r="B50" s="281"/>
      <c r="C50" s="282"/>
      <c r="D50" s="283"/>
    </row>
    <row r="51" spans="2:4" ht="14.25" x14ac:dyDescent="0.2">
      <c r="B51" s="281"/>
      <c r="C51" s="282"/>
      <c r="D51" s="283"/>
    </row>
    <row r="52" spans="2:4" ht="14.25" x14ac:dyDescent="0.2">
      <c r="B52" s="281"/>
      <c r="C52" s="282"/>
      <c r="D52" s="283"/>
    </row>
    <row r="53" spans="2:4" ht="14.25" x14ac:dyDescent="0.2">
      <c r="B53" s="281"/>
      <c r="C53" s="282"/>
      <c r="D53" s="283"/>
    </row>
    <row r="54" spans="2:4" ht="14.25" x14ac:dyDescent="0.2">
      <c r="B54" s="281"/>
      <c r="C54" s="282"/>
      <c r="D54" s="283"/>
    </row>
    <row r="55" spans="2:4" ht="14.25" x14ac:dyDescent="0.2">
      <c r="B55" s="281"/>
      <c r="C55" s="282"/>
      <c r="D55" s="283"/>
    </row>
    <row r="56" spans="2:4" ht="14.25" x14ac:dyDescent="0.2">
      <c r="B56" s="281"/>
      <c r="C56" s="282"/>
      <c r="D56" s="283"/>
    </row>
    <row r="57" spans="2:4" ht="14.25" x14ac:dyDescent="0.2">
      <c r="B57" s="284"/>
      <c r="C57" s="285"/>
      <c r="D57" s="286"/>
    </row>
    <row r="58" spans="2:4" s="33" customFormat="1" ht="32.1" customHeight="1" x14ac:dyDescent="0.25">
      <c r="B58" s="277" t="s">
        <v>396</v>
      </c>
      <c r="C58" s="277"/>
      <c r="D58" s="277"/>
    </row>
    <row r="59" spans="2:4" ht="14.25" x14ac:dyDescent="0.2">
      <c r="B59" s="278" t="s">
        <v>36</v>
      </c>
      <c r="C59" s="279"/>
      <c r="D59" s="280"/>
    </row>
    <row r="60" spans="2:4" ht="14.25" x14ac:dyDescent="0.2">
      <c r="B60" s="281"/>
      <c r="C60" s="282"/>
      <c r="D60" s="283"/>
    </row>
    <row r="61" spans="2:4" ht="14.25" x14ac:dyDescent="0.2">
      <c r="B61" s="281"/>
      <c r="C61" s="282"/>
      <c r="D61" s="283"/>
    </row>
    <row r="62" spans="2:4" ht="14.25" x14ac:dyDescent="0.2">
      <c r="B62" s="281"/>
      <c r="C62" s="282"/>
      <c r="D62" s="283"/>
    </row>
    <row r="63" spans="2:4" ht="14.25" x14ac:dyDescent="0.2">
      <c r="B63" s="281"/>
      <c r="C63" s="282"/>
      <c r="D63" s="283"/>
    </row>
    <row r="64" spans="2:4" ht="14.25" x14ac:dyDescent="0.2">
      <c r="B64" s="281"/>
      <c r="C64" s="282"/>
      <c r="D64" s="283"/>
    </row>
    <row r="65" spans="2:4" ht="14.25" x14ac:dyDescent="0.2">
      <c r="B65" s="284"/>
      <c r="C65" s="285"/>
      <c r="D65" s="286"/>
    </row>
    <row r="66" spans="2:4" s="33" customFormat="1" ht="32.1" customHeight="1" x14ac:dyDescent="0.25">
      <c r="B66" s="277" t="s">
        <v>397</v>
      </c>
      <c r="C66" s="277"/>
      <c r="D66" s="277"/>
    </row>
    <row r="67" spans="2:4" ht="14.25" x14ac:dyDescent="0.2">
      <c r="B67" s="278" t="s">
        <v>37</v>
      </c>
      <c r="C67" s="279"/>
      <c r="D67" s="280"/>
    </row>
    <row r="68" spans="2:4" ht="14.25" x14ac:dyDescent="0.2">
      <c r="B68" s="281"/>
      <c r="C68" s="282"/>
      <c r="D68" s="283"/>
    </row>
    <row r="69" spans="2:4" ht="14.25" x14ac:dyDescent="0.2">
      <c r="B69" s="281"/>
      <c r="C69" s="282"/>
      <c r="D69" s="283"/>
    </row>
    <row r="70" spans="2:4" ht="14.25" x14ac:dyDescent="0.2">
      <c r="B70" s="284"/>
      <c r="C70" s="285"/>
      <c r="D70" s="286"/>
    </row>
    <row r="71" spans="2:4" s="33" customFormat="1" ht="32.1" customHeight="1" x14ac:dyDescent="0.25">
      <c r="B71" s="277" t="s">
        <v>398</v>
      </c>
      <c r="C71" s="277"/>
      <c r="D71" s="277"/>
    </row>
    <row r="72" spans="2:4" ht="14.25" x14ac:dyDescent="0.2">
      <c r="B72" s="278" t="s">
        <v>34</v>
      </c>
      <c r="C72" s="279"/>
      <c r="D72" s="280"/>
    </row>
    <row r="73" spans="2:4" ht="14.25" x14ac:dyDescent="0.2">
      <c r="B73" s="281"/>
      <c r="C73" s="282"/>
      <c r="D73" s="283"/>
    </row>
    <row r="74" spans="2:4" ht="14.25" x14ac:dyDescent="0.2">
      <c r="B74" s="281"/>
      <c r="C74" s="282"/>
      <c r="D74" s="283"/>
    </row>
    <row r="75" spans="2:4" ht="14.25" x14ac:dyDescent="0.2">
      <c r="B75" s="284"/>
      <c r="C75" s="285"/>
      <c r="D75" s="286"/>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8" t="s">
        <v>326</v>
      </c>
      <c r="F2" s="288"/>
      <c r="G2" s="28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8" t="s">
        <v>327</v>
      </c>
      <c r="F3" s="21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8" t="s">
        <v>321</v>
      </c>
      <c r="F4" s="21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8" t="s">
        <v>320</v>
      </c>
      <c r="F5" s="21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8" t="s">
        <v>322</v>
      </c>
      <c r="F6" s="21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8" t="s">
        <v>352</v>
      </c>
      <c r="F7" s="21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8" t="s">
        <v>351</v>
      </c>
      <c r="F8" s="21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8" t="s">
        <v>431</v>
      </c>
      <c r="F9" s="21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8" t="s">
        <v>301</v>
      </c>
      <c r="F10" s="21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8" t="s">
        <v>323</v>
      </c>
      <c r="F11" s="21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2" t="s">
        <v>305</v>
      </c>
      <c r="F13" s="233"/>
      <c r="G13" s="233"/>
      <c r="H13" s="233"/>
      <c r="I13" s="233"/>
      <c r="J13" s="233"/>
      <c r="K13" s="287"/>
      <c r="L13" s="287"/>
      <c r="M13" s="233"/>
      <c r="N13" s="234"/>
    </row>
    <row r="14" spans="1:163" s="19" customFormat="1" ht="21" x14ac:dyDescent="0.35">
      <c r="B14" s="41"/>
      <c r="C14" s="41"/>
      <c r="D14" s="41"/>
      <c r="E14" s="235">
        <f>G3</f>
        <v>0</v>
      </c>
      <c r="F14" s="236"/>
      <c r="G14" s="236"/>
      <c r="H14" s="236"/>
      <c r="I14" s="236"/>
      <c r="J14" s="236"/>
      <c r="K14" s="236"/>
      <c r="L14" s="236"/>
      <c r="M14" s="236"/>
      <c r="N14" s="237"/>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8"/>
      <c r="F16" s="239"/>
      <c r="G16" s="239"/>
      <c r="H16" s="239"/>
      <c r="I16" s="239"/>
      <c r="J16" s="239"/>
      <c r="K16" s="239"/>
      <c r="L16" s="239"/>
      <c r="M16" s="239"/>
      <c r="N16" s="240"/>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B386" sqref="B386"/>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row r="387" spans="1:2" ht="15" x14ac:dyDescent="0.25"/>
    <row r="388" spans="1:2" ht="15" x14ac:dyDescent="0.25"/>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2026-04-27T12:30:21Z</dcterms:modified>
</cp:coreProperties>
</file>