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EstaPastaDeTrabalho"/>
  <mc:AlternateContent xmlns:mc="http://schemas.openxmlformats.org/markup-compatibility/2006">
    <mc:Choice Requires="x15">
      <x15ac:absPath xmlns:x15ac="http://schemas.microsoft.com/office/spreadsheetml/2010/11/ac" url="\\pmpa-fs3\smpg-dlc$\UFPC-SLC\_PLANEJAMENTO E ANÁLISE DE PROCESSO\_2026\DEMO\26.0.000047066-9 - Vigilante  Emergencial\"/>
    </mc:Choice>
  </mc:AlternateContent>
  <xr:revisionPtr revIDLastSave="0" documentId="13_ncr:1_{5783B361-EF31-4C20-B61F-826F2628D028}" xr6:coauthVersionLast="47" xr6:coauthVersionMax="47" xr10:uidLastSave="{00000000-0000-0000-0000-000000000000}"/>
  <bookViews>
    <workbookView xWindow="28680" yWindow="-120" windowWidth="29040" windowHeight="15720" tabRatio="802"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9" l="1"/>
  <c r="H9" i="9"/>
  <c r="H8" i="9"/>
  <c r="L17" i="18" l="1"/>
  <c r="F41" i="6"/>
  <c r="G41" i="6"/>
  <c r="H41" i="6"/>
  <c r="I41" i="6"/>
  <c r="E41" i="6"/>
  <c r="F166" i="25"/>
  <c r="G6" i="3" l="1"/>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0" i="24" l="1"/>
  <c r="F152" i="25"/>
  <c r="G152" i="25"/>
  <c r="H152" i="25"/>
  <c r="I152" i="25"/>
  <c r="J152" i="25"/>
  <c r="K152" i="25"/>
  <c r="L152" i="25"/>
  <c r="M152" i="25"/>
  <c r="N152" i="25"/>
  <c r="O152" i="25"/>
  <c r="P152" i="25"/>
  <c r="Q152" i="25"/>
  <c r="R152" i="25"/>
  <c r="S152" i="25"/>
  <c r="T152" i="25"/>
  <c r="U152" i="25"/>
  <c r="V152" i="25"/>
  <c r="W152" i="25"/>
  <c r="X152" i="25"/>
  <c r="E166" i="25" l="1"/>
  <c r="I153" i="25"/>
  <c r="H12" i="9" l="1"/>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7" i="3"/>
  <c r="F18" i="3"/>
  <c r="F19" i="3"/>
  <c r="F20" i="3"/>
  <c r="F21" i="3"/>
  <c r="F22" i="3"/>
  <c r="F23" i="3"/>
  <c r="F24" i="3"/>
  <c r="F25" i="3"/>
  <c r="F26" i="3"/>
  <c r="F27" i="3"/>
  <c r="F28" i="3"/>
  <c r="F29" i="3"/>
  <c r="F30" i="3"/>
  <c r="F31" i="3"/>
  <c r="E6" i="3"/>
  <c r="F6" i="3"/>
  <c r="G6" i="9"/>
  <c r="H6" i="9"/>
  <c r="I6" i="9" l="1"/>
  <c r="G7" i="9"/>
  <c r="G9" i="9"/>
  <c r="G11" i="9"/>
  <c r="G12"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4" i="25" l="1"/>
  <c r="F144" i="25"/>
  <c r="F145" i="25"/>
  <c r="G144" i="25"/>
  <c r="H144" i="25"/>
  <c r="I144" i="25"/>
  <c r="J144" i="25"/>
  <c r="K144" i="25"/>
  <c r="L144" i="25"/>
  <c r="M144" i="25"/>
  <c r="N144" i="25"/>
  <c r="O144" i="25"/>
  <c r="P144" i="25"/>
  <c r="Q144" i="25"/>
  <c r="R144" i="25"/>
  <c r="S144" i="25"/>
  <c r="T144" i="25"/>
  <c r="U144" i="25"/>
  <c r="V144" i="25"/>
  <c r="W144" i="25"/>
  <c r="X144" i="25"/>
  <c r="G142" i="24"/>
  <c r="H142" i="24"/>
  <c r="I142" i="24"/>
  <c r="E142" i="24"/>
  <c r="G143" i="24"/>
  <c r="H143" i="24"/>
  <c r="I143" i="24"/>
  <c r="G145" i="25"/>
  <c r="I145" i="25"/>
  <c r="J145" i="25"/>
  <c r="K145" i="25"/>
  <c r="L145" i="25"/>
  <c r="M145" i="25"/>
  <c r="N145" i="25"/>
  <c r="O145" i="25"/>
  <c r="P145" i="25"/>
  <c r="Q145" i="25"/>
  <c r="R145" i="25"/>
  <c r="S145" i="25"/>
  <c r="T145" i="25"/>
  <c r="U145" i="25"/>
  <c r="V145" i="25"/>
  <c r="W145" i="25"/>
  <c r="X145" i="25"/>
  <c r="E23" i="25"/>
  <c r="E109" i="25" s="1"/>
  <c r="E113" i="25" s="1"/>
  <c r="E76" i="6" l="1"/>
  <c r="E20" i="25"/>
  <c r="E89" i="25"/>
  <c r="E7" i="9" l="1"/>
  <c r="E9" i="9"/>
  <c r="E11" i="9"/>
  <c r="E12"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21" i="25" l="1"/>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51" i="25" l="1"/>
  <c r="W151" i="25"/>
  <c r="V151" i="25"/>
  <c r="U151" i="25"/>
  <c r="T151" i="25"/>
  <c r="S151" i="25"/>
  <c r="R151" i="25"/>
  <c r="Q151" i="25"/>
  <c r="P151" i="25"/>
  <c r="O151" i="25"/>
  <c r="N151" i="25"/>
  <c r="M151" i="25"/>
  <c r="L151" i="25"/>
  <c r="K151" i="25"/>
  <c r="J151" i="25"/>
  <c r="I151" i="25"/>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H145" i="25" l="1"/>
  <c r="T183" i="25"/>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G21" i="25"/>
  <c r="F21" i="25"/>
  <c r="H20" i="25"/>
  <c r="H44" i="25" s="1"/>
  <c r="G20" i="25"/>
  <c r="G44" i="25" s="1"/>
  <c r="F20" i="25"/>
  <c r="A2" i="25"/>
  <c r="G62" i="6"/>
  <c r="H62" i="6"/>
  <c r="I62" i="6"/>
  <c r="G63" i="6"/>
  <c r="H63" i="6"/>
  <c r="I63" i="6"/>
  <c r="D61" i="6"/>
  <c r="H57" i="25" l="1"/>
  <c r="G109" i="25"/>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H48" i="25" s="1"/>
  <c r="E100" i="25"/>
  <c r="E106" i="25"/>
  <c r="F100" i="25"/>
  <c r="F106" i="25"/>
  <c r="G45" i="25"/>
  <c r="G48" i="25" s="1"/>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l="1"/>
  <c r="F55" i="25"/>
  <c r="K36" i="8"/>
  <c r="P36" i="8"/>
  <c r="L36" i="8"/>
  <c r="M36" i="8"/>
  <c r="N36" i="8"/>
  <c r="O36" i="8"/>
  <c r="K37" i="8"/>
  <c r="P37" i="8"/>
  <c r="F7" i="8"/>
  <c r="F164" i="24" l="1"/>
  <c r="G164" i="24"/>
  <c r="H164" i="24"/>
  <c r="E164" i="24"/>
  <c r="Q149" i="8" l="1"/>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J73" i="25"/>
  <c r="N73" i="25"/>
  <c r="K73" i="25"/>
  <c r="L73" i="25"/>
  <c r="I73" i="25"/>
  <c r="M73" i="25"/>
  <c r="J77" i="25"/>
  <c r="N77" i="25"/>
  <c r="K77" i="25"/>
  <c r="L77" i="25"/>
  <c r="I77" i="25"/>
  <c r="M77" i="25"/>
  <c r="K72" i="25"/>
  <c r="L72" i="25"/>
  <c r="I72" i="25"/>
  <c r="J72" i="25"/>
  <c r="N72" i="25"/>
  <c r="M72" i="25"/>
  <c r="K74" i="25"/>
  <c r="L74" i="25"/>
  <c r="N74" i="25"/>
  <c r="M74" i="25"/>
  <c r="J74" i="25"/>
  <c r="I74" i="25"/>
  <c r="K76" i="25"/>
  <c r="L76" i="25"/>
  <c r="J76" i="25"/>
  <c r="I76" i="25"/>
  <c r="M76" i="25"/>
  <c r="N76" i="25"/>
  <c r="D37" i="5"/>
  <c r="F37" i="5"/>
  <c r="D38" i="5"/>
  <c r="F38" i="5"/>
  <c r="D39" i="5"/>
  <c r="F39" i="5"/>
  <c r="D40" i="5"/>
  <c r="F40" i="5"/>
  <c r="F36" i="5"/>
  <c r="D36" i="5"/>
  <c r="E37" i="5"/>
  <c r="E38" i="5"/>
  <c r="E39" i="5"/>
  <c r="E40" i="5"/>
  <c r="E36" i="5"/>
  <c r="G92" i="6" l="1"/>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I4" i="1" l="1"/>
  <c r="J4" i="1" s="1"/>
  <c r="I3" i="1"/>
  <c r="J3" i="1" s="1"/>
  <c r="E93" i="25" l="1"/>
  <c r="E96" i="25" s="1"/>
  <c r="E39" i="25" l="1"/>
  <c r="E42" i="25"/>
  <c r="E35" i="25"/>
  <c r="E91" i="25"/>
  <c r="E114" i="25" s="1"/>
  <c r="I176" i="24"/>
  <c r="I175" i="24"/>
  <c r="I174" i="24"/>
  <c r="E46" i="25" l="1"/>
  <c r="E53" i="25" s="1"/>
  <c r="E56" i="25" s="1"/>
  <c r="F56" i="25" s="1"/>
  <c r="E145" i="25"/>
  <c r="E146" i="25" s="1"/>
  <c r="E49" i="25"/>
  <c r="H15" i="1"/>
  <c r="H13" i="1"/>
  <c r="H11" i="1"/>
  <c r="F58" i="25" l="1"/>
  <c r="F61" i="25" s="1"/>
  <c r="F72" i="25" s="1"/>
  <c r="G56" i="25"/>
  <c r="E55" i="25"/>
  <c r="E58" i="25" s="1"/>
  <c r="E61" i="25" s="1"/>
  <c r="F93" i="24"/>
  <c r="F96" i="24" s="1"/>
  <c r="G93" i="24"/>
  <c r="G96" i="24" s="1"/>
  <c r="H93" i="24"/>
  <c r="H96" i="24" s="1"/>
  <c r="G58" i="25" l="1"/>
  <c r="G61" i="25" s="1"/>
  <c r="H56" i="25"/>
  <c r="H58" i="25" s="1"/>
  <c r="H61" i="25" s="1"/>
  <c r="F75" i="25"/>
  <c r="F74" i="25"/>
  <c r="F76" i="25"/>
  <c r="F73" i="25"/>
  <c r="F77" i="25"/>
  <c r="G130" i="25"/>
  <c r="G73" i="25"/>
  <c r="G75" i="25"/>
  <c r="G74" i="25"/>
  <c r="G72" i="25"/>
  <c r="G76" i="25"/>
  <c r="G77" i="25"/>
  <c r="E72" i="25"/>
  <c r="E77" i="25"/>
  <c r="E76" i="25"/>
  <c r="E73" i="25"/>
  <c r="E74" i="25"/>
  <c r="E75" i="25"/>
  <c r="J37" i="8"/>
  <c r="J36" i="8"/>
  <c r="H130" i="25" l="1"/>
  <c r="H77" i="25"/>
  <c r="H73" i="25"/>
  <c r="H72" i="25"/>
  <c r="H75" i="25"/>
  <c r="H76" i="25"/>
  <c r="H74" i="25"/>
  <c r="D55" i="6"/>
  <c r="F58" i="6" s="1"/>
  <c r="F63" i="6" s="1"/>
  <c r="I150"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2" i="9"/>
  <c r="I13" i="9"/>
  <c r="I14" i="9"/>
  <c r="I15" i="9"/>
  <c r="I16" i="9"/>
  <c r="I17" i="9"/>
  <c r="I18" i="9"/>
  <c r="I19" i="9"/>
  <c r="I20" i="9"/>
  <c r="I21" i="9"/>
  <c r="I22" i="9"/>
  <c r="I23" i="9"/>
  <c r="I24" i="9"/>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2"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H136" i="25" l="1"/>
  <c r="G136" i="25"/>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1"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F182" i="25" l="1"/>
  <c r="G182" i="25"/>
  <c r="G188" i="25" s="1"/>
  <c r="H182" i="25"/>
  <c r="H188" i="25" s="1"/>
  <c r="E182"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8" i="25"/>
  <c r="E188"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68" i="24" l="1"/>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I180" i="24" l="1"/>
  <c r="I156" i="24"/>
  <c r="I186" i="24" l="1"/>
  <c r="I157" i="24"/>
  <c r="I158" i="24" s="1"/>
  <c r="F79" i="6"/>
  <c r="F81" i="6" s="1"/>
  <c r="F93" i="6" l="1"/>
  <c r="I166" i="24"/>
  <c r="I161" i="24"/>
  <c r="I162" i="24"/>
  <c r="I165" i="24"/>
  <c r="F86" i="6" l="1"/>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30" i="3"/>
  <c r="E29" i="3"/>
  <c r="E13" i="3"/>
  <c r="E19" i="3"/>
  <c r="E18" i="3"/>
  <c r="E14" i="3"/>
  <c r="E27" i="3"/>
  <c r="E20" i="3"/>
  <c r="E31" i="3"/>
  <c r="E9" i="3"/>
  <c r="E23" i="3"/>
  <c r="F180" i="24" l="1"/>
  <c r="F186" i="24" s="1"/>
  <c r="E180" i="24"/>
  <c r="E186" i="24" s="1"/>
  <c r="S4" i="3"/>
  <c r="Z4" i="3"/>
  <c r="AA4" i="3"/>
  <c r="P4" i="3"/>
  <c r="AC4" i="3"/>
  <c r="J4" i="3"/>
  <c r="U4" i="3"/>
  <c r="K4" i="3"/>
  <c r="R4" i="3"/>
  <c r="V4" i="3"/>
  <c r="M4" i="3"/>
  <c r="Y4" i="3"/>
  <c r="O4" i="3"/>
  <c r="W4" i="3"/>
  <c r="AB4" i="3"/>
  <c r="X4" i="3"/>
  <c r="N4" i="3"/>
  <c r="Q4" i="3"/>
  <c r="L4" i="3"/>
  <c r="T4" i="3"/>
  <c r="G149" i="24" l="1"/>
  <c r="G150" i="24" s="1"/>
  <c r="G151" i="24" s="1"/>
  <c r="G151" i="25"/>
  <c r="G153" i="25" s="1"/>
  <c r="H149" i="24"/>
  <c r="H150" i="24" s="1"/>
  <c r="H151" i="24" s="1"/>
  <c r="H151" i="25"/>
  <c r="H153" i="25" s="1"/>
  <c r="J58" i="5"/>
  <c r="K58" i="5" s="1"/>
  <c r="F149" i="24"/>
  <c r="F150" i="24" s="1"/>
  <c r="F151" i="24" s="1"/>
  <c r="F151" i="25"/>
  <c r="E149" i="24"/>
  <c r="E150" i="24" s="1"/>
  <c r="E151" i="25"/>
  <c r="H183" i="25" l="1"/>
  <c r="H158" i="25"/>
  <c r="H159" i="25" s="1"/>
  <c r="H160" i="25" s="1"/>
  <c r="G183" i="25"/>
  <c r="G158" i="25"/>
  <c r="G159" i="25" s="1"/>
  <c r="G160" i="25" s="1"/>
  <c r="J59" i="5"/>
  <c r="K59" i="5" s="1"/>
  <c r="G181" i="24"/>
  <c r="G156" i="24"/>
  <c r="H156" i="24"/>
  <c r="H181" i="24"/>
  <c r="F181" i="24"/>
  <c r="F156" i="24"/>
  <c r="E151" i="24"/>
  <c r="G163" i="25" l="1"/>
  <c r="G168" i="25"/>
  <c r="G164" i="25"/>
  <c r="G167" i="25"/>
  <c r="G189" i="25"/>
  <c r="H167" i="25"/>
  <c r="H163" i="25"/>
  <c r="H164" i="25"/>
  <c r="H168" i="25"/>
  <c r="H189" i="25"/>
  <c r="F157" i="24"/>
  <c r="F158" i="24" s="1"/>
  <c r="H187" i="24"/>
  <c r="G157" i="24"/>
  <c r="G158" i="24" s="1"/>
  <c r="F187" i="24"/>
  <c r="H157" i="24"/>
  <c r="H158" i="24" s="1"/>
  <c r="G187" i="24"/>
  <c r="E156" i="24"/>
  <c r="E181" i="24"/>
  <c r="H169" i="25" l="1"/>
  <c r="H171" i="25" s="1"/>
  <c r="G169" i="25"/>
  <c r="G171" i="25" s="1"/>
  <c r="H165" i="24"/>
  <c r="H161" i="24"/>
  <c r="H166" i="24"/>
  <c r="H162" i="24"/>
  <c r="G165" i="24"/>
  <c r="G166" i="24"/>
  <c r="G161" i="24"/>
  <c r="G162" i="24"/>
  <c r="F162" i="24"/>
  <c r="F161" i="24"/>
  <c r="F165" i="24"/>
  <c r="F166" i="24"/>
  <c r="E187" i="24"/>
  <c r="E157" i="24"/>
  <c r="G184" i="25" l="1"/>
  <c r="G178" i="25"/>
  <c r="G177" i="25"/>
  <c r="H19" i="5" s="1"/>
  <c r="H184" i="25"/>
  <c r="H177" i="25"/>
  <c r="H20" i="5" s="1"/>
  <c r="H178" i="25"/>
  <c r="E158" i="24"/>
  <c r="E162" i="24" s="1"/>
  <c r="G167" i="24"/>
  <c r="G169" i="24" s="1"/>
  <c r="G182" i="24" s="1"/>
  <c r="F167" i="24"/>
  <c r="F169" i="24" s="1"/>
  <c r="H167" i="24"/>
  <c r="H169" i="24" s="1"/>
  <c r="H176" i="25" l="1"/>
  <c r="G20" i="5" s="1"/>
  <c r="H179" i="25"/>
  <c r="I20" i="5" s="1"/>
  <c r="G176" i="25"/>
  <c r="G19" i="5" s="1"/>
  <c r="G179" i="25"/>
  <c r="I19" i="5" s="1"/>
  <c r="H190" i="25"/>
  <c r="H185" i="25"/>
  <c r="G190" i="25"/>
  <c r="G185" i="25"/>
  <c r="E166" i="24"/>
  <c r="E165" i="24"/>
  <c r="E161" i="24"/>
  <c r="G175" i="24"/>
  <c r="G176" i="24"/>
  <c r="G177" i="24" s="1"/>
  <c r="H182" i="24"/>
  <c r="H175" i="24"/>
  <c r="H176" i="24"/>
  <c r="F182" i="24"/>
  <c r="F176" i="24"/>
  <c r="F175" i="24"/>
  <c r="G188" i="24"/>
  <c r="G183" i="24"/>
  <c r="G189" i="24" s="1"/>
  <c r="G191" i="25" l="1"/>
  <c r="K19" i="5" s="1"/>
  <c r="J19" i="5"/>
  <c r="H191" i="25"/>
  <c r="K20" i="5" s="1"/>
  <c r="J20" i="5"/>
  <c r="E167" i="24"/>
  <c r="E169" i="24" s="1"/>
  <c r="G174" i="24"/>
  <c r="G216" i="24" s="1"/>
  <c r="H174" i="24"/>
  <c r="H177" i="24"/>
  <c r="F177" i="24"/>
  <c r="F174" i="24"/>
  <c r="F188" i="24"/>
  <c r="F183" i="24"/>
  <c r="F189" i="24" s="1"/>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l="1"/>
  <c r="N211" i="24" s="1"/>
  <c r="O211" i="24" s="1"/>
  <c r="E174" i="24"/>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J11" i="9"/>
  <c r="I11" i="9" s="1"/>
  <c r="I4" i="9" s="1"/>
  <c r="F153" i="25" l="1"/>
  <c r="E152" i="25"/>
  <c r="J60" i="5" s="1"/>
  <c r="E153" i="25" l="1"/>
  <c r="E158" i="25" s="1"/>
  <c r="F158" i="25"/>
  <c r="F183" i="25"/>
  <c r="E183" i="25" l="1"/>
  <c r="E189" i="25" s="1"/>
  <c r="F159" i="25"/>
  <c r="F160" i="25" s="1"/>
  <c r="K60" i="5"/>
  <c r="J62" i="5"/>
  <c r="K62" i="5" s="1"/>
  <c r="F189" i="25"/>
  <c r="E159" i="25"/>
  <c r="J64" i="5" l="1"/>
  <c r="J65" i="5"/>
  <c r="K65" i="5" s="1"/>
  <c r="F167" i="25"/>
  <c r="F164" i="25"/>
  <c r="F163" i="25"/>
  <c r="F168" i="25"/>
  <c r="E160" i="25"/>
  <c r="K64" i="5" l="1"/>
  <c r="E167" i="25"/>
  <c r="E163" i="25"/>
  <c r="E164" i="25"/>
  <c r="E168" i="25"/>
  <c r="F169" i="25"/>
  <c r="F171" i="25" s="1"/>
  <c r="E169" i="25" l="1"/>
  <c r="J66" i="5" s="1"/>
  <c r="F184" i="25"/>
  <c r="F178" i="25"/>
  <c r="F177" i="25"/>
  <c r="H18" i="5" s="1"/>
  <c r="F179" i="25" l="1"/>
  <c r="I18" i="5" s="1"/>
  <c r="F176" i="25"/>
  <c r="G18" i="5" s="1"/>
  <c r="F190" i="25"/>
  <c r="F185" i="25"/>
  <c r="E171" i="25"/>
  <c r="J6" i="9" s="1"/>
  <c r="E184" i="25" l="1"/>
  <c r="E177" i="25"/>
  <c r="H17" i="5" s="1"/>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<sst xmlns="http://schemas.openxmlformats.org/spreadsheetml/2006/main" count="1573" uniqueCount="752">
  <si>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</si>
  <si>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</si>
  <si>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</si>
  <si>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</si>
  <si>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</si>
  <si>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</si>
  <si>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</si>
  <si>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</si>
  <si>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</si>
  <si>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</si>
  <si>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</si>
  <si>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</si>
  <si>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</si>
  <si>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</si>
  <si>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</si>
  <si>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</si>
  <si>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</si>
  <si>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</si>
  <si>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</si>
  <si>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</si>
  <si>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</si>
  <si>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</si>
  <si>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</si>
  <si>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</si>
  <si>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</si>
  <si>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</si>
  <si>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</si>
  <si>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</si>
  <si>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</si>
  <si>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</si>
  <si>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</si>
  <si>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</si>
  <si>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</si>
  <si>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</si>
  <si>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</si>
  <si>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</si>
  <si>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</si>
  <si>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</si>
  <si>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</si>
  <si>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</si>
  <si>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</si>
  <si>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</si>
  <si>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</si>
  <si>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</si>
  <si>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</si>
  <si>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</si>
  <si>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</si>
  <si>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</si>
  <si>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</si>
  <si>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</si>
  <si>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</si>
  <si>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</si>
  <si>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</si>
  <si>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</si>
  <si>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</si>
  <si>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</si>
  <si>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</si>
  <si>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</si>
  <si>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</si>
  <si>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</si>
  <si>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</si>
  <si>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</si>
  <si>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</si>
  <si>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</si>
  <si>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</si>
  <si>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</si>
  <si>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</si>
  <si>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</si>
  <si>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</si>
  <si>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</si>
  <si>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</si>
  <si>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</si>
  <si>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</si>
  <si>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</si>
  <si>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</si>
  <si>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</si>
  <si>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</si>
  <si>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</si>
  <si>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</si>
  <si>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</si>
  <si>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</si>
  <si>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</si>
  <si>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</si>
  <si>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</si>
  <si>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</si>
  <si>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</si>
  <si>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</si>
  <si>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</si>
  <si>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</si>
  <si>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</si>
  <si>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</si>
  <si>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</si>
  <si>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</si>
  <si>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</si>
  <si>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</si>
  <si>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</si>
  <si>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</si>
  <si>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</si>
  <si>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</si>
  <si>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</si>
  <si>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</si>
  <si>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</si>
  <si>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</si>
  <si>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</si>
  <si>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</si>
  <si>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</si>
  <si>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</si>
  <si>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</si>
  <si>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</si>
  <si>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</si>
  <si>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</si>
  <si>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</si>
  <si>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</si>
  <si>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</si>
  <si>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</si>
  <si>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</si>
  <si>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</si>
  <si>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</si>
  <si>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</si>
  <si>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</si>
  <si>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</si>
  <si>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</si>
  <si>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</si>
  <si>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</si>
  <si>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</si>
  <si>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</si>
  <si>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</si>
  <si>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</si>
  <si>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</si>
  <si>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</si>
  <si>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</si>
  <si>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</si>
  <si>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</si>
  <si>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</si>
  <si>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</si>
  <si>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</si>
  <si>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</si>
  <si>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</si>
  <si>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</si>
  <si>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</si>
  <si>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</si>
  <si>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</si>
  <si>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</si>
  <si>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</si>
  <si>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</si>
  <si>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</si>
  <si>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</si>
  <si>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</si>
  <si>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</si>
  <si>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</si>
  <si>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</si>
  <si>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</si>
  <si>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</si>
  <si>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</si>
  <si>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</si>
  <si>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</si>
  <si>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</si>
  <si>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</si>
  <si>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</si>
  <si>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</si>
  <si>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</si>
  <si>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</si>
  <si>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</si>
  <si>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</si>
  <si>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</si>
  <si>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</si>
  <si>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</si>
  <si>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</si>
  <si>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</si>
  <si>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</si>
  <si>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</si>
  <si>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</si>
  <si>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</si>
  <si>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</si>
  <si>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</si>
  <si>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</si>
  <si>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</si>
  <si>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</si>
  <si>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</si>
  <si>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</si>
  <si>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</si>
  <si>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</si>
  <si>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</si>
  <si>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</si>
  <si>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</si>
  <si>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</si>
  <si>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</si>
  <si>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</si>
  <si>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</si>
  <si>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</si>
  <si>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</si>
  <si>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</si>
  <si>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</si>
  <si>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</si>
  <si>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</si>
  <si>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</si>
  <si>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</si>
  <si>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</si>
  <si>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</si>
  <si>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</si>
  <si>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</si>
  <si>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</si>
  <si>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</si>
  <si>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</si>
  <si>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</si>
  <si>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</si>
  <si>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</si>
  <si>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</si>
  <si>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</si>
  <si>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</si>
  <si>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</si>
  <si>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</si>
  <si>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</si>
  <si>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</si>
  <si>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</si>
  <si>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</si>
  <si>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</si>
  <si>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</si>
  <si>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</si>
  <si>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</si>
  <si>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</si>
  <si>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</si>
  <si>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</si>
  <si>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</si>
  <si>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</si>
  <si>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</si>
  <si>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</si>
  <si>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</si>
  <si>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</si>
  <si>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</si>
  <si>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</si>
  <si>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</si>
  <si>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</si>
  <si>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</si>
  <si>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</si>
  <si>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</si>
  <si>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</si>
  <si>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</si>
  <si>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</si>
  <si>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</si>
  <si>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</si>
  <si>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</si>
  <si>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</si>
  <si>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</si>
  <si>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</si>
  <si>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</si>
  <si>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</si>
  <si>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</si>
  <si>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</si>
  <si>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</si>
  <si>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</si>
  <si>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</si>
  <si>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</si>
  <si>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</si>
  <si>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</si>
  <si>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</si>
  <si>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</si>
  <si>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</si>
  <si>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</si>
  <si>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</si>
  <si>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</si>
  <si>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</si>
  <si>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</si>
  <si>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</si>
  <si>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</si>
  <si>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</si>
  <si>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</si>
  <si>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</si>
  <si>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</si>
  <si>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</si>
  <si>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</si>
  <si>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</si>
  <si>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</si>
  <si>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</si>
  <si>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</si>
  <si>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</si>
  <si>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</si>
  <si>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</si>
  <si>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</si>
  <si>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</si>
  <si>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</si>
  <si>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</si>
  <si>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</si>
  <si>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</si>
  <si>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</si>
  <si>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</si>
  <si>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</si>
  <si>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</si>
  <si>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</si>
  <si>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</si>
  <si>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</si>
  <si>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</si>
  <si>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</si>
  <si>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</si>
  <si>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</si>
  <si>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</si>
  <si>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</si>
  <si>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</si>
  <si>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</si>
  <si>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</si>
  <si>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</si>
  <si>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</si>
  <si>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</si>
  <si>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</si>
  <si>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</si>
  <si>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</si>
  <si>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</si>
  <si>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</si>
  <si>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</si>
  <si>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</si>
  <si>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</si>
  <si>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</si>
  <si>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</si>
  <si>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</si>
  <si>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</si>
  <si>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</si>
  <si>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</si>
  <si>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</si>
  <si>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</si>
  <si>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</si>
  <si>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</si>
  <si>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</si>
  <si>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</si>
  <si>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</si>
  <si>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</si>
  <si>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</si>
  <si>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</si>
  <si>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</si>
  <si>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</si>
  <si>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</si>
  <si>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</si>
  <si>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</si>
  <si>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</si>
  <si>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</si>
  <si>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</si>
  <si>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</si>
  <si>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</si>
  <si>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</si>
  <si>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</si>
  <si>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</si>
  <si>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</si>
  <si>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</si>
  <si>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</si>
  <si>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</si>
  <si>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</si>
  <si>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</si>
  <si>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</si>
  <si>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</si>
  <si>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</si>
  <si>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</si>
  <si>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</si>
  <si>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</si>
  <si>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</si>
  <si>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</si>
  <si>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</si>
  <si>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</si>
  <si>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</si>
  <si>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</si>
  <si>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</si>
  <si>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</si>
  <si>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</si>
  <si>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</si>
  <si>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</si>
  <si>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</si>
  <si>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</si>
  <si>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</si>
  <si>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</si>
  <si>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</si>
  <si>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</si>
  <si>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</si>
  <si>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</si>
  <si>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</si>
  <si>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</si>
  <si>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</si>
  <si>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</si>
  <si>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</si>
  <si>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</si>
  <si>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</si>
  <si>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</si>
  <si>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</si>
  <si>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</si>
  <si>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</si>
  <si>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</si>
  <si>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</si>
  <si>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</si>
  <si>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</si>
  <si>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</si>
  <si>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</si>
  <si>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</si>
  <si>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</si>
  <si>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</si>
  <si>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</si>
  <si>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</si>
  <si>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</si>
  <si>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</si>
  <si>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</si>
  <si>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</si>
  <si>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</si>
  <si>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</si>
  <si>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</si>
  <si>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</si>
  <si>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</si>
  <si>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</si>
  <si>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</si>
  <si>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</si>
  <si>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</si>
  <si>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</si>
  <si>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</si>
  <si>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</si>
  <si>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</si>
  <si>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</si>
  <si>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</si>
  <si>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</si>
  <si>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</si>
  <si>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</si>
  <si>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</si>
  <si>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</si>
  <si>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</si>
  <si>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</si>
  <si>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</si>
  <si>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</si>
  <si>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</si>
  <si>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</si>
  <si>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</si>
  <si>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</si>
  <si>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</si>
  <si>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</si>
  <si>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</si>
  <si>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</si>
  <si>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</si>
  <si>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</si>
  <si>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</si>
  <si>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</si>
  <si>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</si>
  <si>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</si>
  <si>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</si>
  <si>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</si>
  <si>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</si>
  <si>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</si>
  <si>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</si>
  <si>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</si>
  <si>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</si>
  <si>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</si>
  <si>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</si>
  <si>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</si>
  <si>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</si>
  <si>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</si>
  <si>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</si>
  <si>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</si>
  <si>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</si>
  <si>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</si>
  <si>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</si>
  <si>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</si>
  <si>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</si>
  <si>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</si>
  <si>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</si>
  <si>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</si>
  <si>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</si>
  <si>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</si>
  <si>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</si>
  <si>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</si>
  <si>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</si>
  <si>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</si>
  <si>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</si>
  <si>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</si>
  <si>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</si>
  <si>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</si>
  <si>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</si>
  <si>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</si>
  <si>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</si>
  <si>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</si>
  <si>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</si>
  <si>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</si>
  <si>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</si>
  <si>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</si>
  <si>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</si>
  <si>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</si>
  <si>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</si>
  <si>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</si>
  <si>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</si>
  <si>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</si>
  <si>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</si>
  <si>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</si>
  <si>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</si>
  <si>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</si>
  <si>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</si>
  <si>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</si>
  <si>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</si>
  <si>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</si>
  <si>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</si>
  <si>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</si>
  <si>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</si>
  <si>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</si>
  <si>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</si>
  <si>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</si>
  <si>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</si>
  <si>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</si>
  <si>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</si>
  <si>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</si>
  <si>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</si>
  <si>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</si>
  <si>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</si>
  <si>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</si>
  <si>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</si>
  <si>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</si>
  <si>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</si>
  <si>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</si>
  <si>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</si>
  <si>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</si>
  <si>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</si>
  <si>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</si>
  <si>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</si>
  <si>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</si>
  <si>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</si>
  <si>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</si>
  <si>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</si>
  <si>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</si>
  <si>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</si>
  <si>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</si>
  <si>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</si>
  <si>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</si>
  <si>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</si>
  <si>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</si>
  <si>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</si>
  <si>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</si>
  <si>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</si>
  <si>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</si>
  <si>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</si>
  <si>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</si>
  <si>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</si>
  <si>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</si>
  <si>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</si>
  <si>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</si>
  <si>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</si>
  <si>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</si>
  <si>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</si>
  <si>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</si>
  <si>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</si>
  <si>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</si>
  <si>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</si>
  <si>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</si>
  <si>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</si>
  <si>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</si>
  <si>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</si>
  <si>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</si>
  <si>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</si>
  <si>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</si>
  <si>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</si>
  <si>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</si>
  <si>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</si>
  <si>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</si>
  <si>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</si>
  <si>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</si>
  <si>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</si>
  <si>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</si>
  <si>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</si>
  <si>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</si>
  <si>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</si>
  <si>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</si>
  <si>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</si>
  <si>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</si>
  <si>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</si>
  <si>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</si>
  <si>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</si>
  <si>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</si>
  <si>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</si>
  <si>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</si>
  <si>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</si>
  <si>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</si>
  <si>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</si>
  <si>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</si>
  <si>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</si>
  <si>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</si>
  <si>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</si>
  <si>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</si>
  <si>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</si>
  <si>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</si>
  <si>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</si>
  <si>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</si>
  <si>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</si>
  <si>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</si>
  <si>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</si>
  <si>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</si>
  <si>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</si>
  <si>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</si>
  <si>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</si>
  <si>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</si>
  <si>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</si>
  <si>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</si>
  <si>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</si>
  <si>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</si>
  <si>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</si>
  <si>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</si>
  <si>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</si>
  <si>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</si>
  <si>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</si>
  <si>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</si>
  <si>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</si>
  <si>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</si>
  <si>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</si>
  <si>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</si>
  <si>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</si>
  <si>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</si>
  <si>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</si>
  <si>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</si>
  <si>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</si>
  <si>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</si>
  <si>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</si>
  <si>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</si>
  <si>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</si>
  <si>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</si>
  <si>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</si>
  <si>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</si>
  <si>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</si>
  <si>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</si>
  <si>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</si>
  <si>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</si>
  <si>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</si>
  <si>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</si>
  <si>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</si>
  <si>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</si>
  <si>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</si>
  <si>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</si>
  <si>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</si>
  <si>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</si>
  <si>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</si>
  <si>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</si>
  <si>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</si>
  <si>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</si>
  <si>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</si>
  <si>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</si>
  <si>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</si>
  <si>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</si>
  <si>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</si>
  <si>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</si>
  <si>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</si>
  <si>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</si>
  <si>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</si>
  <si>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</si>
  <si>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</si>
  <si>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</si>
  <si>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</si>
  <si>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</si>
  <si>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</si>
  <si>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</si>
  <si>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</si>
  <si>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</si>
  <si>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</si>
  <si>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</si>
  <si>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</si>
  <si>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</si>
  <si>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</si>
  <si>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</si>
  <si>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</si>
  <si>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</si>
  <si>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</si>
  <si>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</si>
  <si>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</si>
  <si>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</si>
  <si>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</si>
  <si>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</si>
  <si>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</si>
  <si>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</si>
  <si>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</si>
  <si>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</si>
  <si>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</si>
  <si>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</si>
  <si>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</si>
  <si>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</si>
  <si>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</si>
  <si>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</si>
  <si>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</si>
  <si>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</si>
  <si>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</si>
  <si>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</si>
  <si>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</si>
  <si>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</si>
  <si>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</si>
  <si>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</si>
  <si>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</si>
  <si>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</si>
  <si>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</si>
  <si>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</si>
  <si>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</si>
  <si>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</si>
  <si>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</si>
  <si>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</si>
  <si>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</si>
  <si>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</si>
  <si>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</si>
  <si>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</si>
  <si>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</si>
  <si>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</si>
  <si>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</si>
  <si>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</si>
  <si>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</si>
  <si>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</si>
  <si>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</si>
  <si>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</si>
  <si>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</si>
  <si>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</si>
  <si>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</si>
  <si>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</si>
  <si>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</si>
  <si>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</si>
  <si>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</si>
  <si>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</si>
  <si>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</si>
  <si>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</si>
  <si>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</si>
  <si>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</si>
  <si>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</si>
  <si>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</si>
  <si>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</si>
  <si>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</si>
  <si>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</si>
  <si>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</si>
  <si>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</si>
  <si>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</si>
  <si>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</si>
  <si>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</si>
  <si>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</si>
  <si>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</si>
  <si>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</si>
  <si>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</si>
  <si>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</si>
  <si>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</si>
  <si>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</si>
  <si>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</si>
  <si>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</si>
  <si>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</si>
  <si>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</si>
  <si>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</si>
  <si>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</si>
  <si>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</si>
  <si>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</si>
  <si>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</si>
  <si>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SECRETARIA DE ADMINISTRAÇÃO E PATRIMÔNIO</t>
  </si>
  <si>
    <t>26.0.000047066-9</t>
  </si>
  <si>
    <t>Contratação emergencial de serviços de vigilância desarmada</t>
  </si>
  <si>
    <t>Mês</t>
  </si>
  <si>
    <t>Diurno</t>
  </si>
  <si>
    <t>Diurno Líder</t>
  </si>
  <si>
    <t>Noturno</t>
  </si>
  <si>
    <t>Noturno Líder</t>
  </si>
  <si>
    <t>BONÉ</t>
  </si>
  <si>
    <t xml:space="preserve">RADIOCOMUNICAÇÃO WALK TALK </t>
  </si>
  <si>
    <t xml:space="preserve">CANETA ESFEROGRÁFICA </t>
  </si>
  <si>
    <t>LIVRO PONTO</t>
  </si>
  <si>
    <t>JAQUETA/CASACO</t>
  </si>
  <si>
    <t>BATERIA DE RADIO</t>
  </si>
  <si>
    <t>Eduardo Evaristo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</si>
</sst>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84">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38">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refreshError="1"/>
      <sheetData sheetId="3" refreshError="1"/>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7" headerRowBorderDxfId="36" tableBorderDxfId="35" totalsRowBorderDxfId="34">
  <autoFilter ref="A1:D44" xr:uid="{D57D3FC6-7EC9-4C5D-A939-BF7C2F66DE85}"/>
  <tableColumns count="4">
    <tableColumn id="3" xr3:uid="{D3336994-4591-4036-A9E5-4C1789AF1A76}" name="Especificação do Objeto" dataDxfId="33"/>
    <tableColumn id="4" xr3:uid="{47AC3AEE-7FC1-40CF-9DCB-3E5A0127214F}" name="Unidade" dataDxfId="32"/>
    <tableColumn id="6" xr3:uid="{C8170DE8-D38F-4FC8-9805-18FF8F0629D3}" name="Valor Unit. (R$)" dataDxfId="31"/>
    <tableColumn id="2" xr3:uid="{CB642EE7-9EA0-4715-B47C-97DDB8E42155}" name="Taxa de depreciação anual" dataDxfId="30"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29" headerRowBorderDxfId="28">
  <autoFilter ref="A1:D22" xr:uid="{7B1027DC-9440-4644-802A-7768442B0A4F}"/>
  <tableColumns count="4">
    <tableColumn id="1" xr3:uid="{7A7B7147-EEF6-4F1F-9C33-DE268660E09E}" name="Especificação do Objeto" dataDxfId="27"/>
    <tableColumn id="2" xr3:uid="{DCB29A08-AA4F-4418-8B57-E8827E7844D5}" name="Unidade" dataDxfId="26"/>
    <tableColumn id="4" xr3:uid="{82247A25-14F8-4D85-B0EB-2C189047A3F8}" name="Valor Unit. (R$)" dataDxfId="25"/>
    <tableColumn id="5" xr3:uid="{AA891141-58FC-4090-8721-81C4D2B22EE1}" name="Taxa de depreciação anual" dataDxfId="24"/>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2"/>
  <sheetViews>
    <sheetView showGridLines="0" tabSelected="1" zoomScaleNormal="100" workbookViewId="0">
      <selection activeCell="C16" sqref="C16"/>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783" t="str">
        <f>CONCATENATE("PREFEITURA MUNICIPAL DE PORTO ALEGRE
",D5,"
FORMAÇÃO DE PREÇOS DE REFERÊNCIA - CESSÃO DE MÃO DE OBRA")</f>
        <v>PREFEITURA MUNICIPAL DE PORTO ALEGRE
SECRETARIA DE ADMINISTRAÇÃO E PATRIMÔNIO
FORMAÇÃO DE PREÇOS DE REFERÊNCIA - CESSÃO DE MÃO DE OBRA</v>
      </c>
      <c r="B2" s="784"/>
      <c r="C2" s="784"/>
      <c r="D2" s="784"/>
      <c r="E2" s="784"/>
      <c r="F2" s="784"/>
      <c r="G2" s="784"/>
      <c r="H2" s="784"/>
      <c r="I2" s="785"/>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787" t="s">
        <v>737</v>
      </c>
      <c r="E5" s="787"/>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788"/>
      <c r="E6" s="788"/>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788" t="s">
        <v>738</v>
      </c>
      <c r="E7" s="788"/>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787" t="s">
        <v>739</v>
      </c>
      <c r="E8" s="787"/>
      <c r="F8" s="1"/>
      <c r="G8" s="70"/>
      <c r="H8" s="69"/>
      <c r="I8" s="69"/>
      <c r="J8" s="69"/>
      <c r="K8" s="69"/>
      <c r="L8" s="69"/>
      <c r="M8" s="69"/>
      <c r="N8" s="69"/>
      <c r="O8" s="69"/>
      <c r="P8" s="69"/>
      <c r="Q8" s="69"/>
      <c r="R8" s="69"/>
      <c r="S8" s="69"/>
      <c r="T8" s="69"/>
      <c r="U8" s="69"/>
      <c r="V8" s="69"/>
      <c r="W8" s="69"/>
      <c r="X8" s="69"/>
    </row>
    <row r="9" spans="1:24" customFormat="1">
      <c r="B9" s="116" t="s">
        <v>7</v>
      </c>
      <c r="C9" s="117" t="s">
        <v>460</v>
      </c>
      <c r="D9" s="786" t="s">
        <v>751</v>
      </c>
      <c r="E9" s="786"/>
      <c r="F9" s="1"/>
    </row>
    <row r="10" spans="1:24" customFormat="1">
      <c r="A10" s="1"/>
      <c r="B10" s="115" t="s">
        <v>6</v>
      </c>
      <c r="C10" s="9" t="s">
        <v>461</v>
      </c>
      <c r="D10" s="797">
        <v>46135</v>
      </c>
      <c r="E10" s="797"/>
      <c r="F10" s="1"/>
      <c r="G10" s="1"/>
    </row>
    <row r="11" spans="1:24" customFormat="1">
      <c r="A11" s="1"/>
      <c r="B11" s="115" t="s">
        <v>5</v>
      </c>
      <c r="C11" s="117" t="s">
        <v>444</v>
      </c>
      <c r="D11" s="798" t="s">
        <v>740</v>
      </c>
      <c r="E11" s="798"/>
      <c r="F11" s="1"/>
      <c r="G11" s="1"/>
    </row>
    <row r="12" spans="1:24" customFormat="1">
      <c r="B12" s="116" t="s">
        <v>4</v>
      </c>
      <c r="C12" s="117" t="s">
        <v>400</v>
      </c>
      <c r="D12" s="804">
        <v>12</v>
      </c>
      <c r="E12" s="804"/>
      <c r="F12" s="1"/>
      <c r="G12" s="1"/>
    </row>
    <row r="13" spans="1:24">
      <c r="B13" s="115" t="s">
        <v>113</v>
      </c>
      <c r="C13" s="117" t="s">
        <v>71</v>
      </c>
      <c r="D13" s="798" t="s">
        <v>59</v>
      </c>
      <c r="E13" s="798"/>
    </row>
    <row r="14" spans="1:24">
      <c r="B14" s="116" t="s">
        <v>140</v>
      </c>
      <c r="C14" s="117" t="s">
        <v>267</v>
      </c>
      <c r="D14" s="805"/>
      <c r="E14" s="805"/>
    </row>
    <row r="15" spans="1:24">
      <c r="B15" s="116" t="s">
        <v>229</v>
      </c>
      <c r="C15" s="117" t="s">
        <v>316</v>
      </c>
      <c r="D15" s="806">
        <v>1621</v>
      </c>
      <c r="E15" s="807"/>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c r="A18" s="104"/>
      <c r="B18" s="114" t="s">
        <v>2</v>
      </c>
      <c r="C18" s="122" t="s">
        <v>270</v>
      </c>
      <c r="D18" s="119"/>
      <c r="E18" s="107" t="s">
        <v>292</v>
      </c>
      <c r="F18" s="107" t="s">
        <v>292</v>
      </c>
      <c r="G18" s="107" t="s">
        <v>292</v>
      </c>
      <c r="H18" s="107" t="s">
        <v>292</v>
      </c>
      <c r="I18" s="107"/>
      <c r="J18" s="107"/>
      <c r="K18" s="107"/>
      <c r="L18" s="107"/>
      <c r="M18" s="107"/>
      <c r="N18" s="107"/>
      <c r="O18" s="107"/>
      <c r="P18" s="107"/>
      <c r="Q18" s="107"/>
      <c r="R18" s="107"/>
      <c r="S18" s="107"/>
      <c r="T18" s="107"/>
      <c r="U18" s="107"/>
      <c r="V18" s="107"/>
      <c r="W18" s="107"/>
      <c r="X18" s="107"/>
    </row>
    <row r="19" spans="1:24" s="291" customFormat="1">
      <c r="A19" s="702"/>
      <c r="B19" s="703" t="s">
        <v>1</v>
      </c>
      <c r="C19" s="704" t="s">
        <v>581</v>
      </c>
      <c r="D19" s="705"/>
      <c r="E19" s="107" t="s">
        <v>741</v>
      </c>
      <c r="F19" s="107" t="s">
        <v>742</v>
      </c>
      <c r="G19" s="107" t="s">
        <v>743</v>
      </c>
      <c r="H19" s="107" t="s">
        <v>744</v>
      </c>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5173</v>
      </c>
      <c r="F20" s="108">
        <f>IFERROR(VLOOKUP(F$18,'Apoio - Posto'!$A:$J,2,FALSE),"")</f>
        <v>5173</v>
      </c>
      <c r="G20" s="108">
        <f>IFERROR(VLOOKUP(G$18,'Apoio - Posto'!$A:$J,2,FALSE),"")</f>
        <v>5173</v>
      </c>
      <c r="H20" s="108">
        <f>IFERROR(VLOOKUP(H$18,'Apoio - Posto'!$A:$J,2,FALSE),"")</f>
        <v>5173</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2211</v>
      </c>
      <c r="F21" s="109">
        <f>IFERROR(VLOOKUP(F$18,'Apoio - Posto'!$A:$AA,7,FALSE),"")</f>
        <v>2211</v>
      </c>
      <c r="G21" s="109">
        <f>IFERROR(VLOOKUP(G$18,'Apoio - Posto'!$A:$AA,7,FALSE),"")</f>
        <v>2211</v>
      </c>
      <c r="H21" s="109">
        <f>IFERROR(VLOOKUP(H$18,'Apoio - Posto'!$A:$AA,7,FALSE),"")</f>
        <v>2211</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tr">
        <f>IFERROR(VLOOKUP(E$18,'Apoio - Posto'!$A:$J,3,FALSE),"")</f>
        <v>SINDIVIGILANTES</v>
      </c>
      <c r="F23" s="496" t="str">
        <f>IFERROR(VLOOKUP(F$18,'Apoio - Posto'!$A:$J,3,FALSE),"")</f>
        <v>SINDIVIGILANTES</v>
      </c>
      <c r="G23" s="496" t="str">
        <f>IFERROR(VLOOKUP(G$18,'Apoio - Posto'!$A:$J,3,FALSE),"")</f>
        <v>SINDIVIGILANTES</v>
      </c>
      <c r="H23" s="496" t="str">
        <f>IFERROR(VLOOKUP(H$18,'Apoio - Posto'!$A:$J,3,FALSE),"")</f>
        <v>SINDIVIGILANTES</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f>IFERROR(VLOOKUP(E$18,'Apoio - Posto'!$A:$J,5,FALSE),"")</f>
        <v>46054</v>
      </c>
      <c r="F24" s="111">
        <f>IFERROR(VLOOKUP(F$18,'Apoio - Posto'!$A:$J,5,FALSE),"")</f>
        <v>46054</v>
      </c>
      <c r="G24" s="111">
        <f>IFERROR(VLOOKUP(G$18,'Apoio - Posto'!$A:$J,5,FALSE),"")</f>
        <v>46054</v>
      </c>
      <c r="H24" s="111">
        <f>IFERROR(VLOOKUP(H$18,'Apoio - Posto'!$A:$J,5,FALSE),"")</f>
        <v>46054</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tr">
        <f>IFERROR(VLOOKUP(E$18,'Apoio - Posto'!$A:$J,4,FALSE),"")</f>
        <v>RS000776/2026</v>
      </c>
      <c r="F25" s="490" t="str">
        <f>IFERROR(VLOOKUP(F$18,'Apoio - Posto'!$A:$J,4,FALSE),"")</f>
        <v>RS000776/2026</v>
      </c>
      <c r="G25" s="490" t="str">
        <f>IFERROR(VLOOKUP(G$18,'Apoio - Posto'!$A:$J,4,FALSE),"")</f>
        <v>RS000776/2026</v>
      </c>
      <c r="H25" s="490" t="str">
        <f>IFERROR(VLOOKUP(H$18,'Apoio - Posto'!$A:$J,4,FALSE),"")</f>
        <v>RS000776/2026</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45</v>
      </c>
      <c r="F26" s="112" t="s">
        <v>45</v>
      </c>
      <c r="G26" s="112" t="s">
        <v>46</v>
      </c>
      <c r="H26" s="112" t="s">
        <v>46</v>
      </c>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v>1</v>
      </c>
      <c r="G27" s="108">
        <v>3</v>
      </c>
      <c r="H27" s="108">
        <v>1</v>
      </c>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2</v>
      </c>
      <c r="F28" s="108">
        <f>IFERROR(VLOOKUP(F26,'Apoio - Regime de Trabalho'!$A:$I,2,FALSE),"")</f>
        <v>2</v>
      </c>
      <c r="G28" s="108">
        <f>IFERROR(VLOOKUP(G26,'Apoio - Regime de Trabalho'!$A:$I,2,FALSE),"")</f>
        <v>2</v>
      </c>
      <c r="H28" s="108">
        <f>IFERROR(VLOOKUP(H26,'Apoio - Regime de Trabalho'!$A:$I,2,FALSE),"")</f>
        <v>2</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2</v>
      </c>
      <c r="F29" s="108">
        <f t="shared" si="0"/>
        <v>2</v>
      </c>
      <c r="G29" s="108">
        <f t="shared" si="0"/>
        <v>6</v>
      </c>
      <c r="H29" s="108">
        <f t="shared" si="0"/>
        <v>2</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2211</v>
      </c>
      <c r="F32" s="99">
        <f>IFERROR(F21*VLOOKUP(F26,'Apoio - Regime de Trabalho'!$A:$I,8,FALSE)/(F22),"")</f>
        <v>2211</v>
      </c>
      <c r="G32" s="99">
        <f>IFERROR(G21*VLOOKUP(G26,'Apoio - Regime de Trabalho'!$A:$I,8,FALSE)/(G22),"")</f>
        <v>2211</v>
      </c>
      <c r="H32" s="99">
        <f>IFERROR(H21*VLOOKUP(H26,'Apoio - Regime de Trabalho'!$A:$I,8,FALSE)/(H22),"")</f>
        <v>2211</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789"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790"/>
      <c r="C34" s="234" t="s">
        <v>105</v>
      </c>
      <c r="D34" s="142"/>
      <c r="E34" s="245">
        <f>IFERROR(VLOOKUP(E$18,'Apoio - Posto'!$A:$AA,15,FALSE),"")</f>
        <v>0.3</v>
      </c>
      <c r="F34" s="245">
        <f>IFERROR(VLOOKUP(F$18,'Apoio - Posto'!$A:$AA,15,FALSE),"")</f>
        <v>0.3</v>
      </c>
      <c r="G34" s="245">
        <f>IFERROR(VLOOKUP(G$18,'Apoio - Posto'!$A:$AA,15,FALSE),"")</f>
        <v>0.3</v>
      </c>
      <c r="H34" s="245">
        <f>IFERROR(VLOOKUP(H$18,'Apoio - Posto'!$A:$AA,15,FALSE),"")</f>
        <v>0.3</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791"/>
      <c r="C35" s="228"/>
      <c r="D35" s="94" t="s">
        <v>41</v>
      </c>
      <c r="E35" s="101">
        <f>IFERROR((E32)*E34,"")</f>
        <v>663.3</v>
      </c>
      <c r="F35" s="101">
        <f t="shared" ref="F35:H35" si="2">IFERROR((F32)*F34,"")</f>
        <v>663.3</v>
      </c>
      <c r="G35" s="101">
        <f t="shared" si="2"/>
        <v>663.3</v>
      </c>
      <c r="H35" s="101">
        <f t="shared" si="2"/>
        <v>663.3</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792"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792"/>
      <c r="C37" s="102" t="s">
        <v>90</v>
      </c>
      <c r="D37" s="92"/>
      <c r="E37" s="246" t="str">
        <f>IFERROR(VLOOKUP(E$18,'Apoio - Posto'!$A:$AA,14,FALSE),"")</f>
        <v>Salário Mínimo</v>
      </c>
      <c r="F37" s="246" t="str">
        <f>IFERROR(VLOOKUP(F$18,'Apoio - Posto'!$A:$AA,14,FALSE),"")</f>
        <v>Salário Mínimo</v>
      </c>
      <c r="G37" s="246" t="str">
        <f>IFERROR(VLOOKUP(G$18,'Apoio - Posto'!$A:$AA,14,FALSE),"")</f>
        <v>Salário Mínimo</v>
      </c>
      <c r="H37" s="246" t="str">
        <f>IFERROR(VLOOKUP(H$18,'Apoio - Posto'!$A:$AA,14,FALSE),"")</f>
        <v>Salário Mínimo</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792"/>
      <c r="C38" s="103" t="s">
        <v>91</v>
      </c>
      <c r="D38" s="93"/>
      <c r="E38" s="247"/>
      <c r="F38" s="247"/>
      <c r="G38" s="247"/>
      <c r="H38" s="247"/>
      <c r="I38" s="247"/>
      <c r="J38" s="247"/>
      <c r="K38" s="247"/>
      <c r="L38" s="247"/>
      <c r="M38" s="247"/>
      <c r="N38" s="247"/>
      <c r="O38" s="247"/>
      <c r="P38" s="247"/>
      <c r="Q38" s="247"/>
      <c r="R38" s="247"/>
      <c r="S38" s="247"/>
      <c r="T38" s="247"/>
      <c r="U38" s="247"/>
      <c r="V38" s="247"/>
      <c r="W38" s="247"/>
      <c r="X38" s="247"/>
    </row>
    <row r="39" spans="1:24">
      <c r="A39" s="86"/>
      <c r="B39" s="793"/>
      <c r="C39" s="97"/>
      <c r="D39" s="94" t="s">
        <v>41</v>
      </c>
      <c r="E39" s="101">
        <f t="shared" ref="E39:N39" si="5">IF(E21="","",IFERROR(IF(E37="Salário Base",E$32,IF(E37="Salário Mínimo",$D$15,0))*E38,""))</f>
        <v>0</v>
      </c>
      <c r="F39" s="101">
        <f t="shared" si="5"/>
        <v>0</v>
      </c>
      <c r="G39" s="101">
        <f t="shared" si="5"/>
        <v>0</v>
      </c>
      <c r="H39" s="101">
        <f t="shared" si="5"/>
        <v>0</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789"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790"/>
      <c r="C41" s="232" t="s">
        <v>91</v>
      </c>
      <c r="D41" s="142"/>
      <c r="E41" s="245"/>
      <c r="F41" s="245">
        <v>0.2</v>
      </c>
      <c r="G41" s="245"/>
      <c r="H41" s="245">
        <v>0.2</v>
      </c>
      <c r="I41" s="245"/>
      <c r="J41" s="245"/>
      <c r="K41" s="245"/>
      <c r="L41" s="245"/>
      <c r="M41" s="245"/>
      <c r="N41" s="245"/>
      <c r="O41" s="245"/>
      <c r="P41" s="245"/>
      <c r="Q41" s="245"/>
      <c r="R41" s="245"/>
      <c r="S41" s="245"/>
      <c r="T41" s="245"/>
      <c r="U41" s="245"/>
      <c r="V41" s="245"/>
      <c r="W41" s="245"/>
      <c r="X41" s="245"/>
    </row>
    <row r="42" spans="1:24">
      <c r="A42" s="231"/>
      <c r="B42" s="791"/>
      <c r="C42" s="97"/>
      <c r="D42" s="94" t="s">
        <v>41</v>
      </c>
      <c r="E42" s="101">
        <f>IFERROR(E41*E$32,"")</f>
        <v>0</v>
      </c>
      <c r="F42" s="101">
        <f t="shared" ref="F42:H42" si="7">IFERROR(F41*F$32,"")</f>
        <v>442.20000000000005</v>
      </c>
      <c r="G42" s="101">
        <f t="shared" si="7"/>
        <v>0</v>
      </c>
      <c r="H42" s="101">
        <f t="shared" si="7"/>
        <v>442.20000000000005</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792"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792"/>
      <c r="C44" s="102" t="s">
        <v>85</v>
      </c>
      <c r="D44" s="139"/>
      <c r="E44" s="145" t="str">
        <f t="shared" ref="E44:N44" si="10">IF(AND(E20=5173,E26="12x36 Noturno"),8,"")</f>
        <v/>
      </c>
      <c r="F44" s="145" t="str">
        <f t="shared" si="10"/>
        <v/>
      </c>
      <c r="G44" s="145">
        <f t="shared" si="10"/>
        <v>8</v>
      </c>
      <c r="H44" s="145">
        <f t="shared" si="10"/>
        <v>8</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792"/>
      <c r="C45" s="103" t="s">
        <v>141</v>
      </c>
      <c r="D45" s="140"/>
      <c r="E45" s="146" t="str">
        <f>IF(E44="","",VLOOKUP(E26,'Apoio - Regime de Trabalho'!$A:$I,7,FALSE))</f>
        <v/>
      </c>
      <c r="F45" s="146" t="str">
        <f>IF(F44="","",VLOOKUP(F26,'Apoio - Regime de Trabalho'!$A:$I,7,FALSE))</f>
        <v/>
      </c>
      <c r="G45" s="146">
        <f>IF(G44="","",VLOOKUP(G26,'Apoio - Regime de Trabalho'!$A:$I,7,FALSE))</f>
        <v>15</v>
      </c>
      <c r="H45" s="146">
        <f>IF(H44="","",VLOOKUP(H26,'Apoio - Regime de Trabalho'!$A:$I,7,FALSE))</f>
        <v>15</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793"/>
      <c r="C46" s="88"/>
      <c r="D46" s="94" t="s">
        <v>41</v>
      </c>
      <c r="E46" s="147" t="str">
        <f>IFERROR(SUM(E$32,E$35,E$39)/(VLOOKUP(E$26,'Apoio - Regime de Trabalho'!$A:$I,8,FALSE))*20%*E$44*E$45,"")</f>
        <v/>
      </c>
      <c r="F46" s="147" t="str">
        <f>IFERROR(SUM(F$32,F$35,F$39)/(VLOOKUP(F$26,'Apoio - Regime de Trabalho'!$A:$I,8,FALSE))*20%*F$44*F$45,"")</f>
        <v/>
      </c>
      <c r="G46" s="147">
        <f>IFERROR(SUM(G$32,G$35,G$39)/(VLOOKUP(G$26,'Apoio - Regime de Trabalho'!$A:$I,8,FALSE))*20%*G$44*G$45,"")</f>
        <v>313.56000000000006</v>
      </c>
      <c r="H46" s="147">
        <f>IFERROR(SUM(H$32,H$35,H$39)/(VLOOKUP(H$26,'Apoio - Regime de Trabalho'!$A:$I,8,FALSE))*20%*H$44*H$45,"")</f>
        <v>313.56000000000006</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794"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79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f>IF(G44="","",G45*G44*('Apoio - Notas Explicativas'!$D$11/'Apoio - Notas Explicativas'!$D$12-1)
*IF(AND(G20=5173,G26="12x36 Noturno"),0,1))</f>
        <v>0</v>
      </c>
      <c r="H48" s="149">
        <f>IF(H44="","",H45*H44*('Apoio - Notas Explicativas'!$D$11/'Apoio - Notas Explicativas'!$D$12-1)
*IF(AND(H20=5173,H26="12x36 Noturno"),0,1))</f>
        <v>0</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796"/>
      <c r="C49" s="100"/>
      <c r="D49" s="94" t="s">
        <v>41</v>
      </c>
      <c r="E49" s="101" t="str">
        <f>IFERROR(E48*(SUM(E$32,E$35,E$39)/(VLOOKUP(E$26,'Apoio - Regime de Trabalho'!$A:$I,8,FALSE))*120%),"")</f>
        <v/>
      </c>
      <c r="F49" s="101" t="str">
        <f>IFERROR(F48*(SUM(F$32,F$35,F$39)/(VLOOKUP(F$26,'Apoio - Regime de Trabalho'!$A:$I,8,FALSE))*120%),"")</f>
        <v/>
      </c>
      <c r="G49" s="101">
        <f>IFERROR(G48*(SUM(G$32,G$35,G$39)/(VLOOKUP(G$26,'Apoio - Regime de Trabalho'!$A:$I,8,FALSE))*120%),"")</f>
        <v>0</v>
      </c>
      <c r="H49" s="101">
        <f>IFERROR(H48*(SUM(H$32,H$35,H$39)/(VLOOKUP(H$26,'Apoio - Regime de Trabalho'!$A:$I,8,FALSE))*120%),"")</f>
        <v>0</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02"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792"/>
      <c r="C51" s="102" t="s">
        <v>91</v>
      </c>
      <c r="D51" s="158"/>
      <c r="E51" s="159"/>
      <c r="F51" s="159"/>
      <c r="G51" s="159"/>
      <c r="H51" s="159"/>
      <c r="I51" s="159"/>
      <c r="J51" s="159"/>
      <c r="K51" s="159"/>
      <c r="L51" s="159"/>
      <c r="M51" s="159"/>
      <c r="N51" s="159"/>
      <c r="O51" s="159"/>
      <c r="P51" s="159"/>
      <c r="Q51" s="159"/>
      <c r="R51" s="159"/>
      <c r="S51" s="159"/>
      <c r="T51" s="159"/>
      <c r="U51" s="159"/>
      <c r="V51" s="159"/>
      <c r="W51" s="159"/>
      <c r="X51" s="159"/>
    </row>
    <row r="52" spans="1:24">
      <c r="A52" s="86"/>
      <c r="B52" s="792"/>
      <c r="C52" s="103" t="s">
        <v>20</v>
      </c>
      <c r="D52" s="143"/>
      <c r="E52" s="150"/>
      <c r="F52" s="150"/>
      <c r="G52" s="150"/>
      <c r="H52" s="150"/>
      <c r="I52" s="150"/>
      <c r="J52" s="150"/>
      <c r="K52" s="150"/>
      <c r="L52" s="150"/>
      <c r="M52" s="150"/>
      <c r="N52" s="150"/>
      <c r="O52" s="150"/>
      <c r="P52" s="150"/>
      <c r="Q52" s="150"/>
      <c r="R52" s="150"/>
      <c r="S52" s="150"/>
      <c r="T52" s="150"/>
      <c r="U52" s="150"/>
      <c r="V52" s="150"/>
      <c r="W52" s="150"/>
      <c r="X52" s="150"/>
    </row>
    <row r="53" spans="1:24">
      <c r="A53" s="86"/>
      <c r="B53" s="79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794"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795"/>
      <c r="C55" s="136" t="s">
        <v>84</v>
      </c>
      <c r="D55" s="142"/>
      <c r="E55" s="419">
        <f>IF(E18="","",IFERROR(SUM(E$46,E49)*20%,""))</f>
        <v>0</v>
      </c>
      <c r="F55" s="419">
        <f t="shared" ref="F55:N55" si="12">IF(F18="","",IFERROR(SUM(F$46,F49)*20%,""))</f>
        <v>0</v>
      </c>
      <c r="G55" s="419">
        <f t="shared" si="12"/>
        <v>62.712000000000018</v>
      </c>
      <c r="H55" s="419">
        <f t="shared" si="12"/>
        <v>62.712000000000018</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795"/>
      <c r="C56" s="162" t="s">
        <v>83</v>
      </c>
      <c r="D56" s="144" t="s">
        <v>323</v>
      </c>
      <c r="E56" s="420">
        <f t="shared" ref="E56:N56" si="14">IFERROR(IF(E18="","",IF(D56="Não",0,E53*20%)),"")</f>
        <v>0</v>
      </c>
      <c r="F56" s="420">
        <f t="shared" si="14"/>
        <v>0</v>
      </c>
      <c r="G56" s="420">
        <f t="shared" si="14"/>
        <v>0</v>
      </c>
      <c r="H56" s="420">
        <f t="shared" si="14"/>
        <v>0</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795"/>
      <c r="C57" s="162" t="s">
        <v>138</v>
      </c>
      <c r="D57" s="144"/>
      <c r="E57" s="420">
        <f t="shared" ref="E57:N57" si="25">IF(E21="","",IFERROR(E$59*20%,""))</f>
        <v>6.5325000000000006</v>
      </c>
      <c r="F57" s="420">
        <f t="shared" si="25"/>
        <v>6.5325000000000006</v>
      </c>
      <c r="G57" s="420">
        <f t="shared" si="25"/>
        <v>6.5325000000000006</v>
      </c>
      <c r="H57" s="420">
        <f t="shared" si="25"/>
        <v>6.5325000000000006</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796"/>
      <c r="C58" s="100"/>
      <c r="D58" s="94" t="s">
        <v>41</v>
      </c>
      <c r="E58" s="207">
        <f>IF(SUM(E55:E57)=0,"",SUM(E55:E57))</f>
        <v>6.5325000000000006</v>
      </c>
      <c r="F58" s="207">
        <f t="shared" ref="F58:H58" si="27">IF(SUM(F55:F57)=0,"",SUM(F55:F57))</f>
        <v>6.5325000000000006</v>
      </c>
      <c r="G58" s="207">
        <f t="shared" si="27"/>
        <v>69.244500000000016</v>
      </c>
      <c r="H58" s="207">
        <f t="shared" si="27"/>
        <v>69.244500000000016</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32.662500000000001</v>
      </c>
      <c r="F59" s="256">
        <f>IFERROR(IFERROR(VLOOKUP(F$18,'Apoio - Posto'!$A:$AA,12,FALSE),"")*VLOOKUP(F26,'Apoio - Regime de Trabalho'!$A:$I,7,FALSE),"")</f>
        <v>32.662500000000001</v>
      </c>
      <c r="G59" s="256">
        <f>IFERROR(IFERROR(VLOOKUP(G$18,'Apoio - Posto'!$A:$AA,12,FALSE),"")*VLOOKUP(G26,'Apoio - Regime de Trabalho'!$A:$I,7,FALSE),"")</f>
        <v>32.662500000000001</v>
      </c>
      <c r="H59" s="256">
        <f>IFERROR(IFERROR(VLOOKUP(H$18,'Apoio - Posto'!$A:$AA,12,FALSE),"")*VLOOKUP(H26,'Apoio - Regime de Trabalho'!$A:$I,7,FALSE),"")</f>
        <v>32.662500000000001</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2913.4949999999999</v>
      </c>
      <c r="F61" s="156">
        <f t="shared" si="30"/>
        <v>3355.6949999999997</v>
      </c>
      <c r="G61" s="156">
        <f t="shared" si="30"/>
        <v>3289.7670000000003</v>
      </c>
      <c r="H61" s="154">
        <f t="shared" si="30"/>
        <v>3731.9670000000001</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242.69413349999999</v>
      </c>
      <c r="F66" s="99">
        <f t="shared" ref="F66:U68" si="32">IFERROR($D66*F$61,"")</f>
        <v>279.52939349999997</v>
      </c>
      <c r="G66" s="99">
        <f t="shared" si="32"/>
        <v>274.03759110000004</v>
      </c>
      <c r="H66" s="99">
        <f t="shared" si="32"/>
        <v>310.87285109999999</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323.68929450000002</v>
      </c>
      <c r="F67" s="99">
        <f t="shared" si="32"/>
        <v>372.81771449999997</v>
      </c>
      <c r="G67" s="99">
        <f t="shared" si="32"/>
        <v>365.49311370000004</v>
      </c>
      <c r="H67" s="99">
        <f t="shared" si="32"/>
        <v>414.62153370000004</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208.60624199999998</v>
      </c>
      <c r="F68" s="99">
        <f t="shared" si="32"/>
        <v>240.26776199999998</v>
      </c>
      <c r="G68" s="99">
        <f t="shared" si="32"/>
        <v>235.54731720000001</v>
      </c>
      <c r="H68" s="99">
        <f t="shared" si="32"/>
        <v>267.2088372</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774.98966999999993</v>
      </c>
      <c r="F69" s="176">
        <f t="shared" ref="F69:H69" si="34">IF(SUM(F66:F68)=0,"",SUM(F66:F68))</f>
        <v>892.61486999999988</v>
      </c>
      <c r="G69" s="174">
        <f t="shared" si="34"/>
        <v>875.07802200000015</v>
      </c>
      <c r="H69" s="176">
        <f t="shared" si="34"/>
        <v>992.7032220000001</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582.69899999999996</v>
      </c>
      <c r="F72" s="137">
        <f t="shared" si="37"/>
        <v>671.13900000000001</v>
      </c>
      <c r="G72" s="137">
        <f t="shared" si="37"/>
        <v>657.9534000000001</v>
      </c>
      <c r="H72" s="99">
        <f t="shared" si="37"/>
        <v>746.39340000000004</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43.702424999999998</v>
      </c>
      <c r="F73" s="137">
        <f t="shared" si="37"/>
        <v>50.335424999999994</v>
      </c>
      <c r="G73" s="137">
        <f t="shared" si="37"/>
        <v>49.346505000000001</v>
      </c>
      <c r="H73" s="99">
        <f t="shared" si="37"/>
        <v>55.979504999999996</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29.13495</v>
      </c>
      <c r="F74" s="137">
        <f t="shared" si="37"/>
        <v>33.556950000000001</v>
      </c>
      <c r="G74" s="137">
        <f t="shared" si="37"/>
        <v>32.897670000000005</v>
      </c>
      <c r="H74" s="99">
        <f t="shared" si="37"/>
        <v>37.319670000000002</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5.8269900000000003</v>
      </c>
      <c r="F75" s="137">
        <f t="shared" si="37"/>
        <v>6.7113899999999997</v>
      </c>
      <c r="G75" s="137">
        <f t="shared" si="37"/>
        <v>6.5795340000000007</v>
      </c>
      <c r="H75" s="99">
        <f t="shared" si="37"/>
        <v>7.4639340000000001</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72.837374999999994</v>
      </c>
      <c r="F76" s="137">
        <f t="shared" si="37"/>
        <v>83.892375000000001</v>
      </c>
      <c r="G76" s="137">
        <f t="shared" si="37"/>
        <v>82.244175000000013</v>
      </c>
      <c r="H76" s="99">
        <f t="shared" si="37"/>
        <v>93.299175000000005</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233.0796</v>
      </c>
      <c r="F77" s="137">
        <f t="shared" si="37"/>
        <v>268.4556</v>
      </c>
      <c r="G77" s="137">
        <f t="shared" si="37"/>
        <v>263.18136000000004</v>
      </c>
      <c r="H77" s="99">
        <f t="shared" si="37"/>
        <v>298.55736000000002</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799"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800"/>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03"/>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01"/>
      <c r="C81" s="391"/>
      <c r="D81" s="659">
        <f>D80*D79</f>
        <v>0.03</v>
      </c>
      <c r="E81" s="169">
        <f>IFERROR($D81*E$61,"")</f>
        <v>87.404849999999996</v>
      </c>
      <c r="F81" s="169">
        <f t="shared" ref="F81:U82" si="39">IFERROR($D81*F$61,"")</f>
        <v>100.67084999999999</v>
      </c>
      <c r="G81" s="169">
        <f t="shared" si="39"/>
        <v>98.693010000000001</v>
      </c>
      <c r="H81" s="169">
        <f t="shared" si="39"/>
        <v>111.95900999999999</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17.480969999999999</v>
      </c>
      <c r="F82" s="137">
        <f t="shared" si="39"/>
        <v>20.134169999999997</v>
      </c>
      <c r="G82" s="137">
        <f t="shared" si="39"/>
        <v>19.738602000000004</v>
      </c>
      <c r="H82" s="137">
        <f t="shared" si="39"/>
        <v>22.391802000000002</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1072.16616</v>
      </c>
      <c r="F83" s="176">
        <f t="shared" ref="F83:H83" si="41">IF((SUM(F72:F77,F81,F82))=0,"",(SUM(F72:F77,F81,F82)))</f>
        <v>1234.8957600000001</v>
      </c>
      <c r="G83" s="176">
        <f t="shared" si="41"/>
        <v>1210.6342560000001</v>
      </c>
      <c r="H83" s="176">
        <f t="shared" si="41"/>
        <v>1373.3638560000002</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799"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00"/>
      <c r="C87" s="662" t="s">
        <v>87</v>
      </c>
      <c r="D87" s="663"/>
      <c r="E87" s="416">
        <f>IF(E18="","",5.3)</f>
        <v>5.3</v>
      </c>
      <c r="F87" s="416">
        <f t="shared" ref="F87:X87" si="44">IF(F18="","",5.3)</f>
        <v>5.3</v>
      </c>
      <c r="G87" s="416">
        <f t="shared" si="44"/>
        <v>5.3</v>
      </c>
      <c r="H87" s="416">
        <f t="shared" si="44"/>
        <v>5.3</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800"/>
      <c r="C88" s="664" t="s">
        <v>108</v>
      </c>
      <c r="D88" s="665"/>
      <c r="E88" s="198">
        <f t="shared" ref="E88:N88" si="45">IF(E18="","",2)</f>
        <v>2</v>
      </c>
      <c r="F88" s="198">
        <f t="shared" si="45"/>
        <v>2</v>
      </c>
      <c r="G88" s="198">
        <f t="shared" si="45"/>
        <v>2</v>
      </c>
      <c r="H88" s="198">
        <f t="shared" si="45"/>
        <v>2</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00"/>
      <c r="C89" s="664" t="s">
        <v>88</v>
      </c>
      <c r="D89" s="666"/>
      <c r="E89" s="199">
        <f>IFERROR(IF(E18="","",VLOOKUP(E26,'Apoio - Regime de Trabalho'!$A:$G,7,FALSE)),"")</f>
        <v>15</v>
      </c>
      <c r="F89" s="199">
        <f>IFERROR(IF(F18="","",VLOOKUP(F26,'Apoio - Regime de Trabalho'!$A:$G,7,FALSE)),"")</f>
        <v>15</v>
      </c>
      <c r="G89" s="199">
        <f>IFERROR(IF(G18="","",VLOOKUP(G26,'Apoio - Regime de Trabalho'!$A:$G,7,FALSE)),"")</f>
        <v>15</v>
      </c>
      <c r="H89" s="199">
        <f>IFERROR(IF(H18="","",VLOOKUP(H26,'Apoio - Regime de Trabalho'!$A:$G,7,FALSE)),"")</f>
        <v>15</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00"/>
      <c r="C90" s="664" t="s">
        <v>22</v>
      </c>
      <c r="D90" s="665"/>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01"/>
      <c r="C91" s="219"/>
      <c r="D91" s="667" t="s">
        <v>41</v>
      </c>
      <c r="E91" s="147">
        <f>IFERROR(MAX((E87*E88*E89)-(E$90*E$32),0),"")</f>
        <v>26.340000000000003</v>
      </c>
      <c r="F91" s="147">
        <f t="shared" ref="F91:N91" si="47">IFERROR(MAX((F87*F88*F89)-(F$90*F$32),0),"")</f>
        <v>26.340000000000003</v>
      </c>
      <c r="G91" s="147">
        <f>IFERROR(MAX((G87*G88*G89)-(G$90*G$32),0),"")</f>
        <v>26.340000000000003</v>
      </c>
      <c r="H91" s="147">
        <f t="shared" si="47"/>
        <v>26.340000000000003</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799"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00"/>
      <c r="C93" s="670" t="s">
        <v>24</v>
      </c>
      <c r="D93" s="671"/>
      <c r="E93" s="202">
        <f>IFERROR(VLOOKUP(E$18,'Apoio - Posto'!$A:$AA,IF(VLOOKUP(E26,'Apoio - Regime de Trabalho'!$A:$I,8,FALSE)&gt;=200,9,10),FALSE),"")</f>
        <v>33</v>
      </c>
      <c r="F93" s="202">
        <f>IFERROR(VLOOKUP(F$18,'Apoio - Posto'!$A:$AA,IF(VLOOKUP(F26,'Apoio - Regime de Trabalho'!$A:$I,8,FALSE)&gt;=200,9,10),FALSE),"")</f>
        <v>33</v>
      </c>
      <c r="G93" s="202">
        <f>IFERROR(VLOOKUP(G$18,'Apoio - Posto'!$A:$AA,IF(VLOOKUP(G26,'Apoio - Regime de Trabalho'!$A:$I,8,FALSE)&gt;=200,9,10),FALSE),"")</f>
        <v>33</v>
      </c>
      <c r="H93" s="202">
        <f>IFERROR(VLOOKUP(H$18,'Apoio - Posto'!$A:$AA,IF(VLOOKUP(H26,'Apoio - Regime de Trabalho'!$A:$I,8,FALSE)&gt;=200,9,10),FALSE),"")</f>
        <v>33</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00"/>
      <c r="C94" s="672" t="s">
        <v>276</v>
      </c>
      <c r="D94" s="673"/>
      <c r="E94" s="204">
        <f>IFERROR(IF(E18="","",VLOOKUP(E26,'Apoio - Regime de Trabalho'!$A:$G,7,FALSE)),"")</f>
        <v>15</v>
      </c>
      <c r="F94" s="204">
        <f>IFERROR(IF(F18="","",VLOOKUP(F26,'Apoio - Regime de Trabalho'!$A:$G,7,FALSE)),"")</f>
        <v>15</v>
      </c>
      <c r="G94" s="204">
        <f>IFERROR(IF(G18="","",VLOOKUP(G26,'Apoio - Regime de Trabalho'!$A:$G,7,FALSE)),"")</f>
        <v>15</v>
      </c>
      <c r="H94" s="204">
        <f>IFERROR(IF(H18="","",VLOOKUP(H26,'Apoio - Regime de Trabalho'!$A:$G,7,FALSE)),"")</f>
        <v>15</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00"/>
      <c r="C95" s="672" t="s">
        <v>273</v>
      </c>
      <c r="D95" s="673"/>
      <c r="E95" s="205">
        <f>IFERROR(VLOOKUP(E$18,'Apoio - Posto'!$A:$AA,17,FALSE),"")</f>
        <v>0.2</v>
      </c>
      <c r="F95" s="205">
        <f>IFERROR(VLOOKUP(F$18,'Apoio - Posto'!$A:$AA,17,FALSE),"")</f>
        <v>0.2</v>
      </c>
      <c r="G95" s="205">
        <f>IFERROR(VLOOKUP(G$18,'Apoio - Posto'!$A:$AA,17,FALSE),"")</f>
        <v>0.2</v>
      </c>
      <c r="H95" s="205">
        <f>IFERROR(VLOOKUP(H$18,'Apoio - Posto'!$A:$AA,17,FALSE),"")</f>
        <v>0.2</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01"/>
      <c r="C96" s="219"/>
      <c r="D96" s="667" t="s">
        <v>41</v>
      </c>
      <c r="E96" s="101">
        <f>IFERROR((E93*E94)-(E$93*E$94*E$95),"")</f>
        <v>396</v>
      </c>
      <c r="F96" s="101">
        <f t="shared" ref="F96:H96" si="49">IFERROR((F93*F94)-(F$93*F$94*F$95),"")</f>
        <v>396</v>
      </c>
      <c r="G96" s="101">
        <f t="shared" si="49"/>
        <v>396</v>
      </c>
      <c r="H96" s="101">
        <f t="shared" si="49"/>
        <v>396</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799"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00"/>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00"/>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01"/>
      <c r="C100" s="219"/>
      <c r="D100" s="667" t="s">
        <v>41</v>
      </c>
      <c r="E100" s="248">
        <f t="shared" ref="E100:N100" si="52">IF(E21="","",IFERROR((E$98)-(E$99*E$98),""))</f>
        <v>0</v>
      </c>
      <c r="F100" s="248">
        <f t="shared" si="52"/>
        <v>0</v>
      </c>
      <c r="G100" s="248">
        <f t="shared" si="52"/>
        <v>0</v>
      </c>
      <c r="H100" s="248">
        <f t="shared" si="52"/>
        <v>0</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f>IFERROR(VLOOKUP(E$18,'Apoio - Posto'!$A:$AA,19,FALSE),"")</f>
        <v>25.52</v>
      </c>
      <c r="F101" s="384">
        <f>IFERROR(VLOOKUP(F$18,'Apoio - Posto'!$A:$AA,19,FALSE),"")</f>
        <v>25.52</v>
      </c>
      <c r="G101" s="384">
        <f>IFERROR(VLOOKUP(G$18,'Apoio - Posto'!$A:$AA,19,FALSE),"")</f>
        <v>25.52</v>
      </c>
      <c r="H101" s="384">
        <f>IFERROR(VLOOKUP(H$18,'Apoio - Posto'!$A:$AA,19,FALSE),"")</f>
        <v>25.52</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799"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00"/>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00"/>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01"/>
      <c r="C106" s="219"/>
      <c r="D106" s="667" t="s">
        <v>41</v>
      </c>
      <c r="E106" s="207">
        <f t="shared" ref="E106:N106" si="54">IF(E21="","",IFERROR((E104)-(E$105*E$104),""))</f>
        <v>0</v>
      </c>
      <c r="F106" s="207">
        <f t="shared" si="54"/>
        <v>0</v>
      </c>
      <c r="G106" s="207">
        <f t="shared" si="54"/>
        <v>0</v>
      </c>
      <c r="H106" s="207">
        <f t="shared" si="54"/>
        <v>0</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f>IFERROR(VLOOKUP(E$18,'Apoio - Posto'!$A:$AA,18,FALSE),"")</f>
        <v>0</v>
      </c>
      <c r="F107" s="417">
        <f>IFERROR(VLOOKUP(F$18,'Apoio - Posto'!$A:$AA,18,FALSE),"")</f>
        <v>0</v>
      </c>
      <c r="G107" s="417">
        <f>IFERROR(VLOOKUP(G$18,'Apoio - Posto'!$A:$AA,18,FALSE),"")</f>
        <v>0</v>
      </c>
      <c r="H107" s="417">
        <f>IFERROR(VLOOKUP(H$18,'Apoio - Posto'!$A:$AA,18,FALSE),"")</f>
        <v>0</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799"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800"/>
      <c r="C109" s="670" t="s">
        <v>272</v>
      </c>
      <c r="D109" s="680"/>
      <c r="E109" s="418">
        <f t="shared" ref="E109:X109" si="56">IF(E23="SINDIVIGILANTES",80,
   IF(E23="SINDASSEIO",
      IF(OR(IFERROR(VALUE(LEFT(E26,FIND("h",E26)-1)),0)&gt;30,
            ISNUMBER(FIND("12x36",E26))),
         80,
         40),      ""))</f>
        <v>80</v>
      </c>
      <c r="F109" s="418">
        <f t="shared" si="56"/>
        <v>80</v>
      </c>
      <c r="G109" s="418">
        <f t="shared" si="56"/>
        <v>80</v>
      </c>
      <c r="H109" s="418">
        <f t="shared" si="56"/>
        <v>80</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800"/>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800"/>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800"/>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01"/>
      <c r="C113" s="97"/>
      <c r="D113" s="682" t="s">
        <v>41</v>
      </c>
      <c r="E113" s="209">
        <f>IF(COUNTA(E109,E111)=0,"",IFERROR(E109*(1-E110),0)+IFERROR(E111*(1-E112),0))</f>
        <v>80</v>
      </c>
      <c r="F113" s="209">
        <f t="shared" ref="F113:X113" si="57">IF(COUNTA(F109,F111)=0,"",IFERROR(F109*(1-F110),0)+IFERROR(F111*(1-F112),0))</f>
        <v>80</v>
      </c>
      <c r="G113" s="209">
        <f t="shared" si="57"/>
        <v>80</v>
      </c>
      <c r="H113" s="209">
        <f t="shared" si="57"/>
        <v>80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527.86</v>
      </c>
      <c r="F114" s="192">
        <f t="shared" si="58"/>
        <v>527.86</v>
      </c>
      <c r="G114" s="192">
        <f t="shared" si="58"/>
        <v>527.86</v>
      </c>
      <c r="H114" s="192">
        <f t="shared" si="58"/>
        <v>527.86</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2375.0158299999998</v>
      </c>
      <c r="F116" s="155">
        <f t="shared" si="59"/>
        <v>2655.3706299999999</v>
      </c>
      <c r="G116" s="452">
        <f t="shared" si="59"/>
        <v>2613.5722780000001</v>
      </c>
      <c r="H116" s="155">
        <f t="shared" si="59"/>
        <v>2893.9270780000002</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12.236678999999999</v>
      </c>
      <c r="F119" s="99">
        <f t="shared" si="60"/>
        <v>14.093918999999998</v>
      </c>
      <c r="G119" s="99">
        <f t="shared" si="60"/>
        <v>13.8170214</v>
      </c>
      <c r="H119" s="99">
        <f t="shared" si="60"/>
        <v>15.674261399999999</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0.87404849999999989</v>
      </c>
      <c r="F120" s="99">
        <f t="shared" si="60"/>
        <v>1.0067084999999998</v>
      </c>
      <c r="G120" s="99">
        <f t="shared" si="60"/>
        <v>0.98693010000000003</v>
      </c>
      <c r="H120" s="99">
        <f t="shared" si="60"/>
        <v>1.1195900999999999</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0.29134949999999998</v>
      </c>
      <c r="F121" s="99">
        <f t="shared" si="60"/>
        <v>0.33556949999999997</v>
      </c>
      <c r="G121" s="99">
        <f t="shared" si="60"/>
        <v>0.32897670000000007</v>
      </c>
      <c r="H121" s="99">
        <f t="shared" si="60"/>
        <v>0.37319670000000005</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55.939103999999993</v>
      </c>
      <c r="F122" s="99">
        <f t="shared" si="60"/>
        <v>64.429343999999986</v>
      </c>
      <c r="G122" s="99">
        <f t="shared" si="60"/>
        <v>63.163526400000002</v>
      </c>
      <c r="H122" s="99">
        <f t="shared" si="60"/>
        <v>71.653766399999995</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20.685814499999999</v>
      </c>
      <c r="F123" s="99">
        <f t="shared" si="60"/>
        <v>23.8254345</v>
      </c>
      <c r="G123" s="99">
        <f t="shared" si="60"/>
        <v>23.357345700000003</v>
      </c>
      <c r="H123" s="99">
        <f t="shared" si="60"/>
        <v>26.496965700000001</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116.5398</v>
      </c>
      <c r="F124" s="99">
        <f t="shared" si="60"/>
        <v>134.2278</v>
      </c>
      <c r="G124" s="99">
        <f t="shared" si="60"/>
        <v>131.59068000000002</v>
      </c>
      <c r="H124" s="99">
        <f t="shared" si="60"/>
        <v>149.27868000000001</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206.56679550000001</v>
      </c>
      <c r="F125" s="155">
        <f t="shared" ref="F125:H125" si="62">IF(SUM(F119:F124)=0,"",SUM(F119:F124))</f>
        <v>237.91877549999998</v>
      </c>
      <c r="G125" s="155">
        <f t="shared" si="62"/>
        <v>233.24448030000002</v>
      </c>
      <c r="H125" s="155">
        <f t="shared" si="62"/>
        <v>264.59646029999999</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4"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4" s="13" customFormat="1">
      <c r="A130" s="78"/>
      <c r="B130" s="87" t="s">
        <v>2</v>
      </c>
      <c r="C130" s="88" t="s">
        <v>35</v>
      </c>
      <c r="D130" s="406">
        <f>INDEX('Apoio - Notas Explicativas'!$Q:$Q,MATCH(C130,'Apoio - Notas Explicativas'!$C:$C,0))</f>
        <v>1.6199999999999999E-2</v>
      </c>
      <c r="E130" s="99">
        <f t="shared" ref="E130:X130" si="65">IF(E21="","",IFERROR($D130*SUM(E$61),""))</f>
        <v>47.198618999999994</v>
      </c>
      <c r="F130" s="137">
        <f t="shared" si="65"/>
        <v>54.362258999999995</v>
      </c>
      <c r="G130" s="137">
        <f t="shared" si="65"/>
        <v>53.294225400000002</v>
      </c>
      <c r="H130" s="137">
        <f t="shared" si="65"/>
        <v>60.457865399999996</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4" s="13" customFormat="1">
      <c r="A131" s="78"/>
      <c r="B131" s="87" t="s">
        <v>1</v>
      </c>
      <c r="C131" s="88" t="s">
        <v>187</v>
      </c>
      <c r="D131" s="406">
        <f>INDEX('Apoio - Notas Explicativas'!$Q:$Q,MATCH(C131,'Apoio - Notas Explicativas'!$C:$C,0))</f>
        <v>1.37E-2</v>
      </c>
      <c r="E131" s="99">
        <f t="shared" ref="E131:X131" si="66">IFERROR($D131*(E61+E66+E67),"")</f>
        <v>47.674334463600005</v>
      </c>
      <c r="F131" s="137">
        <f t="shared" si="66"/>
        <v>54.910176879599994</v>
      </c>
      <c r="G131" s="137">
        <f t="shared" si="66"/>
        <v>53.831378555760004</v>
      </c>
      <c r="H131" s="137">
        <f t="shared" si="66"/>
        <v>61.067220971760001</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4" s="13" customFormat="1">
      <c r="A132" s="78"/>
      <c r="B132" s="87" t="s">
        <v>0</v>
      </c>
      <c r="C132" s="88" t="s">
        <v>36</v>
      </c>
      <c r="D132" s="406">
        <f>INDEX('Apoio - Notas Explicativas'!$Q:$Q,MATCH(C132,'Apoio - Notas Explicativas'!$C:$C,0))</f>
        <v>2.0000000000000001E-4</v>
      </c>
      <c r="E132" s="99">
        <f t="shared" ref="E132:X132" si="67">IFERROR($D132*(E61+E66+E67),"")</f>
        <v>0.6959756856</v>
      </c>
      <c r="F132" s="137">
        <f t="shared" si="67"/>
        <v>0.80160842160000001</v>
      </c>
      <c r="G132" s="137">
        <f t="shared" si="67"/>
        <v>0.7858595409600001</v>
      </c>
      <c r="H132" s="137">
        <f t="shared" si="67"/>
        <v>0.89149227696</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4" s="13" customFormat="1">
      <c r="A133" s="78"/>
      <c r="B133" s="87" t="s">
        <v>3</v>
      </c>
      <c r="C133" s="88" t="s">
        <v>37</v>
      </c>
      <c r="D133" s="406">
        <f>INDEX('Apoio - Notas Explicativas'!$Q:$Q,MATCH(C133,'Apoio - Notas Explicativas'!$C:$C,0))</f>
        <v>8.0999999999999996E-3</v>
      </c>
      <c r="E133" s="99">
        <f t="shared" ref="E133:X133" si="68">IFERROR($D133*(E61+E66+E67),"")</f>
        <v>28.1870152668</v>
      </c>
      <c r="F133" s="137">
        <f t="shared" si="68"/>
        <v>32.465141074799995</v>
      </c>
      <c r="G133" s="137">
        <f t="shared" si="68"/>
        <v>31.82731140888</v>
      </c>
      <c r="H133" s="137">
        <f t="shared" si="68"/>
        <v>36.105437216879999</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4" s="13" customFormat="1">
      <c r="A134" s="78"/>
      <c r="B134" s="87" t="s">
        <v>7</v>
      </c>
      <c r="C134" s="88" t="s">
        <v>188</v>
      </c>
      <c r="D134" s="406">
        <f>INDEX('Apoio - Notas Explicativas'!$Q:$Q,MATCH(C134,'Apoio - Notas Explicativas'!$C:$C,0))</f>
        <v>2.9999999999999997E-4</v>
      </c>
      <c r="E134" s="99">
        <f t="shared" ref="E134:X134" si="69">IFERROR($D134*(E61+E66+E67),"")</f>
        <v>1.0439635284</v>
      </c>
      <c r="F134" s="137">
        <f t="shared" si="69"/>
        <v>1.2024126323999997</v>
      </c>
      <c r="G134" s="137">
        <f t="shared" si="69"/>
        <v>1.1787893114399999</v>
      </c>
      <c r="H134" s="137">
        <f t="shared" si="69"/>
        <v>1.3372384154399999</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row>
    <row r="135" spans="1:24" s="13" customFormat="1">
      <c r="A135" s="78"/>
      <c r="B135" s="87" t="s">
        <v>6</v>
      </c>
      <c r="C135" s="88" t="s">
        <v>38</v>
      </c>
      <c r="D135" s="406">
        <f>INDEX('Apoio - Notas Explicativas'!$Q:$Q,MATCH(C135,'Apoio - Notas Explicativas'!$C:$C,0))</f>
        <v>6.9999999999999999E-4</v>
      </c>
      <c r="E135" s="99">
        <f t="shared" ref="E135:X135" si="70">IFERROR((E$61+E67)*$D$135,"")</f>
        <v>2.2660290061499997</v>
      </c>
      <c r="F135" s="137">
        <f t="shared" si="70"/>
        <v>2.6099589001499996</v>
      </c>
      <c r="G135" s="137">
        <f t="shared" si="70"/>
        <v>2.55868207959</v>
      </c>
      <c r="H135" s="137">
        <f t="shared" si="70"/>
        <v>2.90261197359</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4" s="13" customFormat="1">
      <c r="A136" s="78"/>
      <c r="B136" s="87" t="s">
        <v>5</v>
      </c>
      <c r="C136" s="88" t="s">
        <v>92</v>
      </c>
      <c r="D136" s="406">
        <f>SUM(D130:D135)*SUM(D81:D82,D72:D77)</f>
        <v>1.4425600000000002E-2</v>
      </c>
      <c r="E136" s="99">
        <f t="shared" ref="E136:X136" si="71">IF(E18="","",SUM(E130:E135)*SUM($D$72:$D$77,$D$81:$D$82))</f>
        <v>46.760264797802421</v>
      </c>
      <c r="F136" s="137">
        <f t="shared" si="71"/>
        <v>53.857372942346409</v>
      </c>
      <c r="G136" s="137">
        <f t="shared" si="71"/>
        <v>52.799258637159852</v>
      </c>
      <c r="H136" s="137">
        <f t="shared" si="71"/>
        <v>59.896366781703861</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4" s="13" customFormat="1">
      <c r="A137" s="78"/>
      <c r="B137" s="87" t="s">
        <v>4</v>
      </c>
      <c r="C137" s="88" t="s">
        <v>89</v>
      </c>
      <c r="D137" s="413">
        <f>INDEX('Apoio - Notas Explicativas'!$Q:$Q,MATCH(C137,'Apoio - Notas Explicativas'!$C:$C,0))</f>
        <v>37.96</v>
      </c>
      <c r="E137" s="99">
        <f t="shared" ref="E137:X137" si="72">IFERROR(((E114-SUM(E91,E96))/(30*12))*$D$137,"")</f>
        <v>11.126497777777775</v>
      </c>
      <c r="F137" s="137">
        <f t="shared" si="72"/>
        <v>11.126497777777775</v>
      </c>
      <c r="G137" s="137">
        <f t="shared" si="72"/>
        <v>11.126497777777775</v>
      </c>
      <c r="H137" s="137">
        <f t="shared" si="72"/>
        <v>11.126497777777775</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4" s="13" customFormat="1">
      <c r="A138" s="78"/>
      <c r="B138" s="87" t="s">
        <v>113</v>
      </c>
      <c r="C138" s="88" t="s">
        <v>39</v>
      </c>
      <c r="D138" s="413">
        <f>INDEX('Apoio - Notas Explicativas'!$Q:$Q,MATCH(C138,'Apoio - Notas Explicativas'!$C:$C,0))</f>
        <v>37.96</v>
      </c>
      <c r="E138" s="99">
        <f>IFERROR(((((E$125/12)*$D$138))/30),"")</f>
        <v>21.78132099216667</v>
      </c>
      <c r="F138" s="137">
        <f t="shared" ref="F138:X138" si="73">IFERROR(((((F$125/12)*$D$138))/30),"")</f>
        <v>25.087213105499998</v>
      </c>
      <c r="G138" s="137">
        <f t="shared" si="73"/>
        <v>24.594334644966672</v>
      </c>
      <c r="H138" s="137">
        <f t="shared" si="73"/>
        <v>27.900226758299997</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4" s="5" customFormat="1">
      <c r="A139" s="76"/>
      <c r="B139" s="171"/>
      <c r="C139" s="172" t="s">
        <v>120</v>
      </c>
      <c r="D139" s="175"/>
      <c r="E139" s="176">
        <f>IF(SUM(E130:E138)=0,"",SUM(E130:E138))</f>
        <v>206.73402051829692</v>
      </c>
      <c r="F139" s="174">
        <f t="shared" ref="F139:H139" si="74">IF(SUM(F130:F138)=0,"",SUM(F130:F138))</f>
        <v>236.42264073417419</v>
      </c>
      <c r="G139" s="176">
        <f t="shared" si="74"/>
        <v>231.9963373565343</v>
      </c>
      <c r="H139" s="174">
        <f t="shared" si="74"/>
        <v>261.68495757241163</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4" customFormat="1"/>
    <row r="141" spans="1:24"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4" s="13" customFormat="1">
      <c r="A142" s="79"/>
      <c r="B142" s="799"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4" s="13" customFormat="1">
      <c r="A143" s="79"/>
      <c r="B143" s="800"/>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4" s="13" customFormat="1">
      <c r="A144" s="79"/>
      <c r="B144" s="800"/>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01"/>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Trabalho'!$A:$I,8,FALSE)))*VLOOKUP(F$26,'Apoio - Regime de Trabalho'!$A:$I,7,FALSE)),
IF(F143="Não",0,
IF(F143="Indenização",(((SUM(F32,F42)/VLOOKUP(F$26,'Apoio - Regime de Trabalho'!$A:$I,8,FALSE))*1.5*(F144/60))*VLOOKUP(F$26,'Apoio - Regime de Trabalho'!$A:$I,7,FALSE)),"")))</f>
        <v/>
      </c>
      <c r="G145" s="101" t="str">
        <f>IF(G143="Rendição",(((SUM(G61,G$83,G$114,G151)/VLOOKUP(G$26,'Apoio - Regime de Trabalho'!$A:$I,8,FALSE)))*VLOOKUP(G$26,'Apoio - Regime de Trabalho'!$A:$I,7,FALSE)),
IF(G143="Não",0,
IF(G143="Indenização",(((SUM(G32,G42)/VLOOKUP(G$26,'Apoio - Regime de Trabalho'!$A:$I,8,FALSE))*1.5*(G144/60))*VLOOKUP(G$26,'Apoio - Regime de Trabalho'!$A:$I,7,FALSE)),"")))</f>
        <v/>
      </c>
      <c r="H145" s="101" t="str">
        <f>IF(H143="Rendição",(((SUM(H61,H$83,H$114,H151)/VLOOKUP(H$26,'Apoio - Regime de Trabalho'!$A:$I,8,FALSE)))*VLOOKUP(H$26,'Apoio - Regime de Trabalho'!$A:$I,7,FALSE)),
IF(H143="Não",0,
IF(H143="Indenização",(((SUM(H32,H42)/VLOOKUP(H$26,'Apoio - Regime de Trabalho'!$A:$I,8,FALSE))*1.5*(H144/60))*VLOOKUP(H$26,'Apoio - Regime de Trabalho'!$A:$I,7,FALSE)),"")))</f>
        <v/>
      </c>
      <c r="I145" s="101" t="str">
        <f>IF(I143="Rendição",(((SUM(I61,I$83,I$114,I151)/VLOOKUP(I$26,'Apoio - Regime de Trabalho'!$A:$I,8,FALSE)))*VLOOKUP(I$26,'Apoio - Regime de Trabalho'!$A:$I,7,FALSE)),
IF(I143="Não",0,
IF(I143="Indenização",(((SUM(I32,I42)/VLOOKUP(I$26,'Apoio - Regime de Trabalho'!$A:$I,8,FALSE))*1.5*(I144/60))*VLOOKUP(I$26,'Apoio - Regime de Trabalho'!$A:$I,7,FALSE)),"")))</f>
        <v/>
      </c>
      <c r="J145" s="101" t="str">
        <f>IF(J143="Rendição",(((SUM(J61,J$83,J$114,J151)/VLOOKUP(J$26,'Apoio - Regime de Trabalho'!$A:$I,8,FALSE)))*VLOOKUP(J$26,'Apoio - Regime de Trabalho'!$A:$I,7,FALSE)),
IF(J143="Não",0,
IF(J143="Indenização",(((SUM(J32,J42)/VLOOKUP(J$26,'Apoio - Regime de Trabalho'!$A:$I,8,FALSE))*1.5*(J144/60))*VLOOKUP(J$26,'Apoio - Regime de Trabalho'!$A:$I,7,FALSE)),"")))</f>
        <v/>
      </c>
      <c r="K145" s="101" t="str">
        <f>IF(K143="Rendição",(((SUM(K61,K$83,K$114,K151)/VLOOKUP(K$26,'Apoio - Regime de Trabalho'!$A:$I,8,FALSE)))*VLOOKUP(K$26,'Apoio - Regime de Trabalho'!$A:$I,7,FALSE)),
IF(K143="Não",0,
IF(K143="Indenização",(((SUM(K32,K42)/VLOOKUP(K$26,'Apoio - Regime de Trabalho'!$A:$I,8,FALSE))*1.5*(K144/60))*VLOOKUP(K$26,'Apoio - Regime de Trabalho'!$A:$I,7,FALSE)),"")))</f>
        <v/>
      </c>
      <c r="L145" s="101" t="str">
        <f>IF(L143="Rendição",(((SUM(L61,L$83,L$114,L151)/VLOOKUP(L$26,'Apoio - Regime de Trabalho'!$A:$I,8,FALSE)))*VLOOKUP(L$26,'Apoio - Regime de Trabalho'!$A:$I,7,FALSE)),
IF(L143="Não",0,
IF(L143="Indenização",(((SUM(L32,L42)/VLOOKUP(L$26,'Apoio - Regime de Trabalho'!$A:$I,8,FALSE))*1.5*(L144/60))*VLOOKUP(L$26,'Apoio - Regime de Trabalho'!$A:$I,7,FALSE)),"")))</f>
        <v/>
      </c>
      <c r="M145" s="101" t="str">
        <f>IF(M143="Rendição",(((SUM(M61,M$83,M$114,M151)/VLOOKUP(M$26,'Apoio - Regime de Trabalho'!$A:$I,8,FALSE)))*VLOOKUP(M$26,'Apoio - Regime de Trabalho'!$A:$I,7,FALSE)),
IF(M143="Não",0,
IF(M143="Indenização",(((SUM(M32,M42)/VLOOKUP(M$26,'Apoio - Regime de Trabalho'!$A:$I,8,FALSE))*1.5*(M144/60))*VLOOKUP(M$26,'Apoio - Regime de Trabalho'!$A:$I,7,FALSE)),"")))</f>
        <v/>
      </c>
      <c r="N145" s="101" t="str">
        <f>IF(N143="Rendição",(((SUM(N61,N$83,N$114,N151)/VLOOKUP(N$26,'Apoio - Regime de Trabalho'!$A:$I,8,FALSE)))*VLOOKUP(N$26,'Apoio - Regime de Trabalho'!$A:$I,7,FALSE)),
IF(N143="Não",0,
IF(N143="Indenização",(((SUM(N32,N42)/VLOOKUP(N$26,'Apoio - Regime de Trabalho'!$A:$I,8,FALSE))*1.5*(N144/60))*VLOOKUP(N$26,'Apoio - Regime de Trabalho'!$A:$I,7,FALSE)),"")))</f>
        <v/>
      </c>
      <c r="O145" s="101" t="str">
        <f>IF(O143="Rendição",(((SUM(O61,O$83,O$114,O151)/VLOOKUP(O$26,'Apoio - Regime de Trabalho'!$A:$I,8,FALSE)))*VLOOKUP(O$26,'Apoio - Regime de Trabalho'!$A:$I,7,FALSE)),
IF(O143="Não",0,
IF(O143="Indenização",(((SUM(O32,O42)/VLOOKUP(O$26,'Apoio - Regime de Trabalho'!$A:$I,8,FALSE))*1.5*(O144/60))*VLOOKUP(O$26,'Apoio - Regime de Trabalho'!$A:$I,7,FALSE)),"")))</f>
        <v/>
      </c>
      <c r="P145" s="101" t="str">
        <f>IF(P143="Rendição",(((SUM(P61,P$83,P$114,P151)/VLOOKUP(P$26,'Apoio - Regime de Trabalho'!$A:$I,8,FALSE)))*VLOOKUP(P$26,'Apoio - Regime de Trabalho'!$A:$I,7,FALSE)),
IF(P143="Não",0,
IF(P143="Indenização",(((SUM(P32,P42)/VLOOKUP(P$26,'Apoio - Regime de Trabalho'!$A:$I,8,FALSE))*1.5*(P144/60))*VLOOKUP(P$26,'Apoio - Regime de Trabalho'!$A:$I,7,FALSE)),"")))</f>
        <v/>
      </c>
      <c r="Q145" s="101" t="str">
        <f>IF(Q143="Rendição",(((SUM(Q61,Q$83,Q$114,Q151)/VLOOKUP(Q$26,'Apoio - Regime de Trabalho'!$A:$I,8,FALSE)))*VLOOKUP(Q$26,'Apoio - Regime de Trabalho'!$A:$I,7,FALSE)),
IF(Q143="Não",0,
IF(Q143="Indenização",(((SUM(Q32,Q42)/VLOOKUP(Q$26,'Apoio - Regime de Trabalho'!$A:$I,8,FALSE))*1.5*(Q144/60))*VLOOKUP(Q$26,'Apoio - Regime de Trabalho'!$A:$I,7,FALSE)),"")))</f>
        <v/>
      </c>
      <c r="R145" s="101" t="str">
        <f>IF(R143="Rendição",(((SUM(R61,R$83,R$114,R151)/VLOOKUP(R$26,'Apoio - Regime de Trabalho'!$A:$I,8,FALSE)))*VLOOKUP(R$26,'Apoio - Regime de Trabalho'!$A:$I,7,FALSE)),
IF(R143="Não",0,
IF(R143="Indenização",(((SUM(R32,R42)/VLOOKUP(R$26,'Apoio - Regime de Trabalho'!$A:$I,8,FALSE))*1.5*(R144/60))*VLOOKUP(R$26,'Apoio - Regime de Trabalho'!$A:$I,7,FALSE)),"")))</f>
        <v/>
      </c>
      <c r="S145" s="101" t="str">
        <f>IF(S143="Rendição",(((SUM(S61,S$83,S$114,S151)/VLOOKUP(S$26,'Apoio - Regime de Trabalho'!$A:$I,8,FALSE)))*VLOOKUP(S$26,'Apoio - Regime de Trabalho'!$A:$I,7,FALSE)),
IF(S143="Não",0,
IF(S143="Indenização",(((SUM(S32,S42)/VLOOKUP(S$26,'Apoio - Regime de Trabalho'!$A:$I,8,FALSE))*1.5*(S144/60))*VLOOKUP(S$26,'Apoio - Regime de Trabalho'!$A:$I,7,FALSE)),"")))</f>
        <v/>
      </c>
      <c r="T145" s="101" t="str">
        <f>IF(T143="Rendição",(((SUM(T61,T$83,T$114,T151)/VLOOKUP(T$26,'Apoio - Regime de Trabalho'!$A:$I,8,FALSE)))*VLOOKUP(T$26,'Apoio - Regime de Trabalho'!$A:$I,7,FALSE)),
IF(T143="Não",0,
IF(T143="Indenização",(((SUM(T32,T42)/VLOOKUP(T$26,'Apoio - Regime de Trabalho'!$A:$I,8,FALSE))*1.5*(T144/60))*VLOOKUP(T$26,'Apoio - Regime de Trabalho'!$A:$I,7,FALSE)),"")))</f>
        <v/>
      </c>
      <c r="U145" s="101" t="str">
        <f>IF(U143="Rendição",(((SUM(U61,U$83,U$114,U151)/VLOOKUP(U$26,'Apoio - Regime de Trabalho'!$A:$I,8,FALSE)))*VLOOKUP(U$26,'Apoio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Trabalho'!$A:$I,8,FALSE)))*VLOOKUP(V$26,'Apoio - Regime de Trabalho'!$A:$I,7,FALSE)),
IF(V143="Não",0,
IF(V143="Indenização",(((SUM(V32,V42)/VLOOKUP(V$26,'Apoio - Regime de Trabalho'!$A:$I,8,FALSE))*1.5*(V144/60))*VLOOKUP(V$26,'Apoio - Regime de Trabalho'!$A:$I,7,FALSE)),"")))</f>
        <v/>
      </c>
      <c r="W145" s="101" t="str">
        <f>IF(W143="Rendição",(((SUM(W61,W$83,W$114,W151)/VLOOKUP(W$26,'Apoio - Regime de Trabalho'!$A:$I,8,FALSE)))*VLOOKUP(W$26,'Apoio - Regime de Trabalho'!$A:$I,7,FALSE)),
IF(W143="Não",0,
IF(W143="Indenização",(((SUM(W32,W42)/VLOOKUP(W$26,'Apoio - Regime de Trabalho'!$A:$I,8,FALSE))*1.5*(W144/60))*VLOOKUP(W$26,'Apoio - Regime de Trabalho'!$A:$I,7,FALSE)),"")))</f>
        <v/>
      </c>
      <c r="X145" s="101" t="str">
        <f>IF(X143="Rendição",(((SUM(X61,X$83,X$114,X151)/VLOOKUP(X$26,'Apoio - Regime de Trabalho'!$A:$I,8,FALSE)))*VLOOKUP(X$26,'Apoio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206.73402051829692</v>
      </c>
      <c r="F148" s="155">
        <f t="shared" ref="F148:H148" si="81">IF(F146="",F139,SUM(F146,F139))</f>
        <v>236.42264073417419</v>
      </c>
      <c r="G148" s="154">
        <f t="shared" si="81"/>
        <v>231.9963373565343</v>
      </c>
      <c r="H148" s="452">
        <f t="shared" si="81"/>
        <v>261.68495757241163</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91.82</v>
      </c>
      <c r="F151" s="99">
        <f>IF(F18="","",ROUND(IF($D$151&lt;&gt;"",$D$151*SUM(F61,F116,F125,F148),IFERROR('Mat Individual e Uniformes'!K4/Proposta!$J$6,"")),2))</f>
        <v>91.82</v>
      </c>
      <c r="G151" s="99">
        <f>IF(G18="","",ROUND(IF($D$151&lt;&gt;"",$D$151*SUM(G61,G116,G125,G148),IFERROR('Mat Individual e Uniformes'!L4/Proposta!$J$6,"")),2))</f>
        <v>91.82</v>
      </c>
      <c r="H151" s="99">
        <f>IF(H18="","",ROUND(IF($D$151&lt;&gt;"",$D$151*SUM(H61,H116,H125,H148),IFERROR('Mat Individual e Uniformes'!M4/Proposta!$J$6,"")),2))</f>
        <v>91.82</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f>IFERROR(
        IF(OR(F18="",$D$152="Não"),       "",
        IF($D$152="Sim",                  'Mat Coletivo e Equipamentos'!$I$4/SUM($E$29:$XX$29),
        ROUND(IF($D$152&lt;&gt;"",$D$152*SUM(F61,F116,F125,F148,F151),
0),2))),0)</f>
        <v>0</v>
      </c>
      <c r="G152" s="99">
        <f>IFERROR(
        IF(OR(G18="",$D$152="Não"),       "",
        IF($D$152="Sim",                  'Mat Coletivo e Equipamentos'!$I$4/SUM($E$29:$XX$29),
        ROUND(IF($D$152&lt;&gt;"",$D$152*SUM(G61,G116,G125,G148,G151),
0),2))),0)</f>
        <v>0</v>
      </c>
      <c r="H152" s="99">
        <f>IFERROR(
        IF(OR(H18="",$D$152="Não"),       "",
        IF($D$152="Sim",                  'Mat Coletivo e Equipamentos'!$I$4/SUM($E$29:$XX$29),
        ROUND(IF($D$152&lt;&gt;"",$D$152*SUM(H61,H116,H125,H148,H151),
0),2))),0)</f>
        <v>0</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91.82</v>
      </c>
      <c r="F153" s="155">
        <f>IF(F18="","",SUM(F151:F152))</f>
        <v>91.82</v>
      </c>
      <c r="G153" s="155">
        <f>IF(G18="","",SUM(G151:G152))</f>
        <v>91.82</v>
      </c>
      <c r="H153" s="155">
        <f>IF(H18="","",SUM(H151:H152))</f>
        <v>91.82</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289.68</v>
      </c>
      <c r="F158" s="99">
        <f t="shared" si="85"/>
        <v>328.86</v>
      </c>
      <c r="G158" s="99">
        <f t="shared" si="85"/>
        <v>323.02</v>
      </c>
      <c r="H158" s="99">
        <f t="shared" si="85"/>
        <v>362.2</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608.33000000000004</v>
      </c>
      <c r="F159" s="99">
        <f t="shared" si="86"/>
        <v>690.61</v>
      </c>
      <c r="G159" s="99">
        <f t="shared" si="86"/>
        <v>678.34</v>
      </c>
      <c r="H159" s="99">
        <f t="shared" si="86"/>
        <v>760.62</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898.01</v>
      </c>
      <c r="F160" s="176">
        <f t="shared" si="87"/>
        <v>1019.47</v>
      </c>
      <c r="G160" s="176">
        <f t="shared" si="87"/>
        <v>1001.36</v>
      </c>
      <c r="H160" s="176">
        <f t="shared" si="87"/>
        <v>1122.82</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213.9</v>
      </c>
      <c r="F163" s="99">
        <f t="shared" si="88"/>
        <v>242.84</v>
      </c>
      <c r="G163" s="99">
        <f t="shared" si="88"/>
        <v>238.52</v>
      </c>
      <c r="H163" s="99">
        <f t="shared" si="88"/>
        <v>267.45</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46.35</v>
      </c>
      <c r="F164" s="99">
        <f t="shared" si="89"/>
        <v>52.61</v>
      </c>
      <c r="G164" s="99">
        <f t="shared" si="89"/>
        <v>51.68</v>
      </c>
      <c r="H164" s="99">
        <f t="shared" si="89"/>
        <v>57.95</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02"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792"/>
      <c r="C166" s="136" t="s">
        <v>353</v>
      </c>
      <c r="D166" s="181"/>
      <c r="E166" s="388">
        <f>IF(E18="","",
IF($D$13="Simples",INDEX('Apoio - Notas Explicativas'!$Q:$Q,MATCH($C$165,'Apoio - Notas Explicativas'!$C:$C,0)),
IFERROR(VLOOKUP(E$18,'Apoio - Posto'!$A:$AA,20,FALSE),
INDEX('Apoio - Notas Explicativas'!$Q:$Q,MATCH($C$165,'Apoio - Notas Explicativas'!$C:$C,0))
)))</f>
        <v>2.5000000000000001E-2</v>
      </c>
      <c r="F166" s="388">
        <f>IF(F18="","",
IF($D$13="Simples",INDEX('Apoio - Notas Explicativas'!$Q:$Q,MATCH($C$165,'Apoio - Notas Explicativas'!$C:$C,0)),
IFERROR(VLOOKUP(F$18,'Apoio - Posto'!$A:$AA,20,FALSE),
INDEX('Apoio - Notas Explicativas'!$Q:$Q,MATCH($C$165,'Apoio - Notas Explicativas'!$C:$C,0))
)))</f>
        <v>2.5000000000000001E-2</v>
      </c>
      <c r="G166" s="388">
        <f>IF(G18="","",
IF($D$13="Simples",INDEX('Apoio - Notas Explicativas'!$Q:$Q,MATCH($C$165,'Apoio - Notas Explicativas'!$C:$C,0)),
IFERROR(VLOOKUP(G$18,'Apoio - Posto'!$A:$AA,20,FALSE),
INDEX('Apoio - Notas Explicativas'!$Q:$Q,MATCH($C$165,'Apoio - Notas Explicativas'!$C:$C,0))
)))</f>
        <v>2.5000000000000001E-2</v>
      </c>
      <c r="H166" s="388">
        <f>IF(H18="","",
IF($D$13="Simples",INDEX('Apoio - Notas Explicativas'!$Q:$Q,MATCH($C$165,'Apoio - Notas Explicativas'!$C:$C,0)),
IFERROR(VLOOKUP(H$18,'Apoio - Posto'!$A:$AA,20,FALSE),
INDEX('Apoio - Notas Explicativas'!$Q:$Q,MATCH($C$165,'Apoio - Notas Explicativas'!$C:$C,0))
)))</f>
        <v>2.5000000000000001E-2</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793"/>
      <c r="C167" s="88"/>
      <c r="D167" s="415" t="s">
        <v>41</v>
      </c>
      <c r="E167" s="147">
        <f t="shared" ref="E167:X167" si="90">IF(E21="","",IFERROR(ROUND(SUM(E$160,E$61,E$116,E$125,E$148,E$153)*E166/(1-SUM($D$163:$D$168,E166)),2),""))</f>
        <v>178.25</v>
      </c>
      <c r="F167" s="147">
        <f t="shared" si="90"/>
        <v>202.36</v>
      </c>
      <c r="G167" s="147">
        <f t="shared" si="90"/>
        <v>198.77</v>
      </c>
      <c r="H167" s="147">
        <f t="shared" si="90"/>
        <v>222.88</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f t="shared" si="91"/>
        <v>0</v>
      </c>
      <c r="G168" s="99">
        <f t="shared" si="91"/>
        <v>0</v>
      </c>
      <c r="H168" s="99">
        <f t="shared" si="91"/>
        <v>0</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438.5</v>
      </c>
      <c r="F169" s="192">
        <f t="shared" si="92"/>
        <v>497.81</v>
      </c>
      <c r="G169" s="192">
        <f t="shared" si="92"/>
        <v>488.97</v>
      </c>
      <c r="H169" s="192">
        <f t="shared" si="92"/>
        <v>548.28</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1336.51</v>
      </c>
      <c r="F171" s="155">
        <f t="shared" si="93"/>
        <v>1517.28</v>
      </c>
      <c r="G171" s="155">
        <f t="shared" si="93"/>
        <v>1490.33</v>
      </c>
      <c r="H171" s="155">
        <f t="shared" si="93"/>
        <v>1671.1</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39.61</v>
      </c>
      <c r="F176" s="99">
        <f>IFERROR(IF(F18="","",ROUND(F178/SUM(F52,INDEX('Apoio - Regime de Trabalho'!$I:$I,MATCH(F26,'Apoio - Regime de Trabalho'!$A:$A,0))),2)),"")</f>
        <v>44.97</v>
      </c>
      <c r="G176" s="99">
        <f>IFERROR(IF(G18="","",ROUND(G178/SUM(G52,INDEX('Apoio - Regime de Trabalho'!$I:$I,MATCH(G26,'Apoio - Regime de Trabalho'!$A:$A,0))),2)),"")</f>
        <v>44.17</v>
      </c>
      <c r="H176" s="99">
        <f>IFERROR(IF(H18="","",ROUND(H178/SUM(H52,INDEX('Apoio - Regime de Trabalho'!$I:$I,MATCH(H26,'Apoio - Regime de Trabalho'!$A:$A,0))),2)),"")</f>
        <v>49.53</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475.34</v>
      </c>
      <c r="F177" s="99">
        <f>IF(F18="","",ROUND(SUM(F61,F116,F125,F148,F153,F171)/INDEX('Apoio - Regime de Trabalho'!$G:$G,MATCH(F26,'Apoio - Regime de Trabalho'!$A:$A,0)),2))</f>
        <v>539.63</v>
      </c>
      <c r="G177" s="99">
        <f>IF(G18="","",ROUND(SUM(G61,G116,G125,G148,G153,G171)/INDEX('Apoio - Regime de Trabalho'!$G:$G,MATCH(G26,'Apoio - Regime de Trabalho'!$A:$A,0)),2))</f>
        <v>530.04999999999995</v>
      </c>
      <c r="H177" s="99">
        <f>IF(H18="","",ROUND(SUM(H61,H116,H125,H148,H153,H171)/INDEX('Apoio - Regime de Trabalho'!$G:$G,MATCH(H26,'Apoio - Regime de Trabalho'!$A:$A,0)),2))</f>
        <v>594.34</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7130.14</v>
      </c>
      <c r="F178" s="99">
        <f t="shared" si="94"/>
        <v>8094.51</v>
      </c>
      <c r="G178" s="99">
        <f t="shared" si="94"/>
        <v>7950.73</v>
      </c>
      <c r="H178" s="99">
        <f t="shared" si="94"/>
        <v>8915.1</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14260.28</v>
      </c>
      <c r="F179" s="99">
        <f t="shared" si="95"/>
        <v>16189.02</v>
      </c>
      <c r="G179" s="99">
        <f t="shared" si="95"/>
        <v>15901.46</v>
      </c>
      <c r="H179" s="99">
        <f t="shared" si="95"/>
        <v>17830.2</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11403.62</v>
      </c>
      <c r="F182" s="99">
        <f t="shared" si="96"/>
        <v>12970.82</v>
      </c>
      <c r="G182" s="99">
        <f t="shared" si="96"/>
        <v>38211.479999999996</v>
      </c>
      <c r="H182" s="99">
        <f t="shared" si="96"/>
        <v>14304.36</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183.64</v>
      </c>
      <c r="F183" s="99">
        <f t="shared" si="97"/>
        <v>183.64</v>
      </c>
      <c r="G183" s="99">
        <f t="shared" si="97"/>
        <v>550.91999999999996</v>
      </c>
      <c r="H183" s="99">
        <f t="shared" si="97"/>
        <v>183.64</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2673.02</v>
      </c>
      <c r="F184" s="99">
        <f t="shared" si="98"/>
        <v>3034.56</v>
      </c>
      <c r="G184" s="99">
        <f t="shared" si="98"/>
        <v>8941.98</v>
      </c>
      <c r="H184" s="99">
        <f t="shared" si="98"/>
        <v>3342.2</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14260.28</v>
      </c>
      <c r="F185" s="99">
        <f t="shared" ref="F185:H185" si="99">IFERROR(ROUND((F182+F183+F184),2),"")</f>
        <v>16189.02</v>
      </c>
      <c r="G185" s="99">
        <f t="shared" si="99"/>
        <v>47704.38</v>
      </c>
      <c r="H185" s="99">
        <f t="shared" si="99"/>
        <v>17830.2</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136843.44</v>
      </c>
      <c r="F188" s="99">
        <f t="shared" ref="F188:N188" si="102">IFERROR(ROUND(F182*$D$12,2),"")</f>
        <v>155649.84</v>
      </c>
      <c r="G188" s="99">
        <f t="shared" si="102"/>
        <v>458537.76</v>
      </c>
      <c r="H188" s="99">
        <f t="shared" si="102"/>
        <v>171652.32</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2203.6799999999998</v>
      </c>
      <c r="F189" s="99">
        <f t="shared" ref="F189:N189" si="104">IFERROR(ROUND(F183*$D$12,2),"")</f>
        <v>2203.6799999999998</v>
      </c>
      <c r="G189" s="99">
        <f t="shared" si="104"/>
        <v>6611.04</v>
      </c>
      <c r="H189" s="99">
        <f t="shared" si="104"/>
        <v>2203.6799999999998</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32076.240000000002</v>
      </c>
      <c r="F190" s="99">
        <f t="shared" ref="F190:N190" si="106">IFERROR(ROUND(F184*$D$12,2),"")</f>
        <v>36414.720000000001</v>
      </c>
      <c r="G190" s="99">
        <f t="shared" si="106"/>
        <v>107303.76</v>
      </c>
      <c r="H190" s="99">
        <f t="shared" si="106"/>
        <v>40106.400000000001</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171123.36</v>
      </c>
      <c r="F191" s="99">
        <f t="shared" ref="F191:N191" si="108">IFERROR(ROUND(F185*$D$12,2),"")</f>
        <v>194268.24</v>
      </c>
      <c r="G191" s="99">
        <f t="shared" si="108"/>
        <v>572452.56000000006</v>
      </c>
      <c r="H191" s="99">
        <f t="shared" si="108"/>
        <v>213962.4</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zpXvCocFlhaZUZmhHSDUuTzM7CzCrCIxE+fcKUe2821LJoKYuyUC5KmSI5E/Nly0yCaPF/zw92johCZzFuNUHQ==" saltValue="XCG3ysJjzGQsvYreTfugLg==" spinCount="100000" sheet="1" formatCells="0" formatColumns="0" formatRows="0" insertColumns="0" autoFilter="0"/>
  <dataConsolidate link="1"/>
  <mergeCells count="27">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18:X27 E34:X34 E37:X38 E41:X41 E44:X45 E59:X60 E87:X90 E93:X95 E98:X99 E104:X105 E143:X144">
    <cfRule type="expression" dxfId="23" priority="7">
      <formula>$H$5=1</formula>
    </cfRule>
  </conditionalFormatting>
  <conditionalFormatting sqref="D9:D10 D13:D15 E20:X25 E34:X34 E37:X38 E41:X41 E44:X45 E59:X60 D79:D80 E88:X90 E93:X95 E98:X99 E104:X105 D130:D138 E143:X144">
    <cfRule type="expression" dxfId="22" priority="8">
      <formula>$H$5=2</formula>
    </cfRule>
  </conditionalFormatting>
  <conditionalFormatting sqref="D15 E21:X21 E24:X25 E87:X87 E93:X93 E98:X98 E101:X102 E104:X104 E107:X107">
    <cfRule type="expression" dxfId="21" priority="6">
      <formula>$H$5=4</formula>
    </cfRule>
  </conditionalFormatting>
  <conditionalFormatting sqref="E51:X52">
    <cfRule type="expression" dxfId="20" priority="4">
      <formula>$H$5=1</formula>
    </cfRule>
    <cfRule type="expression" dxfId="19" priority="5">
      <formula>$H$5=2</formula>
    </cfRule>
  </conditionalFormatting>
  <conditionalFormatting sqref="E109:X109">
    <cfRule type="expression" dxfId="18" priority="1">
      <formula>$H$5=4</formula>
    </cfRule>
  </conditionalFormatting>
  <conditionalFormatting sqref="E166:X166">
    <cfRule type="expression" dxfId="17" priority="2">
      <formula>$H$5=1</formula>
    </cfRule>
    <cfRule type="expression" dxfId="16"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topLeftCell="C1" zoomScale="90" zoomScaleNormal="90" workbookViewId="0">
      <selection activeCell="AM17" sqref="AM17"/>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3" width="12.7109375" style="42" bestFit="1" customWidth="1"/>
    <col min="14" max="21" width="7.85546875" style="42" hidden="1" customWidth="1"/>
    <col min="22" max="22" width="8.28515625" style="42" hidden="1" customWidth="1"/>
    <col min="23" max="29" width="7.85546875" style="42" hidden="1" customWidth="1"/>
    <col min="30" max="16384" width="9.140625" style="42"/>
  </cols>
  <sheetData>
    <row r="1" spans="2:29" ht="9.75" customHeight="1"/>
    <row r="2" spans="2:29">
      <c r="B2" s="811" t="s">
        <v>352</v>
      </c>
      <c r="C2" s="812"/>
      <c r="D2" s="812"/>
      <c r="E2" s="812"/>
      <c r="F2" s="812"/>
      <c r="G2" s="813"/>
      <c r="H2" s="717"/>
      <c r="J2" s="814" t="s">
        <v>401</v>
      </c>
      <c r="K2" s="815"/>
      <c r="L2" s="815"/>
      <c r="M2" s="815"/>
      <c r="N2" s="815"/>
      <c r="O2" s="815"/>
      <c r="P2" s="815"/>
      <c r="Q2" s="815"/>
      <c r="R2" s="815"/>
      <c r="S2" s="815"/>
      <c r="T2" s="815"/>
      <c r="U2" s="815"/>
      <c r="V2" s="815"/>
      <c r="W2" s="815"/>
      <c r="X2" s="815"/>
      <c r="Y2" s="815"/>
      <c r="Z2" s="815"/>
      <c r="AA2" s="815"/>
      <c r="AB2" s="815"/>
      <c r="AC2" s="816"/>
    </row>
    <row r="3" spans="2:29" ht="45">
      <c r="B3" s="641" t="s">
        <v>184</v>
      </c>
      <c r="C3" s="641" t="s">
        <v>40</v>
      </c>
      <c r="D3" s="641" t="s">
        <v>493</v>
      </c>
      <c r="E3" s="641" t="s">
        <v>492</v>
      </c>
      <c r="F3" s="641" t="s">
        <v>41</v>
      </c>
      <c r="G3" s="641" t="s">
        <v>485</v>
      </c>
      <c r="H3" s="641" t="s">
        <v>486</v>
      </c>
      <c r="J3" s="641" t="str">
        <f xml:space="preserve">
IF(IFERROR(SUM(Produtividade!$L$194:$L$219)&gt;0,FALSE()),Produtividade!E17,'Mão de Obra'!E17)</f>
        <v>Posto A</v>
      </c>
      <c r="K3" s="641" t="str">
        <f xml:space="preserve">
IF(IFERROR(SUM(Produtividade!$L$194:$L$219)&gt;0,FALSE()),Produtividade!F17,'Mão de Obra'!F17)</f>
        <v>Posto B</v>
      </c>
      <c r="L3" s="641" t="str">
        <f xml:space="preserve">
IF(IFERROR(SUM(Produtividade!$L$194:$L$219)&gt;0,FALSE()),Produtividade!G17,'Mão de Obra'!G17)</f>
        <v>Posto C</v>
      </c>
      <c r="M3" s="641" t="str">
        <f xml:space="preserve">
IF(IFERROR(SUM(Produtividade!$L$194:$L$219)&gt;0,FALSE()),Produtividade!H17,'Mão de Obra'!H17)</f>
        <v>Posto D</v>
      </c>
      <c r="N3" s="641" t="str">
        <f xml:space="preserve">
IF(IFERROR(SUM(Produtividade!$L$194:$L$219)&gt;0,FALSE()),Produtividade!I17,'Mão de Obra'!I17)</f>
        <v>Posto E</v>
      </c>
      <c r="O3" s="641" t="str">
        <f xml:space="preserve">
IF(IFERROR(SUM(Produtividade!$L$194:$L$219)&gt;0,FALSE()),Produtividade!J17,'Mão de Obra'!J17)</f>
        <v>Posto F</v>
      </c>
      <c r="P3" s="641" t="str">
        <f xml:space="preserve">
IF(IFERROR(SUM(Produtividade!$L$194:$L$219)&gt;0,FALSE()),Produtividade!K17,'Mão de Obra'!K17)</f>
        <v>Posto G</v>
      </c>
      <c r="Q3" s="641" t="str">
        <f xml:space="preserve">
IF(IFERROR(SUM(Produtividade!$L$194:$L$219)&gt;0,FALSE()),Produtividade!L17,'Mão de Obra'!L17)</f>
        <v>Posto H</v>
      </c>
      <c r="R3" s="641" t="str">
        <f xml:space="preserve">
IF(IFERROR(SUM(Produtividade!$L$194:$L$219)&gt;0,FALSE()),Produtividade!M17,'Mão de Obra'!M17)</f>
        <v>Posto I</v>
      </c>
      <c r="S3" s="641" t="str">
        <f xml:space="preserve">
IF(IFERROR(SUM(Produtividade!$L$194:$L$219)&gt;0,FALSE()),Produtividade!N17,'Mão de Obra'!N17)</f>
        <v>Posto J</v>
      </c>
      <c r="T3" s="641" t="str">
        <f xml:space="preserve">
IF(IFERROR(SUM(Produtividade!$L$194:$L$219)&gt;0,FALSE()),Produtividade!O17,'Mão de Obra'!O17)</f>
        <v>Posto K</v>
      </c>
      <c r="U3" s="641" t="str">
        <f xml:space="preserve">
IF(IFERROR(SUM(Produtividade!$L$194:$L$219)&gt;0,FALSE()),Produtividade!P17,'Mão de Obra'!P17)</f>
        <v>Posto L</v>
      </c>
      <c r="V3" s="641" t="str">
        <f xml:space="preserve">
IF(IFERROR(SUM(Produtividade!$L$194:$L$219)&gt;0,FALSE()),Produtividade!Q17,'Mão de Obra'!Q17)</f>
        <v>Posto M</v>
      </c>
      <c r="W3" s="641" t="str">
        <f xml:space="preserve">
IF(IFERROR(SUM(Produtividade!$L$194:$L$219)&gt;0,FALSE()),Produtividade!R17,'Mão de Obra'!R17)</f>
        <v>Posto N</v>
      </c>
      <c r="X3" s="641" t="str">
        <f xml:space="preserve">
IF(IFERROR(SUM(Produtividade!$L$194:$L$219)&gt;0,FALSE()),Produtividade!S17,'Mão de Obra'!S17)</f>
        <v>Posto O</v>
      </c>
      <c r="Y3" s="641" t="str">
        <f xml:space="preserve">
IF(IFERROR(SUM(Produtividade!$L$194:$L$219)&gt;0,FALSE()),Produtividade!T17,'Mão de Obra'!T17)</f>
        <v>Posto P</v>
      </c>
      <c r="Z3" s="641" t="str">
        <f xml:space="preserve">
IF(IFERROR(SUM(Produtividade!$L$194:$L$219)&gt;0,FALSE()),Produtividade!U17,'Mão de Obra'!U17)</f>
        <v>Posto Q</v>
      </c>
      <c r="AA3" s="641" t="str">
        <f xml:space="preserve">
IF(IFERROR(SUM(Produtividade!$L$194:$L$219)&gt;0,FALSE()),Produtividade!V17,'Mão de Obra'!V17)</f>
        <v>Posto R</v>
      </c>
      <c r="AB3" s="641" t="str">
        <f xml:space="preserve">
IF(IFERROR(SUM(Produtividade!$L$194:$L$219)&gt;0,FALSE()),Produtividade!W17,'Mão de Obra'!W17)</f>
        <v>Posto S</v>
      </c>
      <c r="AC3" s="641" t="str">
        <f xml:space="preserve">
IF(IFERROR(SUM(Produtividade!$L$194:$L$219)&gt;0,FALSE()),Produtividade!X17,'Mão de Obra'!X17)</f>
        <v>Posto T</v>
      </c>
    </row>
    <row r="4" spans="2:29">
      <c r="F4" s="808" t="s">
        <v>552</v>
      </c>
      <c r="G4" s="809"/>
      <c r="H4" s="810"/>
      <c r="J4" s="718">
        <f>IFERROR(ROUND(SUMPRODUCT(J6:J1000,$H$6:$H$1000),2),"")</f>
        <v>1101.8499999999999</v>
      </c>
      <c r="K4" s="718">
        <f t="shared" ref="K4:S4" si="0">IFERROR(ROUND(SUMPRODUCT(K6:K1000,$H$6:$H$1000),2),"")</f>
        <v>1101.8499999999999</v>
      </c>
      <c r="L4" s="718">
        <f t="shared" si="0"/>
        <v>1101.8499999999999</v>
      </c>
      <c r="M4" s="718">
        <f t="shared" si="0"/>
        <v>1101.8499999999999</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t="s">
        <v>661</v>
      </c>
      <c r="E6" s="249" t="str">
        <f>IFERROR(VLOOKUP($D6,'Apoio - Uniforme e EPIs'!$A:$D,2,FALSE),"")</f>
        <v>peça</v>
      </c>
      <c r="F6" s="716">
        <f>IFERROR(VLOOKUP($D6,'Apoio - Uniforme e EPIs'!$A:$D,3,FALSE),"")</f>
        <v>11.59</v>
      </c>
      <c r="G6" s="719" t="str">
        <f>IFERROR(IF(VLOOKUP($D6,'Apoio - Uniforme e EPIs'!$A:$D,4,FALSE)=0,"",VLOOKUP($D6,'Apoio - Uniforme e EPIs'!$A:$D,4,FALSE)),"")</f>
        <v/>
      </c>
      <c r="H6" s="252">
        <f>IFERROR(IF(ISNUMBER(G6),G6*'Mão de Obra'!$D$12/12,1)*F6,"")</f>
        <v>11.59</v>
      </c>
      <c r="J6" s="249">
        <v>1</v>
      </c>
      <c r="K6" s="249">
        <v>1</v>
      </c>
      <c r="L6" s="249">
        <v>1</v>
      </c>
      <c r="M6" s="249">
        <v>1</v>
      </c>
      <c r="N6" s="249"/>
      <c r="O6" s="249"/>
      <c r="P6" s="249"/>
      <c r="Q6" s="249"/>
      <c r="R6" s="249"/>
      <c r="S6" s="249"/>
      <c r="T6" s="249"/>
      <c r="U6" s="249"/>
      <c r="V6" s="249"/>
      <c r="W6" s="249"/>
      <c r="X6" s="249"/>
      <c r="Y6" s="249"/>
      <c r="Z6" s="249"/>
      <c r="AA6" s="249"/>
      <c r="AB6" s="249"/>
      <c r="AC6" s="249"/>
    </row>
    <row r="7" spans="2:29">
      <c r="B7" s="249">
        <v>2</v>
      </c>
      <c r="C7" s="250"/>
      <c r="D7" s="251" t="s">
        <v>704</v>
      </c>
      <c r="E7" s="249" t="str">
        <f>IFERROR(VLOOKUP($D7,'Apoio - Uniforme e EPIs'!$A:$C,2,FALSE),"")</f>
        <v>peça</v>
      </c>
      <c r="F7" s="716">
        <f>IFERROR(VLOOKUP($D7,'Apoio - Uniforme e EPIs'!$A:$D,3,FALSE),"")</f>
        <v>69.36</v>
      </c>
      <c r="G7" s="719" t="str">
        <f>IFERROR(IF(VLOOKUP($D7,'Apoio - Uniforme e EPIs'!$A:$D,4,FALSE)=0,"",VLOOKUP($D7,'Apoio - Uniforme e EPIs'!$A:$D,4,FALSE)),"")</f>
        <v/>
      </c>
      <c r="H7" s="252">
        <f>IFERROR(IF(ISNUMBER(G7),G7*'Mão de Obra'!$D$12/12,1)*F7,"")</f>
        <v>69.36</v>
      </c>
      <c r="J7" s="249">
        <v>2</v>
      </c>
      <c r="K7" s="249">
        <v>2</v>
      </c>
      <c r="L7" s="249">
        <v>2</v>
      </c>
      <c r="M7" s="249">
        <v>2</v>
      </c>
      <c r="N7" s="249"/>
      <c r="O7" s="249"/>
      <c r="P7" s="249"/>
      <c r="Q7" s="249"/>
      <c r="R7" s="249"/>
      <c r="S7" s="249"/>
      <c r="T7" s="249"/>
      <c r="U7" s="249"/>
      <c r="V7" s="249"/>
      <c r="W7" s="249"/>
      <c r="X7" s="249"/>
      <c r="Y7" s="249"/>
      <c r="Z7" s="249"/>
      <c r="AA7" s="249"/>
      <c r="AB7" s="249"/>
      <c r="AC7" s="249"/>
    </row>
    <row r="8" spans="2:29">
      <c r="B8" s="249">
        <v>3</v>
      </c>
      <c r="C8" s="250"/>
      <c r="D8" s="251" t="s">
        <v>666</v>
      </c>
      <c r="E8" s="249" t="str">
        <f>IFERROR(VLOOKUP($D8,'Apoio - Uniforme e EPIs'!$A:$C,2,FALSE),"")</f>
        <v>peça</v>
      </c>
      <c r="F8" s="716">
        <f>IFERROR(VLOOKUP($D8,'Apoio - Uniforme e EPIs'!$A:$D,3,FALSE),"")</f>
        <v>82.12</v>
      </c>
      <c r="G8" s="719" t="str">
        <f>IFERROR(IF(VLOOKUP($D8,'Apoio - Uniforme e EPIs'!$A:$D,4,FALSE)=0,"",VLOOKUP($D8,'Apoio - Uniforme e EPIs'!$A:$D,4,FALSE)),"")</f>
        <v/>
      </c>
      <c r="H8" s="252">
        <f>IFERROR(IF(ISNUMBER(G8),G8*'Mão de Obra'!$D$12/12,1)*F8,"")</f>
        <v>82.12</v>
      </c>
      <c r="J8" s="249">
        <v>2</v>
      </c>
      <c r="K8" s="249">
        <v>2</v>
      </c>
      <c r="L8" s="249">
        <v>2</v>
      </c>
      <c r="M8" s="249">
        <v>2</v>
      </c>
      <c r="N8" s="249"/>
      <c r="O8" s="249"/>
      <c r="P8" s="249"/>
      <c r="Q8" s="249"/>
      <c r="R8" s="249"/>
      <c r="S8" s="249"/>
      <c r="T8" s="249"/>
      <c r="U8" s="249"/>
      <c r="V8" s="249"/>
      <c r="W8" s="249"/>
      <c r="X8" s="249"/>
      <c r="Y8" s="249"/>
      <c r="Z8" s="249"/>
      <c r="AA8" s="249"/>
      <c r="AB8" s="249"/>
      <c r="AC8" s="249"/>
    </row>
    <row r="9" spans="2:29">
      <c r="B9" s="249">
        <v>4</v>
      </c>
      <c r="C9" s="250"/>
      <c r="D9" s="251" t="s">
        <v>667</v>
      </c>
      <c r="E9" s="249" t="str">
        <f>IFERROR(VLOOKUP($D9,'Apoio - Uniforme e EPIs'!$A:$C,2,FALSE),"")</f>
        <v>peça</v>
      </c>
      <c r="F9" s="716">
        <f>IFERROR(VLOOKUP($D9,'Apoio - Uniforme e EPIs'!$A:$D,3,FALSE),"")</f>
        <v>113.35</v>
      </c>
      <c r="G9" s="719" t="str">
        <f>IFERROR(IF(VLOOKUP($D9,'Apoio - Uniforme e EPIs'!$A:$D,4,FALSE)=0,"",VLOOKUP($D9,'Apoio - Uniforme e EPIs'!$A:$D,4,FALSE)),"")</f>
        <v/>
      </c>
      <c r="H9" s="252">
        <f>IFERROR(IF(ISNUMBER(G9),G9*'Mão de Obra'!$D$12/12,1)*F9,"")</f>
        <v>113.35</v>
      </c>
      <c r="J9" s="249">
        <v>2</v>
      </c>
      <c r="K9" s="249">
        <v>2</v>
      </c>
      <c r="L9" s="249">
        <v>2</v>
      </c>
      <c r="M9" s="249">
        <v>2</v>
      </c>
      <c r="N9" s="249"/>
      <c r="O9" s="249"/>
      <c r="P9" s="249"/>
      <c r="Q9" s="249"/>
      <c r="R9" s="249"/>
      <c r="S9" s="249"/>
      <c r="T9" s="249"/>
      <c r="U9" s="249"/>
      <c r="V9" s="249"/>
      <c r="W9" s="249"/>
      <c r="X9" s="249"/>
      <c r="Y9" s="249"/>
      <c r="Z9" s="249"/>
      <c r="AA9" s="249"/>
      <c r="AB9" s="249"/>
      <c r="AC9" s="249"/>
    </row>
    <row r="10" spans="2:29">
      <c r="B10" s="249">
        <v>5</v>
      </c>
      <c r="C10" s="250"/>
      <c r="D10" s="251" t="s">
        <v>702</v>
      </c>
      <c r="E10" s="249" t="str">
        <f>IFERROR(VLOOKUP($D10,'Apoio - Uniforme e EPIs'!$A:$C,2,FALSE),"")</f>
        <v>par</v>
      </c>
      <c r="F10" s="716">
        <f>IFERROR(VLOOKUP($D10,'Apoio - Uniforme e EPIs'!$A:$D,3,FALSE),"")</f>
        <v>51.68</v>
      </c>
      <c r="G10" s="719" t="str">
        <f>IFERROR(IF(VLOOKUP($D10,'Apoio - Uniforme e EPIs'!$A:$D,4,FALSE)=0,"",VLOOKUP($D10,'Apoio - Uniforme e EPIs'!$A:$D,4,FALSE)),"")</f>
        <v/>
      </c>
      <c r="H10" s="252">
        <f>IFERROR(IF(ISNUMBER(G10),G10*'Mão de Obra'!$D$12/12,1)*F10,"")</f>
        <v>51.68</v>
      </c>
      <c r="J10" s="249">
        <v>2</v>
      </c>
      <c r="K10" s="249">
        <v>2</v>
      </c>
      <c r="L10" s="249">
        <v>2</v>
      </c>
      <c r="M10" s="249">
        <v>2</v>
      </c>
      <c r="N10" s="249"/>
      <c r="O10" s="249"/>
      <c r="P10" s="249"/>
      <c r="Q10" s="249"/>
      <c r="R10" s="249"/>
      <c r="S10" s="249"/>
      <c r="T10" s="249"/>
      <c r="U10" s="249"/>
      <c r="V10" s="249"/>
      <c r="W10" s="249"/>
      <c r="X10" s="249"/>
      <c r="Y10" s="249"/>
      <c r="Z10" s="249"/>
      <c r="AA10" s="249"/>
      <c r="AB10" s="249"/>
      <c r="AC10" s="249"/>
    </row>
    <row r="11" spans="2:29">
      <c r="B11" s="249">
        <v>6</v>
      </c>
      <c r="C11" s="250"/>
      <c r="D11" s="251" t="s">
        <v>693</v>
      </c>
      <c r="E11" s="249" t="str">
        <f>IFERROR(VLOOKUP($D11,'Apoio - Uniforme e EPIs'!$A:$C,2,FALSE),"")</f>
        <v>peça</v>
      </c>
      <c r="F11" s="716">
        <f>IFERROR(VLOOKUP($D11,'Apoio - Uniforme e EPIs'!$A:$D,3,FALSE),"")</f>
        <v>50.86</v>
      </c>
      <c r="G11" s="719" t="str">
        <f>IFERROR(IF(VLOOKUP($D11,'Apoio - Uniforme e EPIs'!$A:$D,4,FALSE)=0,"",VLOOKUP($D11,'Apoio - Uniforme e EPIs'!$A:$D,4,FALSE)),"")</f>
        <v/>
      </c>
      <c r="H11" s="252">
        <f>IFERROR(IF(ISNUMBER(G11),G11*'Mão de Obra'!$D$12/12,1)*F11,"")</f>
        <v>50.86</v>
      </c>
      <c r="J11" s="249">
        <v>1</v>
      </c>
      <c r="K11" s="249">
        <v>1</v>
      </c>
      <c r="L11" s="249">
        <v>1</v>
      </c>
      <c r="M11" s="249">
        <v>1</v>
      </c>
      <c r="N11" s="249"/>
      <c r="O11" s="249"/>
      <c r="P11" s="249"/>
      <c r="Q11" s="249"/>
      <c r="R11" s="249"/>
      <c r="S11" s="249"/>
      <c r="T11" s="249"/>
      <c r="U11" s="249"/>
      <c r="V11" s="249"/>
      <c r="W11" s="249"/>
      <c r="X11" s="249"/>
      <c r="Y11" s="249"/>
      <c r="Z11" s="249"/>
      <c r="AA11" s="249"/>
      <c r="AB11" s="249"/>
      <c r="AC11" s="249"/>
    </row>
    <row r="12" spans="2:29">
      <c r="B12" s="249">
        <v>7</v>
      </c>
      <c r="C12" s="250"/>
      <c r="D12" s="251" t="s">
        <v>732</v>
      </c>
      <c r="E12" s="249" t="str">
        <f>IFERROR(VLOOKUP($D12,'Apoio - Uniforme e EPIs'!$A:$C,2,FALSE),"")</f>
        <v>peça</v>
      </c>
      <c r="F12" s="716">
        <f>IFERROR(VLOOKUP($D12,'Apoio - Uniforme e EPIs'!$A:$D,3,FALSE),"")</f>
        <v>3.57</v>
      </c>
      <c r="G12" s="719" t="str">
        <f>IFERROR(IF(VLOOKUP($D12,'Apoio - Uniforme e EPIs'!$A:$D,4,FALSE)=0,"",VLOOKUP($D12,'Apoio - Uniforme e EPIs'!$A:$D,4,FALSE)),"")</f>
        <v/>
      </c>
      <c r="H12" s="252">
        <f>IFERROR(IF(ISNUMBER(G12),G12*'Mão de Obra'!$D$12/12,1)*F12,"")</f>
        <v>3.57</v>
      </c>
      <c r="J12" s="249">
        <v>1</v>
      </c>
      <c r="K12" s="249">
        <v>1</v>
      </c>
      <c r="L12" s="249">
        <v>1</v>
      </c>
      <c r="M12" s="249">
        <v>1</v>
      </c>
      <c r="N12" s="249"/>
      <c r="O12" s="249"/>
      <c r="P12" s="249"/>
      <c r="Q12" s="249"/>
      <c r="R12" s="249"/>
      <c r="S12" s="249"/>
      <c r="T12" s="249"/>
      <c r="U12" s="249"/>
      <c r="V12" s="249"/>
      <c r="W12" s="249"/>
      <c r="X12" s="249"/>
      <c r="Y12" s="249"/>
      <c r="Z12" s="249"/>
      <c r="AA12" s="249"/>
      <c r="AB12" s="249"/>
      <c r="AC12" s="249"/>
    </row>
    <row r="13" spans="2:29">
      <c r="B13" s="249">
        <v>8</v>
      </c>
      <c r="C13" s="250"/>
      <c r="D13" s="251" t="s">
        <v>708</v>
      </c>
      <c r="E13" s="249" t="str">
        <f>IFERROR(VLOOKUP($D13,'Apoio - Uniforme e EPIs'!$A:$C,2,FALSE),"")</f>
        <v>peça</v>
      </c>
      <c r="F13" s="716">
        <f>IFERROR(VLOOKUP($D13,'Apoio - Uniforme e EPIs'!$A:$D,3,FALSE),"")</f>
        <v>149.16</v>
      </c>
      <c r="G13" s="719" t="str">
        <f>IFERROR(IF(VLOOKUP($D13,'Apoio - Uniforme e EPIs'!$A:$D,4,FALSE)=0,"",VLOOKUP($D13,'Apoio - Uniforme e EPIs'!$A:$D,4,FALSE)),"")</f>
        <v/>
      </c>
      <c r="H13" s="252">
        <f>IFERROR(IF(ISNUMBER(G13),G13*'Mão de Obra'!$D$12/12,1)*F13,"")</f>
        <v>149.16</v>
      </c>
      <c r="J13" s="249">
        <v>1</v>
      </c>
      <c r="K13" s="249">
        <v>1</v>
      </c>
      <c r="L13" s="249">
        <v>1</v>
      </c>
      <c r="M13" s="249">
        <v>1</v>
      </c>
      <c r="N13" s="249"/>
      <c r="O13" s="249"/>
      <c r="P13" s="249"/>
      <c r="Q13" s="249"/>
      <c r="R13" s="249"/>
      <c r="S13" s="249"/>
      <c r="T13" s="249"/>
      <c r="U13" s="249"/>
      <c r="V13" s="249"/>
      <c r="W13" s="249"/>
      <c r="X13" s="249"/>
      <c r="Y13" s="249"/>
      <c r="Z13" s="249"/>
      <c r="AA13" s="249"/>
      <c r="AB13" s="249"/>
      <c r="AC13" s="249"/>
    </row>
    <row r="14" spans="2:29">
      <c r="B14" s="249">
        <v>9</v>
      </c>
      <c r="C14" s="250"/>
      <c r="D14" s="251" t="s">
        <v>710</v>
      </c>
      <c r="E14" s="249" t="str">
        <f>IFERROR(VLOOKUP($D14,'Apoio - Uniforme e EPIs'!$A:$C,2,FALSE),"")</f>
        <v>par</v>
      </c>
      <c r="F14" s="716">
        <f>IFERROR(VLOOKUP($D14,'Apoio - Uniforme e EPIs'!$A:$D,3,FALSE),"")</f>
        <v>10.79</v>
      </c>
      <c r="G14" s="719" t="str">
        <f>IFERROR(IF(VLOOKUP($D14,'Apoio - Uniforme e EPIs'!$A:$D,4,FALSE)=0,"",VLOOKUP($D14,'Apoio - Uniforme e EPIs'!$A:$D,4,FALSE)),"")</f>
        <v/>
      </c>
      <c r="H14" s="252">
        <f>IFERROR(IF(ISNUMBER(G14),G14*'Mão de Obra'!$D$12/12,1)*F14,"")</f>
        <v>10.79</v>
      </c>
      <c r="J14" s="249">
        <v>4</v>
      </c>
      <c r="K14" s="249">
        <v>4</v>
      </c>
      <c r="L14" s="249">
        <v>4</v>
      </c>
      <c r="M14" s="249">
        <v>4</v>
      </c>
      <c r="N14" s="249"/>
      <c r="O14" s="249"/>
      <c r="P14" s="249"/>
      <c r="Q14" s="249"/>
      <c r="R14" s="249"/>
      <c r="S14" s="249"/>
      <c r="T14" s="249"/>
      <c r="U14" s="249"/>
      <c r="V14" s="249"/>
      <c r="W14" s="249"/>
      <c r="X14" s="249"/>
      <c r="Y14" s="249"/>
      <c r="Z14" s="249"/>
      <c r="AA14" s="249"/>
      <c r="AB14" s="249"/>
      <c r="AC14" s="249"/>
    </row>
    <row r="15" spans="2:29">
      <c r="B15" s="249">
        <v>10</v>
      </c>
      <c r="C15" s="250"/>
      <c r="D15" s="251" t="s">
        <v>745</v>
      </c>
      <c r="E15" s="249" t="s">
        <v>695</v>
      </c>
      <c r="F15" s="716">
        <v>20.14</v>
      </c>
      <c r="G15" s="719" t="str">
        <f>IFERROR(IF(VLOOKUP($D15,'Apoio - Uniforme e EPIs'!$A:$D,4,FALSE)=0,"",VLOOKUP($D15,'Apoio - Uniforme e EPIs'!$A:$D,4,FALSE)),"")</f>
        <v/>
      </c>
      <c r="H15" s="252">
        <f>IFERROR(IF(ISNUMBER(G15),G15*'Mão de Obra'!$D$12/12,1)*F15,"")</f>
        <v>20.14</v>
      </c>
      <c r="J15" s="249">
        <v>2</v>
      </c>
      <c r="K15" s="249">
        <v>2</v>
      </c>
      <c r="L15" s="249">
        <v>2</v>
      </c>
      <c r="M15" s="249">
        <v>2</v>
      </c>
      <c r="N15" s="249"/>
      <c r="O15" s="249"/>
      <c r="P15" s="249"/>
      <c r="Q15" s="249"/>
      <c r="R15" s="249"/>
      <c r="S15" s="249"/>
      <c r="T15" s="249"/>
      <c r="U15" s="249"/>
      <c r="V15" s="249"/>
      <c r="W15" s="249"/>
      <c r="X15" s="249"/>
      <c r="Y15" s="249"/>
      <c r="Z15" s="249"/>
      <c r="AA15" s="249"/>
      <c r="AB15" s="249"/>
      <c r="AC15" s="249"/>
    </row>
    <row r="16" spans="2:29">
      <c r="B16" s="249">
        <v>11</v>
      </c>
      <c r="C16" s="250"/>
      <c r="D16" s="251" t="s">
        <v>749</v>
      </c>
      <c r="E16" s="249" t="s">
        <v>695</v>
      </c>
      <c r="F16" s="716">
        <v>170.21</v>
      </c>
      <c r="G16" s="719" t="str">
        <f>IFERROR(IF(VLOOKUP($D16,'Apoio - Uniforme e EPIs'!$A:$D,4,FALSE)=0,"",VLOOKUP($D16,'Apoio - Uniforme e EPIs'!$A:$D,4,FALSE)),"")</f>
        <v/>
      </c>
      <c r="H16" s="252">
        <f>IFERROR(IF(ISNUMBER(G16),G16*'Mão de Obra'!$D$12/12,1)*F16,"")</f>
        <v>170.21</v>
      </c>
      <c r="J16" s="249">
        <v>1</v>
      </c>
      <c r="K16" s="249">
        <v>1</v>
      </c>
      <c r="L16" s="249">
        <v>1</v>
      </c>
      <c r="M16" s="249">
        <v>1</v>
      </c>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6" t="str">
        <f>IFERROR(VLOOKUP($D17,'Apoio - Uniforme e EPIs'!$A:$D,3,FALSE),"")</f>
        <v/>
      </c>
      <c r="G17" s="719"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6" t="str">
        <f>IFERROR(VLOOKUP($D18,'Apoio - Uniforme e EPIs'!$A:$D,3,FALSE),"")</f>
        <v/>
      </c>
      <c r="G18" s="719"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F15" sqref="F15"/>
    </sheetView>
  </sheetViews>
  <sheetFormatPr defaultRowHeight="15"/>
  <cols>
    <col min="1" max="1" width="1.85546875" customWidth="1"/>
    <col min="2" max="2" width="7.7109375" customWidth="1"/>
    <col min="3" max="3" width="10.42578125" style="12" customWidth="1"/>
    <col min="4" max="4" width="55.140625" customWidth="1"/>
    <col min="5" max="6" width="14.28515625" customWidth="1"/>
    <col min="7" max="7" width="14.28515625" style="41" customWidth="1"/>
    <col min="8" max="8" width="14.85546875" style="42" customWidth="1"/>
    <col min="9" max="9" width="15.42578125" style="41" customWidth="1"/>
    <col min="10" max="10" width="13.28515625" style="41" hidden="1" customWidth="1"/>
    <col min="11" max="13" width="16" customWidth="1"/>
  </cols>
  <sheetData>
    <row r="1" spans="2:10" ht="9" customHeight="1">
      <c r="H1"/>
    </row>
    <row r="2" spans="2:10">
      <c r="B2" s="817" t="s">
        <v>484</v>
      </c>
      <c r="C2" s="818"/>
      <c r="D2" s="818"/>
      <c r="E2" s="818"/>
      <c r="F2" s="818"/>
      <c r="G2" s="818"/>
      <c r="H2" s="818"/>
      <c r="I2" s="818"/>
      <c r="J2" s="819"/>
    </row>
    <row r="3" spans="2:10" ht="45">
      <c r="B3" s="253" t="s">
        <v>184</v>
      </c>
      <c r="C3" s="253" t="s">
        <v>40</v>
      </c>
      <c r="D3" s="253" t="s">
        <v>493</v>
      </c>
      <c r="E3" s="405" t="s">
        <v>492</v>
      </c>
      <c r="F3" s="253" t="s">
        <v>310</v>
      </c>
      <c r="G3" s="405" t="s">
        <v>41</v>
      </c>
      <c r="H3" s="641" t="s">
        <v>485</v>
      </c>
      <c r="I3" s="254" t="s">
        <v>494</v>
      </c>
      <c r="J3" s="254" t="s">
        <v>734</v>
      </c>
    </row>
    <row r="4" spans="2:10">
      <c r="C4"/>
      <c r="G4"/>
      <c r="I4" s="298">
        <f>SUM(I5:I251)</f>
        <v>531.40913333333333</v>
      </c>
      <c r="J4" s="298">
        <f>SUM(J5:J251)</f>
        <v>6358.7096000000001</v>
      </c>
    </row>
    <row r="5" spans="2:10" ht="3.75" customHeight="1">
      <c r="C5"/>
      <c r="G5"/>
      <c r="I5" s="773"/>
      <c r="J5" s="773"/>
    </row>
    <row r="6" spans="2:10">
      <c r="B6" s="250">
        <v>1</v>
      </c>
      <c r="C6" s="250"/>
      <c r="D6" s="251" t="s">
        <v>715</v>
      </c>
      <c r="E6" s="250" t="str">
        <f>IFERROR(VLOOKUP($D6,'Apoio - Mat Coletivo e Equip'!$A:$D,2,FALSE),"")</f>
        <v>Peça</v>
      </c>
      <c r="F6" s="250">
        <v>1</v>
      </c>
      <c r="G6" s="743">
        <f>IFERROR(VLOOKUP($D6,'Apoio - Mat Coletivo e Equip'!$A:$D,3,FALSE),"")</f>
        <v>20.239999999999998</v>
      </c>
      <c r="H6" s="742" t="str">
        <f>IFERROR(IF(VLOOKUP($D6,'Apoio - Mat Coletivo e Equip'!$A:$D,4,FALSE)=0,"",VLOOKUP($D6,'Apoio - Mat Coletivo e Equip'!$A:$D,4,FALSE)),"")</f>
        <v/>
      </c>
      <c r="I6" s="774">
        <f>IFERROR(ROUND((IF(ISNUMBER(H6),H6*'Mão de Obra'!$D$12/12,1)*G6*F6)/'Mão de Obra'!$D$12,2),"")</f>
        <v>1.69</v>
      </c>
      <c r="J6" s="774">
        <f>ROUND(I6*(1+
SUM(
IFERROR(SUMPRODUCT('Mão de Obra'!E171:II171,'Mão de Obra'!$E$29:$II$29),0),
IFERROR(SUMPRODUCT(Produtividade!E169:II169,Produtividade!$E$29:$II$29),0),
IFERROR(SUMPRODUCT(Veículos!E81:II81,Veículos!$E$4:$II$4),0)
)
/
Proposta!J62),2)</f>
        <v>2.08</v>
      </c>
    </row>
    <row r="7" spans="2:10">
      <c r="B7" s="250">
        <v>2</v>
      </c>
      <c r="C7" s="250"/>
      <c r="D7" s="251" t="s">
        <v>692</v>
      </c>
      <c r="E7" s="250" t="str">
        <f>IFERROR(VLOOKUP($D7,'Apoio - Mat Coletivo e Equip'!$A:$D,2,FALSE),"")</f>
        <v>Peça</v>
      </c>
      <c r="F7" s="449">
        <v>2</v>
      </c>
      <c r="G7" s="743">
        <f>IFERROR(VLOOKUP($D7,'Apoio - Mat Coletivo e Equip'!$A:$D,3,FALSE),"")</f>
        <v>976.94</v>
      </c>
      <c r="H7" s="742"/>
      <c r="I7" s="774">
        <f>IFERROR(J7/'Mão de Obra'!$D$12,"")</f>
        <v>162.82333333333335</v>
      </c>
      <c r="J7" s="774">
        <f>IFERROR(IF(ISNUMBER(H7),H7*'Mão de Obra'!$D$12/12,1)*G7*F7,"")</f>
        <v>1953.88</v>
      </c>
    </row>
    <row r="8" spans="2:10">
      <c r="B8" s="250">
        <v>3</v>
      </c>
      <c r="C8" s="250"/>
      <c r="D8" s="251" t="s">
        <v>746</v>
      </c>
      <c r="E8" s="250" t="s">
        <v>684</v>
      </c>
      <c r="F8" s="449">
        <v>12</v>
      </c>
      <c r="G8" s="743">
        <v>106.86</v>
      </c>
      <c r="H8" s="742" t="str">
        <f>IFERROR(IF(VLOOKUP($D8,'Apoio - Mat Coletivo e Equip'!$A:$D,4,FALSE)=0,"",VLOOKUP($D8,'Apoio - Mat Coletivo e Equip'!$A:$D,4,FALSE)),"")</f>
        <v/>
      </c>
      <c r="I8" s="774">
        <f>IFERROR(J8/'Mão de Obra'!$D$12,"")</f>
        <v>106.86</v>
      </c>
      <c r="J8" s="774">
        <f>IFERROR(IF(ISNUMBER(H8),H8*'Mão de Obra'!$D$12/12,1)*G8*F8,"")</f>
        <v>1282.32</v>
      </c>
    </row>
    <row r="9" spans="2:10">
      <c r="B9" s="250">
        <v>4</v>
      </c>
      <c r="C9" s="250"/>
      <c r="D9" s="251" t="s">
        <v>689</v>
      </c>
      <c r="E9" s="250" t="str">
        <f>IFERROR(VLOOKUP($D9,'Apoio - Mat Coletivo e Equip'!$A:$D,2,FALSE),"")</f>
        <v>Peça</v>
      </c>
      <c r="F9" s="449">
        <v>12</v>
      </c>
      <c r="G9" s="743">
        <f>IFERROR(VLOOKUP($D9,'Apoio - Mat Coletivo e Equip'!$A:$D,3,FALSE),"")</f>
        <v>76.92</v>
      </c>
      <c r="H9" s="742" t="str">
        <f>IFERROR(IF(VLOOKUP($D9,'Apoio - Mat Coletivo e Equip'!$A:$D,4,FALSE)=0,"",VLOOKUP($D9,'Apoio - Mat Coletivo e Equip'!$A:$D,4,FALSE)),"")</f>
        <v/>
      </c>
      <c r="I9" s="774">
        <f>IFERROR(J9/'Mão de Obra'!$D$12,"")</f>
        <v>76.92</v>
      </c>
      <c r="J9" s="774">
        <f>IFERROR(IF(ISNUMBER(H9),H9*'Mão de Obra'!$D$12/12,1)*G9*F9,"")</f>
        <v>923.04</v>
      </c>
    </row>
    <row r="10" spans="2:10">
      <c r="B10" s="250">
        <v>5</v>
      </c>
      <c r="C10" s="250"/>
      <c r="D10" s="251" t="s">
        <v>747</v>
      </c>
      <c r="E10" s="250" t="s">
        <v>684</v>
      </c>
      <c r="F10" s="449">
        <v>12</v>
      </c>
      <c r="G10" s="743">
        <v>0.80330000000000001</v>
      </c>
      <c r="H10" s="742" t="str">
        <f>IFERROR(IF(VLOOKUP($D10,'Apoio - Mat Coletivo e Equip'!$A:$D,4,FALSE)=0,"",VLOOKUP($D10,'Apoio - Mat Coletivo e Equip'!$A:$D,4,FALSE)),"")</f>
        <v/>
      </c>
      <c r="I10" s="774">
        <f>IFERROR(J10/'Mão de Obra'!$D$12,"")</f>
        <v>0.80330000000000001</v>
      </c>
      <c r="J10" s="774">
        <f>IFERROR(IF(ISNUMBER(H10),H10*'Mão de Obra'!$D$12/12,1)*G10*F10,"")</f>
        <v>9.6395999999999997</v>
      </c>
    </row>
    <row r="11" spans="2:10">
      <c r="B11" s="250">
        <v>6</v>
      </c>
      <c r="C11" s="250"/>
      <c r="D11" s="251" t="s">
        <v>686</v>
      </c>
      <c r="E11" s="250" t="str">
        <f>IFERROR(VLOOKUP($D11,'Apoio - Mat Coletivo e Equip'!$A:$D,2,FALSE),"")</f>
        <v>Conjunto</v>
      </c>
      <c r="F11" s="449">
        <v>12</v>
      </c>
      <c r="G11" s="743">
        <f>IFERROR(VLOOKUP($D11,'Apoio - Mat Coletivo e Equip'!$A:$D,3,FALSE),"")</f>
        <v>101.78</v>
      </c>
      <c r="H11" s="742"/>
      <c r="I11" s="774">
        <f>IFERROR(J11/'Mão de Obra'!$D$12,"")</f>
        <v>101.78000000000002</v>
      </c>
      <c r="J11" s="774">
        <f>IFERROR(IF(ISNUMBER(H11),H11*'Mão de Obra'!$D$12/12,1)*G11*F11,"")</f>
        <v>1221.3600000000001</v>
      </c>
    </row>
    <row r="12" spans="2:10">
      <c r="B12" s="250">
        <v>7</v>
      </c>
      <c r="C12" s="250"/>
      <c r="D12" s="251" t="s">
        <v>691</v>
      </c>
      <c r="E12" s="250" t="str">
        <f>IFERROR(VLOOKUP($D12,'Apoio - Mat Coletivo e Equip'!$A:$D,2,FALSE),"")</f>
        <v>mês</v>
      </c>
      <c r="F12" s="449">
        <v>2</v>
      </c>
      <c r="G12" s="743">
        <f>IFERROR(VLOOKUP($D12,'Apoio - Mat Coletivo e Equip'!$A:$D,3,FALSE),"")</f>
        <v>67.63</v>
      </c>
      <c r="H12" s="742" t="str">
        <f>IFERROR(IF(VLOOKUP($D12,'Apoio - Mat Coletivo e Equip'!$A:$D,4,FALSE)=0,"",VLOOKUP($D12,'Apoio - Mat Coletivo e Equip'!$A:$D,4,FALSE)),"")</f>
        <v/>
      </c>
      <c r="I12" s="774">
        <f>IFERROR(J12/'Mão de Obra'!$D$12,"")</f>
        <v>11.271666666666667</v>
      </c>
      <c r="J12" s="774">
        <f>IFERROR(IF(ISNUMBER(H12),H12*'Mão de Obra'!$D$12/12,1)*G12*F12,"")</f>
        <v>135.26</v>
      </c>
    </row>
    <row r="13" spans="2:10">
      <c r="B13" s="250">
        <v>8</v>
      </c>
      <c r="C13" s="250"/>
      <c r="D13" s="251" t="s">
        <v>748</v>
      </c>
      <c r="E13" s="250" t="s">
        <v>684</v>
      </c>
      <c r="F13" s="449">
        <v>1</v>
      </c>
      <c r="G13" s="743">
        <v>15.73</v>
      </c>
      <c r="H13" s="742" t="str">
        <f>IFERROR(IF(VLOOKUP($D13,'Apoio - Mat Coletivo e Equip'!$A:$D,4,FALSE)=0,"",VLOOKUP($D13,'Apoio - Mat Coletivo e Equip'!$A:$D,4,FALSE)),"")</f>
        <v/>
      </c>
      <c r="I13" s="774">
        <f>IFERROR(J13/'Mão de Obra'!$D$12,"")</f>
        <v>1.3108333333333333</v>
      </c>
      <c r="J13" s="774">
        <f>IFERROR(IF(ISNUMBER(H13),H13*'Mão de Obra'!$D$12/12,1)*G13*F13,"")</f>
        <v>15.73</v>
      </c>
    </row>
    <row r="14" spans="2:10">
      <c r="B14" s="250">
        <v>9</v>
      </c>
      <c r="C14" s="250"/>
      <c r="D14" s="251" t="s">
        <v>750</v>
      </c>
      <c r="E14" s="250" t="s">
        <v>684</v>
      </c>
      <c r="F14" s="449">
        <v>12</v>
      </c>
      <c r="G14" s="743">
        <v>67.95</v>
      </c>
      <c r="H14" s="742" t="str">
        <f>IFERROR(IF(VLOOKUP($D14,'Apoio - Mat Coletivo e Equip'!$A:$D,4,FALSE)=0,"",VLOOKUP($D14,'Apoio - Mat Coletivo e Equip'!$A:$D,4,FALSE)),"")</f>
        <v/>
      </c>
      <c r="I14" s="774">
        <f>IFERROR(J14/'Mão de Obra'!$D$12,"")</f>
        <v>67.95</v>
      </c>
      <c r="J14" s="774">
        <f>IFERROR(IF(ISNUMBER(H14),H14*'Mão de Obra'!$D$12/12,1)*G14*F14,"")</f>
        <v>815.40000000000009</v>
      </c>
    </row>
    <row r="15" spans="2:10">
      <c r="B15" s="250">
        <v>10</v>
      </c>
      <c r="C15" s="250"/>
      <c r="D15" s="251"/>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4" t="str">
        <f>IFERROR(J15/'Mão de Obra'!$D$12,"")</f>
        <v/>
      </c>
      <c r="J15" s="774" t="str">
        <f>IFERROR(IF(ISNUMBER(H15),H15*'Mão de Obra'!$D$12/12,1)*G15*F15,"")</f>
        <v/>
      </c>
    </row>
    <row r="16" spans="2:10">
      <c r="B16" s="250">
        <v>11</v>
      </c>
      <c r="C16" s="250"/>
      <c r="D16" s="251"/>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4" t="str">
        <f>IFERROR(J16/'Mão de Obra'!$D$12,"")</f>
        <v/>
      </c>
      <c r="J16" s="774" t="str">
        <f>IFERROR(IF(ISNUMBER(H16),H16*'Mão de Obra'!$D$12/12,1)*G16*F16,"")</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4" t="str">
        <f>IFERROR(J17/'Mão de Obra'!$D$12,"")</f>
        <v/>
      </c>
      <c r="J17" s="774" t="str">
        <f>IFERROR(IF(ISNUMBER(H17),H17*'Mão de Obra'!$D$12/12,1)*G17*F17,"")</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4" t="str">
        <f>IFERROR(J18/'Mão de Obra'!$D$12,"")</f>
        <v/>
      </c>
      <c r="J18" s="774" t="str">
        <f>IFERROR(IF(ISNUMBER(H18),H18*'Mão de Obra'!$D$12/12,1)*G18*F18,"")</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4" t="str">
        <f>IFERROR(J19/'Mão de Obra'!$D$12,"")</f>
        <v/>
      </c>
      <c r="J19" s="774" t="str">
        <f>IFERROR(IF(ISNUMBER(H19),H19*'Mão de Obra'!$D$12/12,1)*G19*F19,"")</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4" t="str">
        <f>IFERROR(J20/'Mão de Obra'!$D$12,"")</f>
        <v/>
      </c>
      <c r="J20" s="774" t="str">
        <f>IFERROR(IF(ISNUMBER(H20),H20*'Mão de Obra'!$D$12/12,1)*G20*F20,"")</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4" t="str">
        <f>IFERROR(J21/'Mão de Obra'!$D$12,"")</f>
        <v/>
      </c>
      <c r="J21" s="774" t="str">
        <f>IFERROR(IF(ISNUMBER(H21),H21*'Mão de Obra'!$D$12/12,1)*G21*F21,"")</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IFERROR(J22/'Mão de Obra'!$D$12,"")</f>
        <v/>
      </c>
      <c r="J22" s="774" t="str">
        <f>IFERROR(IF(ISNUMBER(H22),H22*'Mão de Obra'!$D$12/12,1)*G22*F22,"")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IFERROR(J23/'Mão de Obra'!$D$12,"")</f>
        <v/>
      </c>
      <c r="J23" s="774" t="str">
        <f>IFERROR(IF(ISNUMBER(H23),H23*'Mão de Obra'!$D$12/12,1)*G23*F23,"")</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IFERROR(J24/'Mão de Obra'!$D$12,"")</f>
        <v/>
      </c>
      <c r="J24" s="774" t="str">
        <f>IFERROR(IF(ISNUMBER(H24),H24*'Mão de Obra'!$D$12/12,1)*G24*F24,"")</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IFERROR(J25/'Mão de Obra'!$D$12,"")</f>
        <v/>
      </c>
      <c r="J25" s="774" t="str">
        <f>IFERROR(IF(ISNUMBER(H25),H25*'Mão de Obra'!$D$12/12,1)*G25*F25,"")</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IFERROR(J26/'Mão de Obra'!$D$12,"")</f>
        <v/>
      </c>
      <c r="J26" s="774" t="str">
        <f>IFERROR(IF(ISNUMBER(H26),H26*'Mão de Obra'!$D$12/12,1)*G26*F26,"")</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IFERROR(J27/'Mão de Obra'!$D$12,"")</f>
        <v/>
      </c>
      <c r="J27" s="774" t="str">
        <f>IFERROR(IF(ISNUMBER(H27),H27*'Mão de Obra'!$D$12/12,1)*G27*F27,"")</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IFERROR(J28/'Mão de Obra'!$D$12,"")</f>
        <v/>
      </c>
      <c r="J28" s="774" t="str">
        <f>IFERROR(IF(ISNUMBER(H28),H28*'Mão de Obra'!$D$12/12,1)*G28*F28,"")</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IFERROR(J29/'Mão de Obra'!$D$12,"")</f>
        <v/>
      </c>
      <c r="J29" s="774" t="str">
        <f>IFERROR(IF(ISNUMBER(H29),H29*'Mão de Obra'!$D$12/12,1)*G29*F29,"")</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IFERROR(J30/'Mão de Obra'!$D$12,"")</f>
        <v/>
      </c>
      <c r="J30" s="774" t="str">
        <f>IFERROR(IF(ISNUMBER(H30),H30*'Mão de Obra'!$D$12/12,1)*G30*F30,"")</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IFERROR(J31/'Mão de Obra'!$D$12,"")</f>
        <v/>
      </c>
      <c r="J31" s="774" t="str">
        <f>IFERROR(IF(ISNUMBER(H31),H31*'Mão de Obra'!$D$12/12,1)*G31*F31,"")</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IFERROR(J32/'Mão de Obra'!$D$12,"")</f>
        <v/>
      </c>
      <c r="J32" s="774" t="str">
        <f>IFERROR(IF(ISNUMBER(H32),H32*'Mão de Obra'!$D$12/12,1)*G32*F32,"")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IFERROR(J33/'Mão de Obra'!$D$12,"")</f>
        <v/>
      </c>
      <c r="J33" s="774" t="str">
        <f>IFERROR(IF(ISNUMBER(H33),H33*'Mão de Obra'!$D$12/12,1)*G33*F33,"")</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IFERROR(J34/'Mão de Obra'!$D$12,"")</f>
        <v/>
      </c>
      <c r="J34" s="774" t="str">
        <f>IFERROR(IF(ISNUMBER(H34),H34*'Mão de Obra'!$D$12/12,1)*G34*F34,"")</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IFERROR(J35/'Mão de Obra'!$D$12,"")</f>
        <v/>
      </c>
      <c r="J35" s="774" t="str">
        <f>IFERROR(IF(ISNUMBER(H35),H35*'Mão de Obra'!$D$12/12,1)*G35*F35,"")</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IFERROR(J36/'Mão de Obra'!$D$12,"")</f>
        <v/>
      </c>
      <c r="J36" s="774" t="str">
        <f>IFERROR(IF(ISNUMBER(H36),H36*'Mão de Obra'!$D$12/12,1)*G36*F36,"")</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IFERROR(J37/'Mão de Obra'!$D$12,"")</f>
        <v/>
      </c>
      <c r="J37" s="774" t="str">
        <f>IFERROR(IF(ISNUMBER(H37),H37*'Mão de Obra'!$D$12/12,1)*G37*F37,"")</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IFERROR(J38/'Mão de Obra'!$D$12,"")</f>
        <v/>
      </c>
      <c r="J38" s="774" t="str">
        <f>IFERROR(IF(ISNUMBER(H38),H38*'Mão de Obra'!$D$12/12,1)*G38*F38,"")</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IFERROR(J39/'Mão de Obra'!$D$12,"")</f>
        <v/>
      </c>
      <c r="J39" s="774" t="str">
        <f>IFERROR(IF(ISNUMBER(H39),H39*'Mão de Obra'!$D$12/12,1)*G39*F39,"")</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IFERROR(J40/'Mão de Obra'!$D$12,"")</f>
        <v/>
      </c>
      <c r="J40" s="774" t="str">
        <f>IFERROR(IF(ISNUMBER(H40),H40*'Mão de Obra'!$D$12/12,1)*G40*F40,"")</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IFERROR(J41/'Mão de Obra'!$D$12,"")</f>
        <v/>
      </c>
      <c r="J41" s="774" t="str">
        <f>IFERROR(IF(ISNUMBER(H41),H41*'Mão de Obra'!$D$12/12,1)*G41*F41,"")</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IFERROR(J42/'Mão de Obra'!$D$12,"")</f>
        <v/>
      </c>
      <c r="J42" s="774" t="str">
        <f>IFERROR(IF(ISNUMBER(H42),H42*'Mão de Obra'!$D$12/12,1)*G42*F42,"")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IFERROR(J43/'Mão de Obra'!$D$12,"")</f>
        <v/>
      </c>
      <c r="J43" s="774" t="str">
        <f>IFERROR(IF(ISNUMBER(H43),H43*'Mão de Obra'!$D$12/12,1)*G43*F43,"")</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IFERROR(J44/'Mão de Obra'!$D$12,"")</f>
        <v/>
      </c>
      <c r="J44" s="774" t="str">
        <f>IFERROR(IF(ISNUMBER(H44),H44*'Mão de Obra'!$D$12/12,1)*G44*F44,"")</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IFERROR(J45/'Mão de Obra'!$D$12,"")</f>
        <v/>
      </c>
      <c r="J45" s="774" t="str">
        <f>IFERROR(IF(ISNUMBER(H45),H45*'Mão de Obra'!$D$12/12,1)*G45*F45,"")</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IFERROR(J46/'Mão de Obra'!$D$12,"")</f>
        <v/>
      </c>
      <c r="J46" s="774" t="str">
        <f>IFERROR(IF(ISNUMBER(H46),H46*'Mão de Obra'!$D$12/12,1)*G46*F46,"")</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IFERROR(J47/'Mão de Obra'!$D$12,"")</f>
        <v/>
      </c>
      <c r="J47" s="774" t="str">
        <f>IFERROR(IF(ISNUMBER(H47),H47*'Mão de Obra'!$D$12/12,1)*G47*F47,"")</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IFERROR(J48/'Mão de Obra'!$D$12,"")</f>
        <v/>
      </c>
      <c r="J48" s="774" t="str">
        <f>IFERROR(IF(ISNUMBER(H48),H48*'Mão de Obra'!$D$12/12,1)*G48*F48,"")</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IFERROR(J49/'Mão de Obra'!$D$12,"")</f>
        <v/>
      </c>
      <c r="J49" s="774" t="str">
        <f>IFERROR(IF(ISNUMBER(H49),H49*'Mão de Obra'!$D$12/12,1)*G49*F49,"")</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IFERROR(J50/'Mão de Obra'!$D$12,"")</f>
        <v/>
      </c>
      <c r="J50" s="774" t="str">
        <f>IFERROR(IF(ISNUMBER(H50),H50*'Mão de Obra'!$D$12/12,1)*G50*F50,"")</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IFERROR(J51/'Mão de Obra'!$D$12,"")</f>
        <v/>
      </c>
      <c r="J51" s="774" t="str">
        <f>IFERROR(IF(ISNUMBER(H51),H51*'Mão de Obra'!$D$12/12,1)*G51*F51,"")</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IFERROR(J52/'Mão de Obra'!$D$12,"")</f>
        <v/>
      </c>
      <c r="J52" s="774" t="str">
        <f>IFERROR(IF(ISNUMBER(H52),H52*'Mão de Obra'!$D$12/12,1)*G52*F52,"")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IFERROR(J53/'Mão de Obra'!$D$12,"")</f>
        <v/>
      </c>
      <c r="J53" s="774" t="str">
        <f>IFERROR(IF(ISNUMBER(H53),H53*'Mão de Obra'!$D$12/12,1)*G53*F53,"")</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IFERROR(J54/'Mão de Obra'!$D$12,"")</f>
        <v/>
      </c>
      <c r="J54" s="774" t="str">
        <f>IFERROR(IF(ISNUMBER(H54),H54*'Mão de Obra'!$D$12/12,1)*G54*F54,"")</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IFERROR(J55/'Mão de Obra'!$D$12,"")</f>
        <v/>
      </c>
      <c r="J55" s="774" t="str">
        <f>IFERROR(IF(ISNUMBER(H55),H55*'Mão de Obra'!$D$12/12,1)*G55*F55,"")</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IFERROR(J56/'Mão de Obra'!$D$12,"")</f>
        <v/>
      </c>
      <c r="J56" s="774" t="str">
        <f>IFERROR(IF(ISNUMBER(H56),H56*'Mão de Obra'!$D$12/12,1)*G56*F56,"")</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IFERROR(J57/'Mão de Obra'!$D$12,"")</f>
        <v/>
      </c>
      <c r="J57" s="774" t="str">
        <f>IFERROR(IF(ISNUMBER(H57),H57*'Mão de Obra'!$D$12/12,1)*G57*F57,"")</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IFERROR(J58/'Mão de Obra'!$D$12,"")</f>
        <v/>
      </c>
      <c r="J58" s="774" t="str">
        <f>IFERROR(IF(ISNUMBER(H58),H58*'Mão de Obra'!$D$12/12,1)*G58*F58,"")</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IFERROR(J59/'Mão de Obra'!$D$12,"")</f>
        <v/>
      </c>
      <c r="J59" s="774" t="str">
        <f>IFERROR(IF(ISNUMBER(H59),H59*'Mão de Obra'!$D$12/12,1)*G59*F59,"")</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IFERROR(J60/'Mão de Obra'!$D$12,"")</f>
        <v/>
      </c>
      <c r="J60" s="774" t="str">
        <f>IFERROR(IF(ISNUMBER(H60),H60*'Mão de Obra'!$D$12/12,1)*G60*F60,"")</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IFERROR(J61/'Mão de Obra'!$D$12,"")</f>
        <v/>
      </c>
      <c r="J61" s="774" t="str">
        <f>IFERROR(IF(ISNUMBER(H61),H61*'Mão de Obra'!$D$12/12,1)*G61*F61,"")</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IFERROR(J62/'Mão de Obra'!$D$12,"")</f>
        <v/>
      </c>
      <c r="J62" s="774" t="str">
        <f>IFERROR(IF(ISNUMBER(H62),H62*'Mão de Obra'!$D$12/12,1)*G62*F62,"")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IFERROR(J63/'Mão de Obra'!$D$12,"")</f>
        <v/>
      </c>
      <c r="J63" s="774" t="str">
        <f>IFERROR(IF(ISNUMBER(H63),H63*'Mão de Obra'!$D$12/12,1)*G63*F63,"")</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IFERROR(J64/'Mão de Obra'!$D$12,"")</f>
        <v/>
      </c>
      <c r="J64" s="774" t="str">
        <f>IFERROR(IF(ISNUMBER(H64),H64*'Mão de Obra'!$D$12/12,1)*G64*F64,"")</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IFERROR(J65/'Mão de Obra'!$D$12,"")</f>
        <v/>
      </c>
      <c r="J65" s="774" t="str">
        <f>IFERROR(IF(ISNUMBER(H65),H65*'Mão de Obra'!$D$12/12,1)*G65*F65,"")</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IFERROR(J66/'Mão de Obra'!$D$12,"")</f>
        <v/>
      </c>
      <c r="J66" s="774" t="str">
        <f>IFERROR(IF(ISNUMBER(H66),H66*'Mão de Obra'!$D$12/12,1)*G66*F66,"")</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IFERROR(J67/'Mão de Obra'!$D$12,"")</f>
        <v/>
      </c>
      <c r="J67" s="774" t="str">
        <f>IFERROR(IF(ISNUMBER(H67),H67*'Mão de Obra'!$D$12/12,1)*G67*F67,"")</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IFERROR(J68/'Mão de Obra'!$D$12,"")</f>
        <v/>
      </c>
      <c r="J68" s="774" t="str">
        <f>IFERROR(IF(ISNUMBER(H68),H68*'Mão de Obra'!$D$12/12,1)*G68*F68,"")</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IFERROR(J69/'Mão de Obra'!$D$12,"")</f>
        <v/>
      </c>
      <c r="J69" s="774" t="str">
        <f>IFERROR(IF(ISNUMBER(H69),H69*'Mão de Obra'!$D$12/12,1)*G69*F69,"")</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IFERROR(J70/'Mão de Obra'!$D$12,"")</f>
        <v/>
      </c>
      <c r="J70" s="774" t="str">
        <f>IFERROR(IF(ISNUMBER(H70),H70*'Mão de Obra'!$D$12/12,1)*G70*F70,"")</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IFERROR(J71/'Mão de Obra'!$D$12,"")</f>
        <v/>
      </c>
      <c r="J71" s="774" t="str">
        <f>IFERROR(IF(ISNUMBER(H71),H71*'Mão de Obra'!$D$12/12,1)*G71*F71,"")</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IFERROR(J72/'Mão de Obra'!$D$12,"")</f>
        <v/>
      </c>
      <c r="J72" s="774" t="str">
        <f>IFERROR(IF(ISNUMBER(H72),H72*'Mão de Obra'!$D$12/12,1)*G72*F72,"")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IFERROR(J73/'Mão de Obra'!$D$12,"")</f>
        <v/>
      </c>
      <c r="J73" s="774" t="str">
        <f>IFERROR(IF(ISNUMBER(H73),H73*'Mão de Obra'!$D$12/12,1)*G73*F73,"")</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IFERROR(J74/'Mão de Obra'!$D$12,"")</f>
        <v/>
      </c>
      <c r="J74" s="774" t="str">
        <f>IFERROR(IF(ISNUMBER(H74),H74*'Mão de Obra'!$D$12/12,1)*G74*F74,"")</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IFERROR(J75/'Mão de Obra'!$D$12,"")</f>
        <v/>
      </c>
      <c r="J75" s="774" t="str">
        <f>IFERROR(IF(ISNUMBER(H75),H75*'Mão de Obra'!$D$12/12,1)*G75*F75,"")</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IFERROR(J76/'Mão de Obra'!$D$12,"")</f>
        <v/>
      </c>
      <c r="J76" s="774" t="str">
        <f>IFERROR(IF(ISNUMBER(H76),H76*'Mão de Obra'!$D$12/12,1)*G76*F76,"")</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IFERROR(J77/'Mão de Obra'!$D$12,"")</f>
        <v/>
      </c>
      <c r="J77" s="774" t="str">
        <f>IFERROR(IF(ISNUMBER(H77),H77*'Mão de Obra'!$D$12/12,1)*G77*F77,"")</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IFERROR(J78/'Mão de Obra'!$D$12,"")</f>
        <v/>
      </c>
      <c r="J78" s="774" t="str">
        <f>IFERROR(IF(ISNUMBER(H78),H78*'Mão de Obra'!$D$12/12,1)*G78*F78,"")</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IFERROR(J79/'Mão de Obra'!$D$12,"")</f>
        <v/>
      </c>
      <c r="J79" s="774" t="str">
        <f>IFERROR(IF(ISNUMBER(H79),H79*'Mão de Obra'!$D$12/12,1)*G79*F79,"")</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IFERROR(J80/'Mão de Obra'!$D$12,"")</f>
        <v/>
      </c>
      <c r="J80" s="774" t="str">
        <f>IFERROR(IF(ISNUMBER(H80),H80*'Mão de Obra'!$D$12/12,1)*G80*F80,"")</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IFERROR(J81/'Mão de Obra'!$D$12,"")</f>
        <v/>
      </c>
      <c r="J81" s="774" t="str">
        <f>IFERROR(IF(ISNUMBER(H81),H81*'Mão de Obra'!$D$12/12,1)*G81*F81,"")</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IFERROR(J82/'Mão de Obra'!$D$12,"")</f>
        <v/>
      </c>
      <c r="J82" s="774" t="str">
        <f>IFERROR(IF(ISNUMBER(H82),H82*'Mão de Obra'!$D$12/12,1)*G82*F82,"")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IFERROR(J83/'Mão de Obra'!$D$12,"")</f>
        <v/>
      </c>
      <c r="J83" s="774" t="str">
        <f>IFERROR(IF(ISNUMBER(H83),H83*'Mão de Obra'!$D$12/12,1)*G83*F83,"")</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IFERROR(J84/'Mão de Obra'!$D$12,"")</f>
        <v/>
      </c>
      <c r="J84" s="774" t="str">
        <f>IFERROR(IF(ISNUMBER(H84),H84*'Mão de Obra'!$D$12/12,1)*G84*F84,"")</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IFERROR(J85/'Mão de Obra'!$D$12,"")</f>
        <v/>
      </c>
      <c r="J85" s="774" t="str">
        <f>IFERROR(IF(ISNUMBER(H85),H85*'Mão de Obra'!$D$12/12,1)*G85*F85,"")</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IFERROR(J86/'Mão de Obra'!$D$12,"")</f>
        <v/>
      </c>
      <c r="J86" s="774" t="str">
        <f>IFERROR(IF(ISNUMBER(H86),H86*'Mão de Obra'!$D$12/12,1)*G86*F86,"")</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IFERROR(J87/'Mão de Obra'!$D$12,"")</f>
        <v/>
      </c>
      <c r="J87" s="774" t="str">
        <f>IFERROR(IF(ISNUMBER(H87),H87*'Mão de Obra'!$D$12/12,1)*G87*F87,"")</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IFERROR(J88/'Mão de Obra'!$D$12,"")</f>
        <v/>
      </c>
      <c r="J88" s="774" t="str">
        <f>IFERROR(IF(ISNUMBER(H88),H88*'Mão de Obra'!$D$12/12,1)*G88*F88,"")</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IFERROR(J89/'Mão de Obra'!$D$12,"")</f>
        <v/>
      </c>
      <c r="J89" s="774" t="str">
        <f>IFERROR(IF(ISNUMBER(H89),H89*'Mão de Obra'!$D$12/12,1)*G89*F89,"")</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IFERROR(J90/'Mão de Obra'!$D$12,"")</f>
        <v/>
      </c>
      <c r="J90" s="774" t="str">
        <f>IFERROR(IF(ISNUMBER(H90),H90*'Mão de Obra'!$D$12/12,1)*G90*F90,"")</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IFERROR(J91/'Mão de Obra'!$D$12,"")</f>
        <v/>
      </c>
      <c r="J91" s="774" t="str">
        <f>IFERROR(IF(ISNUMBER(H91),H91*'Mão de Obra'!$D$12/12,1)*G91*F91,"")</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IFERROR(J92/'Mão de Obra'!$D$12,"")</f>
        <v/>
      </c>
      <c r="J92" s="774" t="str">
        <f>IFERROR(IF(ISNUMBER(H92),H92*'Mão de Obra'!$D$12/12,1)*G92*F92,"")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IFERROR(J93/'Mão de Obra'!$D$12,"")</f>
        <v/>
      </c>
      <c r="J93" s="774" t="str">
        <f>IFERROR(IF(ISNUMBER(H93),H93*'Mão de Obra'!$D$12/12,1)*G93*F93,"")</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IFERROR(J94/'Mão de Obra'!$D$12,"")</f>
        <v/>
      </c>
      <c r="J94" s="774" t="str">
        <f>IFERROR(IF(ISNUMBER(H94),H94*'Mão de Obra'!$D$12/12,1)*G94*F94,"")</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IFERROR(J95/'Mão de Obra'!$D$12,"")</f>
        <v/>
      </c>
      <c r="J95" s="774" t="str">
        <f>IFERROR(IF(ISNUMBER(H95),H95*'Mão de Obra'!$D$12/12,1)*G95*F95,"")</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IFERROR(J96/'Mão de Obra'!$D$12,"")</f>
        <v/>
      </c>
      <c r="J96" s="774" t="str">
        <f>IFERROR(IF(ISNUMBER(H96),H96*'Mão de Obra'!$D$12/12,1)*G96*F96,"")</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IFERROR(J97/'Mão de Obra'!$D$12,"")</f>
        <v/>
      </c>
      <c r="J97" s="774" t="str">
        <f>IFERROR(IF(ISNUMBER(H97),H97*'Mão de Obra'!$D$12/12,1)*G97*F97,"")</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IFERROR(J98/'Mão de Obra'!$D$12,"")</f>
        <v/>
      </c>
      <c r="J98" s="774" t="str">
        <f>IFERROR(IF(ISNUMBER(H98),H98*'Mão de Obra'!$D$12/12,1)*G98*F98,"")</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IFERROR(J99/'Mão de Obra'!$D$12,"")</f>
        <v/>
      </c>
      <c r="J99" s="774" t="str">
        <f>IFERROR(IF(ISNUMBER(H99),H99*'Mão de Obra'!$D$12/12,1)*G99*F99,"")</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IFERROR(J100/'Mão de Obra'!$D$12,"")</f>
        <v/>
      </c>
      <c r="J100" s="774" t="str">
        <f>IFERROR(IF(ISNUMBER(H100),H100*'Mão de Obra'!$D$12/12,1)*G100*F100,"")</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IFERROR(J101/'Mão de Obra'!$D$12,"")</f>
        <v/>
      </c>
      <c r="J101" s="774" t="str">
        <f>IFERROR(IF(ISNUMBER(H101),H101*'Mão de Obra'!$D$12/12,1)*G101*F101,"")</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IFERROR(J102/'Mão de Obra'!$D$12,"")</f>
        <v/>
      </c>
      <c r="J102" s="774" t="str">
        <f>IFERROR(IF(ISNUMBER(H102),H102*'Mão de Obra'!$D$12/12,1)*G102*F102,"")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IFERROR(J103/'Mão de Obra'!$D$12,"")</f>
        <v/>
      </c>
      <c r="J103" s="774" t="str">
        <f>IFERROR(IF(ISNUMBER(H103),H103*'Mão de Obra'!$D$12/12,1)*G103*F103,"")</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IFERROR(J104/'Mão de Obra'!$D$12,"")</f>
        <v/>
      </c>
      <c r="J104" s="774" t="str">
        <f>IFERROR(IF(ISNUMBER(H104),H104*'Mão de Obra'!$D$12/12,1)*G104*F104,"")</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IFERROR(J105/'Mão de Obra'!$D$12,"")</f>
        <v/>
      </c>
      <c r="J105" s="774" t="str">
        <f>IFERROR(IF(ISNUMBER(H105),H105*'Mão de Obra'!$D$12/12,1)*G105*F105,"")</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IFERROR(J106/'Mão de Obra'!$D$12,"")</f>
        <v/>
      </c>
      <c r="J106" s="774" t="str">
        <f>IFERROR(IF(ISNUMBER(H106),H106*'Mão de Obra'!$D$12/12,1)*G106*F106,"")</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IFERROR(J107/'Mão de Obra'!$D$12,"")</f>
        <v/>
      </c>
      <c r="J107" s="774" t="str">
        <f>IFERROR(IF(ISNUMBER(H107),H107*'Mão de Obra'!$D$12/12,1)*G107*F107,"")</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IFERROR(J108/'Mão de Obra'!$D$12,"")</f>
        <v/>
      </c>
      <c r="J108" s="774" t="str">
        <f>IFERROR(IF(ISNUMBER(H108),H108*'Mão de Obra'!$D$12/12,1)*G108*F108,"")</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IFERROR(J109/'Mão de Obra'!$D$12,"")</f>
        <v/>
      </c>
      <c r="J109" s="774" t="str">
        <f>IFERROR(IF(ISNUMBER(H109),H109*'Mão de Obra'!$D$12/12,1)*G109*F109,"")</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IFERROR(J110/'Mão de Obra'!$D$12,"")</f>
        <v/>
      </c>
      <c r="J110" s="774" t="str">
        <f>IFERROR(IF(ISNUMBER(H110),H110*'Mão de Obra'!$D$12/12,1)*G110*F110,"")</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IFERROR(J111/'Mão de Obra'!$D$12,"")</f>
        <v/>
      </c>
      <c r="J111" s="774" t="str">
        <f>IFERROR(IF(ISNUMBER(H111),H111*'Mão de Obra'!$D$12/12,1)*G111*F111,"")</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IFERROR(J112/'Mão de Obra'!$D$12,"")</f>
        <v/>
      </c>
      <c r="J112" s="774" t="str">
        <f>IFERROR(IF(ISNUMBER(H112),H112*'Mão de Obra'!$D$12/12,1)*G112*F112,"")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IFERROR(J113/'Mão de Obra'!$D$12,"")</f>
        <v/>
      </c>
      <c r="J113" s="774" t="str">
        <f>IFERROR(IF(ISNUMBER(H113),H113*'Mão de Obra'!$D$12/12,1)*G113*F113,"")</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IFERROR(J114/'Mão de Obra'!$D$12,"")</f>
        <v/>
      </c>
      <c r="J114" s="774" t="str">
        <f>IFERROR(IF(ISNUMBER(H114),H114*'Mão de Obra'!$D$12/12,1)*G114*F114,"")</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IFERROR(J115/'Mão de Obra'!$D$12,"")</f>
        <v/>
      </c>
      <c r="J115" s="774" t="str">
        <f>IFERROR(IF(ISNUMBER(H115),H115*'Mão de Obra'!$D$12/12,1)*G115*F115,"")</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IFERROR(J116/'Mão de Obra'!$D$12,"")</f>
        <v/>
      </c>
      <c r="J116" s="774" t="str">
        <f>IFERROR(IF(ISNUMBER(H116),H116*'Mão de Obra'!$D$12/12,1)*G116*F116,"")</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IFERROR(J117/'Mão de Obra'!$D$12,"")</f>
        <v/>
      </c>
      <c r="J117" s="774" t="str">
        <f>IFERROR(IF(ISNUMBER(H117),H117*'Mão de Obra'!$D$12/12,1)*G117*F117,"")</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IFERROR(J118/'Mão de Obra'!$D$12,"")</f>
        <v/>
      </c>
      <c r="J118" s="774" t="str">
        <f>IFERROR(IF(ISNUMBER(H118),H118*'Mão de Obra'!$D$12/12,1)*G118*F118,"")</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IFERROR(J119/'Mão de Obra'!$D$12,"")</f>
        <v/>
      </c>
      <c r="J119" s="774" t="str">
        <f>IFERROR(IF(ISNUMBER(H119),H119*'Mão de Obra'!$D$12/12,1)*G119*F119,"")</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IFERROR(J120/'Mão de Obra'!$D$12,"")</f>
        <v/>
      </c>
      <c r="J120" s="774" t="str">
        <f>IFERROR(IF(ISNUMBER(H120),H120*'Mão de Obra'!$D$12/12,1)*G120*F120,"")</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IFERROR(J121/'Mão de Obra'!$D$12,"")</f>
        <v/>
      </c>
      <c r="J121" s="774" t="str">
        <f>IFERROR(IF(ISNUMBER(H121),H121*'Mão de Obra'!$D$12/12,1)*G121*F121,"")</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IFERROR(J122/'Mão de Obra'!$D$12,"")</f>
        <v/>
      </c>
      <c r="J122" s="774" t="str">
        <f>IFERROR(IF(ISNUMBER(H122),H122*'Mão de Obra'!$D$12/12,1)*G122*F122,"")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IFERROR(J123/'Mão de Obra'!$D$12,"")</f>
        <v/>
      </c>
      <c r="J123" s="774" t="str">
        <f>IFERROR(IF(ISNUMBER(H123),H123*'Mão de Obra'!$D$12/12,1)*G123*F123,"")</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IFERROR(J124/'Mão de Obra'!$D$12,"")</f>
        <v/>
      </c>
      <c r="J124" s="774" t="str">
        <f>IFERROR(IF(ISNUMBER(H124),H124*'Mão de Obra'!$D$12/12,1)*G124*F124,"")</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IFERROR(J125/'Mão de Obra'!$D$12,"")</f>
        <v/>
      </c>
      <c r="J125" s="774" t="str">
        <f>IFERROR(IF(ISNUMBER(H125),H125*'Mão de Obra'!$D$12/12,1)*G125*F125,"")</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IFERROR(J126/'Mão de Obra'!$D$12,"")</f>
        <v/>
      </c>
      <c r="J126" s="774" t="str">
        <f>IFERROR(IF(ISNUMBER(H126),H126*'Mão de Obra'!$D$12/12,1)*G126*F126,"")</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IFERROR(J127/'Mão de Obra'!$D$12,"")</f>
        <v/>
      </c>
      <c r="J127" s="774" t="str">
        <f>IFERROR(IF(ISNUMBER(H127),H127*'Mão de Obra'!$D$12/12,1)*G127*F127,"")</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IFERROR(J128/'Mão de Obra'!$D$12,"")</f>
        <v/>
      </c>
      <c r="J128" s="774" t="str">
        <f>IFERROR(IF(ISNUMBER(H128),H128*'Mão de Obra'!$D$12/12,1)*G128*F128,"")</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IFERROR(J129/'Mão de Obra'!$D$12,"")</f>
        <v/>
      </c>
      <c r="J129" s="774" t="str">
        <f>IFERROR(IF(ISNUMBER(H129),H129*'Mão de Obra'!$D$12/12,1)*G129*F129,"")</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IFERROR(J130/'Mão de Obra'!$D$12,"")</f>
        <v/>
      </c>
      <c r="J130" s="774" t="str">
        <f>IFERROR(IF(ISNUMBER(H130),H130*'Mão de Obra'!$D$12/12,1)*G130*F130,"")</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IFERROR(J131/'Mão de Obra'!$D$12,"")</f>
        <v/>
      </c>
      <c r="J131" s="774" t="str">
        <f>IFERROR(IF(ISNUMBER(H131),H131*'Mão de Obra'!$D$12/12,1)*G131*F131,"")</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IFERROR(J132/'Mão de Obra'!$D$12,"")</f>
        <v/>
      </c>
      <c r="J132" s="774" t="str">
        <f>IFERROR(IF(ISNUMBER(H132),H132*'Mão de Obra'!$D$12/12,1)*G132*F132,"")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IFERROR(J133/'Mão de Obra'!$D$12,"")</f>
        <v/>
      </c>
      <c r="J133" s="774" t="str">
        <f>IFERROR(IF(ISNUMBER(H133),H133*'Mão de Obra'!$D$12/12,1)*G133*F133,"")</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IFERROR(J134/'Mão de Obra'!$D$12,"")</f>
        <v/>
      </c>
      <c r="J134" s="774" t="str">
        <f>IFERROR(IF(ISNUMBER(H134),H134*'Mão de Obra'!$D$12/12,1)*G134*F134,"")</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IFERROR(J135/'Mão de Obra'!$D$12,"")</f>
        <v/>
      </c>
      <c r="J135" s="774" t="str">
        <f>IFERROR(IF(ISNUMBER(H135),H135*'Mão de Obra'!$D$12/12,1)*G135*F135,"")</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IFERROR(J136/'Mão de Obra'!$D$12,"")</f>
        <v/>
      </c>
      <c r="J136" s="774" t="str">
        <f>IFERROR(IF(ISNUMBER(H136),H136*'Mão de Obra'!$D$12/12,1)*G136*F136,"")</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IFERROR(J137/'Mão de Obra'!$D$12,"")</f>
        <v/>
      </c>
      <c r="J137" s="774" t="str">
        <f>IFERROR(IF(ISNUMBER(H137),H137*'Mão de Obra'!$D$12/12,1)*G137*F137,"")</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IFERROR(J138/'Mão de Obra'!$D$12,"")</f>
        <v/>
      </c>
      <c r="J138" s="774" t="str">
        <f>IFERROR(IF(ISNUMBER(H138),H138*'Mão de Obra'!$D$12/12,1)*G138*F138,"")</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IFERROR(J139/'Mão de Obra'!$D$12,"")</f>
        <v/>
      </c>
      <c r="J139" s="774" t="str">
        <f>IFERROR(IF(ISNUMBER(H139),H139*'Mão de Obra'!$D$12/12,1)*G139*F139,"")</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IFERROR(J140/'Mão de Obra'!$D$12,"")</f>
        <v/>
      </c>
      <c r="J140" s="774" t="str">
        <f>IFERROR(IF(ISNUMBER(H140),H140*'Mão de Obra'!$D$12/12,1)*G140*F140,"")</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IFERROR(J141/'Mão de Obra'!$D$12,"")</f>
        <v/>
      </c>
      <c r="J141" s="774" t="str">
        <f>IFERROR(IF(ISNUMBER(H141),H141*'Mão de Obra'!$D$12/12,1)*G141*F141,"")</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IFERROR(J142/'Mão de Obra'!$D$12,"")</f>
        <v/>
      </c>
      <c r="J142" s="774" t="str">
        <f>IFERROR(IF(ISNUMBER(H142),H142*'Mão de Obra'!$D$12/12,1)*G142*F142,"")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IFERROR(J143/'Mão de Obra'!$D$12,"")</f>
        <v/>
      </c>
      <c r="J143" s="774" t="str">
        <f>IFERROR(IF(ISNUMBER(H143),H143*'Mão de Obra'!$D$12/12,1)*G143*F143,"")</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IFERROR(J144/'Mão de Obra'!$D$12,"")</f>
        <v/>
      </c>
      <c r="J144" s="774" t="str">
        <f>IFERROR(IF(ISNUMBER(H144),H144*'Mão de Obra'!$D$12/12,1)*G144*F144,"")</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IFERROR(J145/'Mão de Obra'!$D$12,"")</f>
        <v/>
      </c>
      <c r="J145" s="774" t="str">
        <f>IFERROR(IF(ISNUMBER(H145),H145*'Mão de Obra'!$D$12/12,1)*G145*F145,"")</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IFERROR(J146/'Mão de Obra'!$D$12,"")</f>
        <v/>
      </c>
      <c r="J146" s="774" t="str">
        <f>IFERROR(IF(ISNUMBER(H146),H146*'Mão de Obra'!$D$12/12,1)*G146*F146,"")</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IFERROR(J147/'Mão de Obra'!$D$12,"")</f>
        <v/>
      </c>
      <c r="J147" s="774" t="str">
        <f>IFERROR(IF(ISNUMBER(H147),H147*'Mão de Obra'!$D$12/12,1)*G147*F147,"")</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IFERROR(J148/'Mão de Obra'!$D$12,"")</f>
        <v/>
      </c>
      <c r="J148" s="774" t="str">
        <f>IFERROR(IF(ISNUMBER(H148),H148*'Mão de Obra'!$D$12/12,1)*G148*F148,"")</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IFERROR(J149/'Mão de Obra'!$D$12,"")</f>
        <v/>
      </c>
      <c r="J149" s="774" t="str">
        <f>IFERROR(IF(ISNUMBER(H149),H149*'Mão de Obra'!$D$12/12,1)*G149*F149,"")</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IFERROR(J150/'Mão de Obra'!$D$12,"")</f>
        <v/>
      </c>
      <c r="J150" s="774" t="str">
        <f>IFERROR(IF(ISNUMBER(H150),H150*'Mão de Obra'!$D$12/12,1)*G150*F150,"")</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IFERROR(J151/'Mão de Obra'!$D$12,"")</f>
        <v/>
      </c>
      <c r="J151" s="774" t="str">
        <f>IFERROR(IF(ISNUMBER(H151),H151*'Mão de Obra'!$D$12/12,1)*G151*F151,"")</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IFERROR(J152/'Mão de Obra'!$D$12,"")</f>
        <v/>
      </c>
      <c r="J152" s="774" t="str">
        <f>IFERROR(IF(ISNUMBER(H152),H152*'Mão de Obra'!$D$12/12,1)*G152*F152,"")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IFERROR(J153/'Mão de Obra'!$D$12,"")</f>
        <v/>
      </c>
      <c r="J153" s="774" t="str">
        <f>IFERROR(IF(ISNUMBER(H153),H153*'Mão de Obra'!$D$12/12,1)*G153*F153,"")</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IFERROR(J154/'Mão de Obra'!$D$12,"")</f>
        <v/>
      </c>
      <c r="J154" s="774" t="str">
        <f>IFERROR(IF(ISNUMBER(H154),H154*'Mão de Obra'!$D$12/12,1)*G154*F154,"")</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IFERROR(J155/'Mão de Obra'!$D$12,"")</f>
        <v/>
      </c>
      <c r="J155" s="774" t="str">
        <f>IFERROR(IF(ISNUMBER(H155),H155*'Mão de Obra'!$D$12/12,1)*G155*F155,"")</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IFERROR(J156/'Mão de Obra'!$D$12,"")</f>
        <v/>
      </c>
      <c r="J156" s="774" t="str">
        <f>IFERROR(IF(ISNUMBER(H156),H156*'Mão de Obra'!$D$12/12,1)*G156*F156,"")</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IFERROR(J157/'Mão de Obra'!$D$12,"")</f>
        <v/>
      </c>
      <c r="J157" s="774" t="str">
        <f>IFERROR(IF(ISNUMBER(H157),H157*'Mão de Obra'!$D$12/12,1)*G157*F157,"")</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IFERROR(J158/'Mão de Obra'!$D$12,"")</f>
        <v/>
      </c>
      <c r="J158" s="774" t="str">
        <f>IFERROR(IF(ISNUMBER(H158),H158*'Mão de Obra'!$D$12/12,1)*G158*F158,"")</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IFERROR(J159/'Mão de Obra'!$D$12,"")</f>
        <v/>
      </c>
      <c r="J159" s="774" t="str">
        <f>IFERROR(IF(ISNUMBER(H159),H159*'Mão de Obra'!$D$12/12,1)*G159*F159,"")</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IFERROR(J160/'Mão de Obra'!$D$12,"")</f>
        <v/>
      </c>
      <c r="J160" s="774" t="str">
        <f>IFERROR(IF(ISNUMBER(H160),H160*'Mão de Obra'!$D$12/12,1)*G160*F160,"")</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IFERROR(J161/'Mão de Obra'!$D$12,"")</f>
        <v/>
      </c>
      <c r="J161" s="774" t="str">
        <f>IFERROR(IF(ISNUMBER(H161),H161*'Mão de Obra'!$D$12/12,1)*G161*F161,"")</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IFERROR(J162/'Mão de Obra'!$D$12,"")</f>
        <v/>
      </c>
      <c r="J162" s="774" t="str">
        <f>IFERROR(IF(ISNUMBER(H162),H162*'Mão de Obra'!$D$12/12,1)*G162*F162,"")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IFERROR(J163/'Mão de Obra'!$D$12,"")</f>
        <v/>
      </c>
      <c r="J163" s="774" t="str">
        <f>IFERROR(IF(ISNUMBER(H163),H163*'Mão de Obra'!$D$12/12,1)*G163*F163,"")</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IFERROR(J164/'Mão de Obra'!$D$12,"")</f>
        <v/>
      </c>
      <c r="J164" s="774" t="str">
        <f>IFERROR(IF(ISNUMBER(H164),H164*'Mão de Obra'!$D$12/12,1)*G164*F164,"")</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IFERROR(J165/'Mão de Obra'!$D$12,"")</f>
        <v/>
      </c>
      <c r="J165" s="774" t="str">
        <f>IFERROR(IF(ISNUMBER(H165),H165*'Mão de Obra'!$D$12/12,1)*G165*F165,"")</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IFERROR(J166/'Mão de Obra'!$D$12,"")</f>
        <v/>
      </c>
      <c r="J166" s="774" t="str">
        <f>IFERROR(IF(ISNUMBER(H166),H166*'Mão de Obra'!$D$12/12,1)*G166*F166,"")</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IFERROR(J167/'Mão de Obra'!$D$12,"")</f>
        <v/>
      </c>
      <c r="J167" s="774" t="str">
        <f>IFERROR(IF(ISNUMBER(H167),H167*'Mão de Obra'!$D$12/12,1)*G167*F167,"")</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IFERROR(J168/'Mão de Obra'!$D$12,"")</f>
        <v/>
      </c>
      <c r="J168" s="774" t="str">
        <f>IFERROR(IF(ISNUMBER(H168),H168*'Mão de Obra'!$D$12/12,1)*G168*F168,"")</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IFERROR(J169/'Mão de Obra'!$D$12,"")</f>
        <v/>
      </c>
      <c r="J169" s="774" t="str">
        <f>IFERROR(IF(ISNUMBER(H169),H169*'Mão de Obra'!$D$12/12,1)*G169*F169,"")</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IFERROR(J170/'Mão de Obra'!$D$12,"")</f>
        <v/>
      </c>
      <c r="J170" s="774" t="str">
        <f>IFERROR(IF(ISNUMBER(H170),H170*'Mão de Obra'!$D$12/12,1)*G170*F170,"")</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IFERROR(J171/'Mão de Obra'!$D$12,"")</f>
        <v/>
      </c>
      <c r="J171" s="774" t="str">
        <f>IFERROR(IF(ISNUMBER(H171),H171*'Mão de Obra'!$D$12/12,1)*G171*F171,"")</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IFERROR(J172/'Mão de Obra'!$D$12,"")</f>
        <v/>
      </c>
      <c r="J172" s="774" t="str">
        <f>IFERROR(IF(ISNUMBER(H172),H172*'Mão de Obra'!$D$12/12,1)*G172*F172,"")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IFERROR(J173/'Mão de Obra'!$D$12,"")</f>
        <v/>
      </c>
      <c r="J173" s="774" t="str">
        <f>IFERROR(IF(ISNUMBER(H173),H173*'Mão de Obra'!$D$12/12,1)*G173*F173,"")</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IFERROR(J174/'Mão de Obra'!$D$12,"")</f>
        <v/>
      </c>
      <c r="J174" s="774" t="str">
        <f>IFERROR(IF(ISNUMBER(H174),H174*'Mão de Obra'!$D$12/12,1)*G174*F174,"")</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IFERROR(J175/'Mão de Obra'!$D$12,"")</f>
        <v/>
      </c>
      <c r="J175" s="774" t="str">
        <f>IFERROR(IF(ISNUMBER(H175),H175*'Mão de Obra'!$D$12/12,1)*G175*F175,"")</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IFERROR(J176/'Mão de Obra'!$D$12,"")</f>
        <v/>
      </c>
      <c r="J176" s="774" t="str">
        <f>IFERROR(IF(ISNUMBER(H176),H176*'Mão de Obra'!$D$12/12,1)*G176*F176,"")</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IFERROR(J177/'Mão de Obra'!$D$12,"")</f>
        <v/>
      </c>
      <c r="J177" s="774" t="str">
        <f>IFERROR(IF(ISNUMBER(H177),H177*'Mão de Obra'!$D$12/12,1)*G177*F177,"")</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IFERROR(J178/'Mão de Obra'!$D$12,"")</f>
        <v/>
      </c>
      <c r="J178" s="774" t="str">
        <f>IFERROR(IF(ISNUMBER(H178),H178*'Mão de Obra'!$D$12/12,1)*G178*F178,"")</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IFERROR(J179/'Mão de Obra'!$D$12,"")</f>
        <v/>
      </c>
      <c r="J179" s="774" t="str">
        <f>IFERROR(IF(ISNUMBER(H179),H179*'Mão de Obra'!$D$12/12,1)*G179*F179,"")</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IFERROR(J180/'Mão de Obra'!$D$12,"")</f>
        <v/>
      </c>
      <c r="J180" s="774" t="str">
        <f>IFERROR(IF(ISNUMBER(H180),H180*'Mão de Obra'!$D$12/12,1)*G180*F180,"")</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IFERROR(J181/'Mão de Obra'!$D$12,"")</f>
        <v/>
      </c>
      <c r="J181" s="774" t="str">
        <f>IFERROR(IF(ISNUMBER(H181),H181*'Mão de Obra'!$D$12/12,1)*G181*F181,"")</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IFERROR(J182/'Mão de Obra'!$D$12,"")</f>
        <v/>
      </c>
      <c r="J182" s="774" t="str">
        <f>IFERROR(IF(ISNUMBER(H182),H182*'Mão de Obra'!$D$12/12,1)*G182*F182,"")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IFERROR(J183/'Mão de Obra'!$D$12,"")</f>
        <v/>
      </c>
      <c r="J183" s="774" t="str">
        <f>IFERROR(IF(ISNUMBER(H183),H183*'Mão de Obra'!$D$12/12,1)*G183*F183,"")</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IFERROR(J184/'Mão de Obra'!$D$12,"")</f>
        <v/>
      </c>
      <c r="J184" s="774" t="str">
        <f>IFERROR(IF(ISNUMBER(H184),H184*'Mão de Obra'!$D$12/12,1)*G184*F184,"")</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IFERROR(J185/'Mão de Obra'!$D$12,"")</f>
        <v/>
      </c>
      <c r="J185" s="774" t="str">
        <f>IFERROR(IF(ISNUMBER(H185),H185*'Mão de Obra'!$D$12/12,1)*G185*F185,"")</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IFERROR(J186/'Mão de Obra'!$D$12,"")</f>
        <v/>
      </c>
      <c r="J186" s="774" t="str">
        <f>IFERROR(IF(ISNUMBER(H186),H186*'Mão de Obra'!$D$12/12,1)*G186*F186,"")</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IFERROR(J187/'Mão de Obra'!$D$12,"")</f>
        <v/>
      </c>
      <c r="J187" s="774" t="str">
        <f>IFERROR(IF(ISNUMBER(H187),H187*'Mão de Obra'!$D$12/12,1)*G187*F187,"")</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IFERROR(J188/'Mão de Obra'!$D$12,"")</f>
        <v/>
      </c>
      <c r="J188" s="774" t="str">
        <f>IFERROR(IF(ISNUMBER(H188),H188*'Mão de Obra'!$D$12/12,1)*G188*F188,"")</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IFERROR(J189/'Mão de Obra'!$D$12,"")</f>
        <v/>
      </c>
      <c r="J189" s="774" t="str">
        <f>IFERROR(IF(ISNUMBER(H189),H189*'Mão de Obra'!$D$12/12,1)*G189*F189,"")</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IFERROR(J190/'Mão de Obra'!$D$12,"")</f>
        <v/>
      </c>
      <c r="J190" s="774" t="str">
        <f>IFERROR(IF(ISNUMBER(H190),H190*'Mão de Obra'!$D$12/12,1)*G190*F190,"")</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IFERROR(J191/'Mão de Obra'!$D$12,"")</f>
        <v/>
      </c>
      <c r="J191" s="774" t="str">
        <f>IFERROR(IF(ISNUMBER(H191),H191*'Mão de Obra'!$D$12/12,1)*G191*F191,"")</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IFERROR(J192/'Mão de Obra'!$D$12,"")</f>
        <v/>
      </c>
      <c r="J192" s="774" t="str">
        <f>IFERROR(IF(ISNUMBER(H192),H192*'Mão de Obra'!$D$12/12,1)*G192*F192,"")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IFERROR(J193/'Mão de Obra'!$D$12,"")</f>
        <v/>
      </c>
      <c r="J193" s="774" t="str">
        <f>IFERROR(IF(ISNUMBER(H193),H193*'Mão de Obra'!$D$12/12,1)*G193*F193,"")</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IFERROR(J194/'Mão de Obra'!$D$12,"")</f>
        <v/>
      </c>
      <c r="J194" s="774" t="str">
        <f>IFERROR(IF(ISNUMBER(H194),H194*'Mão de Obra'!$D$12/12,1)*G194*F194,"")</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IFERROR(J195/'Mão de Obra'!$D$12,"")</f>
        <v/>
      </c>
      <c r="J195" s="774" t="str">
        <f>IFERROR(IF(ISNUMBER(H195),H195*'Mão de Obra'!$D$12/12,1)*G195*F195,"")</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IFERROR(J196/'Mão de Obra'!$D$12,"")</f>
        <v/>
      </c>
      <c r="J196" s="774" t="str">
        <f>IFERROR(IF(ISNUMBER(H196),H196*'Mão de Obra'!$D$12/12,1)*G196*F196,"")</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IFERROR(J197/'Mão de Obra'!$D$12,"")</f>
        <v/>
      </c>
      <c r="J197" s="774" t="str">
        <f>IFERROR(IF(ISNUMBER(H197),H197*'Mão de Obra'!$D$12/12,1)*G197*F197,"")</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IFERROR(J198/'Mão de Obra'!$D$12,"")</f>
        <v/>
      </c>
      <c r="J198" s="774" t="str">
        <f>IFERROR(IF(ISNUMBER(H198),H198*'Mão de Obra'!$D$12/12,1)*G198*F198,"")</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IFERROR(J199/'Mão de Obra'!$D$12,"")</f>
        <v/>
      </c>
      <c r="J199" s="774" t="str">
        <f>IFERROR(IF(ISNUMBER(H199),H199*'Mão de Obra'!$D$12/12,1)*G199*F199,"")</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IFERROR(J200/'Mão de Obra'!$D$12,"")</f>
        <v/>
      </c>
      <c r="J200" s="774" t="str">
        <f>IFERROR(IF(ISNUMBER(H200),H200*'Mão de Obra'!$D$12/12,1)*G200*F200,"")</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IFERROR(J201/'Mão de Obra'!$D$12,"")</f>
        <v/>
      </c>
      <c r="J201" s="774" t="str">
        <f>IFERROR(IF(ISNUMBER(H201),H201*'Mão de Obra'!$D$12/12,1)*G201*F201,"")</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IFERROR(J202/'Mão de Obra'!$D$12,"")</f>
        <v/>
      </c>
      <c r="J202" s="774" t="str">
        <f>IFERROR(IF(ISNUMBER(H202),H202*'Mão de Obra'!$D$12/12,1)*G202*F202,"")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IFERROR(J203/'Mão de Obra'!$D$12,"")</f>
        <v/>
      </c>
      <c r="J203" s="774" t="str">
        <f>IFERROR(IF(ISNUMBER(H203),H203*'Mão de Obra'!$D$12/12,1)*G203*F203,"")</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IFERROR(J204/'Mão de Obra'!$D$12,"")</f>
        <v/>
      </c>
      <c r="J204" s="774" t="str">
        <f>IFERROR(IF(ISNUMBER(H204),H204*'Mão de Obra'!$D$12/12,1)*G204*F204,"")</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IFERROR(J205/'Mão de Obra'!$D$12,"")</f>
        <v/>
      </c>
      <c r="J205" s="774" t="str">
        <f>IFERROR(IF(ISNUMBER(H205),H205*'Mão de Obra'!$D$12/12,1)*G205*F205,"")</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ds1iBTOvGpTZ4SZ+qwX60TXUicP4Iy5KBTFJ9x9WB2hUMt7lja2j3rNs4CCW80mb1UeTx4DDky3TYqbMwmSdoA==" saltValue="40ZLWH3OBG1JLBTTWIkMXw=="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20"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21"/>
      <c r="C9" s="331" t="s">
        <v>234</v>
      </c>
      <c r="D9" s="325"/>
      <c r="E9" s="424"/>
      <c r="F9" s="424"/>
      <c r="G9" s="424"/>
      <c r="H9" s="424"/>
      <c r="I9" s="424"/>
      <c r="J9" s="42"/>
      <c r="K9" s="42"/>
      <c r="L9" s="42"/>
      <c r="M9" s="42"/>
      <c r="N9" s="42"/>
      <c r="O9" s="42"/>
      <c r="P9" s="42"/>
      <c r="Q9" s="42"/>
      <c r="R9" s="42"/>
      <c r="S9" s="42"/>
      <c r="T9" s="42"/>
      <c r="U9" s="42"/>
      <c r="V9" s="42"/>
      <c r="W9" s="42"/>
      <c r="X9" s="42"/>
      <c r="Y9" s="42"/>
      <c r="Z9" s="42"/>
      <c r="AA9" s="42"/>
    </row>
    <row r="10" spans="1:27">
      <c r="B10" s="821"/>
      <c r="C10" s="332" t="s">
        <v>235</v>
      </c>
      <c r="D10" s="326"/>
      <c r="E10" s="425"/>
      <c r="F10" s="425"/>
      <c r="G10" s="425"/>
      <c r="H10" s="425"/>
      <c r="I10" s="425"/>
      <c r="J10" s="42"/>
      <c r="K10" s="42"/>
      <c r="L10" s="42"/>
      <c r="M10" s="42"/>
      <c r="N10" s="42"/>
      <c r="O10" s="42"/>
      <c r="P10" s="42"/>
      <c r="Q10" s="42"/>
      <c r="R10" s="42"/>
      <c r="S10" s="42"/>
      <c r="T10" s="42"/>
      <c r="U10" s="42"/>
      <c r="V10" s="42"/>
      <c r="W10" s="42"/>
      <c r="X10" s="42"/>
      <c r="Y10" s="42"/>
      <c r="Z10" s="42"/>
      <c r="AA10" s="42"/>
    </row>
    <row r="11" spans="1:27">
      <c r="B11" s="821"/>
      <c r="C11" s="332" t="s">
        <v>236</v>
      </c>
      <c r="D11" s="326"/>
      <c r="E11" s="426"/>
      <c r="F11" s="426"/>
      <c r="G11" s="426"/>
      <c r="H11" s="426"/>
      <c r="I11" s="426"/>
      <c r="J11" s="42"/>
      <c r="K11" s="42"/>
      <c r="L11" s="42"/>
      <c r="M11" s="42"/>
      <c r="N11" s="42"/>
      <c r="O11" s="42"/>
      <c r="P11" s="42"/>
      <c r="Q11" s="42"/>
      <c r="R11" s="42"/>
      <c r="S11" s="42"/>
      <c r="T11" s="42"/>
      <c r="U11" s="42"/>
      <c r="V11" s="42"/>
      <c r="W11" s="42"/>
      <c r="X11" s="42"/>
      <c r="Y11" s="42"/>
      <c r="Z11" s="42"/>
      <c r="AA11" s="42"/>
    </row>
    <row r="12" spans="1:27">
      <c r="B12" s="822"/>
      <c r="C12" s="306"/>
      <c r="D12" s="306" t="s">
        <v>41</v>
      </c>
      <c r="E12" s="365" t="str">
        <f>IFERROR(E5*E11/E9,"")</f>
        <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24"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03"/>
      <c r="C14" s="334" t="s">
        <v>248</v>
      </c>
      <c r="D14" s="328"/>
      <c r="E14" s="427"/>
      <c r="F14" s="427"/>
      <c r="G14" s="427"/>
      <c r="H14" s="427"/>
      <c r="I14" s="427"/>
      <c r="J14" s="42"/>
      <c r="K14" s="42"/>
      <c r="L14" s="42"/>
      <c r="M14" s="42"/>
      <c r="N14" s="42"/>
      <c r="O14" s="42"/>
      <c r="P14" s="42"/>
      <c r="Q14" s="42"/>
      <c r="R14" s="42"/>
      <c r="S14" s="42"/>
      <c r="T14" s="42"/>
      <c r="U14" s="42"/>
      <c r="V14" s="42"/>
      <c r="W14" s="42"/>
      <c r="X14" s="42"/>
      <c r="Y14" s="42"/>
      <c r="Z14" s="42"/>
      <c r="AA14" s="42"/>
    </row>
    <row r="15" spans="1:27">
      <c r="B15" s="803"/>
      <c r="C15" s="220" t="s">
        <v>564</v>
      </c>
      <c r="D15" s="329"/>
      <c r="E15" s="428"/>
      <c r="F15" s="428"/>
      <c r="G15" s="428"/>
      <c r="H15" s="428"/>
      <c r="I15" s="428"/>
      <c r="J15" s="42"/>
      <c r="K15" s="42"/>
      <c r="L15" s="42"/>
      <c r="M15" s="42"/>
      <c r="N15" s="42"/>
      <c r="O15" s="42"/>
      <c r="P15" s="42"/>
      <c r="Q15" s="42"/>
      <c r="R15" s="42"/>
      <c r="S15" s="42"/>
      <c r="T15" s="42"/>
      <c r="U15" s="42"/>
      <c r="V15" s="42"/>
      <c r="W15" s="42"/>
      <c r="X15" s="42"/>
      <c r="Y15" s="42"/>
      <c r="Z15" s="42"/>
      <c r="AA15" s="42"/>
    </row>
    <row r="16" spans="1:27">
      <c r="B16" s="803"/>
      <c r="C16" s="220" t="s">
        <v>16</v>
      </c>
      <c r="D16" s="330"/>
      <c r="E16" s="429"/>
      <c r="F16" s="429"/>
      <c r="G16" s="429"/>
      <c r="H16" s="429"/>
      <c r="I16" s="429"/>
      <c r="J16" s="42"/>
      <c r="K16" s="42"/>
      <c r="L16" s="42"/>
      <c r="M16" s="42"/>
      <c r="N16" s="42"/>
      <c r="O16" s="42"/>
      <c r="P16" s="42"/>
      <c r="Q16" s="42"/>
      <c r="R16" s="42"/>
      <c r="S16" s="42"/>
      <c r="T16" s="42"/>
      <c r="U16" s="42"/>
      <c r="V16" s="42"/>
      <c r="W16" s="42"/>
      <c r="X16" s="42"/>
      <c r="Y16" s="42"/>
      <c r="Z16" s="42"/>
      <c r="AA16" s="42"/>
    </row>
    <row r="17" spans="2:27">
      <c r="B17" s="823"/>
      <c r="C17" s="306"/>
      <c r="D17" s="306" t="s">
        <v>41</v>
      </c>
      <c r="E17" s="364" t="str">
        <f>IFERROR(IF(E3="","",E16*E14*E5/E15),"")</f>
        <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03"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03"/>
      <c r="C19" s="220" t="s">
        <v>564</v>
      </c>
      <c r="D19" s="640"/>
      <c r="E19" s="715"/>
      <c r="F19" s="715"/>
      <c r="G19" s="715"/>
      <c r="H19" s="715"/>
      <c r="I19" s="715"/>
      <c r="J19" s="42"/>
      <c r="K19" s="42"/>
      <c r="L19" s="42"/>
      <c r="M19" s="42"/>
      <c r="N19" s="42"/>
      <c r="O19" s="42"/>
      <c r="P19" s="42"/>
      <c r="Q19" s="42"/>
      <c r="R19" s="42"/>
      <c r="S19" s="42"/>
      <c r="T19" s="42"/>
      <c r="U19" s="42"/>
      <c r="V19" s="42"/>
      <c r="W19" s="42"/>
      <c r="X19" s="42"/>
      <c r="Y19" s="42"/>
      <c r="Z19" s="42"/>
      <c r="AA19" s="42"/>
    </row>
    <row r="20" spans="2:27">
      <c r="B20" s="803"/>
      <c r="C20" s="220" t="s">
        <v>337</v>
      </c>
      <c r="D20" s="330"/>
      <c r="E20" s="439"/>
      <c r="F20" s="439"/>
      <c r="G20" s="439"/>
      <c r="H20" s="439"/>
      <c r="I20" s="439"/>
      <c r="J20" s="42"/>
      <c r="K20" s="42"/>
      <c r="L20" s="42"/>
      <c r="M20" s="42"/>
      <c r="N20" s="42"/>
      <c r="O20" s="42"/>
      <c r="P20" s="42"/>
      <c r="Q20" s="42"/>
      <c r="R20" s="42"/>
      <c r="S20" s="42"/>
      <c r="T20" s="42"/>
      <c r="U20" s="42"/>
      <c r="V20" s="42"/>
      <c r="W20" s="42"/>
      <c r="X20" s="42"/>
      <c r="Y20" s="42"/>
      <c r="Z20" s="42"/>
      <c r="AA20" s="42"/>
    </row>
    <row r="21" spans="2:27">
      <c r="B21" s="823"/>
      <c r="C21" s="306"/>
      <c r="D21" s="306" t="s">
        <v>41</v>
      </c>
      <c r="E21" s="364" t="str">
        <f>IFERROR(IF(E3="","",E20*E5/E19),"")</f>
        <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25"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26"/>
      <c r="C23" s="321" t="s">
        <v>735</v>
      </c>
      <c r="D23" s="322"/>
      <c r="E23" s="430"/>
      <c r="F23" s="430"/>
      <c r="G23" s="430"/>
      <c r="H23" s="430"/>
      <c r="I23" s="430"/>
      <c r="J23" s="42"/>
      <c r="K23" s="42"/>
      <c r="L23" s="42"/>
      <c r="M23" s="42"/>
      <c r="N23" s="42"/>
      <c r="O23" s="42"/>
      <c r="P23" s="42"/>
      <c r="Q23" s="42"/>
      <c r="R23" s="42"/>
      <c r="S23" s="42"/>
      <c r="T23" s="42"/>
      <c r="U23" s="42"/>
      <c r="V23" s="42"/>
      <c r="W23" s="42"/>
      <c r="X23" s="42"/>
      <c r="Y23" s="42"/>
      <c r="Z23" s="42"/>
      <c r="AA23" s="42"/>
    </row>
    <row r="24" spans="2:27">
      <c r="B24" s="826"/>
      <c r="C24" s="323" t="s">
        <v>15</v>
      </c>
      <c r="D24" s="324"/>
      <c r="E24" s="431"/>
      <c r="F24" s="431"/>
      <c r="G24" s="431"/>
      <c r="H24" s="431"/>
      <c r="I24" s="431"/>
      <c r="J24" s="42"/>
      <c r="K24" s="42"/>
      <c r="L24" s="42"/>
      <c r="M24" s="42"/>
      <c r="N24" s="42"/>
      <c r="O24" s="42"/>
      <c r="P24" s="42"/>
      <c r="Q24" s="42"/>
      <c r="R24" s="42"/>
      <c r="S24" s="42"/>
      <c r="T24" s="42"/>
      <c r="U24" s="42"/>
      <c r="V24" s="42"/>
      <c r="W24" s="42"/>
      <c r="X24" s="42"/>
      <c r="Y24" s="42"/>
      <c r="Z24" s="42"/>
      <c r="AA24" s="42"/>
    </row>
    <row r="25" spans="2:27">
      <c r="B25" s="826"/>
      <c r="C25" s="220" t="s">
        <v>457</v>
      </c>
      <c r="D25" s="330"/>
      <c r="E25" s="428"/>
      <c r="F25" s="428"/>
      <c r="G25" s="428"/>
      <c r="H25" s="428"/>
      <c r="I25" s="428"/>
      <c r="J25" s="42"/>
      <c r="K25" s="42"/>
      <c r="L25" s="42"/>
      <c r="M25" s="42"/>
      <c r="N25" s="42"/>
      <c r="O25" s="42"/>
      <c r="P25" s="42"/>
      <c r="Q25" s="42"/>
      <c r="R25" s="42"/>
      <c r="S25" s="42"/>
      <c r="T25" s="42"/>
      <c r="U25" s="42"/>
      <c r="V25" s="42"/>
      <c r="W25" s="42"/>
      <c r="X25" s="42"/>
      <c r="Y25" s="42"/>
      <c r="Z25" s="42"/>
      <c r="AA25" s="42"/>
    </row>
    <row r="26" spans="2:27">
      <c r="B26" s="827"/>
      <c r="C26" s="306"/>
      <c r="D26" s="306" t="s">
        <v>41</v>
      </c>
      <c r="E26" s="364" t="str">
        <f>IFERROR((E23*E24*E5/E25),"")</f>
        <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25"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26"/>
      <c r="C28" s="331" t="s">
        <v>320</v>
      </c>
      <c r="D28" s="340"/>
      <c r="E28" s="432"/>
      <c r="F28" s="432"/>
      <c r="G28" s="432"/>
      <c r="H28" s="432"/>
      <c r="I28" s="432"/>
      <c r="J28" s="42"/>
      <c r="K28" s="42"/>
      <c r="L28" s="42"/>
      <c r="M28" s="42"/>
      <c r="N28" s="42"/>
      <c r="O28" s="42"/>
      <c r="P28" s="42"/>
      <c r="Q28" s="42"/>
      <c r="R28" s="42"/>
      <c r="S28" s="42"/>
      <c r="T28" s="42"/>
      <c r="U28" s="42"/>
      <c r="V28" s="42"/>
      <c r="W28" s="42"/>
      <c r="X28" s="42"/>
      <c r="Y28" s="42"/>
      <c r="Z28" s="42"/>
      <c r="AA28" s="42"/>
    </row>
    <row r="29" spans="2:27">
      <c r="B29" s="826"/>
      <c r="C29" s="638" t="s">
        <v>246</v>
      </c>
      <c r="D29" s="341"/>
      <c r="E29" s="433"/>
      <c r="F29" s="433"/>
      <c r="G29" s="433"/>
      <c r="H29" s="433"/>
      <c r="I29" s="433"/>
      <c r="J29" s="42"/>
      <c r="K29" s="42"/>
      <c r="L29" s="42"/>
      <c r="M29" s="42"/>
      <c r="N29" s="42"/>
      <c r="O29" s="42"/>
      <c r="P29" s="42"/>
      <c r="Q29" s="42"/>
      <c r="R29" s="42"/>
      <c r="S29" s="42"/>
      <c r="T29" s="42"/>
      <c r="U29" s="42"/>
      <c r="V29" s="42"/>
      <c r="W29" s="42"/>
      <c r="X29" s="42"/>
      <c r="Y29" s="42"/>
      <c r="Z29" s="42"/>
      <c r="AA29" s="42"/>
    </row>
    <row r="30" spans="2:27">
      <c r="B30" s="826"/>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26"/>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26"/>
      <c r="C32" s="338" t="s">
        <v>242</v>
      </c>
      <c r="D32" s="337"/>
      <c r="E32" s="425" t="str">
        <f>IF(E3="","",SUM(E29:E31))</f>
        <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27"/>
      <c r="C33" s="306"/>
      <c r="D33" s="306" t="s">
        <v>41</v>
      </c>
      <c r="E33" s="368" t="str">
        <f>IF(E3="","",E28*E32/12)</f>
        <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t="str">
        <f>IF(E3="","",SUM(E12,E17,E21,E26,E33))</f>
        <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0.01</v>
      </c>
      <c r="E37" s="311" t="str">
        <f>IF(E3="","",E29*$D$37/12)</f>
        <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t="str">
        <f>IF(E3="","",E32*$D$38/12)</f>
        <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28"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29"/>
      <c r="C40" s="321" t="s">
        <v>656</v>
      </c>
      <c r="D40" s="444"/>
      <c r="E40" s="455"/>
      <c r="F40" s="455"/>
      <c r="G40" s="455"/>
      <c r="H40" s="455"/>
      <c r="I40" s="455"/>
      <c r="J40" s="42"/>
      <c r="K40" s="42"/>
      <c r="L40" s="42"/>
      <c r="M40" s="42"/>
      <c r="N40" s="42"/>
      <c r="O40" s="42"/>
      <c r="P40" s="42"/>
      <c r="Q40" s="42"/>
      <c r="R40" s="42"/>
      <c r="S40" s="42"/>
      <c r="T40" s="42"/>
      <c r="U40" s="42"/>
      <c r="V40" s="42"/>
      <c r="W40" s="42"/>
      <c r="X40" s="42"/>
      <c r="Y40" s="42"/>
      <c r="Z40" s="42"/>
      <c r="AA40" s="42"/>
    </row>
    <row r="41" spans="1:27">
      <c r="B41" s="829"/>
      <c r="C41" s="338" t="s">
        <v>657</v>
      </c>
      <c r="D41" s="456"/>
      <c r="E41" s="425" t="str">
        <f>IF(E3="","",328.51)</f>
        <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30"/>
      <c r="C42" s="306"/>
      <c r="D42" s="306" t="s">
        <v>41</v>
      </c>
      <c r="E42" s="457" t="str">
        <f>IF(E$3="","",E40*E41/Proposta!$J$6)</f>
        <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28"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29"/>
      <c r="C44" s="321" t="s">
        <v>445</v>
      </c>
      <c r="D44" s="444"/>
      <c r="E44" s="455"/>
      <c r="F44" s="455"/>
      <c r="G44" s="455"/>
      <c r="H44" s="455"/>
      <c r="I44" s="455"/>
      <c r="J44" s="42"/>
      <c r="K44" s="42"/>
      <c r="L44" s="42"/>
      <c r="M44" s="42"/>
      <c r="N44" s="42"/>
      <c r="O44" s="42"/>
      <c r="P44" s="42"/>
      <c r="Q44" s="42"/>
      <c r="R44" s="42"/>
      <c r="S44" s="42"/>
      <c r="T44" s="42"/>
      <c r="U44" s="42"/>
      <c r="V44" s="42"/>
      <c r="W44" s="42"/>
      <c r="X44" s="42"/>
      <c r="Y44" s="42"/>
      <c r="Z44" s="42"/>
      <c r="AA44" s="42"/>
    </row>
    <row r="45" spans="1:27">
      <c r="B45" s="829"/>
      <c r="C45" s="338" t="s">
        <v>446</v>
      </c>
      <c r="D45" s="456"/>
      <c r="E45" s="425" t="str">
        <f>IF(E3="","",77.88)</f>
        <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30"/>
      <c r="C46" s="713"/>
      <c r="D46" s="306" t="s">
        <v>41</v>
      </c>
      <c r="E46" s="714" t="str">
        <f>IF(E$3="","",E44*E45/Proposta!$J$6)</f>
        <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28"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29"/>
      <c r="C48" s="321" t="s">
        <v>658</v>
      </c>
      <c r="D48" s="444"/>
      <c r="E48" s="455"/>
      <c r="F48" s="455"/>
      <c r="G48" s="455"/>
      <c r="H48" s="455"/>
      <c r="I48" s="455"/>
      <c r="J48" s="42"/>
      <c r="K48" s="42"/>
      <c r="L48" s="42"/>
      <c r="M48" s="42"/>
      <c r="N48" s="42"/>
      <c r="O48" s="42"/>
      <c r="P48" s="42"/>
      <c r="Q48" s="42"/>
      <c r="R48" s="42"/>
      <c r="S48" s="42"/>
      <c r="T48" s="42"/>
      <c r="U48" s="42"/>
      <c r="V48" s="42"/>
      <c r="W48" s="42"/>
      <c r="X48" s="42"/>
      <c r="Y48" s="42"/>
      <c r="Z48" s="42"/>
      <c r="AA48" s="42"/>
    </row>
    <row r="49" spans="1:27">
      <c r="B49" s="829"/>
      <c r="C49" s="338" t="s">
        <v>244</v>
      </c>
      <c r="D49" s="456"/>
      <c r="E49" s="425"/>
      <c r="F49" s="425"/>
      <c r="G49" s="425"/>
      <c r="H49" s="425"/>
      <c r="I49" s="425"/>
      <c r="J49" s="42"/>
      <c r="K49" s="42"/>
      <c r="L49" s="42"/>
      <c r="M49" s="42"/>
      <c r="N49" s="42"/>
      <c r="O49" s="42"/>
      <c r="P49" s="42"/>
      <c r="Q49" s="42"/>
      <c r="R49" s="42"/>
      <c r="S49" s="42"/>
      <c r="T49" s="42"/>
      <c r="U49" s="42"/>
      <c r="V49" s="42"/>
      <c r="W49" s="42"/>
      <c r="X49" s="42"/>
      <c r="Y49" s="42"/>
      <c r="Z49" s="42"/>
      <c r="AA49" s="42"/>
    </row>
    <row r="50" spans="1:27">
      <c r="B50" s="829"/>
      <c r="C50" s="338" t="s">
        <v>243</v>
      </c>
      <c r="D50" s="445"/>
      <c r="E50" s="425"/>
      <c r="F50" s="425"/>
      <c r="G50" s="425"/>
      <c r="H50" s="425"/>
      <c r="I50" s="425"/>
      <c r="J50" s="42"/>
      <c r="K50" s="42"/>
      <c r="L50" s="42"/>
      <c r="M50" s="42"/>
      <c r="N50" s="42"/>
      <c r="O50" s="42"/>
      <c r="P50" s="42"/>
      <c r="Q50" s="42"/>
      <c r="R50" s="42"/>
      <c r="S50" s="42"/>
      <c r="T50" s="42"/>
      <c r="U50" s="42"/>
      <c r="V50" s="42"/>
      <c r="W50" s="42"/>
      <c r="X50" s="42"/>
      <c r="Y50" s="42"/>
      <c r="Z50" s="42"/>
      <c r="AA50" s="42"/>
    </row>
    <row r="51" spans="1:27">
      <c r="B51" s="830"/>
      <c r="C51" s="306"/>
      <c r="D51" s="306" t="s">
        <v>41</v>
      </c>
      <c r="E51" s="368" t="str">
        <f>IF(E3="","",IFERROR(((E48*E49)/Proposta!$J$6)+E50,0))</f>
        <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t="str">
        <f>IF(E3="","",SUM(E37,E42,E46,E38,E51))</f>
        <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31"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32"/>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32"/>
      <c r="C57" s="338" t="s">
        <v>428</v>
      </c>
      <c r="D57" s="438">
        <v>0.4</v>
      </c>
      <c r="E57" s="425" t="str">
        <f>IF(E3="","",IFERROR(E32*$D$57,""))</f>
        <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33"/>
      <c r="C58" s="306"/>
      <c r="D58" s="458" t="s">
        <v>41</v>
      </c>
      <c r="E58" s="368" t="str">
        <f>IF(E3="","",IFERROR(E32*$D$55,""))</f>
        <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31"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32"/>
      <c r="C60" s="321" t="s">
        <v>462</v>
      </c>
      <c r="D60" s="494">
        <v>0.14749999999999999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32"/>
      <c r="C61" s="338" t="s">
        <v>466</v>
      </c>
      <c r="D61" s="438">
        <f>ROUND(POWER((100%+D60),1/12)-100%,4)</f>
        <v>1.15E-2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33"/>
      <c r="C62" s="306"/>
      <c r="D62" s="458" t="s">
        <v>41</v>
      </c>
      <c r="E62" s="368" t="str">
        <f>IF(E3="","",IFERROR(E32*$D$61,""))</f>
        <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t="str">
        <f>IF(E3="","",SUM(E62,E58))</f>
        <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t="str">
        <f>IF(E3="","",IFERROR(ROUND($D68*E$92,2),""))</f>
        <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t="str">
        <f>IF(E4="","",IFERROR(ROUND($D69*SUM(E$68,E$92),2),""))</f>
        <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t="str">
        <f>IF(E3="","",SUM(E68:E69))</f>
        <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t="str">
        <f t="shared" ref="E73:I74" si="8">IF(E$3="","",IFERROR(ROUND(SUM(E$92,E$70)*$D73/(1-SUM($D$73:$D$78,E$76)),2),""))</f>
        <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t="str">
        <f t="shared" si="8"/>
        <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02"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792"/>
      <c r="C76" s="338" t="s">
        <v>353</v>
      </c>
      <c r="D76" s="438"/>
      <c r="E76" s="461">
        <f>IF('Mão de Obra'!E23="","",IF('Mão de Obra'!E23="SINDIELV",5%,2.5%))</f>
        <v>2.5000000000000001E-2</v>
      </c>
      <c r="F76" s="461">
        <f>IF('Mão de Obra'!F23="","",IF('Mão de Obra'!F23="SINDIELV",5%,2.5%))</f>
        <v>2.5000000000000001E-2</v>
      </c>
      <c r="G76" s="461">
        <f>IF('Mão de Obra'!G23="","",IF('Mão de Obra'!G23="SINDIELV",5%,2.5%))</f>
        <v>2.5000000000000001E-2</v>
      </c>
      <c r="H76" s="461">
        <f>IF('Mão de Obra'!H23="","",IF('Mão de Obra'!H23="SINDIELV",5%,2.5%))</f>
        <v>2.5000000000000001E-2</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793"/>
      <c r="C77" s="306"/>
      <c r="D77" s="458" t="s">
        <v>41</v>
      </c>
      <c r="E77" s="368" t="str">
        <f>IF(E$3="","",IFERROR(ROUND(SUM(E$92,E$70)*$E76/(1-SUM($D$73:$D$78,E$76)),2),""))</f>
        <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t="str">
        <f>IF(E$3="","",IFERROR(ROUND(SUM(E$92,E$70)*$D78/(1-SUM($D$73:$D$78,E$76)),2),""))</f>
        <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t="str">
        <f>IF(E4="","",SUM(E73:E74,E77:E78))</f>
        <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t="str">
        <f>IF(E$3="","",SUM(E79,E70))</f>
        <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t="str">
        <f>IFERROR(ROUND(E34*(1+E93/E92),2)/E5,"")</f>
        <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02"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792"/>
      <c r="C88" s="338" t="s">
        <v>450</v>
      </c>
      <c r="D88" s="438"/>
      <c r="E88" s="460"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793"/>
      <c r="C89" s="306"/>
      <c r="D89" s="458" t="s">
        <v>41</v>
      </c>
      <c r="E89" s="459" t="str">
        <f>IFERROR(ROUND(SUM(E52,E63)*(1+E93/E92),2)/E88,"")</f>
        <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t="str">
        <f>IF(E3="","",ROUND(SUM(E63,E52,E34),2))</f>
        <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t="str">
        <f>IFERROR(ROUND(E81,2),"")</f>
        <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t="str">
        <f>IF(E3="","",IFERROR(SUM(E92:E93),2))</f>
        <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t="str">
        <f>IF(E$3="","",ROUND(E92*E$4,2))</f>
        <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t="str">
        <f>IF(E$3="","",ROUND(E93*E$4,2))</f>
        <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t="str">
        <f>IF(E$3="","",ROUND(E94*E$4,2))</f>
        <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t="str">
        <f>IF(E3="","",IFERROR(ROUND(E99*Proposta!$J$6,2),""))</f>
        <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783" t="str">
        <f>CONCATENATE("PREFEITURA MUNICIPAL DE PORTO ALEGRE
",D5,"
FORMAÇÃO DE PREÇOS DE REFERÊNCIA - CESSÃO DE MÃO DE OBRA")</f>
        <v>PREFEITURA MUNICIPAL DE PORTO ALEGRE
FORMAÇÃO DE PREÇOS DE REFERÊNCIA - CESSÃO DE MÃO DE OBRA</v>
      </c>
      <c r="B2" s="784"/>
      <c r="C2" s="784"/>
      <c r="D2" s="784"/>
      <c r="E2" s="784"/>
      <c r="F2" s="784"/>
      <c r="G2" s="784"/>
      <c r="H2" s="784"/>
      <c r="I2" s="785"/>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787"/>
      <c r="E5" s="787"/>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788"/>
      <c r="E6" s="788"/>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788"/>
      <c r="E7" s="788"/>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787"/>
      <c r="E8" s="787"/>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786"/>
      <c r="E9" s="786"/>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797"/>
      <c r="E10" s="797"/>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798"/>
      <c r="E11" s="798"/>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04">
        <f>'Mão de Obra'!D12</f>
        <v>12</v>
      </c>
      <c r="E12" s="804"/>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798" t="s">
        <v>59</v>
      </c>
      <c r="E13" s="798"/>
    </row>
    <row r="14" spans="1:53">
      <c r="B14" s="116" t="s">
        <v>140</v>
      </c>
      <c r="C14" s="117" t="s">
        <v>267</v>
      </c>
      <c r="D14" s="805"/>
      <c r="E14" s="805"/>
    </row>
    <row r="15" spans="1:53">
      <c r="B15" s="116" t="s">
        <v>229</v>
      </c>
      <c r="C15" s="117" t="s">
        <v>316</v>
      </c>
      <c r="D15" s="806">
        <f>'Mão de Obra'!D15:E15</f>
        <v>1621</v>
      </c>
      <c r="E15" s="807"/>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789" t="s">
        <v>1</v>
      </c>
      <c r="C33" s="226" t="s">
        <v>185</v>
      </c>
      <c r="D33" s="170"/>
      <c r="E33" s="244"/>
      <c r="F33" s="244"/>
      <c r="G33" s="244"/>
      <c r="H33" s="244"/>
      <c r="I33" s="244"/>
    </row>
    <row r="34" spans="1:9">
      <c r="A34" s="86"/>
      <c r="B34" s="790"/>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791"/>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792" t="s">
        <v>0</v>
      </c>
      <c r="C36" s="224" t="s">
        <v>186</v>
      </c>
      <c r="D36" s="225"/>
      <c r="E36" s="235"/>
      <c r="F36" s="235"/>
      <c r="G36" s="235"/>
      <c r="H36" s="235"/>
      <c r="I36" s="235"/>
    </row>
    <row r="37" spans="1:9">
      <c r="A37" s="86"/>
      <c r="B37" s="792"/>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792"/>
      <c r="C38" s="103" t="s">
        <v>91</v>
      </c>
      <c r="D38" s="93"/>
      <c r="E38" s="247">
        <v>0.4</v>
      </c>
      <c r="F38" s="247">
        <v>0.2</v>
      </c>
      <c r="G38" s="247"/>
      <c r="H38" s="247"/>
      <c r="I38" s="247" t="str">
        <f>IFERROR(VLOOKUP(I$18,'Apoio - Posto'!$A:$AA,13,FALSE),"")</f>
        <v/>
      </c>
    </row>
    <row r="39" spans="1:9">
      <c r="A39" s="86"/>
      <c r="B39" s="793"/>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789" t="s">
        <v>3</v>
      </c>
      <c r="C40" s="226" t="s">
        <v>81</v>
      </c>
      <c r="D40" s="141"/>
      <c r="E40" s="236"/>
      <c r="F40" s="236"/>
      <c r="G40" s="236"/>
      <c r="H40" s="236"/>
      <c r="I40" s="236"/>
    </row>
    <row r="41" spans="1:9">
      <c r="A41" s="231"/>
      <c r="B41" s="790"/>
      <c r="C41" s="232" t="s">
        <v>91</v>
      </c>
      <c r="D41" s="142"/>
      <c r="E41" s="233"/>
      <c r="F41" s="233">
        <v>0.2</v>
      </c>
      <c r="G41" s="233"/>
      <c r="H41" s="233">
        <v>0.2</v>
      </c>
      <c r="I41" s="233"/>
    </row>
    <row r="42" spans="1:9">
      <c r="A42" s="231"/>
      <c r="B42" s="791"/>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792" t="s">
        <v>7</v>
      </c>
      <c r="C43" s="230" t="s">
        <v>60</v>
      </c>
      <c r="D43" s="229"/>
      <c r="E43" s="237"/>
      <c r="F43" s="237"/>
      <c r="G43" s="237"/>
      <c r="H43" s="237"/>
      <c r="I43" s="237"/>
    </row>
    <row r="44" spans="1:9">
      <c r="A44" s="86"/>
      <c r="B44" s="792"/>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792"/>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793"/>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794" t="s">
        <v>6</v>
      </c>
      <c r="C47" s="135" t="s">
        <v>139</v>
      </c>
      <c r="D47" s="141"/>
      <c r="E47" s="238"/>
      <c r="F47" s="238"/>
      <c r="G47" s="238"/>
      <c r="H47" s="238"/>
      <c r="I47" s="238"/>
    </row>
    <row r="48" spans="1:9">
      <c r="A48" s="130"/>
      <c r="B48" s="795"/>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796"/>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02" t="s">
        <v>5</v>
      </c>
      <c r="C50" s="160" t="s">
        <v>149</v>
      </c>
      <c r="D50" s="141"/>
      <c r="E50" s="236"/>
      <c r="F50" s="236"/>
      <c r="G50" s="236"/>
      <c r="H50" s="236"/>
      <c r="I50" s="236"/>
    </row>
    <row r="51" spans="1:53">
      <c r="A51" s="86"/>
      <c r="B51" s="792"/>
      <c r="C51" s="102" t="s">
        <v>91</v>
      </c>
      <c r="D51" s="158"/>
      <c r="E51" s="159"/>
      <c r="F51" s="159"/>
      <c r="G51" s="159"/>
      <c r="H51" s="159"/>
      <c r="I51" s="159"/>
    </row>
    <row r="52" spans="1:53">
      <c r="A52" s="86"/>
      <c r="B52" s="792"/>
      <c r="C52" s="103" t="s">
        <v>20</v>
      </c>
      <c r="D52" s="143"/>
      <c r="E52" s="150"/>
      <c r="F52" s="150"/>
      <c r="G52" s="150"/>
      <c r="H52" s="150"/>
      <c r="I52" s="150"/>
    </row>
    <row r="53" spans="1:53">
      <c r="A53" s="86"/>
      <c r="B53" s="793"/>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794" t="s">
        <v>4</v>
      </c>
      <c r="C54" s="135" t="s">
        <v>82</v>
      </c>
      <c r="D54" s="141"/>
      <c r="E54" s="239"/>
      <c r="F54" s="239"/>
      <c r="G54" s="239"/>
      <c r="H54" s="239"/>
      <c r="I54" s="239"/>
    </row>
    <row r="55" spans="1:53">
      <c r="A55" s="86"/>
      <c r="B55" s="795"/>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795"/>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795"/>
      <c r="C57" s="162" t="s">
        <v>138</v>
      </c>
      <c r="D57" s="144"/>
      <c r="E57" s="420">
        <f>IF(E21="","",IFERROR(E$59*20%,""))</f>
        <v>0</v>
      </c>
      <c r="F57" s="420">
        <f>IF(F21="","",IFERROR(F$59*20%,""))</f>
        <v>0</v>
      </c>
      <c r="G57" s="420">
        <f>IF(G21="","",IFERROR(G$59*20%,""))</f>
        <v>0</v>
      </c>
      <c r="H57" s="420">
        <f>IF(H21="","",IFERROR(H$59*20%,""))</f>
        <v>0</v>
      </c>
      <c r="I57" s="383" t="str">
        <f>IF(I21="","",IFERROR(ROUND(I$59*20%,2),""))</f>
        <v/>
      </c>
    </row>
    <row r="58" spans="1:53">
      <c r="A58" s="86"/>
      <c r="B58" s="796"/>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799" t="s">
        <v>5</v>
      </c>
      <c r="C78" s="655" t="str">
        <f>CONCATENATE("GILL/RAT (RAT ",D79," x FAP ",D80,")")</f>
        <v>GILL/RAT (RAT 0,03 x FAP 1)</v>
      </c>
      <c r="D78" s="656"/>
      <c r="E78" s="238"/>
      <c r="F78" s="421"/>
      <c r="G78" s="421"/>
      <c r="H78" s="238"/>
      <c r="I78" s="138"/>
    </row>
    <row r="79" spans="1:53">
      <c r="A79" s="74"/>
      <c r="B79" s="800"/>
      <c r="C79" s="657" t="s">
        <v>47</v>
      </c>
      <c r="D79" s="167">
        <f>VLOOKUP(C79,'Apoio - Notas Explicativas'!$C:$Q,14,FALSE)</f>
        <v>0.03</v>
      </c>
      <c r="E79" s="422"/>
      <c r="F79" s="422"/>
      <c r="G79" s="422"/>
      <c r="H79" s="454"/>
      <c r="I79" s="167"/>
    </row>
    <row r="80" spans="1:53">
      <c r="A80" s="74"/>
      <c r="B80" s="803"/>
      <c r="C80" s="658" t="s">
        <v>42</v>
      </c>
      <c r="D80" s="300">
        <f>VLOOKUP(C80,'Apoio - Notas Explicativas'!$C:$Q,14,FALSE)</f>
        <v>1</v>
      </c>
      <c r="E80" s="423"/>
      <c r="F80" s="423"/>
      <c r="G80" s="423"/>
      <c r="H80" s="423"/>
      <c r="I80" s="168"/>
    </row>
    <row r="81" spans="1:53">
      <c r="A81" s="74"/>
      <c r="B81" s="801"/>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799"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00"/>
      <c r="C87" s="164" t="s">
        <v>87</v>
      </c>
      <c r="D87" s="212"/>
      <c r="E87" s="416">
        <v>5</v>
      </c>
      <c r="F87" s="416">
        <v>5</v>
      </c>
      <c r="G87" s="416">
        <v>5</v>
      </c>
      <c r="H87" s="416">
        <v>5</v>
      </c>
      <c r="I87" s="196" t="str">
        <f>IF(I18="","",4.8)</f>
        <v/>
      </c>
    </row>
    <row r="88" spans="1:53">
      <c r="A88" s="74"/>
      <c r="B88" s="800"/>
      <c r="C88" s="103" t="s">
        <v>108</v>
      </c>
      <c r="D88" s="213"/>
      <c r="E88" s="198">
        <f>IF(E18="","",2)</f>
        <v>2</v>
      </c>
      <c r="F88" s="198">
        <f>IF(F18="","",2)</f>
        <v>2</v>
      </c>
      <c r="G88" s="198">
        <f>IF(G18="","",2)</f>
        <v>2</v>
      </c>
      <c r="H88" s="198">
        <f>IF(H18="","",2)</f>
        <v>2</v>
      </c>
      <c r="I88" s="198" t="str">
        <f>IF(I18="","",2)</f>
        <v/>
      </c>
    </row>
    <row r="89" spans="1:53">
      <c r="A89" s="74"/>
      <c r="B89" s="800"/>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00"/>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01"/>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799" t="s">
        <v>1</v>
      </c>
      <c r="C92" s="193" t="s">
        <v>23</v>
      </c>
      <c r="D92" s="216"/>
      <c r="E92" s="241"/>
      <c r="F92" s="241"/>
      <c r="G92" s="241"/>
      <c r="H92" s="241"/>
      <c r="I92" s="241"/>
    </row>
    <row r="93" spans="1:53">
      <c r="A93" s="74"/>
      <c r="B93" s="800"/>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00"/>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00"/>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01"/>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799" t="s">
        <v>0</v>
      </c>
      <c r="C97" s="160" t="s">
        <v>25</v>
      </c>
      <c r="D97" s="216"/>
      <c r="E97" s="242"/>
      <c r="F97" s="242"/>
      <c r="G97" s="242"/>
      <c r="H97" s="242"/>
      <c r="I97" s="242"/>
    </row>
    <row r="98" spans="1:54">
      <c r="A98" s="74"/>
      <c r="B98" s="800"/>
      <c r="C98" s="195" t="s">
        <v>26</v>
      </c>
      <c r="D98" s="217"/>
      <c r="E98" s="206"/>
      <c r="F98" s="206"/>
      <c r="G98" s="206"/>
      <c r="H98" s="206"/>
      <c r="I98" s="206"/>
    </row>
    <row r="99" spans="1:54">
      <c r="A99" s="74"/>
      <c r="B99" s="800"/>
      <c r="C99" s="197" t="s">
        <v>273</v>
      </c>
      <c r="D99" s="214"/>
      <c r="E99" s="95"/>
      <c r="F99" s="95"/>
      <c r="G99" s="95"/>
      <c r="H99" s="95"/>
      <c r="I99" s="95"/>
    </row>
    <row r="100" spans="1:54">
      <c r="A100" s="74"/>
      <c r="B100" s="801"/>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799" t="s">
        <v>6</v>
      </c>
      <c r="C103" s="193" t="s">
        <v>29</v>
      </c>
      <c r="D103" s="186"/>
      <c r="E103" s="241"/>
      <c r="F103" s="241"/>
      <c r="G103" s="241"/>
      <c r="H103" s="241"/>
      <c r="I103" s="241"/>
    </row>
    <row r="104" spans="1:54">
      <c r="A104" s="74"/>
      <c r="B104" s="800"/>
      <c r="C104" s="201" t="s">
        <v>26</v>
      </c>
      <c r="D104" s="218"/>
      <c r="E104" s="202"/>
      <c r="F104" s="202"/>
      <c r="G104" s="202"/>
      <c r="H104" s="202"/>
      <c r="I104" s="202"/>
    </row>
    <row r="105" spans="1:54">
      <c r="A105" s="74"/>
      <c r="B105" s="800"/>
      <c r="C105" s="203" t="s">
        <v>109</v>
      </c>
      <c r="D105" s="210"/>
      <c r="E105" s="205"/>
      <c r="F105" s="205"/>
      <c r="G105" s="205"/>
      <c r="H105" s="205"/>
      <c r="I105" s="205"/>
    </row>
    <row r="106" spans="1:54">
      <c r="A106" s="74"/>
      <c r="B106" s="801"/>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799" t="s">
        <v>4</v>
      </c>
      <c r="C108" s="695" t="s">
        <v>114</v>
      </c>
      <c r="D108" s="186"/>
      <c r="E108" s="238"/>
      <c r="F108" s="238"/>
      <c r="G108" s="238"/>
      <c r="H108" s="238"/>
      <c r="I108" s="238"/>
    </row>
    <row r="109" spans="1:54">
      <c r="A109" s="74"/>
      <c r="B109" s="800"/>
      <c r="C109" s="649" t="s">
        <v>272</v>
      </c>
      <c r="D109" s="650"/>
      <c r="E109" s="418"/>
      <c r="F109" s="418"/>
      <c r="G109" s="418"/>
      <c r="H109" s="418"/>
      <c r="I109" s="418"/>
    </row>
    <row r="110" spans="1:54">
      <c r="A110" s="74"/>
      <c r="B110" s="800"/>
      <c r="C110" s="651" t="s">
        <v>273</v>
      </c>
      <c r="D110" s="652"/>
      <c r="E110" s="642"/>
      <c r="F110" s="642"/>
      <c r="G110" s="642"/>
      <c r="H110" s="642"/>
      <c r="I110" s="642"/>
    </row>
    <row r="111" spans="1:54">
      <c r="A111" s="74"/>
      <c r="B111" s="801"/>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3"/>
      <c r="K112" s="293"/>
      <c r="L112" s="293"/>
      <c r="M112" s="293"/>
      <c r="N112" s="293"/>
      <c r="O112" s="293"/>
      <c r="P112" s="293"/>
      <c r="Q112" s="293"/>
      <c r="R112" s="293"/>
      <c r="S112" s="293"/>
      <c r="T112" s="293"/>
      <c r="U112" s="293"/>
      <c r="V112" s="293"/>
      <c r="W112" s="293"/>
      <c r="X112" s="293"/>
      <c r="Y112" s="293"/>
      <c r="Z112" s="293"/>
      <c r="AA112" s="293"/>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2">
        <f>IF(G21="","",IFERROR(SUM(G112,G83,G69),""))</f>
        <v>2444.0526019999998</v>
      </c>
      <c r="H114" s="155">
        <f>IF(H21="","",IFERROR(SUM(H112,H83,H69),""))</f>
        <v>2728.5677099999998</v>
      </c>
      <c r="I114" s="156" t="str">
        <f>IF(I21="","",IFERROR(SUM(I112,I83,I69),""))</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s="6" customFormat="1">
      <c r="B115" s="7"/>
      <c r="C115" s="7"/>
      <c r="D115" s="7"/>
      <c r="E115" s="8"/>
      <c r="F115" s="8"/>
      <c r="G115" s="8"/>
      <c r="H115" s="8"/>
      <c r="I115" s="8"/>
      <c r="J115" s="295"/>
      <c r="K115" s="295"/>
      <c r="L115" s="295"/>
      <c r="M115" s="295"/>
      <c r="N115" s="295"/>
      <c r="O115" s="295"/>
      <c r="P115" s="295"/>
      <c r="Q115" s="295"/>
      <c r="R115" s="295"/>
      <c r="S115" s="295"/>
      <c r="T115" s="295"/>
      <c r="U115" s="295"/>
      <c r="V115" s="295"/>
      <c r="W115" s="295"/>
      <c r="X115" s="295"/>
      <c r="Y115" s="295"/>
      <c r="Z115" s="295"/>
      <c r="AA115" s="295"/>
      <c r="AB115" s="295"/>
      <c r="AC115" s="295"/>
      <c r="AD115" s="295"/>
      <c r="AE115" s="295"/>
      <c r="AF115" s="295"/>
      <c r="AG115" s="295"/>
      <c r="AH115" s="295"/>
      <c r="AI115" s="295"/>
      <c r="AJ115" s="295"/>
      <c r="AK115" s="295"/>
      <c r="AL115" s="295"/>
      <c r="AM115" s="295"/>
      <c r="AN115" s="295"/>
      <c r="AO115" s="295"/>
      <c r="AP115" s="295"/>
      <c r="AQ115" s="295"/>
      <c r="AR115" s="295"/>
      <c r="AS115" s="295"/>
      <c r="AT115" s="295"/>
      <c r="AU115" s="295"/>
      <c r="AV115" s="295"/>
      <c r="AW115" s="295"/>
      <c r="AX115" s="295"/>
      <c r="AY115" s="295"/>
      <c r="AZ115" s="295"/>
      <c r="BA115" s="295"/>
    </row>
    <row r="116" spans="1:53" s="6" customFormat="1">
      <c r="A116" s="74"/>
      <c r="B116" s="89"/>
      <c r="C116" s="90" t="s">
        <v>127</v>
      </c>
      <c r="D116" s="91"/>
      <c r="E116" s="369"/>
      <c r="F116" s="451"/>
      <c r="G116" s="369"/>
      <c r="H116" s="369"/>
      <c r="I116" s="369"/>
      <c r="J116" s="295"/>
      <c r="K116" s="295"/>
      <c r="L116" s="295"/>
      <c r="M116" s="295"/>
      <c r="N116" s="295"/>
      <c r="O116" s="295"/>
      <c r="P116" s="295"/>
      <c r="Q116" s="295"/>
      <c r="R116" s="295"/>
      <c r="S116" s="295"/>
      <c r="T116" s="295"/>
      <c r="U116" s="295"/>
      <c r="V116" s="295"/>
      <c r="W116" s="295"/>
      <c r="X116" s="295"/>
      <c r="Y116" s="295"/>
      <c r="Z116" s="295"/>
      <c r="AA116" s="295"/>
      <c r="AB116" s="295"/>
      <c r="AC116" s="295"/>
      <c r="AD116" s="295"/>
      <c r="AE116" s="295"/>
      <c r="AF116" s="295"/>
      <c r="AG116" s="295"/>
      <c r="AH116" s="295"/>
      <c r="AI116" s="295"/>
      <c r="AJ116" s="295"/>
      <c r="AK116" s="295"/>
      <c r="AL116" s="295"/>
      <c r="AM116" s="295"/>
      <c r="AN116" s="295"/>
      <c r="AO116" s="295"/>
      <c r="AP116" s="295"/>
      <c r="AQ116" s="295"/>
      <c r="AR116" s="295"/>
      <c r="AS116" s="295"/>
      <c r="AT116" s="295"/>
      <c r="AU116" s="295"/>
      <c r="AV116" s="295"/>
      <c r="AW116" s="295"/>
      <c r="AX116" s="295"/>
      <c r="AY116" s="295"/>
      <c r="AZ116" s="295"/>
      <c r="BA116" s="295"/>
    </row>
    <row r="117" spans="1:53" s="13" customFormat="1">
      <c r="A117" s="77"/>
      <c r="B117" s="87" t="s">
        <v>2</v>
      </c>
      <c r="C117" s="88" t="s">
        <v>221</v>
      </c>
      <c r="D117" s="406">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6">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6">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6">
        <f>INDEX('Apoio - Notas Explicativas'!Q:Q,MATCH(C120,'Apoio - Notas Explicativas'!C:C,0))</f>
        <v>1.9199999999999998E-2</v>
      </c>
      <c r="E120" s="99">
        <f t="shared" si="14"/>
        <v>47.466316799999987</v>
      </c>
      <c r="F120" s="99">
        <f t="shared" si="15"/>
        <v>47.466316800000001</v>
      </c>
      <c r="G120" s="99">
        <f t="shared" si="15"/>
        <v>56.005497599999991</v>
      </c>
      <c r="H120" s="99">
        <f t="shared" si="15"/>
        <v>64.62172799999999</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6">
        <f>INDEX('Apoio - Notas Explicativas'!Q:Q,MATCH(C121,'Apoio - Notas Explicativas'!C:C,0))</f>
        <v>7.1000000000000004E-3</v>
      </c>
      <c r="E121" s="99">
        <f t="shared" si="14"/>
        <v>17.552648399999999</v>
      </c>
      <c r="F121" s="99">
        <f t="shared" si="15"/>
        <v>17.552648400000002</v>
      </c>
      <c r="G121" s="99">
        <f t="shared" si="15"/>
        <v>20.7103663</v>
      </c>
      <c r="H121" s="99">
        <f t="shared" si="15"/>
        <v>23.896576500000002</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6">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175.27926359999998</v>
      </c>
      <c r="F123" s="155">
        <f t="shared" ref="F123:H123" si="17">IF(SUM(F117:F122)=0,"",SUM(F117:F122))</f>
        <v>175.27926360000004</v>
      </c>
      <c r="G123" s="155">
        <f t="shared" si="17"/>
        <v>206.8119677</v>
      </c>
      <c r="H123" s="155">
        <f t="shared" si="17"/>
        <v>238.62919349999999</v>
      </c>
      <c r="I123" s="156" t="str">
        <f>IF(SUM(I117:I122)=0,"",SUM(I117:I122))</f>
        <v/>
      </c>
      <c r="J123" s="293"/>
      <c r="K123" s="293"/>
      <c r="L123" s="293"/>
      <c r="M123" s="293"/>
      <c r="N123" s="293"/>
      <c r="O123" s="293"/>
      <c r="P123" s="293"/>
      <c r="Q123" s="293"/>
      <c r="R123" s="293"/>
      <c r="S123" s="293"/>
      <c r="T123" s="293"/>
      <c r="U123" s="293"/>
      <c r="V123" s="293"/>
      <c r="W123" s="293"/>
      <c r="X123" s="293"/>
      <c r="Y123" s="293"/>
      <c r="Z123" s="293"/>
      <c r="AA123" s="293"/>
      <c r="AB123" s="293"/>
      <c r="AC123" s="293"/>
      <c r="AD123" s="293"/>
      <c r="AE123" s="293"/>
      <c r="AF123" s="293"/>
      <c r="AG123" s="293"/>
      <c r="AH123" s="293"/>
      <c r="AI123" s="293"/>
      <c r="AJ123" s="293"/>
      <c r="AK123" s="293"/>
      <c r="AL123" s="293"/>
      <c r="AM123" s="293"/>
      <c r="AN123" s="293"/>
      <c r="AO123" s="293"/>
      <c r="AP123" s="293"/>
      <c r="AQ123" s="293"/>
      <c r="AR123" s="293"/>
      <c r="AS123" s="293"/>
      <c r="AT123" s="293"/>
      <c r="AU123" s="293"/>
      <c r="AV123" s="293"/>
      <c r="AW123" s="293"/>
      <c r="AX123" s="293"/>
      <c r="AY123" s="293"/>
      <c r="AZ123" s="293"/>
      <c r="BA123" s="293"/>
    </row>
    <row r="124" spans="1:53" s="18" customFormat="1">
      <c r="A124" s="17"/>
      <c r="D124" s="14"/>
      <c r="E124" s="19"/>
      <c r="F124" s="19"/>
      <c r="G124" s="19"/>
      <c r="H124" s="19"/>
      <c r="I124" s="19"/>
      <c r="J124" s="296"/>
      <c r="K124" s="296"/>
      <c r="L124" s="296"/>
      <c r="M124" s="296"/>
      <c r="N124" s="296"/>
      <c r="O124" s="296"/>
      <c r="P124" s="296"/>
      <c r="Q124" s="296"/>
      <c r="R124" s="296"/>
      <c r="S124" s="296"/>
      <c r="T124" s="296"/>
      <c r="U124" s="296"/>
      <c r="V124" s="296"/>
      <c r="W124" s="296"/>
      <c r="X124" s="296"/>
      <c r="Y124" s="296"/>
      <c r="Z124" s="296"/>
      <c r="AA124" s="296"/>
      <c r="AB124" s="296"/>
      <c r="AC124" s="296"/>
      <c r="AD124" s="296"/>
      <c r="AE124" s="296"/>
      <c r="AF124" s="296"/>
      <c r="AG124" s="296"/>
      <c r="AH124" s="296"/>
      <c r="AI124" s="296"/>
      <c r="AJ124" s="296"/>
      <c r="AK124" s="296"/>
      <c r="AL124" s="296"/>
      <c r="AM124" s="296"/>
      <c r="AN124" s="296"/>
      <c r="AO124" s="296"/>
      <c r="AP124" s="296"/>
      <c r="AQ124" s="296"/>
      <c r="AR124" s="296"/>
      <c r="AS124" s="296"/>
      <c r="AT124" s="296"/>
      <c r="AU124" s="296"/>
      <c r="AV124" s="296"/>
      <c r="AW124" s="296"/>
      <c r="AX124" s="296"/>
      <c r="AY124" s="296"/>
      <c r="AZ124" s="296"/>
      <c r="BA124" s="296"/>
    </row>
    <row r="125" spans="1:53" s="6" customFormat="1">
      <c r="A125" s="74"/>
      <c r="B125" s="89"/>
      <c r="C125" s="90" t="s">
        <v>128</v>
      </c>
      <c r="D125" s="91"/>
      <c r="E125" s="369"/>
      <c r="F125" s="369"/>
      <c r="G125" s="369"/>
      <c r="H125" s="369"/>
      <c r="I125" s="369"/>
      <c r="J125" s="295"/>
      <c r="K125" s="295"/>
      <c r="L125" s="295"/>
      <c r="M125" s="295"/>
      <c r="N125" s="295"/>
      <c r="O125" s="295"/>
      <c r="P125" s="295"/>
      <c r="Q125" s="295"/>
      <c r="R125" s="295"/>
      <c r="S125" s="295"/>
      <c r="T125" s="295"/>
      <c r="U125" s="295"/>
      <c r="V125" s="295"/>
      <c r="W125" s="295"/>
      <c r="X125" s="295"/>
      <c r="Y125" s="295"/>
      <c r="Z125" s="295"/>
      <c r="AA125" s="295"/>
      <c r="AB125" s="295"/>
      <c r="AC125" s="295"/>
      <c r="AD125" s="295"/>
      <c r="AE125" s="295"/>
      <c r="AF125" s="295"/>
      <c r="AG125" s="295"/>
      <c r="AH125" s="295"/>
      <c r="AI125" s="295"/>
      <c r="AJ125" s="295"/>
      <c r="AK125" s="295"/>
      <c r="AL125" s="295"/>
      <c r="AM125" s="295"/>
      <c r="AN125" s="295"/>
      <c r="AO125" s="295"/>
      <c r="AP125" s="295"/>
      <c r="AQ125" s="295"/>
      <c r="AR125" s="295"/>
      <c r="AS125" s="295"/>
      <c r="AT125" s="295"/>
      <c r="AU125" s="295"/>
      <c r="AV125" s="295"/>
      <c r="AW125" s="295"/>
      <c r="AX125" s="295"/>
      <c r="AY125" s="295"/>
      <c r="AZ125" s="295"/>
      <c r="BA125" s="295"/>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s="13" customFormat="1">
      <c r="A128" s="78"/>
      <c r="B128" s="87" t="s">
        <v>2</v>
      </c>
      <c r="C128" s="88" t="s">
        <v>35</v>
      </c>
      <c r="D128" s="406">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6">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6">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6">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6">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6">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6">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3">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3">
        <f>INDEX('Apoio - Notas Explicativas'!$Q:$Q,MATCH(C136,'Apoio - Notas Explicativas'!$C:$C,0))</f>
        <v>37.96</v>
      </c>
      <c r="E136" s="99">
        <f>IFERROR(((((E$123/12)*$D$136))/30),"")</f>
        <v>18.48222457293333</v>
      </c>
      <c r="F136" s="137">
        <f t="shared" ref="F136:H136" si="24">IFERROR(((((F$123/12)*$D$136))/30),"")</f>
        <v>18.482224572933337</v>
      </c>
      <c r="G136" s="137">
        <f t="shared" si="24"/>
        <v>21.807173038588889</v>
      </c>
      <c r="H136" s="137">
        <f t="shared" si="24"/>
        <v>25.162122736833336</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168.6708735930336</v>
      </c>
      <c r="F137" s="174">
        <f t="shared" ref="F137:H137" si="25">IF(SUM(F128:F136)=0,"",SUM(F128:F136))</f>
        <v>168.67087359303366</v>
      </c>
      <c r="G137" s="176">
        <f t="shared" si="25"/>
        <v>198.5306297042757</v>
      </c>
      <c r="H137" s="174">
        <f t="shared" si="25"/>
        <v>228.65981239382236</v>
      </c>
      <c r="I137" s="174" t="str">
        <f>IF(SUM(I128:I136)=0,"",SUM(I128:I136))</f>
        <v/>
      </c>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5"/>
      <c r="K139" s="295"/>
      <c r="L139" s="295"/>
      <c r="M139" s="295"/>
      <c r="N139" s="295"/>
      <c r="O139" s="295"/>
      <c r="P139" s="295"/>
      <c r="Q139" s="295"/>
      <c r="R139" s="295"/>
      <c r="S139" s="295"/>
      <c r="T139" s="295"/>
      <c r="U139" s="295"/>
      <c r="V139" s="295"/>
      <c r="W139" s="295"/>
      <c r="X139" s="295"/>
      <c r="Y139" s="295"/>
      <c r="Z139" s="295"/>
      <c r="AA139" s="295"/>
      <c r="AB139" s="295"/>
      <c r="AC139" s="295"/>
      <c r="AD139" s="295"/>
      <c r="AE139" s="295"/>
      <c r="AF139" s="295"/>
      <c r="AG139" s="295"/>
      <c r="AH139" s="295"/>
      <c r="AI139" s="295"/>
      <c r="AJ139" s="295"/>
      <c r="AK139" s="295"/>
      <c r="AL139" s="295"/>
      <c r="AM139" s="295"/>
      <c r="AN139" s="295"/>
      <c r="AO139" s="295"/>
      <c r="AP139" s="295"/>
      <c r="AQ139" s="295"/>
      <c r="AR139" s="295"/>
      <c r="AS139" s="295"/>
      <c r="AT139" s="295"/>
      <c r="AU139" s="295"/>
      <c r="AV139" s="295"/>
      <c r="AW139" s="295"/>
      <c r="AX139" s="295"/>
      <c r="AY139" s="295"/>
      <c r="AZ139" s="295"/>
      <c r="BA139" s="295"/>
    </row>
    <row r="140" spans="1:53" s="13" customFormat="1">
      <c r="A140" s="79"/>
      <c r="B140" s="799"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800"/>
      <c r="C141" s="136" t="s">
        <v>277</v>
      </c>
      <c r="D141" s="179"/>
      <c r="E141" s="180"/>
      <c r="F141" s="180"/>
      <c r="G141" s="180"/>
      <c r="H141" s="180"/>
      <c r="I141" s="181"/>
    </row>
    <row r="142" spans="1:53" s="24" customFormat="1">
      <c r="A142" s="79"/>
      <c r="B142" s="800"/>
      <c r="C142" s="136" t="s">
        <v>694</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801"/>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3"/>
      <c r="K144" s="293"/>
      <c r="L144" s="293"/>
      <c r="M144" s="293"/>
      <c r="N144" s="293"/>
      <c r="O144" s="293"/>
      <c r="P144" s="293"/>
      <c r="Q144" s="293"/>
      <c r="R144" s="293"/>
      <c r="S144" s="293"/>
      <c r="T144" s="293"/>
      <c r="U144" s="293"/>
      <c r="V144" s="293"/>
      <c r="W144" s="293"/>
      <c r="X144" s="293"/>
      <c r="Y144" s="293"/>
      <c r="Z144" s="293"/>
      <c r="AA144" s="293"/>
      <c r="AB144" s="293"/>
      <c r="AC144" s="293"/>
      <c r="AD144" s="293"/>
      <c r="AE144" s="293"/>
      <c r="AF144" s="293"/>
      <c r="AG144" s="293"/>
      <c r="AH144" s="293"/>
      <c r="AI144" s="293"/>
      <c r="AJ144" s="293"/>
      <c r="AK144" s="293"/>
      <c r="AL144" s="293"/>
      <c r="AM144" s="293"/>
      <c r="AN144" s="293"/>
      <c r="AO144" s="293"/>
      <c r="AP144" s="293"/>
      <c r="AQ144" s="293"/>
      <c r="AR144" s="293"/>
      <c r="AS144" s="293"/>
      <c r="AT144" s="293"/>
      <c r="AU144" s="293"/>
      <c r="AV144" s="293"/>
      <c r="AW144" s="293"/>
      <c r="AX144" s="293"/>
      <c r="AY144" s="293"/>
      <c r="AZ144" s="293"/>
      <c r="BA144" s="293"/>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168.6708735930336</v>
      </c>
      <c r="F146" s="155">
        <f t="shared" ref="F146:H146" si="28">IF(F144="",F137,SUM(F144,F137))</f>
        <v>168.67087359303366</v>
      </c>
      <c r="G146" s="154">
        <f t="shared" si="28"/>
        <v>198.5306297042757</v>
      </c>
      <c r="H146" s="452">
        <f t="shared" si="28"/>
        <v>228.65981239382236</v>
      </c>
      <c r="I146" s="156" t="str">
        <f>IF(I144="",I137,SUM(I144,I137))</f>
        <v/>
      </c>
      <c r="J146" s="45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s="5" customFormat="1">
      <c r="B147" s="85"/>
      <c r="C147" s="15"/>
      <c r="D147" s="16"/>
      <c r="E147" s="15"/>
      <c r="F147" s="15"/>
      <c r="G147" s="15"/>
      <c r="H147" s="15"/>
      <c r="I147" s="15"/>
      <c r="J147" s="293"/>
      <c r="K147" s="293"/>
      <c r="L147" s="293"/>
      <c r="M147" s="293"/>
      <c r="N147" s="293"/>
      <c r="O147" s="293"/>
      <c r="P147" s="293"/>
      <c r="Q147" s="293"/>
      <c r="R147" s="293"/>
      <c r="S147" s="293"/>
      <c r="T147" s="293"/>
      <c r="U147" s="293"/>
      <c r="V147" s="293"/>
      <c r="W147" s="293"/>
      <c r="X147" s="293"/>
      <c r="Y147" s="293"/>
      <c r="Z147" s="293"/>
      <c r="AA147" s="293"/>
      <c r="AB147" s="293"/>
      <c r="AC147" s="293"/>
      <c r="AD147" s="293"/>
      <c r="AE147" s="293"/>
      <c r="AF147" s="293"/>
      <c r="AG147" s="293"/>
      <c r="AH147" s="293"/>
      <c r="AI147" s="293"/>
      <c r="AJ147" s="293"/>
      <c r="AK147" s="293"/>
      <c r="AL147" s="293"/>
      <c r="AM147" s="293"/>
      <c r="AN147" s="293"/>
      <c r="AO147" s="293"/>
      <c r="AP147" s="293"/>
      <c r="AQ147" s="293"/>
      <c r="AR147" s="293"/>
      <c r="AS147" s="293"/>
      <c r="AT147" s="293"/>
      <c r="AU147" s="293"/>
      <c r="AV147" s="293"/>
      <c r="AW147" s="293"/>
      <c r="AX147" s="293"/>
      <c r="AY147" s="293"/>
      <c r="AZ147" s="293"/>
      <c r="BA147" s="293"/>
    </row>
    <row r="148" spans="1:53" s="6" customFormat="1">
      <c r="A148" s="74"/>
      <c r="B148" s="89"/>
      <c r="C148" s="90" t="s">
        <v>490</v>
      </c>
      <c r="D148" s="91"/>
      <c r="E148" s="369"/>
      <c r="F148" s="369"/>
      <c r="G148" s="369"/>
      <c r="H148" s="369"/>
      <c r="I148" s="369"/>
      <c r="J148" s="295"/>
      <c r="K148" s="295"/>
      <c r="L148" s="295"/>
      <c r="M148" s="295"/>
      <c r="N148" s="295"/>
      <c r="O148" s="295"/>
      <c r="P148" s="295"/>
      <c r="Q148" s="295"/>
      <c r="R148" s="295"/>
      <c r="S148" s="295"/>
      <c r="T148" s="295"/>
      <c r="U148" s="295"/>
      <c r="V148" s="295"/>
      <c r="W148" s="295"/>
      <c r="X148" s="295"/>
      <c r="Y148" s="295"/>
      <c r="Z148" s="295"/>
      <c r="AA148" s="295"/>
      <c r="AB148" s="295"/>
      <c r="AC148" s="295"/>
      <c r="AD148" s="295"/>
      <c r="AE148" s="295"/>
      <c r="AF148" s="295"/>
      <c r="AG148" s="295"/>
      <c r="AH148" s="295"/>
      <c r="AI148" s="295"/>
      <c r="AJ148" s="295"/>
      <c r="AK148" s="295"/>
      <c r="AL148" s="295"/>
      <c r="AM148" s="295"/>
      <c r="AN148" s="295"/>
      <c r="AO148" s="295"/>
      <c r="AP148" s="295"/>
      <c r="AQ148" s="295"/>
      <c r="AR148" s="295"/>
      <c r="AS148" s="295"/>
      <c r="AT148" s="295"/>
      <c r="AU148" s="295"/>
      <c r="AV148" s="295"/>
      <c r="AW148" s="295"/>
      <c r="AX148" s="295"/>
      <c r="AY148" s="295"/>
      <c r="AZ148" s="295"/>
      <c r="BA148" s="295"/>
    </row>
    <row r="149" spans="1:53" s="6" customFormat="1">
      <c r="A149" s="78"/>
      <c r="B149" s="87" t="s">
        <v>2</v>
      </c>
      <c r="C149" s="312" t="s">
        <v>224</v>
      </c>
      <c r="D149" s="406"/>
      <c r="E149" s="99">
        <f>IF(E18="","",ROUND(IF($D$149&lt;&gt;"",$D$149*SUM(E61,E114,E123,E146),IFERROR('Mat Individual e Uniformes'!J4/Proposta!$J$6,"")),2))</f>
        <v>91.82</v>
      </c>
      <c r="F149" s="99">
        <f>IF(F18="","",ROUND(IF($D$149&lt;&gt;"",$D$149*SUM(F61,F114,F123,F146),IFERROR('Mat Individual e Uniformes'!K4/Proposta!$J$6,"")),2))</f>
        <v>91.82</v>
      </c>
      <c r="G149" s="99">
        <f>IF(G18="","",ROUND(IF($D$149&lt;&gt;"",$D$149*SUM(G61,G114,G123,G146),IFERROR('Mat Individual e Uniformes'!L4/Proposta!$J$6,"")),2))</f>
        <v>91.82</v>
      </c>
      <c r="H149" s="99">
        <f>IF(H18="","",ROUND(IF($D$149&lt;&gt;"",$D$149*SUM(H61,H114,H123,H146),IFERROR('Mat Individual e Uniformes'!M4/Proposta!$J$6,"")),2))</f>
        <v>91.82</v>
      </c>
      <c r="I149" s="99" t="str">
        <f>IF(I18="","",IF($D$149&lt;&gt;"",$D$149*I180,IFERROR('Mat Individual e Uniformes'!N4,"")))</f>
        <v/>
      </c>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295"/>
      <c r="AF149" s="295"/>
      <c r="AG149" s="295"/>
      <c r="AH149" s="295"/>
      <c r="AI149" s="295"/>
      <c r="AJ149" s="295"/>
      <c r="AK149" s="295"/>
      <c r="AL149" s="295"/>
      <c r="AM149" s="295"/>
      <c r="AN149" s="295"/>
      <c r="AO149" s="295"/>
      <c r="AP149" s="295"/>
      <c r="AQ149" s="295"/>
      <c r="AR149" s="295"/>
      <c r="AS149" s="295"/>
      <c r="AT149" s="295"/>
      <c r="AU149" s="295"/>
      <c r="AV149" s="295"/>
      <c r="AW149" s="295"/>
      <c r="AX149" s="295"/>
      <c r="AY149" s="295"/>
      <c r="AZ149" s="295"/>
      <c r="BA149" s="295"/>
    </row>
    <row r="150" spans="1:53" s="6" customFormat="1">
      <c r="A150" s="78"/>
      <c r="B150" s="87" t="s">
        <v>1</v>
      </c>
      <c r="C150" s="312" t="s">
        <v>225</v>
      </c>
      <c r="D150" s="406">
        <f>12%/88%</f>
        <v>0.13636363636363635</v>
      </c>
      <c r="E150" s="99">
        <f>IFERROR(
        IF(OR(E18="",$D$150="Não"),       "",
        IF($D$150="Sim",                  'Mat Coletivo e Equipamentos'!$I$4/SUM($E$29:$XX$29),
        ROUND(IF($D$150&lt;&gt;"",$D$150*SUM(E61,E114,E123,E146,E149),
0),2))),0)</f>
        <v>695.28</v>
      </c>
      <c r="F150" s="99">
        <f>IFERROR(
        IF(OR(F18="",$D$150="Não"),       "",
        IF($D$150="Sim",                  'Mat Coletivo e Equipamentos'!$I$4/SUM($E$29:$XX$29),
        ROUND(IF($D$150&lt;&gt;"",$D$150*SUM(F61,F114,F123,F146,F149),
0),2))),0)</f>
        <v>695.28</v>
      </c>
      <c r="G150" s="99">
        <f>IFERROR(
        IF(OR(G18="",$D$150="Não"),       "",
        IF($D$150="Sim",                  'Mat Coletivo e Equipamentos'!$I$4/SUM($E$29:$XX$29),
        ROUND(IF($D$150&lt;&gt;"",$D$150*SUM(G61,G114,G123,G146,G149),
0),2))),0)</f>
        <v>798.84</v>
      </c>
      <c r="H150" s="99">
        <f>IFERROR(
        IF(OR(H18="",$D$150="Não"),       "",
        IF($D$150="Sim",                  'Mat Coletivo e Equipamentos'!$I$4/SUM($E$29:$XX$29),
        ROUND(IF($D$150&lt;&gt;"",$D$150*SUM(H61,H114,H123,H146,H149),
0),2))),0)</f>
        <v>907.28</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5" customFormat="1">
      <c r="A151" s="73"/>
      <c r="B151" s="157"/>
      <c r="C151" s="90" t="s">
        <v>219</v>
      </c>
      <c r="D151" s="153"/>
      <c r="E151" s="155">
        <f>IF(E18="","",SUM(E149:E150))</f>
        <v>787.09999999999991</v>
      </c>
      <c r="F151" s="155">
        <f>IF(F18="","",SUM(F149:F150))</f>
        <v>787.09999999999991</v>
      </c>
      <c r="G151" s="155">
        <f>IF(G18="","",SUM(G149:G150))</f>
        <v>890.66000000000008</v>
      </c>
      <c r="H151" s="155">
        <f>IF(H18="","",SUM(H149:H150))</f>
        <v>999.09999999999991</v>
      </c>
      <c r="I151" s="155" t="str">
        <f>IF(I18="","",SUM(#REF!,#REF!))</f>
        <v/>
      </c>
      <c r="J151" s="293"/>
      <c r="K151" s="293"/>
      <c r="L151" s="293"/>
      <c r="M151" s="293"/>
      <c r="N151" s="293"/>
      <c r="O151" s="293"/>
      <c r="P151" s="293"/>
      <c r="Q151" s="293"/>
      <c r="R151" s="293"/>
      <c r="S151" s="293"/>
      <c r="T151" s="293"/>
      <c r="U151" s="293"/>
      <c r="V151" s="293"/>
      <c r="W151" s="293"/>
      <c r="X151" s="293"/>
      <c r="Y151" s="293"/>
      <c r="Z151" s="293"/>
      <c r="AA151" s="293"/>
      <c r="AB151" s="293"/>
      <c r="AC151" s="293"/>
      <c r="AD151" s="293"/>
      <c r="AE151" s="293"/>
      <c r="AF151" s="293"/>
      <c r="AG151" s="293"/>
      <c r="AH151" s="293"/>
      <c r="AI151" s="293"/>
      <c r="AJ151" s="293"/>
      <c r="AK151" s="293"/>
      <c r="AL151" s="293"/>
      <c r="AM151" s="293"/>
      <c r="AN151" s="293"/>
      <c r="AO151" s="293"/>
      <c r="AP151" s="293"/>
      <c r="AQ151" s="293"/>
      <c r="AR151" s="293"/>
      <c r="AS151" s="293"/>
      <c r="AT151" s="293"/>
      <c r="AU151" s="293"/>
      <c r="AV151" s="293"/>
      <c r="AW151" s="293"/>
      <c r="AX151" s="293"/>
      <c r="AY151" s="293"/>
      <c r="AZ151" s="293"/>
      <c r="BA151" s="293"/>
    </row>
    <row r="152" spans="1:53">
      <c r="F152" s="9"/>
      <c r="G152" s="9"/>
      <c r="H152" s="9"/>
      <c r="I152" s="9"/>
    </row>
    <row r="153" spans="1:53" s="6" customFormat="1">
      <c r="A153" s="74"/>
      <c r="B153" s="89"/>
      <c r="C153" s="90" t="s">
        <v>226</v>
      </c>
      <c r="D153" s="91"/>
      <c r="E153" s="369"/>
      <c r="F153" s="369"/>
      <c r="G153" s="369"/>
      <c r="H153" s="369"/>
      <c r="I153" s="369"/>
      <c r="J153" s="295"/>
      <c r="K153" s="295"/>
      <c r="L153" s="295"/>
      <c r="M153" s="295"/>
      <c r="N153" s="295"/>
      <c r="O153" s="295"/>
      <c r="P153" s="295"/>
      <c r="Q153" s="295"/>
      <c r="R153" s="295"/>
      <c r="S153" s="295"/>
      <c r="T153" s="295"/>
      <c r="U153" s="295"/>
      <c r="V153" s="295"/>
      <c r="W153" s="295"/>
      <c r="X153" s="295"/>
      <c r="Y153" s="295"/>
      <c r="Z153" s="295"/>
      <c r="AA153" s="295"/>
      <c r="AB153" s="295"/>
      <c r="AC153" s="295"/>
      <c r="AD153" s="295"/>
      <c r="AE153" s="295"/>
      <c r="AF153" s="295"/>
      <c r="AG153" s="295"/>
      <c r="AH153" s="295"/>
      <c r="AI153" s="295"/>
      <c r="AJ153" s="295"/>
      <c r="AK153" s="295"/>
      <c r="AL153" s="295"/>
      <c r="AM153" s="295"/>
      <c r="AN153" s="295"/>
      <c r="AO153" s="295"/>
      <c r="AP153" s="295"/>
      <c r="AQ153" s="295"/>
      <c r="AR153" s="295"/>
      <c r="AS153" s="295"/>
      <c r="AT153" s="295"/>
      <c r="AU153" s="295"/>
      <c r="AV153" s="295"/>
      <c r="AW153" s="295"/>
      <c r="AX153" s="295"/>
      <c r="AY153" s="295"/>
      <c r="AZ153" s="295"/>
      <c r="BA153" s="295"/>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 r="A156" s="79"/>
      <c r="B156" s="87" t="s">
        <v>2</v>
      </c>
      <c r="C156" s="88" t="s">
        <v>227</v>
      </c>
      <c r="D156" s="406">
        <f>IFERROR(INDEX('Apoio - Notas Explicativas'!Q:Q,MATCH(C156,'Apoio - Notas Explicativas'!C:C,0)),"")</f>
        <v>0.05</v>
      </c>
      <c r="E156" s="99">
        <f>IF(E18="","",IFERROR(ROUND($D$156*SUM(E61,E114,E123,E146,E151),2),""))</f>
        <v>289.7</v>
      </c>
      <c r="F156" s="99">
        <f>IF(F18="","",IFERROR(ROUND($D$156*SUM(F61,F114,F123,F146,F151),2),""))</f>
        <v>289.7</v>
      </c>
      <c r="G156" s="99">
        <f>IF(G18="","",IFERROR(ROUND($D$156*SUM(G61,G114,G123,G146,G151),2),""))</f>
        <v>332.85</v>
      </c>
      <c r="H156" s="99">
        <f>IF(H18="","",IFERROR(ROUND($D$156*SUM(H61,H114,H123,H146,H151),2),""))</f>
        <v>378.03</v>
      </c>
      <c r="I156" s="99" t="str">
        <f>IF(I18="","",IFERROR($D$156*SUM(I61,I114,I123,I146,I151),""))</f>
        <v/>
      </c>
    </row>
    <row r="157" spans="1:53">
      <c r="A157" s="78"/>
      <c r="B157" s="87" t="s">
        <v>1</v>
      </c>
      <c r="C157" s="88" t="s">
        <v>228</v>
      </c>
      <c r="D157" s="406">
        <f>IFERROR(INDEX('Apoio - Notas Explicativas'!Q:Q,MATCH(C157,'Apoio - Notas Explicativas'!C:C,0)),"")</f>
        <v>0.1</v>
      </c>
      <c r="E157" s="99">
        <f>IF(E18="","",IFERROR(ROUND($D$157*SUM(E156,E61,E114,E123,E146,E151),2),""))</f>
        <v>608.37</v>
      </c>
      <c r="F157" s="99">
        <f>IF(F18="","",IFERROR(ROUND($D$157*SUM(F156,F61,F114,F123,F146,F151),2),""))</f>
        <v>608.37</v>
      </c>
      <c r="G157" s="99">
        <f>IF(G18="","",IFERROR(ROUND($D$157*SUM(G156,G61,G114,G123,G146,G151),2),""))</f>
        <v>698.99</v>
      </c>
      <c r="H157" s="99">
        <f>IF(H18="","",IFERROR(ROUND($D$157*SUM(H156,H61,H114,H123,H146,H151),2),""))</f>
        <v>793.87</v>
      </c>
      <c r="I157" s="99" t="str">
        <f>IF(I18="","",IFERROR($D$157*SUM(I156,I61,I114,I123,I146,I151),""))</f>
        <v/>
      </c>
    </row>
    <row r="158" spans="1:53" s="5" customFormat="1">
      <c r="A158" s="76"/>
      <c r="B158" s="171"/>
      <c r="C158" s="172" t="s">
        <v>231</v>
      </c>
      <c r="D158" s="175"/>
      <c r="E158" s="176">
        <f>IF(E18="","",SUM(E156:E157))</f>
        <v>898.06999999999994</v>
      </c>
      <c r="F158" s="176">
        <f>IF(F18="","",SUM(F156:F157))</f>
        <v>898.06999999999994</v>
      </c>
      <c r="G158" s="176">
        <f>IF(G18="","",SUM(G156:G157))</f>
        <v>1031.8400000000001</v>
      </c>
      <c r="H158" s="176">
        <f>IF(H18="","",SUM(H156:H157))</f>
        <v>1171.9000000000001</v>
      </c>
      <c r="I158" s="174" t="str">
        <f>IF(I18="","",SUM(I156:I157))</f>
        <v/>
      </c>
      <c r="J158" s="293"/>
      <c r="K158" s="293"/>
      <c r="L158" s="293"/>
      <c r="M158" s="293"/>
      <c r="N158" s="293"/>
      <c r="O158" s="293"/>
      <c r="P158" s="293"/>
      <c r="Q158" s="293"/>
      <c r="R158" s="293"/>
      <c r="S158" s="293"/>
      <c r="T158" s="293"/>
      <c r="U158" s="293"/>
      <c r="V158" s="293"/>
      <c r="W158" s="293"/>
      <c r="X158" s="293"/>
      <c r="Y158" s="293"/>
      <c r="Z158" s="293"/>
      <c r="AA158" s="293"/>
      <c r="AB158" s="293"/>
      <c r="AC158" s="293"/>
      <c r="AD158" s="293"/>
      <c r="AE158" s="293"/>
      <c r="AF158" s="293"/>
      <c r="AG158" s="293"/>
      <c r="AH158" s="293"/>
      <c r="AI158" s="293"/>
      <c r="AJ158" s="293"/>
      <c r="AK158" s="293"/>
      <c r="AL158" s="293"/>
      <c r="AM158" s="293"/>
      <c r="AN158" s="293"/>
      <c r="AO158" s="293"/>
      <c r="AP158" s="293"/>
      <c r="AQ158" s="293"/>
      <c r="AR158" s="293"/>
      <c r="AS158" s="293"/>
      <c r="AT158" s="293"/>
      <c r="AU158" s="293"/>
      <c r="AV158" s="293"/>
      <c r="AW158" s="293"/>
      <c r="AX158" s="293"/>
      <c r="AY158" s="293"/>
      <c r="AZ158" s="293"/>
      <c r="BA158" s="293"/>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5"/>
      <c r="K160" s="295"/>
      <c r="L160" s="295"/>
      <c r="M160" s="295"/>
      <c r="N160" s="295"/>
      <c r="O160" s="295"/>
      <c r="P160" s="295"/>
      <c r="Q160" s="295"/>
      <c r="R160" s="295"/>
      <c r="S160" s="295"/>
      <c r="T160" s="295"/>
      <c r="U160" s="295"/>
      <c r="V160" s="295"/>
      <c r="W160" s="295"/>
      <c r="X160" s="295"/>
      <c r="Y160" s="295"/>
      <c r="Z160" s="295"/>
      <c r="AA160" s="295"/>
      <c r="AB160" s="295"/>
      <c r="AC160" s="295"/>
      <c r="AD160" s="295"/>
      <c r="AE160" s="295"/>
      <c r="AF160" s="295"/>
      <c r="AG160" s="295"/>
      <c r="AH160" s="295"/>
      <c r="AI160" s="295"/>
      <c r="AJ160" s="295"/>
      <c r="AK160" s="295"/>
      <c r="AL160" s="295"/>
      <c r="AM160" s="295"/>
      <c r="AN160" s="295"/>
      <c r="AO160" s="295"/>
      <c r="AP160" s="295"/>
      <c r="AQ160" s="295"/>
      <c r="AR160" s="295"/>
      <c r="AS160" s="295"/>
      <c r="AT160" s="295"/>
      <c r="AU160" s="295"/>
      <c r="AV160" s="295"/>
      <c r="AW160" s="295"/>
      <c r="AX160" s="295"/>
      <c r="AY160" s="295"/>
      <c r="AZ160" s="295"/>
      <c r="BA160" s="295"/>
    </row>
    <row r="161" spans="1:53">
      <c r="A161" s="78"/>
      <c r="B161" s="87" t="s">
        <v>2</v>
      </c>
      <c r="C161" s="88" t="s">
        <v>43</v>
      </c>
      <c r="D161" s="392">
        <f>IFERROR(INDEX('Apoio - Notas Explicativas'!Q:Q,MATCH(C161,'Apoio - Notas Explicativas'!C:C,0)),"")</f>
        <v>0.03</v>
      </c>
      <c r="E161" s="99">
        <f>IF(E18="","",IFERROR(ROUND(SUM(E$158,E$61,E$114,E$123,E$146,E$151)*$D161/(1-SUM($D$161:$D$166,E$164)),2),""))</f>
        <v>213.92</v>
      </c>
      <c r="F161" s="99">
        <f>IF(F18="","",IFERROR(ROUND(SUM(F$158,F$61,F$114,F$123,F$146,F$151)*$D161/(1-SUM($D$161:$D$166,F$164)),2),""))</f>
        <v>213.92</v>
      </c>
      <c r="G161" s="99">
        <f>IF(G18="","",IFERROR(ROUND(SUM(G$158,G$61,G$114,G$123,G$146,G$151)*$D161/(1-SUM($D$161:$D$166,G$164)),2),""))</f>
        <v>245.78</v>
      </c>
      <c r="H161" s="99">
        <f>IF(H18="","",IFERROR(ROUND(SUM(H$158,H$61,H$114,H$123,H$146,H$151)*$D161/(1-SUM($D$161:$D$166,H$164)),2),""))</f>
        <v>279.14</v>
      </c>
      <c r="I161" s="99" t="str">
        <f>IF(I18="","",IFERROR(SUM(I$158,I$61,I$114,I$123,I$146,I$151)*$D161/(1-SUM($D$161:$D$166,I$164)),""))</f>
        <v/>
      </c>
    </row>
    <row r="162" spans="1:53">
      <c r="A162" s="79"/>
      <c r="B162" s="87" t="s">
        <v>1</v>
      </c>
      <c r="C162" s="88" t="s">
        <v>107</v>
      </c>
      <c r="D162" s="392">
        <f>IFERROR(INDEX('Apoio - Notas Explicativas'!Q:Q,MATCH(C162,'Apoio - Notas Explicativas'!C:C,0)),"")</f>
        <v>6.4999999999999997E-3</v>
      </c>
      <c r="E162" s="99">
        <f>IF(E20="","",IFERROR(ROUND(SUM(E$158,E$61,E$114,E$123,E$146,E$151)*$D162/(1-SUM($D$161:$D$166,E$164)),2),""))</f>
        <v>46.35</v>
      </c>
      <c r="F162" s="99">
        <f>IF(F20="","",IFERROR(ROUND(SUM(F$158,F$61,F$114,F$123,F$146,F$151)*$D162/(1-SUM($D$161:$D$166,F$164)),2),""))</f>
        <v>46.35</v>
      </c>
      <c r="G162" s="99">
        <f>IF(G20="","",IFERROR(ROUND(SUM(G$158,G$61,G$114,G$123,G$146,G$151)*$D162/(1-SUM($D$161:$D$166,G$164)),2),""))</f>
        <v>53.25</v>
      </c>
      <c r="H162" s="99">
        <f>IF(H20="","",IFERROR(ROUND(SUM(H$158,H$61,H$114,H$123,H$146,H$151)*$D162/(1-SUM($D$161:$D$166,H$164)),2),""))</f>
        <v>60.48</v>
      </c>
      <c r="I162" s="99" t="str">
        <f>IF(I20="","",IFERROR(SUM(I$158,I$61,I$114,I$123,I$146,I$151)*$D162/(1-SUM($D$161:$D$166,I$164)),""))</f>
        <v/>
      </c>
    </row>
    <row r="163" spans="1:53">
      <c r="A163" s="79"/>
      <c r="B163" s="802" t="s">
        <v>0</v>
      </c>
      <c r="C163" s="160" t="s">
        <v>44</v>
      </c>
      <c r="D163" s="414"/>
      <c r="E163" s="148"/>
      <c r="F163" s="148"/>
      <c r="G163" s="148"/>
      <c r="H163" s="148"/>
      <c r="I163" s="148"/>
    </row>
    <row r="164" spans="1:53">
      <c r="A164" s="79"/>
      <c r="B164" s="792"/>
      <c r="C164" s="136" t="s">
        <v>353</v>
      </c>
      <c r="D164" s="181"/>
      <c r="E164" s="388">
        <f>IF(E18="","",
IF($D$13="Simples",INDEX('Apoio - Notas Explicativas'!$Q:$Q,MATCH($C$163,'Apoio - Notas Explicativas'!$C:$C,0)),
IFERROR(VLOOKUP(E$18,'Apoio - Posto'!$A:$AA,20,FALSE),
INDEX('Apoio - Notas Explicativas'!$Q:$Q,MATCH($C$163,'Apoio - Notas Explicativas'!$C:$C,0))
)))</f>
        <v>2.5000000000000001E-2</v>
      </c>
      <c r="F164" s="388">
        <f>IF(F18="","",
IF($D$13="Simples",INDEX('Apoio - Notas Explicativas'!$Q:$Q,MATCH($C$163,'Apoio - Notas Explicativas'!$C:$C,0)),
IFERROR(VLOOKUP(F$18,'Apoio - Posto'!$A:$AA,20,FALSE),
INDEX('Apoio - Notas Explicativas'!$Q:$Q,MATCH($C$163,'Apoio - Notas Explicativas'!$C:$C,0))
)))</f>
        <v>2.5000000000000001E-2</v>
      </c>
      <c r="G164" s="388">
        <f>IF(G18="","",
IF($D$13="Simples",INDEX('Apoio - Notas Explicativas'!$Q:$Q,MATCH($C$163,'Apoio - Notas Explicativas'!$C:$C,0)),
IFERROR(VLOOKUP(G$18,'Apoio - Posto'!$A:$AA,20,FALSE),
INDEX('Apoio - Notas Explicativas'!$Q:$Q,MATCH($C$163,'Apoio - Notas Explicativas'!$C:$C,0))
)))</f>
        <v>2.5000000000000001E-2</v>
      </c>
      <c r="H164" s="388">
        <f>IF(H18="","",
IF($D$13="Simples",INDEX('Apoio - Notas Explicativas'!$Q:$Q,MATCH($C$163,'Apoio - Notas Explicativas'!$C:$C,0)),
IFERROR(VLOOKUP(H$18,'Apoio - Posto'!$A:$AA,20,FALSE),
INDEX('Apoio - Notas Explicativas'!$Q:$Q,MATCH($C$163,'Apoio - Notas Explicativas'!$C:$C,0))
)))</f>
        <v>2.5000000000000001E-2</v>
      </c>
      <c r="I164" s="388" t="str">
        <f>IF(I18="","",IFERROR(VLOOKUP(I$18,'Apoio - Posto'!$A:$AA,20,FALSE),INDEX('Apoio - Notas Explicativas'!$Q:$Q,MATCH($C$163,'Apoio - Notas Explicativas'!$C:$C,0))))</f>
        <v/>
      </c>
    </row>
    <row r="165" spans="1:53">
      <c r="A165" s="78"/>
      <c r="B165" s="793"/>
      <c r="C165" s="88"/>
      <c r="D165" s="415" t="s">
        <v>41</v>
      </c>
      <c r="E165" s="147">
        <f>IF(E21="","",IFERROR(ROUND(SUM(E$158,E$61,E$114,E$123,E$146,E$151)*E164/(1-SUM($D$161:$D$166,E164)),2),""))</f>
        <v>178.27</v>
      </c>
      <c r="F165" s="147">
        <f>IF(F21="","",IFERROR(ROUND(SUM(F$158,F$61,F$114,F$123,F$146,F$151)*F164/(1-SUM($D$161:$D$166,F164)),2),""))</f>
        <v>178.27</v>
      </c>
      <c r="G165" s="147">
        <f>IF(G21="","",IFERROR(ROUND(SUM(G$158,G$61,G$114,G$123,G$146,G$151)*G164/(1-SUM($D$161:$D$166,G164)),2),""))</f>
        <v>204.82</v>
      </c>
      <c r="H165" s="147">
        <f>IF(H21="","",IFERROR(ROUND(SUM(H$158,H$61,H$114,H$123,H$146,H$151)*H164/(1-SUM($D$161:$D$166,H164)),2),""))</f>
        <v>232.62</v>
      </c>
      <c r="I165" s="147" t="str">
        <f>IF(I21="","",IFERROR(SUM(I$158,I$61,I$114,I$123,I$146,I$151)*I164/(1-SUM($D$161:$D$166,I164)),""))</f>
        <v/>
      </c>
    </row>
    <row r="166" spans="1:53">
      <c r="A166" s="78"/>
      <c r="B166" s="390" t="s">
        <v>3</v>
      </c>
      <c r="C166" s="391" t="s">
        <v>303</v>
      </c>
      <c r="D166" s="392">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438.53999999999996</v>
      </c>
      <c r="F167" s="192">
        <f>IF(F18="","",SUM(F161:F162,F165:F166))</f>
        <v>438.53999999999996</v>
      </c>
      <c r="G167" s="192">
        <f>IF(G18="","",SUM(G161:G162,G165:G166))</f>
        <v>503.84999999999997</v>
      </c>
      <c r="H167" s="192">
        <f>IF(H18="","",SUM(H161:H162,H165:H166))</f>
        <v>572.24</v>
      </c>
      <c r="I167" s="192" t="str">
        <f>IF(I18="","",SUM(I161:I162,I165:I166))</f>
        <v/>
      </c>
      <c r="J167" s="293"/>
      <c r="K167" s="293"/>
      <c r="L167" s="293"/>
      <c r="M167" s="293"/>
      <c r="N167" s="293"/>
      <c r="O167" s="293"/>
      <c r="P167" s="293"/>
      <c r="Q167" s="293"/>
      <c r="R167" s="293"/>
      <c r="S167" s="293"/>
      <c r="T167" s="293"/>
      <c r="U167" s="293"/>
      <c r="V167" s="293"/>
      <c r="W167" s="293"/>
      <c r="X167" s="293"/>
      <c r="Y167" s="293"/>
      <c r="Z167" s="293"/>
      <c r="AA167" s="293"/>
      <c r="AB167" s="293"/>
      <c r="AC167" s="293"/>
      <c r="AD167" s="293"/>
      <c r="AE167" s="293"/>
      <c r="AF167" s="293"/>
      <c r="AG167" s="293"/>
      <c r="AH167" s="293"/>
      <c r="AI167" s="293"/>
      <c r="AJ167" s="293"/>
      <c r="AK167" s="293"/>
      <c r="AL167" s="293"/>
      <c r="AM167" s="293"/>
      <c r="AN167" s="293"/>
      <c r="AO167" s="293"/>
      <c r="AP167" s="293"/>
      <c r="AQ167" s="293"/>
      <c r="AR167" s="293"/>
      <c r="AS167" s="293"/>
      <c r="AT167" s="293"/>
      <c r="AU167" s="293"/>
      <c r="AV167" s="293"/>
      <c r="AW167" s="293"/>
      <c r="AX167" s="293"/>
      <c r="AY167" s="293"/>
      <c r="AZ167" s="293"/>
      <c r="BA167" s="293"/>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1336.61</v>
      </c>
      <c r="F169" s="155">
        <f>IF(F18="","",SUM(F167,F158))</f>
        <v>1336.61</v>
      </c>
      <c r="G169" s="155">
        <f>IF(G18="","",SUM(G167,G158))</f>
        <v>1535.69</v>
      </c>
      <c r="H169" s="155">
        <f>IF(H18="","",SUM(H167,H158))</f>
        <v>1744.14</v>
      </c>
      <c r="I169" s="156" t="str">
        <f>IF(I18="","",SUM(I167,I158))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 r="F170" s="9"/>
      <c r="G170" s="9"/>
      <c r="H170" s="9"/>
      <c r="I170" s="9"/>
      <c r="L170"/>
      <c r="M170"/>
      <c r="N170"/>
      <c r="O170"/>
      <c r="P170"/>
      <c r="Q170"/>
      <c r="R170"/>
    </row>
    <row r="171" spans="1:53" s="6" customFormat="1">
      <c r="A171" s="74"/>
      <c r="B171" s="89"/>
      <c r="C171" s="90" t="s">
        <v>374</v>
      </c>
      <c r="D171" s="91"/>
      <c r="E171" s="369"/>
      <c r="F171" s="369"/>
      <c r="G171" s="369"/>
      <c r="H171" s="369"/>
      <c r="I171" s="369"/>
      <c r="J171" s="295"/>
      <c r="K171" s="295"/>
      <c r="L171"/>
      <c r="M171"/>
      <c r="N171"/>
      <c r="O171"/>
      <c r="P171"/>
      <c r="Q171"/>
      <c r="R171"/>
      <c r="S171" s="295"/>
      <c r="T171" s="295"/>
      <c r="U171" s="295"/>
      <c r="V171" s="295"/>
      <c r="W171" s="295"/>
      <c r="X171" s="295"/>
      <c r="Y171" s="295"/>
      <c r="Z171" s="295"/>
      <c r="AA171" s="295"/>
      <c r="AB171" s="295"/>
      <c r="AC171" s="295"/>
      <c r="AD171" s="295"/>
      <c r="AE171" s="295"/>
      <c r="AF171" s="295"/>
      <c r="AG171" s="295"/>
      <c r="AH171" s="295"/>
      <c r="AI171" s="295"/>
      <c r="AJ171" s="295"/>
      <c r="AK171" s="295"/>
      <c r="AL171" s="295"/>
      <c r="AM171" s="295"/>
      <c r="AN171" s="295"/>
      <c r="AO171" s="295"/>
      <c r="AP171" s="295"/>
      <c r="AQ171" s="295"/>
      <c r="AR171" s="295"/>
      <c r="AS171" s="295"/>
      <c r="AT171" s="295"/>
      <c r="AU171" s="295"/>
      <c r="AV171" s="295"/>
      <c r="AW171" s="295"/>
      <c r="AX171" s="295"/>
      <c r="AY171" s="295"/>
      <c r="AZ171" s="295"/>
      <c r="BA171" s="295"/>
    </row>
    <row r="172" spans="1:53" ht="3.75" customHeight="1">
      <c r="A172" s="287"/>
      <c r="B172" s="3"/>
      <c r="C172" s="3"/>
      <c r="D172" s="3"/>
      <c r="E172" s="3"/>
      <c r="F172" s="3"/>
      <c r="G172" s="3"/>
      <c r="H172" s="3"/>
      <c r="I172" s="3"/>
      <c r="L172"/>
      <c r="M172"/>
      <c r="N172"/>
      <c r="O172"/>
      <c r="P172"/>
      <c r="Q172"/>
      <c r="R172"/>
    </row>
    <row r="173" spans="1:53">
      <c r="A173" s="287"/>
      <c r="B173" s="171"/>
      <c r="C173" s="172" t="s">
        <v>438</v>
      </c>
      <c r="D173" s="289"/>
      <c r="E173" s="396"/>
      <c r="F173" s="396"/>
      <c r="G173" s="396"/>
      <c r="H173" s="396"/>
      <c r="I173" s="396"/>
      <c r="L173"/>
      <c r="M173"/>
      <c r="N173"/>
      <c r="O173"/>
      <c r="P173"/>
      <c r="Q173"/>
      <c r="R173"/>
    </row>
    <row r="174" spans="1:53">
      <c r="A174" s="80"/>
      <c r="B174" s="87" t="s">
        <v>2</v>
      </c>
      <c r="C174" s="88" t="s">
        <v>375</v>
      </c>
      <c r="D174" s="177"/>
      <c r="E174" s="99">
        <f>IFERROR(IF(E18="","",E176/SUM(E52,INDEX('Apoio - Regime de Trabalho'!$I:$I,MATCH(E26,'Apoio - Regime de Trabalho'!$A:$A,0)))),"")</f>
        <v>37.138645833333335</v>
      </c>
      <c r="F174" s="99">
        <f>IFERROR(IF(F18="","",F176/SUM(F52,INDEX('Apoio - Regime de Trabalho'!$I:$I,MATCH(F26,'Apoio - Regime de Trabalho'!$A:$A,0)))),"")</f>
        <v>37.138645833333335</v>
      </c>
      <c r="G174" s="99">
        <f>IFERROR(IF(G18="","",G176/SUM(G52,INDEX('Apoio - Regime de Trabalho'!$I:$I,MATCH(G26,'Apoio - Regime de Trabalho'!$A:$A,0)))),"")</f>
        <v>42.670312500000001</v>
      </c>
      <c r="H174" s="99">
        <f>IFERROR(IF(H18="","",H176/SUM(H52,INDEX('Apoio - Regime de Trabalho'!$I:$I,MATCH(H26,'Apoio - Regime de Trabalho'!$A:$A,0)))),"")</f>
        <v>48.462552083333328</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324.12</v>
      </c>
      <c r="F175" s="99">
        <f>IF(F18="","",ROUND(SUM(F61,F114,F123,F146,F151,F169)/INDEX('Apoio - Regime de Trabalho'!$G:$G,MATCH(F26,'Apoio - Regime de Trabalho'!$A:$A,0)),2))</f>
        <v>324.12</v>
      </c>
      <c r="G175" s="99">
        <f>IF(G18="","",ROUND(SUM(G61,G114,G123,G146,G151,G169)/INDEX('Apoio - Regime de Trabalho'!$G:$G,MATCH(G26,'Apoio - Regime de Trabalho'!$A:$A,0)),2))</f>
        <v>372.4</v>
      </c>
      <c r="H175" s="99">
        <f>IF(H18="","",ROUND(SUM(H61,H114,H123,H146,H151,H169)/INDEX('Apoio - Regime de Trabalho'!$G:$G,MATCH(H26,'Apoio - Regime de Trabalho'!$A:$A,0)),2))</f>
        <v>422.95</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7130.62</v>
      </c>
      <c r="F176" s="99">
        <f>IF(F18="","",ROUND(SUM(F61,F114,F123,F146,F151,F169),2))</f>
        <v>7130.62</v>
      </c>
      <c r="G176" s="99">
        <f>IF(G18="","",ROUND(SUM(G61,G114,G123,G146,G151,G169),2))</f>
        <v>8192.7000000000007</v>
      </c>
      <c r="H176" s="99">
        <f>IF(H18="","",ROUND(SUM(H61,H114,H123,H146,H151,H169),2))</f>
        <v>9304.81</v>
      </c>
      <c r="I176" s="99" t="str">
        <f>IF(I18="","",SUM(I61,I114,I123,I146,I151,I169))</f>
        <v/>
      </c>
      <c r="L176"/>
      <c r="M176"/>
      <c r="N176"/>
      <c r="O176"/>
      <c r="P176"/>
      <c r="Q176"/>
      <c r="R176"/>
    </row>
    <row r="177" spans="1:53">
      <c r="A177" s="80"/>
      <c r="B177" s="87" t="s">
        <v>3</v>
      </c>
      <c r="C177" s="88" t="s">
        <v>440</v>
      </c>
      <c r="D177" s="177"/>
      <c r="E177" s="99">
        <f>IFERROR(ROUND(E176*E28,2),"")</f>
        <v>7130.62</v>
      </c>
      <c r="F177" s="99">
        <f t="shared" ref="F177:H177" si="29">IFERROR(ROUND(F176*F28,2),"")</f>
        <v>7130.62</v>
      </c>
      <c r="G177" s="99">
        <f t="shared" si="29"/>
        <v>8192.7000000000007</v>
      </c>
      <c r="H177" s="99">
        <f t="shared" si="29"/>
        <v>9304.81</v>
      </c>
      <c r="I177" s="99" t="str">
        <f>IFERROR(I176*I28,"")</f>
        <v/>
      </c>
      <c r="L177"/>
      <c r="M177"/>
      <c r="N177"/>
      <c r="O177"/>
      <c r="P177"/>
      <c r="Q177"/>
      <c r="R177"/>
    </row>
    <row r="178" spans="1:53" ht="3.75" customHeight="1">
      <c r="A178" s="287"/>
      <c r="B178" s="3"/>
      <c r="C178" s="3"/>
      <c r="D178" s="3"/>
      <c r="E178" s="3"/>
      <c r="F178" s="3"/>
      <c r="G178" s="3"/>
      <c r="H178" s="3"/>
      <c r="I178" s="3"/>
      <c r="L178"/>
      <c r="M178"/>
      <c r="N178"/>
      <c r="O178"/>
      <c r="P178"/>
      <c r="Q178"/>
      <c r="R178"/>
    </row>
    <row r="179" spans="1:53">
      <c r="A179" s="287"/>
      <c r="B179" s="171"/>
      <c r="C179" s="172" t="s">
        <v>469</v>
      </c>
      <c r="D179" s="289"/>
      <c r="E179" s="396"/>
      <c r="F179" s="396"/>
      <c r="G179" s="396"/>
      <c r="H179" s="396"/>
      <c r="I179" s="396"/>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2"/>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7"/>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7"/>
      <c r="B185" s="171"/>
      <c r="C185" s="172" t="s">
        <v>439</v>
      </c>
      <c r="D185" s="289"/>
      <c r="E185" s="396"/>
      <c r="F185" s="396"/>
      <c r="G185" s="396"/>
      <c r="H185" s="396"/>
      <c r="I185" s="396"/>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09"/>
      <c r="N186" s="40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09"/>
      <c r="N187" s="403"/>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3"/>
      <c r="O188" s="409"/>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09"/>
      <c r="N189" s="711"/>
      <c r="O189" s="404"/>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7"/>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7"/>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171"/>
      <c r="C193" s="172" t="s">
        <v>623</v>
      </c>
      <c r="D193" s="396" t="s">
        <v>373</v>
      </c>
      <c r="E193" s="396" t="s">
        <v>649</v>
      </c>
      <c r="F193" s="396" t="s">
        <v>649</v>
      </c>
      <c r="G193" s="396" t="s">
        <v>649</v>
      </c>
      <c r="H193" s="396" t="s">
        <v>649</v>
      </c>
      <c r="I193" s="396"/>
      <c r="K193" s="1"/>
      <c r="L193" s="396" t="s">
        <v>647</v>
      </c>
      <c r="M193" s="396" t="s">
        <v>649</v>
      </c>
      <c r="N193" s="396" t="s">
        <v>322</v>
      </c>
      <c r="O193" s="396" t="s">
        <v>396</v>
      </c>
      <c r="Q193" s="404"/>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7"/>
      <c r="B194" s="410" t="s">
        <v>624</v>
      </c>
      <c r="C194" s="400" t="s">
        <v>358</v>
      </c>
      <c r="D194" s="696"/>
      <c r="E194" s="395" t="str">
        <f>IFERROR(8*E$174*'Apoio - Notas Explicativas'!$D$6/$D194,"")</f>
        <v/>
      </c>
      <c r="F194" s="395" t="str">
        <f>IFERROR((8*F$174*'Apoio - Notas Explicativas'!$D$6/$D194)*($F$27/$E$27),"")</f>
        <v/>
      </c>
      <c r="G194" s="395"/>
      <c r="H194" s="395"/>
      <c r="I194" s="395"/>
      <c r="K194" s="1" t="str">
        <f>IFERROR(L194/D194,"")</f>
        <v/>
      </c>
      <c r="L194" s="696"/>
      <c r="M194" s="397">
        <f>SUM(E194:I194)</f>
        <v>0</v>
      </c>
      <c r="N194" s="397">
        <f>L194*M194</f>
        <v>0</v>
      </c>
      <c r="O194" s="397">
        <f>N194*$D$12</f>
        <v>0</v>
      </c>
      <c r="R194" s="407"/>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410" t="s">
        <v>625</v>
      </c>
      <c r="C195" s="400" t="s">
        <v>359</v>
      </c>
      <c r="D195" s="696"/>
      <c r="E195" s="395" t="str">
        <f>IFERROR(8*E$174*'Apoio - Notas Explicativas'!$D$6/$D195,"")</f>
        <v/>
      </c>
      <c r="F195" s="395" t="str">
        <f>IFERROR((8*F$174*'Apoio - Notas Explicativas'!$D$6/$D195)*($F$27/$E$27),"")</f>
        <v/>
      </c>
      <c r="G195" s="395"/>
      <c r="H195" s="395"/>
      <c r="I195" s="393"/>
      <c r="K195" s="1" t="str">
        <f>IFERROR(L195/D195,"")</f>
        <v/>
      </c>
      <c r="L195" s="696"/>
      <c r="M195" s="397">
        <f t="shared" ref="M195:M200" si="37">SUM(E195:I195)</f>
        <v>0</v>
      </c>
      <c r="N195" s="397">
        <f t="shared" ref="N195:N200" si="38">L195*M195</f>
        <v>0</v>
      </c>
      <c r="O195" s="397">
        <f t="shared" ref="O195:O200" si="39">N195*$D$12</f>
        <v>0</v>
      </c>
      <c r="Q195" s="407"/>
      <c r="R195" s="407"/>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626</v>
      </c>
      <c r="C196" s="400" t="s">
        <v>360</v>
      </c>
      <c r="D196" s="696"/>
      <c r="E196" s="395" t="str">
        <f>IFERROR(8*E$174*'Apoio - Notas Explicativas'!$D$6/$D196,"")</f>
        <v/>
      </c>
      <c r="F196" s="395" t="str">
        <f>IFERROR((8*F$174*'Apoio - Notas Explicativas'!$D$6/$D196)*($F$27/$E$27),"")</f>
        <v/>
      </c>
      <c r="G196" s="395"/>
      <c r="H196" s="395"/>
      <c r="I196" s="393"/>
      <c r="K196" s="1" t="str">
        <f t="shared" ref="K196:K204" si="40">IFERROR(L196/D196,"")</f>
        <v/>
      </c>
      <c r="L196" s="696"/>
      <c r="M196" s="397">
        <f t="shared" si="37"/>
        <v>0</v>
      </c>
      <c r="N196" s="397">
        <f t="shared" si="38"/>
        <v>0</v>
      </c>
      <c r="O196" s="397">
        <f t="shared" si="39"/>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627</v>
      </c>
      <c r="C197" s="400" t="s">
        <v>361</v>
      </c>
      <c r="D197" s="696"/>
      <c r="E197" s="395" t="str">
        <f>IFERROR(8*E$174*'Apoio - Notas Explicativas'!$D$6/$D197,"")</f>
        <v/>
      </c>
      <c r="F197" s="395" t="str">
        <f>IFERROR((8*F$174*'Apoio - Notas Explicativas'!$D$6/$D197)*($F$27/$E$27),"")</f>
        <v/>
      </c>
      <c r="G197" s="395"/>
      <c r="H197" s="395"/>
      <c r="I197" s="393"/>
      <c r="K197" s="1" t="str">
        <f t="shared" si="40"/>
        <v/>
      </c>
      <c r="L197" s="696"/>
      <c r="M197" s="397">
        <f t="shared" si="37"/>
        <v>0</v>
      </c>
      <c r="N197" s="397">
        <f t="shared" si="38"/>
        <v>0</v>
      </c>
      <c r="O197" s="397">
        <f t="shared" si="39"/>
        <v>0</v>
      </c>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628</v>
      </c>
      <c r="C198" s="400" t="s">
        <v>356</v>
      </c>
      <c r="D198" s="696"/>
      <c r="E198" s="395" t="str">
        <f>IFERROR(8*E$174*'Apoio - Notas Explicativas'!$D$6/$D198,"")</f>
        <v/>
      </c>
      <c r="F198" s="395" t="str">
        <f>IFERROR((8*F$174*'Apoio - Notas Explicativas'!$D$6/$D198)*($F$27/$E$27),"")</f>
        <v/>
      </c>
      <c r="G198" s="395"/>
      <c r="H198" s="395"/>
      <c r="I198" s="393"/>
      <c r="K198" s="1" t="str">
        <f t="shared" si="40"/>
        <v/>
      </c>
      <c r="L198" s="696"/>
      <c r="M198" s="397">
        <f t="shared" si="37"/>
        <v>0</v>
      </c>
      <c r="N198" s="397">
        <f t="shared" si="38"/>
        <v>0</v>
      </c>
      <c r="O198" s="397">
        <f t="shared" si="39"/>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629</v>
      </c>
      <c r="C199" s="402" t="s">
        <v>389</v>
      </c>
      <c r="D199" s="696"/>
      <c r="E199" s="395" t="str">
        <f>IFERROR(8*E$174*'Apoio - Notas Explicativas'!$D$6/$D199,"")</f>
        <v/>
      </c>
      <c r="F199" s="395" t="str">
        <f>IFERROR((8*F$174*'Apoio - Notas Explicativas'!$D$6/$D199)*($F$27/$E$27),"")</f>
        <v/>
      </c>
      <c r="G199" s="395"/>
      <c r="H199" s="395"/>
      <c r="I199" s="393"/>
      <c r="K199" s="1" t="str">
        <f t="shared" si="40"/>
        <v/>
      </c>
      <c r="L199" s="696"/>
      <c r="M199" s="397">
        <f t="shared" si="37"/>
        <v>0</v>
      </c>
      <c r="N199" s="397">
        <f t="shared" si="38"/>
        <v>0</v>
      </c>
      <c r="O199" s="397">
        <f t="shared" si="39"/>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630</v>
      </c>
      <c r="C200" s="402" t="s">
        <v>390</v>
      </c>
      <c r="D200" s="696"/>
      <c r="E200" s="395" t="str">
        <f>IFERROR(8*E$174*'Apoio - Notas Explicativas'!$D$6/$D200,"")</f>
        <v/>
      </c>
      <c r="F200" s="395" t="str">
        <f>IFERROR((8*F$174*'Apoio - Notas Explicativas'!$D$6/$D200)*($F$27/$E$27),"")</f>
        <v/>
      </c>
      <c r="G200" s="395"/>
      <c r="H200" s="395"/>
      <c r="I200" s="393"/>
      <c r="K200" s="1" t="str">
        <f t="shared" si="40"/>
        <v/>
      </c>
      <c r="L200" s="696"/>
      <c r="M200" s="397">
        <f t="shared" si="37"/>
        <v>0</v>
      </c>
      <c r="N200" s="397">
        <f t="shared" si="38"/>
        <v>0</v>
      </c>
      <c r="O200" s="397">
        <f t="shared" si="39"/>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7"/>
      <c r="B201" s="411"/>
      <c r="C201" s="401"/>
      <c r="D201" s="399"/>
      <c r="E201" s="395" t="str">
        <f t="shared" ref="E201" si="41">IFERROR(ROUND(E$177/$D201,2),"")</f>
        <v/>
      </c>
      <c r="F201" s="288"/>
      <c r="G201" s="288"/>
      <c r="H201" s="288"/>
      <c r="I201" s="288"/>
      <c r="K201" s="1" t="str">
        <f t="shared" si="40"/>
        <v/>
      </c>
      <c r="L201" s="408"/>
      <c r="M201" s="398"/>
      <c r="N201" s="398"/>
      <c r="O201" s="398"/>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2"/>
      <c r="C202" s="172" t="s">
        <v>631</v>
      </c>
      <c r="D202" s="396"/>
      <c r="E202" s="396"/>
      <c r="F202" s="396"/>
      <c r="G202" s="396"/>
      <c r="H202" s="396"/>
      <c r="I202" s="396"/>
      <c r="K202" s="1"/>
      <c r="L202" s="396"/>
      <c r="M202" s="396"/>
      <c r="N202" s="396"/>
      <c r="O202" s="396"/>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7"/>
      <c r="B203" s="410" t="s">
        <v>632</v>
      </c>
      <c r="C203" s="400" t="s">
        <v>362</v>
      </c>
      <c r="D203" s="696"/>
      <c r="E203" s="395" t="str">
        <f>IFERROR(8*E$174*'Apoio - Notas Explicativas'!$D$6/$D203,"")</f>
        <v/>
      </c>
      <c r="F203" s="395" t="str">
        <f>IFERROR((8*F$174*'Apoio - Notas Explicativas'!$D$6/$D203)*($F$27/$E$27),"")</f>
        <v/>
      </c>
      <c r="G203" s="395"/>
      <c r="H203" s="395"/>
      <c r="I203" s="393"/>
      <c r="K203" s="1" t="str">
        <f t="shared" si="40"/>
        <v/>
      </c>
      <c r="L203" s="696"/>
      <c r="M203" s="397">
        <f t="shared" ref="M203:M208" si="42">SUM(E203:I203)</f>
        <v>0</v>
      </c>
      <c r="N203" s="397">
        <f t="shared" ref="N203:N208" si="43">L203*M203</f>
        <v>0</v>
      </c>
      <c r="O203" s="397">
        <f t="shared" ref="O203:O208" si="44">N203*$D$12</f>
        <v>0</v>
      </c>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0" t="s">
        <v>633</v>
      </c>
      <c r="C204" s="400" t="s">
        <v>357</v>
      </c>
      <c r="D204" s="696"/>
      <c r="E204" s="395" t="str">
        <f>IFERROR(8*E$174*'Apoio - Notas Explicativas'!$D$6/$D204,"")</f>
        <v/>
      </c>
      <c r="F204" s="395" t="str">
        <f>IFERROR((8*F$174*'Apoio - Notas Explicativas'!$D$6/$D204)*($F$27/$E$27),"")</f>
        <v/>
      </c>
      <c r="G204" s="395"/>
      <c r="H204" s="395"/>
      <c r="I204" s="393"/>
      <c r="K204" s="1" t="str">
        <f t="shared" si="40"/>
        <v/>
      </c>
      <c r="L204" s="696"/>
      <c r="M204" s="397">
        <f t="shared" si="42"/>
        <v>0</v>
      </c>
      <c r="N204" s="397">
        <f t="shared" si="43"/>
        <v>0</v>
      </c>
      <c r="O204" s="397">
        <f t="shared" si="44"/>
        <v>0</v>
      </c>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634</v>
      </c>
      <c r="C205" s="400" t="s">
        <v>617</v>
      </c>
      <c r="D205" s="696"/>
      <c r="E205" s="395" t="str">
        <f>IFERROR(8*E$174*'Apoio - Notas Explicativas'!$D$7/$D205,"")</f>
        <v/>
      </c>
      <c r="F205" s="395" t="str">
        <f>IFERROR((8*F$174*'Apoio - Notas Explicativas'!$D$7/$D205)*($F$27/$E$27),"")</f>
        <v/>
      </c>
      <c r="G205" s="395"/>
      <c r="H205" s="395"/>
      <c r="I205" s="395"/>
      <c r="K205" s="1" t="str">
        <f>IFERROR(('Apoio - Notas Explicativas'!$D$7/'Apoio - Notas Explicativas'!$D$6)*L205/D205,"")</f>
        <v/>
      </c>
      <c r="L205" s="696"/>
      <c r="M205" s="397">
        <f t="shared" si="42"/>
        <v>0</v>
      </c>
      <c r="N205" s="397">
        <f t="shared" si="43"/>
        <v>0</v>
      </c>
      <c r="O205" s="397">
        <f t="shared" si="44"/>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635</v>
      </c>
      <c r="C206" s="400" t="s">
        <v>618</v>
      </c>
      <c r="D206" s="696"/>
      <c r="E206" s="395" t="str">
        <f>IFERROR(8*E$174*'Apoio - Notas Explicativas'!$D$8/$D206,"")</f>
        <v/>
      </c>
      <c r="F206" s="395" t="str">
        <f>IFERROR((8*F$174*'Apoio - Notas Explicativas'!$D$7/2/$D206)*($F$27/$E$27),"")</f>
        <v/>
      </c>
      <c r="G206" s="395"/>
      <c r="H206" s="395"/>
      <c r="I206" s="395"/>
      <c r="K206" s="1" t="str">
        <f>IFERROR(('Apoio - Notas Explicativas'!$D$8/'Apoio - Notas Explicativas'!$D$6)*L206/D206,"")</f>
        <v/>
      </c>
      <c r="L206" s="696"/>
      <c r="M206" s="397">
        <f t="shared" si="42"/>
        <v>0</v>
      </c>
      <c r="N206" s="397">
        <f t="shared" si="43"/>
        <v>0</v>
      </c>
      <c r="O206" s="397">
        <f t="shared" si="44"/>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636</v>
      </c>
      <c r="C207" s="400" t="s">
        <v>619</v>
      </c>
      <c r="D207" s="696"/>
      <c r="E207" s="395" t="str">
        <f>IFERROR(8*E$174/$D207,"")</f>
        <v/>
      </c>
      <c r="F207" s="395" t="str">
        <f>IFERROR((8*F$174/$D207)*($F$27/$E$27),"")</f>
        <v/>
      </c>
      <c r="G207" s="395"/>
      <c r="H207" s="395"/>
      <c r="I207" s="395"/>
      <c r="K207" s="1" t="str">
        <f>IFERROR((1/'Apoio - Notas Explicativas'!$D$6)*L207/D207,"")</f>
        <v/>
      </c>
      <c r="L207" s="696"/>
      <c r="M207" s="397">
        <f t="shared" si="42"/>
        <v>0</v>
      </c>
      <c r="N207" s="397">
        <f t="shared" si="43"/>
        <v>0</v>
      </c>
      <c r="O207" s="397">
        <f t="shared" si="44"/>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637</v>
      </c>
      <c r="C208" s="400" t="s">
        <v>366</v>
      </c>
      <c r="D208" s="696"/>
      <c r="E208" s="395" t="str">
        <f>IFERROR(8*E$174*'Apoio - Notas Explicativas'!$D$6/$D208,"")</f>
        <v/>
      </c>
      <c r="F208" s="395" t="str">
        <f>IFERROR((8*F$174*'Apoio - Notas Explicativas'!$D$6/$D208)*($F$27/$E$27),"")</f>
        <v/>
      </c>
      <c r="G208" s="395"/>
      <c r="H208" s="395"/>
      <c r="I208" s="393"/>
      <c r="K208" s="1" t="str">
        <f t="shared" ref="K208:K219" si="45">IFERROR(L208/D208,"")</f>
        <v/>
      </c>
      <c r="L208" s="696"/>
      <c r="M208" s="397">
        <f t="shared" si="42"/>
        <v>0</v>
      </c>
      <c r="N208" s="397">
        <f t="shared" si="43"/>
        <v>0</v>
      </c>
      <c r="O208" s="397">
        <f t="shared" si="44"/>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7"/>
      <c r="B209" s="411"/>
      <c r="C209" s="401"/>
      <c r="D209" s="399"/>
      <c r="E209" s="288"/>
      <c r="F209" s="288"/>
      <c r="G209" s="288"/>
      <c r="H209" s="288"/>
      <c r="I209" s="288"/>
      <c r="K209" s="1" t="str">
        <f t="shared" si="45"/>
        <v/>
      </c>
      <c r="L209" s="408"/>
      <c r="M209" s="398"/>
      <c r="N209" s="398"/>
      <c r="O209" s="398"/>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2"/>
      <c r="C210" s="172" t="s">
        <v>638</v>
      </c>
      <c r="D210" s="396"/>
      <c r="E210" s="396"/>
      <c r="F210" s="396"/>
      <c r="G210" s="396"/>
      <c r="H210" s="396"/>
      <c r="I210" s="396"/>
      <c r="K210" s="1"/>
      <c r="L210" s="396"/>
      <c r="M210" s="396"/>
      <c r="N210" s="396"/>
      <c r="O210" s="396"/>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7"/>
      <c r="B211" s="410" t="s">
        <v>639</v>
      </c>
      <c r="C211" s="402" t="s">
        <v>620</v>
      </c>
      <c r="D211" s="696"/>
      <c r="E211" s="395"/>
      <c r="F211" s="395"/>
      <c r="G211" s="395" t="str">
        <f>IFERROR(8*G$174/3/$D211,"")</f>
        <v/>
      </c>
      <c r="H211" s="395" t="str">
        <f>IFERROR((8*H$174/3/$D211)*($H$27/$G$27),"")</f>
        <v/>
      </c>
      <c r="I211" s="393"/>
      <c r="K211" s="1" t="str">
        <f>IFERROR((1/'Apoio - Notas Explicativas'!$D$6)/3*L211/D211,"")</f>
        <v/>
      </c>
      <c r="L211" s="696"/>
      <c r="M211" s="397">
        <f>SUM(E211:I211)</f>
        <v>0</v>
      </c>
      <c r="N211" s="397">
        <f t="shared" ref="N211:N213" si="46">L211*M211</f>
        <v>0</v>
      </c>
      <c r="O211" s="397">
        <f t="shared" ref="O211:O213" si="47">N211*$D$12</f>
        <v>0</v>
      </c>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0" t="s">
        <v>640</v>
      </c>
      <c r="C212" s="402" t="s">
        <v>621</v>
      </c>
      <c r="D212" s="696"/>
      <c r="E212" s="395" t="str">
        <f>IFERROR(8*E$174/3/$D212,"")</f>
        <v/>
      </c>
      <c r="F212" s="395" t="str">
        <f>IFERROR((8*F$174/3/$D212)*($F$27/$E$27),"")</f>
        <v/>
      </c>
      <c r="G212" s="395"/>
      <c r="H212" s="395"/>
      <c r="I212" s="393"/>
      <c r="K212" s="1" t="str">
        <f>IFERROR((1/'Apoio - Notas Explicativas'!$D$6)/3*L212/D212,"")</f>
        <v/>
      </c>
      <c r="L212" s="696"/>
      <c r="M212" s="397">
        <f>SUM(E212:I212)</f>
        <v>0</v>
      </c>
      <c r="N212" s="397">
        <f t="shared" si="46"/>
        <v>0</v>
      </c>
      <c r="O212" s="397">
        <f t="shared" si="47"/>
        <v>0</v>
      </c>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641</v>
      </c>
      <c r="C213" s="402" t="s">
        <v>622</v>
      </c>
      <c r="D213" s="696"/>
      <c r="E213" s="395" t="str">
        <f>IFERROR(8*E$174*'Apoio - Notas Explicativas'!$D$7/2/$D213,"")</f>
        <v/>
      </c>
      <c r="F213" s="395" t="str">
        <f>IFERROR((8*F$174*'Apoio - Notas Explicativas'!$D$7/2/$D213)*($F$27/$E$27),"")</f>
        <v/>
      </c>
      <c r="G213" s="395"/>
      <c r="H213" s="395"/>
      <c r="I213" s="393"/>
      <c r="K213" s="1" t="str">
        <f>IFERROR(('Apoio - Notas Explicativas'!$D$8/'Apoio - Notas Explicativas'!$D$6)*L213/D213,"")</f>
        <v/>
      </c>
      <c r="L213" s="696"/>
      <c r="M213" s="397">
        <f>SUM(E213:I213)</f>
        <v>0</v>
      </c>
      <c r="N213" s="397">
        <f t="shared" si="46"/>
        <v>0</v>
      </c>
      <c r="O213" s="397">
        <f t="shared" si="47"/>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7"/>
      <c r="B214" s="411"/>
      <c r="C214" s="401"/>
      <c r="D214" s="399"/>
      <c r="E214" s="288"/>
      <c r="F214" s="288"/>
      <c r="G214" s="288"/>
      <c r="H214" s="288"/>
      <c r="I214" s="288"/>
      <c r="K214" s="1" t="str">
        <f t="shared" si="45"/>
        <v/>
      </c>
      <c r="L214" s="408"/>
      <c r="M214" s="398"/>
      <c r="N214" s="398"/>
      <c r="O214" s="398"/>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2"/>
      <c r="C215" s="172" t="s">
        <v>642</v>
      </c>
      <c r="D215" s="396"/>
      <c r="E215" s="396"/>
      <c r="F215" s="396"/>
      <c r="G215" s="396"/>
      <c r="H215" s="396"/>
      <c r="I215" s="396"/>
      <c r="K215" s="1"/>
      <c r="L215" s="396"/>
      <c r="M215" s="396"/>
      <c r="N215" s="396"/>
      <c r="O215" s="396"/>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7"/>
      <c r="B216" s="410" t="s">
        <v>643</v>
      </c>
      <c r="C216" s="400" t="s">
        <v>648</v>
      </c>
      <c r="D216" s="696"/>
      <c r="E216" s="395"/>
      <c r="F216" s="395"/>
      <c r="G216" s="395" t="str">
        <f>IFERROR(8*G$174/3/$D216,"")</f>
        <v/>
      </c>
      <c r="H216" s="395" t="str">
        <f>IFERROR((8*H$174/3/$D216)*($H$27/$G$27),"")</f>
        <v/>
      </c>
      <c r="I216" s="393"/>
      <c r="K216" s="1" t="str">
        <f>IFERROR((1/'Apoio - Notas Explicativas'!$D$6)/3*L216/D216,"")</f>
        <v/>
      </c>
      <c r="L216" s="696"/>
      <c r="M216" s="397">
        <f>SUM(E216:I216)</f>
        <v>0</v>
      </c>
      <c r="N216" s="397">
        <f t="shared" ref="N216" si="48">L216*M216</f>
        <v>0</v>
      </c>
      <c r="O216" s="397">
        <f>N216*$D$12</f>
        <v>0</v>
      </c>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7"/>
      <c r="B217" s="411"/>
      <c r="C217" s="401"/>
      <c r="D217" s="399"/>
      <c r="E217" s="288"/>
      <c r="F217" s="288"/>
      <c r="G217" s="288"/>
      <c r="H217" s="288"/>
      <c r="I217" s="288"/>
      <c r="K217" s="1" t="str">
        <f t="shared" si="45"/>
        <v/>
      </c>
      <c r="L217" s="408"/>
      <c r="M217" s="397"/>
      <c r="N217" s="398"/>
      <c r="O217" s="398"/>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2"/>
      <c r="C218" s="172" t="s">
        <v>644</v>
      </c>
      <c r="D218" s="396"/>
      <c r="E218" s="396"/>
      <c r="F218" s="396"/>
      <c r="G218" s="396"/>
      <c r="H218" s="396"/>
      <c r="I218" s="396"/>
      <c r="K218" s="1"/>
      <c r="L218" s="396"/>
      <c r="M218" s="396"/>
      <c r="N218" s="396"/>
      <c r="O218" s="396"/>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7"/>
      <c r="B219" s="410" t="s">
        <v>645</v>
      </c>
      <c r="C219" s="400" t="s">
        <v>372</v>
      </c>
      <c r="D219" s="696"/>
      <c r="E219" s="395" t="str">
        <f>IFERROR(8*E$174*'Apoio - Notas Explicativas'!$D$6/$D219,"")</f>
        <v/>
      </c>
      <c r="F219" s="395" t="str">
        <f>IFERROR((8*F$174*'Apoio - Notas Explicativas'!$D$6/$D219)*($F$27/$E$27),"")</f>
        <v/>
      </c>
      <c r="G219" s="395"/>
      <c r="H219" s="395"/>
      <c r="I219" s="393"/>
      <c r="K219" s="1" t="str">
        <f t="shared" si="45"/>
        <v/>
      </c>
      <c r="L219" s="696"/>
      <c r="M219" s="397">
        <f>SUM(E219:I219)</f>
        <v>0</v>
      </c>
      <c r="N219" s="397">
        <f t="shared" ref="N219" si="49">L219*M219</f>
        <v>0</v>
      </c>
      <c r="O219" s="397">
        <f>N219*$D$12</f>
        <v>0</v>
      </c>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3"/>
    <mergeCell ref="B163:B165"/>
    <mergeCell ref="B54:B58"/>
    <mergeCell ref="B78:B81"/>
    <mergeCell ref="B86:B91"/>
    <mergeCell ref="B92:B96"/>
    <mergeCell ref="B97:B100"/>
    <mergeCell ref="B103:B106"/>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 type="list" allowBlank="1" sqref="D150" xr:uid="{0684F4A8-4B75-40E3-8225-66FC8F0FEA88}">
      <formula1>"Sim,Não"</formula1>
    </dataValidation>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zoomScale="90" zoomScaleNormal="90" workbookViewId="0">
      <selection activeCell="K76" sqref="K76"/>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35" t="s">
        <v>76</v>
      </c>
      <c r="C2" s="836"/>
      <c r="D2" s="836"/>
      <c r="E2" s="836"/>
      <c r="F2" s="836"/>
      <c r="G2" s="836"/>
      <c r="H2" s="836"/>
      <c r="I2" s="836"/>
      <c r="J2" s="836"/>
      <c r="K2" s="837"/>
    </row>
    <row r="3" spans="2:12" ht="21">
      <c r="B3" s="844" t="str">
        <f>IF(IFERROR(SUM(Produtividade!L194:L219)&gt;0,FALSE()),Produtividade!D5,
IF(IFERROR(Veículos!$E$3&lt;&gt;"",FALSE()),'Mão de Obra'!D5,'Mão de Obra'!D5))</f>
        <v>SECRETARIA DE ADMINISTRAÇÃO E PATRIMÔNIO</v>
      </c>
      <c r="C3" s="845"/>
      <c r="D3" s="845"/>
      <c r="E3" s="845"/>
      <c r="F3" s="845"/>
      <c r="G3" s="845"/>
      <c r="H3" s="845"/>
      <c r="I3" s="845"/>
      <c r="J3" s="845"/>
      <c r="K3" s="846"/>
    </row>
    <row r="4" spans="2:12" ht="21">
      <c r="B4" s="838" t="s">
        <v>432</v>
      </c>
      <c r="C4" s="839"/>
      <c r="D4" s="839"/>
      <c r="E4" s="839"/>
      <c r="F4" s="839"/>
      <c r="G4" s="839"/>
      <c r="H4" s="839"/>
      <c r="I4" s="839"/>
      <c r="J4" s="839"/>
      <c r="K4" s="840"/>
    </row>
    <row r="5" spans="2:12" ht="6.75" customHeight="1">
      <c r="B5" s="25"/>
      <c r="C5" s="25"/>
      <c r="D5" s="25"/>
      <c r="E5" s="25"/>
      <c r="F5" s="25"/>
      <c r="G5" s="25"/>
      <c r="H5" s="25"/>
      <c r="I5" s="25"/>
      <c r="J5" s="25"/>
      <c r="K5" s="25"/>
      <c r="L5" s="487"/>
    </row>
    <row r="6" spans="2:12" ht="15" customHeight="1">
      <c r="B6" s="343" t="s">
        <v>74</v>
      </c>
      <c r="C6" s="850">
        <f>IF(IFERROR(SUM(Produtividade!L194:L219)&gt;0,FALSE()),Produtividade!D6,
IF(IFERROR(Veículos!$E$3&lt;&gt;"",FALSE()),'Mão de Obra'!D6,
'Mão de Obra'!D6))</f>
        <v>0</v>
      </c>
      <c r="D6" s="850"/>
      <c r="E6" s="850"/>
      <c r="F6" s="850"/>
      <c r="G6" s="854" t="s">
        <v>70</v>
      </c>
      <c r="H6" s="854"/>
      <c r="I6" s="854"/>
      <c r="J6" s="852">
        <f>IF(IFERROR(SUM(Produtividade!L194:L219)&gt;0,FALSE()),Produtividade!D12,
IF(IFERROR(Veículos!$E$3&lt;&gt;"",FALSE()),'Mão de Obra'!D12,
'Mão de Obra'!D12))</f>
        <v>12</v>
      </c>
      <c r="K6" s="853"/>
    </row>
    <row r="7" spans="2:12" ht="15" customHeight="1">
      <c r="B7" s="349" t="s">
        <v>249</v>
      </c>
      <c r="C7" s="851" t="str">
        <f>IF(IFERROR(SUM(Produtividade!L194:L219)&gt;0,FALSE()),Produtividade!D7,
IF(IFERROR(Veículos!$E$3&lt;&gt;"",FALSE()),'Mão de Obra'!D7,
'Mão de Obra'!D7))</f>
        <v>26.0.000047066-9</v>
      </c>
      <c r="D7" s="851"/>
      <c r="E7" s="851"/>
      <c r="F7" s="851"/>
      <c r="G7" s="834" t="s">
        <v>110</v>
      </c>
      <c r="H7" s="834"/>
      <c r="I7" s="834"/>
      <c r="J7" s="842" t="str">
        <f>IF(IFERROR(SUM(Produtividade!L194:L219)&gt;0,FALSE()),Produtividade!D11,
IF(IFERROR(Veículos!$E$3&lt;&gt;"",FALSE()),'Mão de Obra'!D11,
'Mão de Obra'!D11))</f>
        <v>Mês</v>
      </c>
      <c r="K7" s="843"/>
    </row>
    <row r="8" spans="2:12" ht="32.25" customHeight="1">
      <c r="B8" s="847" t="str">
        <f>CONCATENATE("OBJETO: ",
IF(IFERROR(SUM(Produtividade!L194:L219)&gt;0,FALSE()),Produtividade!D8,
IF(IFERROR(Veículos!$E$3&lt;&gt;"",FALSE()),'Mão de Obra'!D8,
'Mão de Obra'!D8)))</f>
        <v>OBJETO: Contratação emergencial de serviços de vigilância desarmada</v>
      </c>
      <c r="C8" s="848"/>
      <c r="D8" s="848"/>
      <c r="E8" s="848"/>
      <c r="F8" s="848"/>
      <c r="G8" s="848"/>
      <c r="H8" s="848"/>
      <c r="I8" s="848"/>
      <c r="J8" s="848"/>
      <c r="K8" s="849"/>
    </row>
    <row r="9" spans="2:12" ht="15" customHeight="1">
      <c r="B9" s="349" t="s">
        <v>64</v>
      </c>
      <c r="C9" s="841"/>
      <c r="D9" s="841"/>
      <c r="E9" s="841"/>
      <c r="F9" s="841"/>
      <c r="G9" s="834" t="s">
        <v>318</v>
      </c>
      <c r="H9" s="834"/>
      <c r="I9" s="348"/>
      <c r="J9" s="842" t="str">
        <f>IF(IFERROR(SUM(Produtividade!L194:L219)&gt;0,FALSE()),Produtividade!D13,
IF(IFERROR(Veículos!$E$3&lt;&gt;"",FALSE()),'Mão de Obra'!D13,
'Mão de Obra'!D13))</f>
        <v>Lucro Presumido</v>
      </c>
      <c r="K9" s="843"/>
    </row>
    <row r="10" spans="2:12">
      <c r="B10" s="346" t="s">
        <v>72</v>
      </c>
      <c r="C10" s="868"/>
      <c r="D10" s="868"/>
      <c r="E10" s="868"/>
      <c r="F10" s="868"/>
      <c r="G10" s="863" t="s">
        <v>319</v>
      </c>
      <c r="H10" s="863"/>
      <c r="I10" s="347"/>
      <c r="J10" s="859">
        <f>IF(IFERROR(SUM(Produtividade!L194:L219)&gt;0,FALSE()),Produtividade!D14,
IF(IFERROR(Veículos!$E$3&lt;&gt;"",FALSE()),'Mão de Obra'!D14,
'Mão de Obra'!D14))</f>
        <v>0</v>
      </c>
      <c r="K10" s="860"/>
    </row>
    <row r="11" spans="2:12" ht="15" customHeight="1">
      <c r="B11" s="346" t="s">
        <v>65</v>
      </c>
      <c r="C11" s="841"/>
      <c r="D11" s="841"/>
      <c r="E11" s="841"/>
      <c r="F11" s="841"/>
      <c r="G11" s="863" t="s">
        <v>75</v>
      </c>
      <c r="H11" s="863"/>
      <c r="I11" s="869" t="s">
        <v>458</v>
      </c>
      <c r="J11" s="869"/>
      <c r="K11" s="870"/>
    </row>
    <row r="12" spans="2:12">
      <c r="B12" s="345" t="s">
        <v>66</v>
      </c>
      <c r="C12" s="867"/>
      <c r="D12" s="867"/>
      <c r="E12" s="867"/>
      <c r="F12" s="867"/>
      <c r="G12" s="863" t="s">
        <v>321</v>
      </c>
      <c r="H12" s="863"/>
      <c r="I12" s="865"/>
      <c r="J12" s="865"/>
      <c r="K12" s="866"/>
    </row>
    <row r="13" spans="2:12">
      <c r="B13" s="344" t="s">
        <v>73</v>
      </c>
      <c r="C13" s="858"/>
      <c r="D13" s="858"/>
      <c r="E13" s="858"/>
      <c r="F13" s="858"/>
      <c r="G13" s="864" t="s">
        <v>67</v>
      </c>
      <c r="H13" s="864"/>
      <c r="I13" s="861"/>
      <c r="J13" s="861"/>
      <c r="K13" s="862"/>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19.5" customHeight="1">
      <c r="B17" s="469" t="str">
        <f>IF(
INDEX('Mão de Obra'!$E$18:$X$18,1,ROW()-ROW($B$16))&lt;&gt;0,
INDEX('Mão de Obra'!$E$18:$X$18,1,ROW()-ROW($B$16)),
"OCULTAR ESTA LINHA"
)</f>
        <v>Vigilante</v>
      </c>
      <c r="C17" s="470" t="str">
        <f>INDEX('Mão de Obra'!$E$17:$X$17,1,ROW()-ROW($C$16))</f>
        <v>Posto A</v>
      </c>
      <c r="D17" s="471" t="str">
        <f>INDEX('Mão de Obra'!$E$26:$X$26,1,ROW()-ROW($D$16))</f>
        <v>12x36 Diurno</v>
      </c>
      <c r="E17" s="472">
        <f>INDEX('Mão de Obra'!$E$27:$X$27,1,ROW()-ROW($E$16))</f>
        <v>1</v>
      </c>
      <c r="F17" s="472">
        <f>INDEX('Mão de Obra'!$E$29:$X$29,1,ROW()-ROW($F$16))</f>
        <v>2</v>
      </c>
      <c r="G17" s="473">
        <f>INDEX('Mão de Obra'!$E$176:$X$176,1,ROW()-ROW($G$16))</f>
        <v>39.61</v>
      </c>
      <c r="H17" s="473">
        <f>INDEX('Mão de Obra'!$E$177:$X$177,1,ROW()-ROW($I$16))</f>
        <v>475.34</v>
      </c>
      <c r="I17" s="473">
        <f>INDEX('Mão de Obra'!$E$179:$X$179,1,ROW()-ROW($I$16))</f>
        <v>14260.28</v>
      </c>
      <c r="J17" s="473">
        <f>INDEX('Mão de Obra'!$E$185:$X$185,1,ROW()-ROW($I$16))</f>
        <v>14260.28</v>
      </c>
      <c r="K17" s="474">
        <f>INDEX('Mão de Obra'!$E$191:$X$191,1,ROW()-ROW($I$16))</f>
        <v>171123.36</v>
      </c>
      <c r="M17" s="492"/>
    </row>
    <row r="18" spans="2:14">
      <c r="B18" s="469" t="str">
        <f>IF(
INDEX('Mão de Obra'!$E$18:$X$18,1,ROW()-ROW($B$16))&lt;&gt;0,
INDEX('Mão de Obra'!$E$18:$X$18,1,ROW()-ROW($B$16)),
"OCULTAR ESTA LINHA"
)</f>
        <v>Vigilante</v>
      </c>
      <c r="C18" s="470" t="str">
        <f>INDEX('Mão de Obra'!$E$17:$X$17,1,ROW()-ROW($C$16))</f>
        <v>Posto B</v>
      </c>
      <c r="D18" s="471" t="str">
        <f>INDEX('Mão de Obra'!$E$26:$X$26,1,ROW()-ROW($D$16))</f>
        <v>12x36 Diurno</v>
      </c>
      <c r="E18" s="472">
        <f>INDEX('Mão de Obra'!$E$27:$X$27,1,ROW()-ROW($E$16))</f>
        <v>1</v>
      </c>
      <c r="F18" s="472">
        <f>INDEX('Mão de Obra'!$E$29:$X$29,1,ROW()-ROW($F$16))</f>
        <v>2</v>
      </c>
      <c r="G18" s="473">
        <f>INDEX('Mão de Obra'!$E$176:$X$176,1,ROW()-ROW($G$16))</f>
        <v>44.97</v>
      </c>
      <c r="H18" s="473">
        <f>INDEX('Mão de Obra'!$E$177:$X$177,1,ROW()-ROW($I$16))</f>
        <v>539.63</v>
      </c>
      <c r="I18" s="473">
        <f>INDEX('Mão de Obra'!$E$179:$X$179,1,ROW()-ROW($I$16))</f>
        <v>16189.02</v>
      </c>
      <c r="J18" s="473">
        <f>INDEX('Mão de Obra'!$E$185:$X$185,1,ROW()-ROW($I$16))</f>
        <v>16189.02</v>
      </c>
      <c r="K18" s="474">
        <f>INDEX('Mão de Obra'!$E$191:$X$191,1,ROW()-ROW($I$16))</f>
        <v>194268.24</v>
      </c>
      <c r="N18" s="491"/>
    </row>
    <row r="19" spans="2:14">
      <c r="B19" s="469" t="str">
        <f>IF(
INDEX('Mão de Obra'!$E$18:$X$18,1,ROW()-ROW($B$16))&lt;&gt;0,
INDEX('Mão de Obra'!$E$18:$X$18,1,ROW()-ROW($B$16)),
"OCULTAR ESTA LINHA"
)</f>
        <v>Vigilante</v>
      </c>
      <c r="C19" s="470" t="str">
        <f>INDEX('Mão de Obra'!$E$17:$X$17,1,ROW()-ROW($C$16))</f>
        <v>Posto C</v>
      </c>
      <c r="D19" s="471" t="str">
        <f>INDEX('Mão de Obra'!$E$26:$X$26,1,ROW()-ROW($D$16))</f>
        <v>12x36 Noturno</v>
      </c>
      <c r="E19" s="472">
        <f>INDEX('Mão de Obra'!$E$27:$X$27,1,ROW()-ROW($E$16))</f>
        <v>3</v>
      </c>
      <c r="F19" s="472">
        <f>INDEX('Mão de Obra'!$E$29:$X$29,1,ROW()-ROW($F$16))</f>
        <v>6</v>
      </c>
      <c r="G19" s="473">
        <f>INDEX('Mão de Obra'!$E$176:$X$176,1,ROW()-ROW($G$16))</f>
        <v>44.17</v>
      </c>
      <c r="H19" s="473">
        <f>INDEX('Mão de Obra'!$E$177:$X$177,1,ROW()-ROW($I$16))</f>
        <v>530.04999999999995</v>
      </c>
      <c r="I19" s="473">
        <f>INDEX('Mão de Obra'!$E$179:$X$179,1,ROW()-ROW($I$16))</f>
        <v>15901.46</v>
      </c>
      <c r="J19" s="473">
        <f>INDEX('Mão de Obra'!$E$185:$X$185,1,ROW()-ROW($I$16))</f>
        <v>47704.38</v>
      </c>
      <c r="K19" s="474">
        <f>INDEX('Mão de Obra'!$E$191:$X$191,1,ROW()-ROW($I$16))</f>
        <v>572452.56000000006</v>
      </c>
      <c r="M19" s="492"/>
    </row>
    <row r="20" spans="2:14">
      <c r="B20" s="469" t="str">
        <f>IF(
INDEX('Mão de Obra'!$E$18:$X$18,1,ROW()-ROW($B$16))&lt;&gt;0,
INDEX('Mão de Obra'!$E$18:$X$18,1,ROW()-ROW($B$16)),
"OCULTAR ESTA LINHA"
)</f>
        <v>Vigilante</v>
      </c>
      <c r="C20" s="470" t="str">
        <f>INDEX('Mão de Obra'!$E$17:$X$17,1,ROW()-ROW($C$16))</f>
        <v>Posto D</v>
      </c>
      <c r="D20" s="471" t="str">
        <f>INDEX('Mão de Obra'!$E$26:$X$26,1,ROW()-ROW($D$16))</f>
        <v>12x36 Noturno</v>
      </c>
      <c r="E20" s="472">
        <f>INDEX('Mão de Obra'!$E$27:$X$27,1,ROW()-ROW($E$16))</f>
        <v>1</v>
      </c>
      <c r="F20" s="472">
        <f>INDEX('Mão de Obra'!$E$29:$X$29,1,ROW()-ROW($F$16))</f>
        <v>2</v>
      </c>
      <c r="G20" s="473">
        <f>INDEX('Mão de Obra'!$E$176:$X$176,1,ROW()-ROW($G$16))</f>
        <v>49.53</v>
      </c>
      <c r="H20" s="473">
        <f>INDEX('Mão de Obra'!$E$177:$X$177,1,ROW()-ROW($I$16))</f>
        <v>594.34</v>
      </c>
      <c r="I20" s="473">
        <f>INDEX('Mão de Obra'!$E$179:$X$179,1,ROW()-ROW($I$16))</f>
        <v>17830.2</v>
      </c>
      <c r="J20" s="473">
        <f>INDEX('Mão de Obra'!$E$185:$X$185,1,ROW()-ROW($I$16))</f>
        <v>17830.2</v>
      </c>
      <c r="K20" s="474">
        <f>INDEX('Mão de Obra'!$E$191:$X$191,1,ROW()-ROW($I$16))</f>
        <v>213962.4</v>
      </c>
      <c r="M20" s="493"/>
    </row>
    <row r="21" spans="2:14" hidden="1">
      <c r="B21" s="469" t="str">
        <f>IF(
INDEX('Mão de Obra'!$E$18:$X$18,1,ROW()-ROW($B$16))&lt;&gt;0,
INDEX('Mão de Obra'!$E$18:$X$18,1,ROW()-ROW($B$16)),
"OCULTAR ESTA LINHA"
)</f>
        <v>OCULTAR ESTA LINHA</v>
      </c>
      <c r="C21" s="470" t="str">
        <f>INDEX('Mão de Obra'!$E$17:$X$17,1,ROW()-ROW($C$16))</f>
        <v>Posto E</v>
      </c>
      <c r="D21" s="471">
        <f>INDEX('Mão de Obra'!$E$26:$X$26,1,ROW()-ROW($D$16))</f>
        <v>0</v>
      </c>
      <c r="E21" s="472">
        <f>INDEX('Mão de Obra'!$E$27:$X$27,1,ROW()-ROW($E$16))</f>
        <v>0</v>
      </c>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hidden="1">
      <c r="B22" s="469" t="str">
        <f>IF(
INDEX('Mão de Obra'!$E$18:$X$18,1,ROW()-ROW($B$16))&lt;&gt;0,
INDEX('Mão de Obra'!$E$18:$X$18,1,ROW()-ROW($B$16)),
"OCULTAR ESTA LINHA"
)</f>
        <v>OCULTAR ESTA LINHA</v>
      </c>
      <c r="C22" s="470" t="str">
        <f>INDEX('Mão de Obra'!$E$17:$X$17,1,ROW()-ROW($C$16))</f>
        <v>Posto F</v>
      </c>
      <c r="D22" s="471">
        <f>INDEX('Mão de Obra'!$E$26:$X$26,1,ROW()-ROW($D$16))</f>
        <v>0</v>
      </c>
      <c r="E22" s="472">
        <f>INDEX('Mão de Obra'!$E$27:$X$27,1,ROW()-ROW($E$16))</f>
        <v>0</v>
      </c>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hidden="1">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hidden="1">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hidden="1">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hidden="1">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6</v>
      </c>
      <c r="F27" s="475">
        <f>SUM(F17:F26)</f>
        <v>12</v>
      </c>
      <c r="G27" s="476"/>
      <c r="H27" s="476"/>
      <c r="I27" s="476"/>
      <c r="J27" s="476">
        <f>SUM(J17:J26)</f>
        <v>95983.87999999999</v>
      </c>
      <c r="K27" s="761">
        <f>SUM(K17:K26)</f>
        <v>1151806.56</v>
      </c>
      <c r="M27" s="647"/>
    </row>
    <row r="28" spans="2:14" ht="6.75" customHeight="1">
      <c r="B28" s="477"/>
      <c r="C28" s="477"/>
      <c r="D28" s="477"/>
      <c r="E28" s="478"/>
      <c r="F28" s="478"/>
      <c r="G28" s="645"/>
      <c r="H28" s="645"/>
      <c r="I28" s="645"/>
      <c r="J28" s="645"/>
      <c r="K28" s="645"/>
    </row>
    <row r="29" spans="2:14">
      <c r="B29" s="462" t="s">
        <v>487</v>
      </c>
      <c r="C29" s="463"/>
      <c r="D29" s="463"/>
      <c r="E29" s="463"/>
      <c r="F29" s="463"/>
      <c r="G29" s="463"/>
      <c r="H29" s="463"/>
      <c r="I29" s="463"/>
      <c r="J29" s="463"/>
      <c r="K29" s="464"/>
    </row>
    <row r="30" spans="2:14">
      <c r="B30" s="465" t="s">
        <v>483</v>
      </c>
      <c r="C30" s="466"/>
      <c r="D30" s="466"/>
      <c r="E30" s="466"/>
      <c r="F30" s="466"/>
      <c r="G30" s="467"/>
      <c r="H30" s="467"/>
      <c r="I30" s="467"/>
      <c r="J30" s="467" t="s">
        <v>443</v>
      </c>
      <c r="K30" s="468" t="s">
        <v>396</v>
      </c>
    </row>
    <row r="31" spans="2:14">
      <c r="B31" s="646" t="s">
        <v>483</v>
      </c>
      <c r="C31" s="470"/>
      <c r="D31" s="472"/>
      <c r="E31" s="480"/>
      <c r="F31" s="481"/>
      <c r="G31" s="473"/>
      <c r="H31" s="473"/>
      <c r="I31" s="473"/>
      <c r="J31" s="775">
        <f>IFERROR(IF(OR('Mão de Obra'!$D$152="Não",'Mão de Obra'!$D$152=""),
'Mat Coletivo e Equipamentos'!J4,""),0)</f>
        <v>6358.7096000000001</v>
      </c>
      <c r="K31" s="776">
        <f>IFERROR(J31*J6,0)</f>
        <v>76304.515199999994</v>
      </c>
      <c r="M31" s="647"/>
    </row>
    <row r="32" spans="2:14">
      <c r="B32" s="462"/>
      <c r="C32" s="463"/>
      <c r="D32" s="463"/>
      <c r="E32" s="463"/>
      <c r="F32" s="475"/>
      <c r="G32" s="483"/>
      <c r="H32" s="483"/>
      <c r="I32" s="483"/>
      <c r="J32" s="777">
        <f>SUM(J31)</f>
        <v>6358.7096000000001</v>
      </c>
      <c r="K32" s="778">
        <f>SUM(K31)</f>
        <v>76304.515199999994</v>
      </c>
    </row>
    <row r="33" spans="2:14" ht="6.75" customHeight="1">
      <c r="B33" s="477"/>
      <c r="C33" s="477"/>
      <c r="D33" s="477"/>
      <c r="E33" s="477"/>
      <c r="F33" s="478"/>
      <c r="G33" s="479"/>
      <c r="H33" s="479"/>
      <c r="I33" s="479"/>
      <c r="J33" s="479"/>
      <c r="K33" s="479"/>
    </row>
    <row r="34" spans="2:14" hidden="1">
      <c r="B34" s="462" t="s">
        <v>419</v>
      </c>
      <c r="C34" s="463"/>
      <c r="D34" s="463"/>
      <c r="E34" s="463"/>
      <c r="F34" s="463"/>
      <c r="G34" s="463"/>
      <c r="H34" s="463"/>
      <c r="I34" s="463"/>
      <c r="J34" s="463"/>
      <c r="K34" s="464"/>
    </row>
    <row r="35" spans="2:14" ht="15" hidden="1" customHeight="1">
      <c r="B35" s="465" t="s">
        <v>413</v>
      </c>
      <c r="C35" s="466"/>
      <c r="D35" s="466" t="s">
        <v>415</v>
      </c>
      <c r="E35" s="466" t="s">
        <v>451</v>
      </c>
      <c r="F35" s="466" t="s">
        <v>414</v>
      </c>
      <c r="G35" s="467" t="s">
        <v>429</v>
      </c>
      <c r="H35" s="467" t="s">
        <v>447</v>
      </c>
      <c r="I35" s="467" t="s">
        <v>431</v>
      </c>
      <c r="J35" s="467" t="s">
        <v>443</v>
      </c>
      <c r="K35" s="468" t="s">
        <v>396</v>
      </c>
    </row>
    <row r="36" spans="2:14" hidden="1">
      <c r="B36" s="469" t="str">
        <f>IF(
INDEX(Veículos!$E$3:$AR$3,1,ROW()-ROW(B$35))&lt;&gt;"",
INDEX(Veículos!$E$3:$AR$3,1,ROW()-ROW(B$35)),
"OCULTAR ESTA LINHA")</f>
        <v>OCULTAR ESTA LINHA</v>
      </c>
      <c r="C36" s="470"/>
      <c r="D36" s="472">
        <f>INDEX(Veículos!$E$4:$CS$4,1,ROW()-ROW(D$35))</f>
        <v>0</v>
      </c>
      <c r="E36" s="480" t="str">
        <f>INDEX(Veículos!$E$88:$CS$88,1,ROW()-ROW(E$35))</f>
        <v/>
      </c>
      <c r="F36" s="481">
        <f>INDEX(Veículos!$E$5:$AR$5,1,ROW()-ROW(F$35))</f>
        <v>0</v>
      </c>
      <c r="G36" s="473" t="str">
        <f>INDEX(Veículos!$E$89:$CS$89,1,ROW()-ROW(G$35))</f>
        <v/>
      </c>
      <c r="H36" s="473" t="str">
        <f>INDEX(Veículos!$E$86:$CS$86,1,ROW()-ROW(H$35))</f>
        <v/>
      </c>
      <c r="I36" s="473" t="str">
        <f>INDEX(Veículos!$E$94:$CS$94,1,ROW()-ROW(I$35))</f>
        <v/>
      </c>
      <c r="J36" s="482" t="str">
        <f>INDEX(Veículos!$E$99:$CS$99,1,ROW()-ROW(J$35))</f>
        <v/>
      </c>
      <c r="K36" s="474" t="str">
        <f>INDEX(Veículos!$E$100:$CS$100,1,ROW()-ROW(K$35))</f>
        <v/>
      </c>
    </row>
    <row r="37" spans="2:14" hidden="1">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hidden="1">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hidden="1">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hidden="1">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hidden="1">
      <c r="B41" s="462"/>
      <c r="C41" s="463"/>
      <c r="D41" s="463"/>
      <c r="E41" s="463"/>
      <c r="F41" s="475"/>
      <c r="G41" s="483"/>
      <c r="H41" s="483"/>
      <c r="I41" s="483"/>
      <c r="J41" s="483">
        <f>SUM(J36:J40)</f>
        <v>0</v>
      </c>
      <c r="K41" s="484">
        <f>SUM(K36:K40)</f>
        <v>0</v>
      </c>
    </row>
    <row r="42" spans="2:14" ht="6.75" hidden="1" customHeight="1">
      <c r="B42" s="477"/>
      <c r="C42" s="477"/>
      <c r="D42" s="477"/>
      <c r="E42" s="477"/>
      <c r="F42" s="478"/>
      <c r="G42" s="478"/>
      <c r="H42" s="479"/>
      <c r="I42" s="479"/>
      <c r="J42" s="479"/>
      <c r="K42" s="479"/>
    </row>
    <row r="43" spans="2:14" hidden="1">
      <c r="B43" s="462" t="s">
        <v>418</v>
      </c>
      <c r="C43" s="463"/>
      <c r="D43" s="463"/>
      <c r="E43" s="463"/>
      <c r="F43" s="463"/>
      <c r="G43" s="463"/>
      <c r="H43" s="463"/>
      <c r="I43" s="463"/>
      <c r="J43" s="463"/>
      <c r="K43" s="464"/>
    </row>
    <row r="44" spans="2:14" hidden="1">
      <c r="B44" s="465" t="s">
        <v>409</v>
      </c>
      <c r="C44" s="466"/>
      <c r="D44" s="466"/>
      <c r="E44" s="466"/>
      <c r="F44" s="467" t="s">
        <v>40</v>
      </c>
      <c r="G44" s="467" t="s">
        <v>410</v>
      </c>
      <c r="H44" s="467" t="s">
        <v>411</v>
      </c>
      <c r="I44" s="467" t="s">
        <v>412</v>
      </c>
      <c r="J44" s="467" t="s">
        <v>322</v>
      </c>
      <c r="K44" s="468" t="s">
        <v>345</v>
      </c>
    </row>
    <row r="45" spans="2:14" hidden="1">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hidden="1">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hidden="1">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hidden="1">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hidden="1">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hidden="1">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hidden="1">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hidden="1">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hidden="1">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hidden="1">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IFERROR(SUM(Produtividade!$E180:$II180),0),
IFERROR(SUM('Mão de Obra'!$E$182:$II$182),0)
)</f>
        <v>76890.28</v>
      </c>
      <c r="K58" s="765">
        <f>J58*$J$6</f>
        <v>922683.36</v>
      </c>
      <c r="L58" s="488"/>
      <c r="M58" s="647"/>
    </row>
    <row r="59" spans="2:16">
      <c r="B59" s="51" t="s">
        <v>275</v>
      </c>
      <c r="I59" s="371"/>
      <c r="J59" s="766">
        <f>SUM(
IFERROR(SUMPRODUCT(Produtividade!E149:II149,Produtividade!$E$29:$II$29),0),
IFERROR(SUMPRODUCT('Mão de Obra'!E151:II151,'Mão de Obra'!$E$29:$II$29),0)
)</f>
        <v>1101.8399999999999</v>
      </c>
      <c r="K59" s="765">
        <f>J59*$J$6</f>
        <v>13222.079999999998</v>
      </c>
      <c r="L59" s="488"/>
      <c r="M59" s="647"/>
    </row>
    <row r="60" spans="2:16">
      <c r="B60" s="51" t="s">
        <v>274</v>
      </c>
      <c r="I60" s="371"/>
      <c r="J60" s="766">
        <f>IF(OR('Mão de Obra'!$D$152="Não",'Mão de Obra'!$D$152=""),'Mat Coletivo e Equipamentos'!I4,0)
+
SUM(
IFERROR(SUMPRODUCT('Mão de Obra'!E152:II152,'Mão de Obra'!$E$29:$II$29),0),
IFERROR(SUMPRODUCT(Produtividade!E150:II150,Produtividade!$E$29:$II$29),0))</f>
        <v>531.40913333333333</v>
      </c>
      <c r="K60" s="765">
        <f>J60*$J$6</f>
        <v>6376.9096</v>
      </c>
      <c r="L60" s="488"/>
      <c r="M60" s="647"/>
    </row>
    <row r="61" spans="2:16">
      <c r="B61" s="51" t="s">
        <v>424</v>
      </c>
      <c r="I61" s="371"/>
      <c r="J61" s="29">
        <f>IFERROR(SUM(Veículos!E97:II97),0)</f>
        <v>0</v>
      </c>
      <c r="K61" s="765">
        <f>IFERROR(J61*$J$6,0)</f>
        <v>0</v>
      </c>
      <c r="L61" s="488"/>
      <c r="M61" s="647"/>
    </row>
    <row r="62" spans="2:16">
      <c r="B62" s="706" t="s">
        <v>252</v>
      </c>
      <c r="C62" s="3"/>
      <c r="D62" s="3"/>
      <c r="E62" s="3"/>
      <c r="F62" s="3"/>
      <c r="G62" s="3"/>
      <c r="H62" s="3"/>
      <c r="I62" s="707"/>
      <c r="J62" s="40">
        <f>IFERROR(SUM(J58:J61),0)</f>
        <v>78523.52913333333</v>
      </c>
      <c r="K62" s="767">
        <f>IFERROR(J62*$J$6,0)</f>
        <v>942282.34959999996</v>
      </c>
      <c r="L62" s="488"/>
      <c r="M62" s="647"/>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IFERROR(SUMPRODUCT(Produtividade!E156:II156,Produtividade!$E$29:$II$29),0),
IFERROR(SUMPRODUCT(Veículos!E68:II68,Veículos!$E$4:$II$4),0)
)
*
(1+IF(OR('Mão de Obra'!$D$152="Não",'Mão de Obra'!$D$152=""),'Mat Coletivo e Equipamentos'!I4,0)/SUM(J62,-'Mat Coletivo e Equipamentos'!I4)),0)</f>
        <v>3926.1704157849113</v>
      </c>
      <c r="K64" s="765">
        <f>J64*$J$6</f>
        <v>47114.044989418937</v>
      </c>
      <c r="L64" s="488"/>
      <c r="M64" s="647"/>
      <c r="N64" s="648"/>
      <c r="P64" s="488"/>
    </row>
    <row r="65" spans="2:14">
      <c r="B65" s="51" t="s">
        <v>228</v>
      </c>
      <c r="C65" s="255"/>
      <c r="F65" s="29"/>
      <c r="H65" s="33"/>
      <c r="I65" s="372"/>
      <c r="J65" s="770">
        <f>IFERROR(
SUM(
IFERROR(SUMPRODUCT('Mão de Obra'!E159:II159,'Mão de Obra'!$E$29:$II$29),0),
IFERROR(SUMPRODUCT(Produtividade!E157:II157,Produtividade!$E$29:$II$29),0),
IFERROR(SUMPRODUCT(Veículos!E69:II69,Veículos!$E$4:$II$4),0)
)
*
(1+IF(OR('Mão de Obra'!$D$152="Não",'Mão de Obra'!$D$152=""),'Mat Coletivo e Equipamentos'!I4,0)/SUM(J62,-'Mat Coletivo e Equipamentos'!I4)),0)</f>
        <v>8244.9578731483143</v>
      </c>
      <c r="K65" s="765">
        <f>J65*$J$6</f>
        <v>98939.494477779779</v>
      </c>
      <c r="L65" s="488"/>
      <c r="M65" s="647"/>
    </row>
    <row r="66" spans="2:14">
      <c r="B66" s="51" t="s">
        <v>254</v>
      </c>
      <c r="C66" s="255"/>
      <c r="F66" s="29"/>
      <c r="H66" s="33"/>
      <c r="I66" s="372"/>
      <c r="J66" s="770">
        <f>IFERROR(
SUM(
IFERROR(SUMPRODUCT('Mão de Obra'!E169:II169,'Mão de Obra'!$E$29:$II$29),0),
IFERROR(SUMPRODUCT(Produtividade!E167:II167,Produtividade!$E$29:$II$29),0),
IFERROR(SUMPRODUCT(Veículos!E79:II79,Veículos!$E$4:$II$4),0)
)
*
(1+IF(OR('Mão de Obra'!$D$152="Não",'Mão de Obra'!$D$152=""),'Mat Coletivo e Equipamentos'!I4,0)/SUM(J62,-'Mat Coletivo e Equipamentos'!I4)),0)</f>
        <v>5943.2208340287034</v>
      </c>
      <c r="K66" s="765">
        <f>J66*$J$6</f>
        <v>71318.650008344441</v>
      </c>
      <c r="L66" s="488"/>
      <c r="M66" s="647"/>
    </row>
    <row r="67" spans="2:14">
      <c r="B67" s="55" t="s">
        <v>252</v>
      </c>
      <c r="C67" s="52"/>
      <c r="D67" s="52"/>
      <c r="E67" s="52"/>
      <c r="F67" s="53"/>
      <c r="G67" s="54"/>
      <c r="H67" s="54"/>
      <c r="I67" s="373"/>
      <c r="J67" s="54">
        <f>IFERROR(
SUM(
IFERROR(SUMPRODUCT('Mão de Obra'!E171:II171,'Mão de Obra'!$E$29:$II$29),0),
IFERROR(SUMPRODUCT(Produtividade!E169:II169,Produtividade!$E$29:$II$29),0),
IFERROR(SUMPRODUCT(Veículos!E81:II81,Veículos!$E$4:$II$4),0),
IFERROR('Mat Coletivo e Equipamentos'!J4-'Mat Coletivo e Equipamentos'!I4,0)
),0)</f>
        <v>23819.060466666666</v>
      </c>
      <c r="K67" s="771">
        <f>J67*$J$6</f>
        <v>285828.72560000001</v>
      </c>
      <c r="L67" s="488"/>
      <c r="M67" s="647"/>
      <c r="N67" s="488"/>
    </row>
    <row r="68" spans="2:14">
      <c r="B68" s="56" t="s">
        <v>222</v>
      </c>
      <c r="C68" s="28"/>
      <c r="D68" s="28"/>
      <c r="E68" s="28"/>
      <c r="F68" s="31"/>
      <c r="G68" s="30"/>
      <c r="H68" s="30"/>
      <c r="I68" s="30"/>
      <c r="J68" s="30">
        <f>SUM(J62,J67)</f>
        <v>102342.58959999999</v>
      </c>
      <c r="K68" s="772">
        <f>SUM(K62,K67)</f>
        <v>1228111.0751999998</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855" t="s">
        <v>723</v>
      </c>
      <c r="G71" s="855"/>
      <c r="H71" s="467" t="s">
        <v>412</v>
      </c>
      <c r="I71" s="467" t="s">
        <v>724</v>
      </c>
      <c r="J71" s="467" t="s">
        <v>725</v>
      </c>
      <c r="K71" s="468" t="s">
        <v>345</v>
      </c>
      <c r="M71" s="488"/>
      <c r="N71" s="647"/>
    </row>
    <row r="72" spans="2:14" hidden="1">
      <c r="B72" s="646" t="s">
        <v>726</v>
      </c>
      <c r="C72" s="470"/>
      <c r="D72" s="471"/>
      <c r="E72" s="471"/>
      <c r="F72" s="856"/>
      <c r="G72" s="856"/>
      <c r="H72" s="473" t="str">
        <f>IFERROR(J68/F72,"")</f>
        <v/>
      </c>
      <c r="I72" s="755"/>
      <c r="J72" s="482">
        <f>K72/J6</f>
        <v>0</v>
      </c>
      <c r="K72" s="474">
        <f>PRODUCT(H72,I72)</f>
        <v>0</v>
      </c>
    </row>
    <row r="73" spans="2:14" hidden="1">
      <c r="B73" s="462"/>
      <c r="C73" s="463"/>
      <c r="D73" s="463"/>
      <c r="E73" s="463"/>
      <c r="F73" s="857"/>
      <c r="G73" s="857"/>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topLeftCell="A28" zoomScale="80" zoomScaleNormal="80" workbookViewId="0">
      <selection activeCell="E54" sqref="E54"/>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79"/>
      <c r="C14" s="876"/>
      <c r="D14" s="873" t="s">
        <v>315</v>
      </c>
      <c r="E14" s="873" t="s">
        <v>142</v>
      </c>
      <c r="F14" s="873" t="s">
        <v>312</v>
      </c>
      <c r="G14" s="503"/>
      <c r="H14" s="883" t="s">
        <v>130</v>
      </c>
      <c r="I14" s="883"/>
      <c r="J14" s="883"/>
      <c r="K14" s="883"/>
      <c r="L14" s="883"/>
      <c r="M14" s="883"/>
      <c r="N14" s="883"/>
      <c r="O14" s="883"/>
      <c r="P14" s="883"/>
      <c r="Q14" s="883"/>
      <c r="R14" s="525"/>
    </row>
    <row r="15" spans="1:18" ht="15" customHeight="1">
      <c r="A15" s="497"/>
      <c r="B15" s="880"/>
      <c r="C15" s="877"/>
      <c r="D15" s="874"/>
      <c r="E15" s="874"/>
      <c r="F15" s="874"/>
      <c r="H15" s="883" t="s">
        <v>59</v>
      </c>
      <c r="I15" s="883" t="s">
        <v>58</v>
      </c>
      <c r="J15" s="883" t="s">
        <v>427</v>
      </c>
      <c r="K15" s="524" t="s">
        <v>313</v>
      </c>
      <c r="L15" s="524" t="s">
        <v>313</v>
      </c>
      <c r="M15" s="524" t="s">
        <v>313</v>
      </c>
      <c r="N15" s="524" t="s">
        <v>313</v>
      </c>
      <c r="O15" s="524" t="s">
        <v>313</v>
      </c>
      <c r="P15" s="524" t="s">
        <v>313</v>
      </c>
      <c r="Q15" s="883" t="s">
        <v>48</v>
      </c>
      <c r="R15" s="527"/>
    </row>
    <row r="16" spans="1:18" ht="15" customHeight="1">
      <c r="A16" s="497"/>
      <c r="B16" s="881"/>
      <c r="C16" s="878"/>
      <c r="D16" s="875"/>
      <c r="E16" s="875"/>
      <c r="F16" s="875"/>
      <c r="H16" s="883"/>
      <c r="I16" s="883"/>
      <c r="J16" s="883"/>
      <c r="K16" s="524" t="s">
        <v>131</v>
      </c>
      <c r="L16" s="524" t="s">
        <v>136</v>
      </c>
      <c r="M16" s="524" t="s">
        <v>135</v>
      </c>
      <c r="N16" s="524" t="s">
        <v>134</v>
      </c>
      <c r="O16" s="524" t="s">
        <v>133</v>
      </c>
      <c r="P16" s="524" t="s">
        <v>132</v>
      </c>
      <c r="Q16" s="883"/>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IF(IFERROR(SUM(Produtividade!L194:L219)&gt;0,FALSE()),Produtividade!D13,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IF(IFERROR(SUM(Produtividade!L194:L219)&gt;0,FALSE()),Produtividade!D14,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82"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82"/>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82"/>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71"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72"/>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8" ht="4.5" customHeight="1">
      <c r="C177" s="401"/>
      <c r="Q177" s="636"/>
    </row>
    <row r="178" spans="2:18" ht="15" customHeight="1">
      <c r="B178" s="559"/>
      <c r="C178" s="560" t="s">
        <v>395</v>
      </c>
      <c r="D178" s="560"/>
      <c r="E178" s="560"/>
      <c r="F178" s="561"/>
      <c r="G178" s="3"/>
      <c r="H178" s="559"/>
      <c r="I178" s="562"/>
      <c r="J178" s="562"/>
      <c r="K178" s="562"/>
      <c r="L178" s="562"/>
      <c r="M178" s="562"/>
      <c r="N178" s="562"/>
      <c r="O178" s="562"/>
      <c r="P178" s="562"/>
      <c r="Q178" s="637"/>
      <c r="R178" s="527"/>
    </row>
    <row r="179" spans="2:18" ht="15" customHeight="1">
      <c r="B179" s="632" t="s">
        <v>2</v>
      </c>
      <c r="C179" s="633" t="s">
        <v>372</v>
      </c>
      <c r="D179" s="506"/>
      <c r="E179" s="506" t="s">
        <v>551</v>
      </c>
      <c r="F179" s="544"/>
      <c r="H179" s="568"/>
      <c r="I179" s="568"/>
      <c r="J179" s="568"/>
      <c r="K179" s="568"/>
      <c r="L179" s="568"/>
      <c r="M179" s="568"/>
      <c r="N179" s="568"/>
      <c r="O179" s="568"/>
      <c r="P179" s="568"/>
      <c r="Q179" s="634">
        <v>360</v>
      </c>
    </row>
  </sheetData>
  <sheetProtection algorithmName="SHA-512" hashValue="NSHGHwtqOxwZavTpEEfICPLrOGUIoOy/KO3mj9vy286N5Z9G8Xmp032+IvP2zRBGJL2RYvbqhHuIUWcICX6D+g==" saltValue="aaWWYAM5+EkjJpovDOf84g=="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Produtividade!C193</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Produtividade!C194</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Produtividade!C195</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Produtividade!C196</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Produtividade!C197</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Produtividade!C198</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Produtividade!C199</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Produtividade!C200</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Produtividade!C201</f>
        <v>0</v>
      </c>
      <c r="F10" s="387"/>
      <c r="G10" s="394" t="str">
        <f>IFERROR(INDEX(Produtividade!L:L,MATCH(E10,Produtividade!C:C,0)),"")</f>
        <v/>
      </c>
      <c r="I10" s="387" t="str">
        <f t="shared" si="2"/>
        <v/>
      </c>
      <c r="J10" s="387" t="str">
        <f t="shared" si="1"/>
        <v/>
      </c>
    </row>
    <row r="11" spans="1:10">
      <c r="A11" s="446" t="s">
        <v>591</v>
      </c>
      <c r="D11" s="387" t="str">
        <f t="shared" si="0"/>
        <v/>
      </c>
      <c r="E11" s="387" t="str">
        <f>Produtividade!C202</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Produtividade!C203</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Produtividade!C204</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Produtividade!C205</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Produtividade!C206</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Produtividade!C207</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Produtividade!C208</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Produtividade!C209</f>
        <v>0</v>
      </c>
      <c r="F18" s="387"/>
      <c r="G18" s="394" t="str">
        <f>IFERROR(INDEX(Produtividade!L:L,MATCH(E18,Produtividade!C:C,0)),"")</f>
        <v/>
      </c>
      <c r="I18" s="387" t="str">
        <f t="shared" si="2"/>
        <v/>
      </c>
      <c r="J18" s="387" t="str">
        <f t="shared" si="1"/>
        <v/>
      </c>
    </row>
    <row r="19" spans="1:10">
      <c r="A19" s="446" t="s">
        <v>599</v>
      </c>
      <c r="D19" s="387" t="str">
        <f t="shared" si="0"/>
        <v/>
      </c>
      <c r="E19" s="387" t="str">
        <f>Produtividade!C210</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Produtividade!C211</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Produtividade!C212</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Produtividade!C213</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Produtividade!C214</f>
        <v>0</v>
      </c>
      <c r="F23" s="387"/>
      <c r="G23" s="394" t="str">
        <f>IFERROR(INDEX(Produtividade!L:L,MATCH(E23,Produtividade!C:C,0)),"")</f>
        <v/>
      </c>
      <c r="I23" t="str">
        <f t="shared" si="3"/>
        <v/>
      </c>
      <c r="J23" t="str">
        <f t="shared" si="4"/>
        <v/>
      </c>
    </row>
    <row r="24" spans="1:10">
      <c r="A24" s="446" t="s">
        <v>603</v>
      </c>
      <c r="D24" s="387" t="str">
        <f t="shared" si="0"/>
        <v/>
      </c>
      <c r="E24" s="387" t="str">
        <f>Produtividade!C215</f>
        <v>2.4 - Fachadas</v>
      </c>
      <c r="F24" s="387"/>
      <c r="G24" s="394">
        <f>IFERROR(INDEX(Produtividade!L:L,MATCH(E24,Produtividade!C:C,0)),"")</f>
        <v>0</v>
      </c>
      <c r="I24" t="str">
        <f t="shared" si="3"/>
        <v/>
      </c>
      <c r="J24" t="str">
        <f t="shared" si="4"/>
        <v/>
      </c>
    </row>
    <row r="25" spans="1:10">
      <c r="A25" s="446" t="s">
        <v>604</v>
      </c>
      <c r="D25" s="387" t="str">
        <f t="shared" si="0"/>
        <v/>
      </c>
      <c r="E25" s="387" t="str">
        <f>Produtividade!C216</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Produtividade!C217</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Produtividade!C218</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Produtividade!C219</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Produtividade!C220</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Eduardo Evaristo</cp:lastModifiedBy>
  <cp:lastPrinted>2023-11-16T17:30:01Z</cp:lastPrinted>
  <dcterms:created xsi:type="dcterms:W3CDTF">2015-06-05T18:19:34Z</dcterms:created>
  <dcterms:modified xsi:type="dcterms:W3CDTF">2026-04-23T15:06:21Z</dcterms:modified>
</cp:coreProperties>
</file>